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1.xml" ContentType="application/vnd.ms-excel.threaded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drawings/drawing2.xml" ContentType="application/vnd.openxmlformats-officedocument.drawing+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Denne_projektmappe" defaultThemeVersion="124226"/>
  <mc:AlternateContent xmlns:mc="http://schemas.openxmlformats.org/markup-compatibility/2006">
    <mc:Choice Requires="x15">
      <x15ac:absPath xmlns:x15ac="http://schemas.microsoft.com/office/spreadsheetml/2010/11/ac" url="C:\TIMES models\TIMES-Nordic\SubRES_TMPL\"/>
    </mc:Choice>
  </mc:AlternateContent>
  <xr:revisionPtr revIDLastSave="0" documentId="13_ncr:1_{96C0F8D0-54FB-40E5-BDEB-FF78A90EA1A1}" xr6:coauthVersionLast="46" xr6:coauthVersionMax="46" xr10:uidLastSave="{00000000-0000-0000-0000-000000000000}"/>
  <bookViews>
    <workbookView xWindow="36" yWindow="456" windowWidth="26940" windowHeight="15804" tabRatio="764" activeTab="8" xr2:uid="{00000000-000D-0000-FFFF-FFFF00000000}"/>
  </bookViews>
  <sheets>
    <sheet name="LOG" sheetId="35" r:id="rId1"/>
    <sheet name="Intro" sheetId="48" r:id="rId2"/>
    <sheet name="READ THIS" sheetId="21" r:id="rId3"/>
    <sheet name="Notes" sheetId="75" r:id="rId4"/>
    <sheet name="IND_SavTechs" sheetId="45" r:id="rId5"/>
    <sheet name="IND_Trade" sheetId="42" r:id="rId6"/>
    <sheet name="IND_Private" sheetId="43" r:id="rId7"/>
    <sheet name="IND_Public" sheetId="44" r:id="rId8"/>
    <sheet name="IND_AGR_new" sheetId="90" r:id="rId9"/>
    <sheet name="IND_Construction_new" sheetId="94" r:id="rId10"/>
    <sheet name="IND_Utilities_new" sheetId="93" r:id="rId11"/>
    <sheet name="IND_Vehicles_new" sheetId="92" r:id="rId12"/>
    <sheet name="IND_PaperPulp_new" sheetId="91" r:id="rId13"/>
    <sheet name="IND_Wood_new" sheetId="89" r:id="rId14"/>
    <sheet name="IND_Other_new" sheetId="88" r:id="rId15"/>
    <sheet name="IND_Mining_new" sheetId="87" r:id="rId16"/>
    <sheet name="IND_IronSteel_new" sheetId="85" r:id="rId17"/>
    <sheet name="IND_Aluminium_new" sheetId="84" r:id="rId18"/>
    <sheet name="IND_Machinery_new" sheetId="83" r:id="rId19"/>
    <sheet name="IND_Food_new" sheetId="82" r:id="rId20"/>
    <sheet name="IND_CHEM_new" sheetId="81" r:id="rId21"/>
    <sheet name="IND_G&amp;C_new" sheetId="74" r:id="rId22"/>
    <sheet name="Carbon Capture Storage" sheetId="73" r:id="rId23"/>
    <sheet name="Oil-fired boiler_NEW" sheetId="55" r:id="rId24"/>
    <sheet name="Natural gas boiler_New" sheetId="56" r:id="rId25"/>
    <sheet name="Biomass boiler" sheetId="72" r:id="rId26"/>
    <sheet name="Coal boiler" sheetId="79" r:id="rId27"/>
    <sheet name="Trad. Heat pump 80C" sheetId="63" r:id="rId28"/>
    <sheet name="Heat driven Heat pump 80C" sheetId="65" r:id="rId29"/>
    <sheet name="High Temp abs. Heat pump 150C" sheetId="62" r:id="rId30"/>
    <sheet name="Booster Heat pump 150C" sheetId="64" r:id="rId31"/>
    <sheet name="MVR" sheetId="66" r:id="rId32"/>
    <sheet name="Hotdisc" sheetId="68" r:id="rId33"/>
    <sheet name="Dielectric heating" sheetId="69" r:id="rId34"/>
    <sheet name="Infrared" sheetId="70" r:id="rId35"/>
    <sheet name="Electric boiler" sheetId="71" r:id="rId36"/>
    <sheet name="Direct electric heating" sheetId="57" r:id="rId37"/>
    <sheet name="DH substation" sheetId="5" r:id="rId38"/>
    <sheet name="DH network" sheetId="19" r:id="rId39"/>
    <sheet name="Electrical grid" sheetId="20" r:id="rId40"/>
    <sheet name="Solar heating" sheetId="13" r:id="rId41"/>
    <sheet name="Oil-fired boiler" sheetId="86" r:id="rId42"/>
    <sheet name="Natural gas boiler" sheetId="4" r:id="rId43"/>
    <sheet name="DHB Wood-Chips" sheetId="34" r:id="rId44"/>
    <sheet name="Biomass boiler, automatic" sheetId="6" r:id="rId45"/>
    <sheet name="Biomass boiler, manual" sheetId="7" r:id="rId46"/>
    <sheet name="Wood stove" sheetId="8" r:id="rId47"/>
    <sheet name="Heat pump, air-to-air" sheetId="9" r:id="rId48"/>
    <sheet name="Heat pump, air-to-water" sheetId="10" r:id="rId49"/>
    <sheet name="Heat pump, ground source" sheetId="11" r:id="rId50"/>
    <sheet name="HP, gas absorption,air-to-water" sheetId="28" r:id="rId51"/>
    <sheet name="HP, gas absorpt,brine-to-water" sheetId="29" r:id="rId52"/>
    <sheet name="Heat pump, gas engine air-water" sheetId="30" r:id="rId53"/>
    <sheet name="Heat pump, gas engine Brine-wat" sheetId="24" r:id="rId54"/>
    <sheet name="Heat pump, gas adsorption" sheetId="27" r:id="rId55"/>
    <sheet name="Heat pump, ventilation" sheetId="12" r:id="rId56"/>
    <sheet name="Electric heating" sheetId="14" r:id="rId57"/>
    <sheet name="Micro CHP, natural gas FC" sheetId="15" r:id="rId58"/>
    <sheet name="Micro CHP, hydrogen FC" sheetId="16" r:id="rId59"/>
    <sheet name="Micro CHP - Stirling engine" sheetId="17" r:id="rId60"/>
    <sheet name="Micro CHP - Gas engine" sheetId="18" r:id="rId61"/>
  </sheets>
  <externalReferences>
    <externalReference r:id="rId62"/>
    <externalReference r:id="rId63"/>
    <externalReference r:id="rId64"/>
    <externalReference r:id="rId65"/>
    <externalReference r:id="rId66"/>
  </externalReferences>
  <definedNames>
    <definedName name="_ftn1" localSheetId="59">'Micro CHP - Stirling engine'!$B$91</definedName>
    <definedName name="_ftnref1" localSheetId="59">'Micro CHP - Stirling engine'!#REF!</definedName>
    <definedName name="_Toc305146851" localSheetId="44">'Biomass boiler, automatic'!$B$3</definedName>
    <definedName name="_Toc305146851" localSheetId="43">'DHB Wood-Chips'!$B$3</definedName>
    <definedName name="Euro" localSheetId="25">[1]IND_ELC!$E$2</definedName>
    <definedName name="Euro" localSheetId="30">[1]IND_ELC!$E$2</definedName>
    <definedName name="Euro" localSheetId="22">[1]IND_ELC!$E$2</definedName>
    <definedName name="Euro" localSheetId="26">[1]IND_ELC!$E$2</definedName>
    <definedName name="Euro" localSheetId="33">[1]IND_ELC!$E$2</definedName>
    <definedName name="Euro" localSheetId="36">[1]IND_ELC!$E$2</definedName>
    <definedName name="Euro" localSheetId="35">[1]IND_ELC!$E$2</definedName>
    <definedName name="Euro" localSheetId="28">[1]IND_ELC!$E$2</definedName>
    <definedName name="Euro" localSheetId="29">[1]IND_ELC!$E$2</definedName>
    <definedName name="Euro" localSheetId="32">[1]IND_ELC!$E$2</definedName>
    <definedName name="Euro" localSheetId="34">[1]IND_ELC!$E$2</definedName>
    <definedName name="Euro" localSheetId="31">[1]IND_ELC!$E$2</definedName>
    <definedName name="Euro" localSheetId="24">[1]IND_ELC!$E$2</definedName>
    <definedName name="Euro" localSheetId="23">[1]IND_ELC!$E$2</definedName>
    <definedName name="Euro" localSheetId="27">[1]IND_ELC!$E$2</definedName>
    <definedName name="Euro">[2]IND_ELC!$E$2</definedName>
    <definedName name="FID_1">[3]AGR_Fuels!$A$2</definedName>
    <definedName name="FIXWSTBP" localSheetId="25">'[4]O&amp;M waste '!$C$4</definedName>
    <definedName name="FIXWSTBP" localSheetId="30">'[4]O&amp;M waste '!$C$4</definedName>
    <definedName name="FIXWSTBP" localSheetId="22">'[4]O&amp;M waste '!$C$4</definedName>
    <definedName name="FIXWSTBP" localSheetId="26">'[4]O&amp;M waste '!$C$4</definedName>
    <definedName name="FIXWSTBP" localSheetId="33">'[4]O&amp;M waste '!$C$4</definedName>
    <definedName name="FIXWSTBP" localSheetId="36">'[4]O&amp;M waste '!$C$4</definedName>
    <definedName name="FIXWSTBP" localSheetId="35">'[4]O&amp;M waste '!$C$4</definedName>
    <definedName name="FIXWSTBP" localSheetId="28">'[4]O&amp;M waste '!$C$4</definedName>
    <definedName name="FIXWSTBP" localSheetId="29">'[4]O&amp;M waste '!$C$4</definedName>
    <definedName name="FIXWSTBP" localSheetId="32">'[4]O&amp;M waste '!$C$4</definedName>
    <definedName name="FIXWSTBP" localSheetId="34">'[4]O&amp;M waste '!$C$4</definedName>
    <definedName name="FIXWSTBP" localSheetId="31">'[4]O&amp;M waste '!$C$4</definedName>
    <definedName name="FIXWSTBP" localSheetId="24">'[4]O&amp;M waste '!$C$4</definedName>
    <definedName name="FIXWSTBP" localSheetId="23">'[4]O&amp;M waste '!$C$4</definedName>
    <definedName name="FIXWSTBP" localSheetId="27">'[4]O&amp;M waste '!$C$4</definedName>
    <definedName name="FIXWSTBP">'[5]O&amp;M waste '!$C$4</definedName>
    <definedName name="VARWSTBO" localSheetId="25">'[4]O&amp;M waste '!$D$5</definedName>
    <definedName name="VARWSTBO" localSheetId="30">'[4]O&amp;M waste '!$D$5</definedName>
    <definedName name="VARWSTBO" localSheetId="22">'[4]O&amp;M waste '!$D$5</definedName>
    <definedName name="VARWSTBO" localSheetId="26">'[4]O&amp;M waste '!$D$5</definedName>
    <definedName name="VARWSTBO" localSheetId="33">'[4]O&amp;M waste '!$D$5</definedName>
    <definedName name="VARWSTBO" localSheetId="36">'[4]O&amp;M waste '!$D$5</definedName>
    <definedName name="VARWSTBO" localSheetId="35">'[4]O&amp;M waste '!$D$5</definedName>
    <definedName name="VARWSTBO" localSheetId="28">'[4]O&amp;M waste '!$D$5</definedName>
    <definedName name="VARWSTBO" localSheetId="29">'[4]O&amp;M waste '!$D$5</definedName>
    <definedName name="VARWSTBO" localSheetId="32">'[4]O&amp;M waste '!$D$5</definedName>
    <definedName name="VARWSTBO" localSheetId="34">'[4]O&amp;M waste '!$D$5</definedName>
    <definedName name="VARWSTBO" localSheetId="31">'[4]O&amp;M waste '!$D$5</definedName>
    <definedName name="VARWSTBO" localSheetId="24">'[4]O&amp;M waste '!$D$5</definedName>
    <definedName name="VARWSTBO" localSheetId="23">'[4]O&amp;M waste '!$D$5</definedName>
    <definedName name="VARWSTBO" localSheetId="27">'[4]O&amp;M waste '!$D$5</definedName>
    <definedName name="VARWSTBO">'[5]O&amp;M waste '!$D$5</definedName>
    <definedName name="VARWSTBP" localSheetId="25">'[4]O&amp;M waste '!$D$4</definedName>
    <definedName name="VARWSTBP" localSheetId="30">'[4]O&amp;M waste '!$D$4</definedName>
    <definedName name="VARWSTBP" localSheetId="22">'[4]O&amp;M waste '!$D$4</definedName>
    <definedName name="VARWSTBP" localSheetId="26">'[4]O&amp;M waste '!$D$4</definedName>
    <definedName name="VARWSTBP" localSheetId="33">'[4]O&amp;M waste '!$D$4</definedName>
    <definedName name="VARWSTBP" localSheetId="36">'[4]O&amp;M waste '!$D$4</definedName>
    <definedName name="VARWSTBP" localSheetId="35">'[4]O&amp;M waste '!$D$4</definedName>
    <definedName name="VARWSTBP" localSheetId="28">'[4]O&amp;M waste '!$D$4</definedName>
    <definedName name="VARWSTBP" localSheetId="29">'[4]O&amp;M waste '!$D$4</definedName>
    <definedName name="VARWSTBP" localSheetId="32">'[4]O&amp;M waste '!$D$4</definedName>
    <definedName name="VARWSTBP" localSheetId="34">'[4]O&amp;M waste '!$D$4</definedName>
    <definedName name="VARWSTBP" localSheetId="31">'[4]O&amp;M waste '!$D$4</definedName>
    <definedName name="VARWSTBP" localSheetId="24">'[4]O&amp;M waste '!$D$4</definedName>
    <definedName name="VARWSTBP" localSheetId="23">'[4]O&amp;M waste '!$D$4</definedName>
    <definedName name="VARWSTBP" localSheetId="27">'[4]O&amp;M waste '!$D$4</definedName>
    <definedName name="VARWSTBP">'[5]O&amp;M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3" i="84" l="1"/>
  <c r="F209" i="72"/>
  <c r="V203" i="72"/>
  <c r="F210" i="72"/>
  <c r="U203" i="72"/>
  <c r="F207" i="72"/>
  <c r="U40" i="72"/>
  <c r="F46" i="72"/>
  <c r="E46" i="72"/>
  <c r="C46" i="72"/>
  <c r="L91" i="91"/>
  <c r="L97" i="91"/>
  <c r="L98" i="91"/>
  <c r="L87" i="84"/>
  <c r="T63" i="85"/>
  <c r="L136" i="84"/>
  <c r="L93" i="91"/>
  <c r="L89" i="91"/>
  <c r="L169" i="84"/>
  <c r="L168" i="84"/>
  <c r="L73" i="84"/>
  <c r="L87" i="91"/>
  <c r="O110" i="91"/>
  <c r="L64" i="84"/>
  <c r="L114" i="84"/>
  <c r="L89" i="84"/>
  <c r="L105" i="91"/>
  <c r="L74" i="84"/>
  <c r="L122" i="84"/>
  <c r="L65" i="84"/>
  <c r="L63" i="84"/>
  <c r="L170" i="84"/>
  <c r="L121" i="84"/>
  <c r="L120" i="84"/>
  <c r="L88" i="84"/>
  <c r="L135" i="84"/>
  <c r="L137" i="84"/>
  <c r="L94" i="91"/>
  <c r="L72" i="84"/>
  <c r="L95" i="91"/>
  <c r="L90" i="91"/>
  <c r="AD14" i="71" l="1"/>
  <c r="AD11" i="71"/>
  <c r="AD19" i="72"/>
  <c r="AD14" i="72"/>
  <c r="L178" i="91"/>
  <c r="L175" i="91"/>
  <c r="L181" i="91"/>
  <c r="L171" i="91"/>
  <c r="L170" i="91"/>
  <c r="L180" i="91"/>
  <c r="L176" i="91"/>
  <c r="L174" i="91"/>
  <c r="L183" i="91"/>
  <c r="L177" i="91"/>
  <c r="L172" i="91"/>
  <c r="L173" i="91"/>
  <c r="L182" i="91"/>
  <c r="L184" i="91"/>
  <c r="L179" i="91"/>
  <c r="L185" i="91"/>
  <c r="L186" i="91"/>
  <c r="AE11" i="71" l="1"/>
  <c r="AE19" i="63"/>
  <c r="AE19" i="65"/>
  <c r="AE19" i="62"/>
  <c r="AE19" i="66"/>
  <c r="AE19" i="68"/>
  <c r="AE19" i="69"/>
  <c r="AE19" i="70"/>
  <c r="AE19" i="71"/>
  <c r="AE19" i="57"/>
  <c r="AD19" i="63"/>
  <c r="AD19" i="65"/>
  <c r="AD19" i="62"/>
  <c r="AD19" i="64"/>
  <c r="AD19" i="66"/>
  <c r="AD19" i="68"/>
  <c r="AD19" i="69"/>
  <c r="AD19" i="70"/>
  <c r="AD19" i="71"/>
  <c r="AD19" i="57"/>
  <c r="AE14" i="68"/>
  <c r="AE14" i="69"/>
  <c r="AE14" i="71"/>
  <c r="AE14" i="57"/>
  <c r="AD14" i="63"/>
  <c r="AD14" i="65"/>
  <c r="AD14" i="62"/>
  <c r="AD14" i="64"/>
  <c r="AD14" i="66"/>
  <c r="AD14" i="68"/>
  <c r="AD14" i="69"/>
  <c r="AD14" i="70"/>
  <c r="AD14" i="57"/>
  <c r="AE11" i="63"/>
  <c r="AE11" i="65"/>
  <c r="AE11" i="62"/>
  <c r="AE11" i="64"/>
  <c r="AE11" i="66"/>
  <c r="AE11" i="68"/>
  <c r="AE11" i="69"/>
  <c r="AE11" i="70"/>
  <c r="AE11" i="57"/>
  <c r="AD11" i="63"/>
  <c r="AD11" i="65"/>
  <c r="AD11" i="62"/>
  <c r="AD11" i="64"/>
  <c r="AD11" i="66"/>
  <c r="AD11" i="68"/>
  <c r="AD11" i="69"/>
  <c r="AD11" i="70"/>
  <c r="AD11" i="57"/>
  <c r="AE98" i="79"/>
  <c r="AE93" i="79"/>
  <c r="AE90" i="79"/>
  <c r="AE19" i="56"/>
  <c r="AE19" i="72"/>
  <c r="AE19" i="79"/>
  <c r="AE19" i="55"/>
  <c r="AE14" i="56"/>
  <c r="AE14" i="72"/>
  <c r="AE14" i="79"/>
  <c r="AE14" i="55"/>
  <c r="AE11" i="56"/>
  <c r="AE11" i="72"/>
  <c r="AE11" i="79"/>
  <c r="AE11" i="55"/>
  <c r="D184" i="74" l="1"/>
  <c r="D185" i="74"/>
  <c r="D185" i="81"/>
  <c r="D184" i="81"/>
  <c r="D185" i="82"/>
  <c r="D184" i="82"/>
  <c r="D185" i="83"/>
  <c r="D184" i="83"/>
  <c r="D185" i="85"/>
  <c r="D184" i="85"/>
  <c r="D184" i="87"/>
  <c r="D185" i="87"/>
  <c r="D185" i="88"/>
  <c r="D184" i="88"/>
  <c r="D185" i="89"/>
  <c r="D184" i="89"/>
  <c r="D187" i="91"/>
  <c r="D188" i="91"/>
  <c r="D185" i="92"/>
  <c r="D184" i="92"/>
  <c r="D184" i="93"/>
  <c r="D185" i="93"/>
  <c r="D185" i="94"/>
  <c r="D184" i="94"/>
  <c r="D185" i="90"/>
  <c r="D184" i="90"/>
  <c r="D185" i="84"/>
  <c r="D184" i="84"/>
  <c r="C46" i="55"/>
  <c r="U39" i="55" s="1"/>
  <c r="C48" i="55"/>
  <c r="L143" i="91"/>
  <c r="L168" i="91"/>
  <c r="L148" i="91"/>
  <c r="L103" i="91"/>
  <c r="L139" i="91"/>
  <c r="L124" i="91"/>
  <c r="L167" i="91"/>
  <c r="L141" i="91"/>
  <c r="L110" i="91"/>
  <c r="L146" i="91"/>
  <c r="L101" i="91"/>
  <c r="L145" i="91"/>
  <c r="L100" i="91"/>
  <c r="L125" i="91"/>
  <c r="L150" i="91"/>
  <c r="L140" i="91"/>
  <c r="L157" i="91"/>
  <c r="L161" i="91"/>
  <c r="L128" i="91"/>
  <c r="L158" i="91"/>
  <c r="L135" i="91"/>
  <c r="L166" i="91"/>
  <c r="L151" i="91"/>
  <c r="L127" i="91"/>
  <c r="L147" i="91"/>
  <c r="L109" i="91"/>
  <c r="L152" i="91"/>
  <c r="L149" i="91"/>
  <c r="L132" i="91"/>
  <c r="L142" i="91"/>
  <c r="L155" i="91"/>
  <c r="L162" i="91"/>
  <c r="L164" i="91"/>
  <c r="L165" i="91"/>
  <c r="L126" i="91"/>
  <c r="L163" i="91"/>
  <c r="L130" i="91"/>
  <c r="L104" i="91"/>
  <c r="L169" i="91"/>
  <c r="L156" i="91"/>
  <c r="L136" i="91"/>
  <c r="L160" i="91"/>
  <c r="L144" i="91"/>
  <c r="L106" i="91"/>
  <c r="L153" i="91"/>
  <c r="L154" i="91"/>
  <c r="L108" i="91"/>
  <c r="L99" i="91"/>
  <c r="L138" i="91"/>
  <c r="L131" i="91"/>
  <c r="L123" i="91"/>
  <c r="L137" i="91"/>
  <c r="L102" i="91"/>
  <c r="L129" i="91"/>
  <c r="L134" i="91"/>
  <c r="L107" i="91"/>
  <c r="L133" i="91"/>
  <c r="L159" i="91"/>
  <c r="L111" i="91" l="1"/>
  <c r="L114" i="91" s="1"/>
  <c r="L113" i="91"/>
  <c r="L116" i="91" s="1"/>
  <c r="L112" i="91"/>
  <c r="L115" i="91" s="1"/>
  <c r="J64" i="94"/>
  <c r="J65" i="94"/>
  <c r="J66" i="94"/>
  <c r="K66" i="94" s="1"/>
  <c r="J67" i="94"/>
  <c r="J68" i="94"/>
  <c r="J69" i="94"/>
  <c r="K69" i="94" s="1"/>
  <c r="J70" i="94"/>
  <c r="J71" i="94"/>
  <c r="J72" i="94"/>
  <c r="K72" i="94" s="1"/>
  <c r="J73" i="94"/>
  <c r="J74" i="94"/>
  <c r="J75" i="94"/>
  <c r="K75" i="94" s="1"/>
  <c r="J76" i="94"/>
  <c r="J77" i="94"/>
  <c r="J78" i="94"/>
  <c r="K78" i="94" s="1"/>
  <c r="J79" i="94"/>
  <c r="J80" i="94"/>
  <c r="J81" i="94"/>
  <c r="K81" i="94" s="1"/>
  <c r="J82" i="94"/>
  <c r="J83" i="94"/>
  <c r="J84" i="94"/>
  <c r="K84" i="94" s="1"/>
  <c r="J85" i="94"/>
  <c r="J86" i="94"/>
  <c r="J87" i="94"/>
  <c r="K87" i="94" s="1"/>
  <c r="J88" i="94"/>
  <c r="J89" i="94"/>
  <c r="J90" i="94"/>
  <c r="K90" i="94" s="1"/>
  <c r="J91" i="94"/>
  <c r="J92" i="94"/>
  <c r="J93" i="94"/>
  <c r="K93" i="94" s="1"/>
  <c r="J94" i="94"/>
  <c r="J95" i="94"/>
  <c r="J96" i="94"/>
  <c r="K96" i="94" s="1"/>
  <c r="J97" i="94"/>
  <c r="J98" i="94"/>
  <c r="J99" i="94"/>
  <c r="K99" i="94" s="1"/>
  <c r="J100" i="94"/>
  <c r="J101" i="94"/>
  <c r="J102" i="94"/>
  <c r="K102" i="94" s="1"/>
  <c r="J103" i="94"/>
  <c r="J104" i="94"/>
  <c r="J105" i="94"/>
  <c r="K105" i="94" s="1"/>
  <c r="J106" i="94"/>
  <c r="J107" i="94"/>
  <c r="J108" i="94"/>
  <c r="K108" i="94" s="1"/>
  <c r="J109" i="94"/>
  <c r="J110" i="94"/>
  <c r="J111" i="94"/>
  <c r="K111" i="94" s="1"/>
  <c r="J112" i="94"/>
  <c r="J113" i="94"/>
  <c r="J114" i="94"/>
  <c r="K114" i="94" s="1"/>
  <c r="J115" i="94"/>
  <c r="J116" i="94"/>
  <c r="J117" i="94"/>
  <c r="K117" i="94" s="1"/>
  <c r="J118" i="94"/>
  <c r="J119" i="94"/>
  <c r="J120" i="94"/>
  <c r="K120" i="94" s="1"/>
  <c r="J121" i="94"/>
  <c r="J122" i="94"/>
  <c r="J123" i="94"/>
  <c r="K123" i="94" s="1"/>
  <c r="J124" i="94"/>
  <c r="J125" i="94"/>
  <c r="J126" i="94"/>
  <c r="K126" i="94" s="1"/>
  <c r="J127" i="94"/>
  <c r="J128" i="94"/>
  <c r="J129" i="94"/>
  <c r="K129" i="94" s="1"/>
  <c r="J130" i="94"/>
  <c r="J131" i="94"/>
  <c r="J132" i="94"/>
  <c r="K132" i="94" s="1"/>
  <c r="J133" i="94"/>
  <c r="J134" i="94"/>
  <c r="J135" i="94"/>
  <c r="K135" i="94" s="1"/>
  <c r="J136" i="94"/>
  <c r="J137" i="94"/>
  <c r="J138" i="94"/>
  <c r="K138" i="94" s="1"/>
  <c r="J139" i="94"/>
  <c r="J140" i="94"/>
  <c r="J141" i="94"/>
  <c r="K141" i="94" s="1"/>
  <c r="J142" i="94"/>
  <c r="J143" i="94"/>
  <c r="J144" i="94"/>
  <c r="K144" i="94" s="1"/>
  <c r="J145" i="94"/>
  <c r="J146" i="94"/>
  <c r="J147" i="94"/>
  <c r="K147" i="94" s="1"/>
  <c r="J148" i="94"/>
  <c r="J149" i="94"/>
  <c r="J150" i="94"/>
  <c r="K150" i="94" s="1"/>
  <c r="J151" i="94"/>
  <c r="J152" i="94"/>
  <c r="J153" i="94"/>
  <c r="K153" i="94" s="1"/>
  <c r="J154" i="94"/>
  <c r="J155" i="94"/>
  <c r="J156" i="94"/>
  <c r="K156" i="94" s="1"/>
  <c r="J157" i="94"/>
  <c r="J158" i="94"/>
  <c r="J159" i="94"/>
  <c r="K159" i="94" s="1"/>
  <c r="J160" i="94"/>
  <c r="J161" i="94"/>
  <c r="J162" i="94"/>
  <c r="K162" i="94" s="1"/>
  <c r="J163" i="94"/>
  <c r="J164" i="94"/>
  <c r="J165" i="94"/>
  <c r="K165" i="94" s="1"/>
  <c r="J166" i="94"/>
  <c r="J167" i="94"/>
  <c r="J168" i="94"/>
  <c r="K168" i="94" s="1"/>
  <c r="J169" i="94"/>
  <c r="J170" i="94"/>
  <c r="J171" i="94"/>
  <c r="K171" i="94" s="1"/>
  <c r="J172" i="94"/>
  <c r="J173" i="94"/>
  <c r="J174" i="94"/>
  <c r="K174" i="94" s="1"/>
  <c r="J175" i="94"/>
  <c r="J176" i="94"/>
  <c r="J177" i="94"/>
  <c r="K177" i="94" s="1"/>
  <c r="J178" i="94"/>
  <c r="J179" i="94"/>
  <c r="J180" i="94"/>
  <c r="K180" i="94" s="1"/>
  <c r="J181" i="94"/>
  <c r="J182" i="94"/>
  <c r="J183" i="94"/>
  <c r="K183" i="94" s="1"/>
  <c r="J184" i="94"/>
  <c r="J185" i="94"/>
  <c r="J64" i="93"/>
  <c r="J65" i="93"/>
  <c r="J66" i="93"/>
  <c r="K66" i="93" s="1"/>
  <c r="J67" i="93"/>
  <c r="J68" i="93"/>
  <c r="J69" i="93"/>
  <c r="K69" i="93" s="1"/>
  <c r="J70" i="93"/>
  <c r="J71" i="93"/>
  <c r="J72" i="93"/>
  <c r="K72" i="93" s="1"/>
  <c r="J73" i="93"/>
  <c r="J74" i="93"/>
  <c r="J75" i="93"/>
  <c r="K75" i="93" s="1"/>
  <c r="J76" i="93"/>
  <c r="J77" i="93"/>
  <c r="J78" i="93"/>
  <c r="K78" i="93" s="1"/>
  <c r="J79" i="93"/>
  <c r="J80" i="93"/>
  <c r="J81" i="93"/>
  <c r="K81" i="93" s="1"/>
  <c r="J82" i="93"/>
  <c r="J83" i="93"/>
  <c r="J84" i="93"/>
  <c r="K84" i="93" s="1"/>
  <c r="J85" i="93"/>
  <c r="J86" i="93"/>
  <c r="J87" i="93"/>
  <c r="K87" i="93" s="1"/>
  <c r="J88" i="93"/>
  <c r="J89" i="93"/>
  <c r="J90" i="93"/>
  <c r="K90" i="93" s="1"/>
  <c r="J91" i="93"/>
  <c r="J92" i="93"/>
  <c r="J93" i="93"/>
  <c r="K93" i="93" s="1"/>
  <c r="J94" i="93"/>
  <c r="J95" i="93"/>
  <c r="J96" i="93"/>
  <c r="K96" i="93" s="1"/>
  <c r="J97" i="93"/>
  <c r="J98" i="93"/>
  <c r="J99" i="93"/>
  <c r="K99" i="93" s="1"/>
  <c r="J100" i="93"/>
  <c r="J101" i="93"/>
  <c r="J102" i="93"/>
  <c r="K102" i="93" s="1"/>
  <c r="J103" i="93"/>
  <c r="J104" i="93"/>
  <c r="J105" i="93"/>
  <c r="K105" i="93" s="1"/>
  <c r="J106" i="93"/>
  <c r="J107" i="93"/>
  <c r="J108" i="93"/>
  <c r="K108" i="93" s="1"/>
  <c r="J109" i="93"/>
  <c r="J110" i="93"/>
  <c r="J111" i="93"/>
  <c r="K111" i="93" s="1"/>
  <c r="J112" i="93"/>
  <c r="J113" i="93"/>
  <c r="J114" i="93"/>
  <c r="K114" i="93" s="1"/>
  <c r="J115" i="93"/>
  <c r="J116" i="93"/>
  <c r="J117" i="93"/>
  <c r="K117" i="93" s="1"/>
  <c r="J118" i="93"/>
  <c r="J119" i="93"/>
  <c r="J120" i="93"/>
  <c r="K120" i="93" s="1"/>
  <c r="J121" i="93"/>
  <c r="J122" i="93"/>
  <c r="J123" i="93"/>
  <c r="K123" i="93" s="1"/>
  <c r="J124" i="93"/>
  <c r="J125" i="93"/>
  <c r="J126" i="93"/>
  <c r="K126" i="93" s="1"/>
  <c r="J127" i="93"/>
  <c r="J128" i="93"/>
  <c r="J129" i="93"/>
  <c r="K129" i="93" s="1"/>
  <c r="J130" i="93"/>
  <c r="J131" i="93"/>
  <c r="J132" i="93"/>
  <c r="K132" i="93" s="1"/>
  <c r="J133" i="93"/>
  <c r="J134" i="93"/>
  <c r="J135" i="93"/>
  <c r="K135" i="93" s="1"/>
  <c r="J136" i="93"/>
  <c r="J137" i="93"/>
  <c r="J138" i="93"/>
  <c r="K138" i="93" s="1"/>
  <c r="J139" i="93"/>
  <c r="J140" i="93"/>
  <c r="J141" i="93"/>
  <c r="K141" i="93" s="1"/>
  <c r="J142" i="93"/>
  <c r="J143" i="93"/>
  <c r="J144" i="93"/>
  <c r="K144" i="93" s="1"/>
  <c r="J145" i="93"/>
  <c r="J146" i="93"/>
  <c r="J147" i="93"/>
  <c r="K147" i="93" s="1"/>
  <c r="J148" i="93"/>
  <c r="J149" i="93"/>
  <c r="J150" i="93"/>
  <c r="K150" i="93" s="1"/>
  <c r="J151" i="93"/>
  <c r="J152" i="93"/>
  <c r="J153" i="93"/>
  <c r="K153" i="93" s="1"/>
  <c r="J154" i="93"/>
  <c r="J155" i="93"/>
  <c r="J156" i="93"/>
  <c r="K156" i="93" s="1"/>
  <c r="J157" i="93"/>
  <c r="J158" i="93"/>
  <c r="J159" i="93"/>
  <c r="K159" i="93" s="1"/>
  <c r="J160" i="93"/>
  <c r="J161" i="93"/>
  <c r="J162" i="93"/>
  <c r="K162" i="93" s="1"/>
  <c r="J163" i="93"/>
  <c r="J164" i="93"/>
  <c r="J165" i="93"/>
  <c r="K165" i="93" s="1"/>
  <c r="J166" i="93"/>
  <c r="J167" i="93"/>
  <c r="J168" i="93"/>
  <c r="K168" i="93" s="1"/>
  <c r="J169" i="93"/>
  <c r="J170" i="93"/>
  <c r="J171" i="93"/>
  <c r="K171" i="93" s="1"/>
  <c r="J172" i="93"/>
  <c r="J173" i="93"/>
  <c r="J174" i="93"/>
  <c r="K174" i="93" s="1"/>
  <c r="J175" i="93"/>
  <c r="J176" i="93"/>
  <c r="J177" i="93"/>
  <c r="K177" i="93" s="1"/>
  <c r="J178" i="93"/>
  <c r="J179" i="93"/>
  <c r="J180" i="93"/>
  <c r="K180" i="93" s="1"/>
  <c r="J181" i="93"/>
  <c r="J182" i="93"/>
  <c r="J183" i="93"/>
  <c r="K183" i="93" s="1"/>
  <c r="J184" i="93"/>
  <c r="J185" i="93"/>
  <c r="J64" i="92"/>
  <c r="J65" i="92"/>
  <c r="J66" i="92"/>
  <c r="K66" i="92" s="1"/>
  <c r="J67" i="92"/>
  <c r="J68" i="92"/>
  <c r="J69" i="92"/>
  <c r="K69" i="92" s="1"/>
  <c r="J70" i="92"/>
  <c r="J71" i="92"/>
  <c r="J72" i="92"/>
  <c r="K72" i="92" s="1"/>
  <c r="J73" i="92"/>
  <c r="J74" i="92"/>
  <c r="J75" i="92"/>
  <c r="K75" i="92" s="1"/>
  <c r="J76" i="92"/>
  <c r="J77" i="92"/>
  <c r="J78" i="92"/>
  <c r="K78" i="92" s="1"/>
  <c r="J79" i="92"/>
  <c r="J80" i="92"/>
  <c r="J81" i="92"/>
  <c r="K81" i="92" s="1"/>
  <c r="J82" i="92"/>
  <c r="J83" i="92"/>
  <c r="J84" i="92"/>
  <c r="K84" i="92" s="1"/>
  <c r="J85" i="92"/>
  <c r="J86" i="92"/>
  <c r="J87" i="92"/>
  <c r="K87" i="92" s="1"/>
  <c r="J88" i="92"/>
  <c r="J89" i="92"/>
  <c r="J90" i="92"/>
  <c r="K90" i="92" s="1"/>
  <c r="J91" i="92"/>
  <c r="J92" i="92"/>
  <c r="J93" i="92"/>
  <c r="K93" i="92" s="1"/>
  <c r="J94" i="92"/>
  <c r="J95" i="92"/>
  <c r="J96" i="92"/>
  <c r="K96" i="92" s="1"/>
  <c r="J97" i="92"/>
  <c r="J98" i="92"/>
  <c r="J99" i="92"/>
  <c r="K99" i="92" s="1"/>
  <c r="J100" i="92"/>
  <c r="J101" i="92"/>
  <c r="J102" i="92"/>
  <c r="K102" i="92" s="1"/>
  <c r="J103" i="92"/>
  <c r="J104" i="92"/>
  <c r="J105" i="92"/>
  <c r="K105" i="92" s="1"/>
  <c r="J106" i="92"/>
  <c r="J107" i="92"/>
  <c r="J108" i="92"/>
  <c r="K108" i="92" s="1"/>
  <c r="J109" i="92"/>
  <c r="J110" i="92"/>
  <c r="J111" i="92"/>
  <c r="K111" i="92" s="1"/>
  <c r="J112" i="92"/>
  <c r="J113" i="92"/>
  <c r="J114" i="92"/>
  <c r="K114" i="92" s="1"/>
  <c r="J115" i="92"/>
  <c r="J116" i="92"/>
  <c r="J117" i="92"/>
  <c r="K117" i="92" s="1"/>
  <c r="J118" i="92"/>
  <c r="J119" i="92"/>
  <c r="J120" i="92"/>
  <c r="K120" i="92" s="1"/>
  <c r="J121" i="92"/>
  <c r="J122" i="92"/>
  <c r="J123" i="92"/>
  <c r="K123" i="92" s="1"/>
  <c r="J124" i="92"/>
  <c r="J125" i="92"/>
  <c r="J126" i="92"/>
  <c r="K126" i="92" s="1"/>
  <c r="J127" i="92"/>
  <c r="J128" i="92"/>
  <c r="J129" i="92"/>
  <c r="K129" i="92" s="1"/>
  <c r="J130" i="92"/>
  <c r="J131" i="92"/>
  <c r="J132" i="92"/>
  <c r="K132" i="92" s="1"/>
  <c r="J133" i="92"/>
  <c r="J134" i="92"/>
  <c r="J135" i="92"/>
  <c r="K135" i="92" s="1"/>
  <c r="J136" i="92"/>
  <c r="J137" i="92"/>
  <c r="J138" i="92"/>
  <c r="K138" i="92" s="1"/>
  <c r="J139" i="92"/>
  <c r="J140" i="92"/>
  <c r="J141" i="92"/>
  <c r="K141" i="92" s="1"/>
  <c r="J142" i="92"/>
  <c r="J143" i="92"/>
  <c r="J144" i="92"/>
  <c r="K144" i="92" s="1"/>
  <c r="J145" i="92"/>
  <c r="J146" i="92"/>
  <c r="J147" i="92"/>
  <c r="K147" i="92" s="1"/>
  <c r="J148" i="92"/>
  <c r="J149" i="92"/>
  <c r="J150" i="92"/>
  <c r="K150" i="92" s="1"/>
  <c r="J151" i="92"/>
  <c r="J152" i="92"/>
  <c r="J153" i="92"/>
  <c r="K153" i="92" s="1"/>
  <c r="J154" i="92"/>
  <c r="J155" i="92"/>
  <c r="J156" i="92"/>
  <c r="K156" i="92" s="1"/>
  <c r="J157" i="92"/>
  <c r="J158" i="92"/>
  <c r="J159" i="92"/>
  <c r="K159" i="92" s="1"/>
  <c r="J160" i="92"/>
  <c r="J161" i="92"/>
  <c r="J162" i="92"/>
  <c r="K162" i="92" s="1"/>
  <c r="J163" i="92"/>
  <c r="J164" i="92"/>
  <c r="J165" i="92"/>
  <c r="K165" i="92" s="1"/>
  <c r="J166" i="92"/>
  <c r="J167" i="92"/>
  <c r="J168" i="92"/>
  <c r="K168" i="92" s="1"/>
  <c r="J169" i="92"/>
  <c r="J170" i="92"/>
  <c r="J171" i="92"/>
  <c r="K171" i="92" s="1"/>
  <c r="J172" i="92"/>
  <c r="J173" i="92"/>
  <c r="J174" i="92"/>
  <c r="K174" i="92" s="1"/>
  <c r="J175" i="92"/>
  <c r="J176" i="92"/>
  <c r="J177" i="92"/>
  <c r="K177" i="92" s="1"/>
  <c r="J178" i="92"/>
  <c r="J179" i="92"/>
  <c r="J180" i="92"/>
  <c r="K180" i="92" s="1"/>
  <c r="J181" i="92"/>
  <c r="J182" i="92"/>
  <c r="J183" i="92"/>
  <c r="K183" i="92" s="1"/>
  <c r="J184" i="92"/>
  <c r="J185" i="92"/>
  <c r="J64" i="91"/>
  <c r="J65" i="91"/>
  <c r="J66" i="91"/>
  <c r="K66" i="91" s="1"/>
  <c r="J67" i="91"/>
  <c r="J68" i="91"/>
  <c r="J69" i="91"/>
  <c r="K69" i="91" s="1"/>
  <c r="J70" i="91"/>
  <c r="J71" i="91"/>
  <c r="J72" i="91"/>
  <c r="K72" i="91" s="1"/>
  <c r="J73" i="91"/>
  <c r="J74" i="91"/>
  <c r="J75" i="91"/>
  <c r="K75" i="91" s="1"/>
  <c r="J76" i="91"/>
  <c r="J77" i="91"/>
  <c r="J78" i="91"/>
  <c r="K78" i="91" s="1"/>
  <c r="J79" i="91"/>
  <c r="J80" i="91"/>
  <c r="J81" i="91"/>
  <c r="K81" i="91" s="1"/>
  <c r="J82" i="91"/>
  <c r="J83" i="91"/>
  <c r="J84" i="91"/>
  <c r="K84" i="91" s="1"/>
  <c r="J85" i="91"/>
  <c r="J86" i="91"/>
  <c r="J87" i="91"/>
  <c r="K87" i="91" s="1"/>
  <c r="J89" i="91"/>
  <c r="J90" i="91"/>
  <c r="J91" i="91"/>
  <c r="K91" i="91" s="1"/>
  <c r="J93" i="91"/>
  <c r="J94" i="91"/>
  <c r="J95" i="91"/>
  <c r="K95" i="91" s="1"/>
  <c r="J97" i="91"/>
  <c r="J98" i="91"/>
  <c r="J99" i="91"/>
  <c r="K99" i="91" s="1"/>
  <c r="J100" i="91"/>
  <c r="J101" i="91"/>
  <c r="J102" i="91"/>
  <c r="K102" i="91" s="1"/>
  <c r="J103" i="91"/>
  <c r="J104" i="91"/>
  <c r="J105" i="91"/>
  <c r="K105" i="91" s="1"/>
  <c r="J106" i="91"/>
  <c r="J107" i="91"/>
  <c r="J108" i="91"/>
  <c r="K108" i="91" s="1"/>
  <c r="J109" i="91"/>
  <c r="J110" i="91"/>
  <c r="J111" i="91"/>
  <c r="K111" i="91" s="1"/>
  <c r="J112" i="91"/>
  <c r="J113" i="91"/>
  <c r="J114" i="91"/>
  <c r="K114" i="91" s="1"/>
  <c r="J115" i="91"/>
  <c r="J116" i="91"/>
  <c r="J117" i="91"/>
  <c r="K117" i="91" s="1"/>
  <c r="J118" i="91"/>
  <c r="J119" i="91"/>
  <c r="J120" i="91"/>
  <c r="K120" i="91" s="1"/>
  <c r="J121" i="91"/>
  <c r="J122" i="91"/>
  <c r="J123" i="91"/>
  <c r="K123" i="91" s="1"/>
  <c r="J124" i="91"/>
  <c r="J125" i="91"/>
  <c r="J126" i="91"/>
  <c r="K126" i="91" s="1"/>
  <c r="J127" i="91"/>
  <c r="J128" i="91"/>
  <c r="J129" i="91"/>
  <c r="K129" i="91" s="1"/>
  <c r="J130" i="91"/>
  <c r="J131" i="91"/>
  <c r="J132" i="91"/>
  <c r="K132" i="91" s="1"/>
  <c r="J133" i="91"/>
  <c r="J134" i="91"/>
  <c r="J135" i="91"/>
  <c r="K135" i="91" s="1"/>
  <c r="J136" i="91"/>
  <c r="J137" i="91"/>
  <c r="J138" i="91"/>
  <c r="K138" i="91" s="1"/>
  <c r="J139" i="91"/>
  <c r="J140" i="91"/>
  <c r="J141" i="91"/>
  <c r="K141" i="91" s="1"/>
  <c r="J142" i="91"/>
  <c r="J143" i="91"/>
  <c r="J144" i="91"/>
  <c r="K144" i="91" s="1"/>
  <c r="J145" i="91"/>
  <c r="J146" i="91"/>
  <c r="J147" i="91"/>
  <c r="K147" i="91" s="1"/>
  <c r="J148" i="91"/>
  <c r="J149" i="91"/>
  <c r="J150" i="91"/>
  <c r="K150" i="91" s="1"/>
  <c r="J151" i="91"/>
  <c r="J152" i="91"/>
  <c r="J153" i="91"/>
  <c r="K153" i="91" s="1"/>
  <c r="J154" i="91"/>
  <c r="J155" i="91"/>
  <c r="J156" i="91"/>
  <c r="K156" i="91" s="1"/>
  <c r="J157" i="91"/>
  <c r="J158" i="91"/>
  <c r="J159" i="91"/>
  <c r="K159" i="91" s="1"/>
  <c r="J160" i="91"/>
  <c r="J161" i="91"/>
  <c r="J162" i="91"/>
  <c r="K162" i="91" s="1"/>
  <c r="J163" i="91"/>
  <c r="J164" i="91"/>
  <c r="J165" i="91"/>
  <c r="K165" i="91" s="1"/>
  <c r="J166" i="91"/>
  <c r="J167" i="91"/>
  <c r="J168" i="91"/>
  <c r="K168" i="91" s="1"/>
  <c r="J169" i="91"/>
  <c r="J170" i="91"/>
  <c r="J171" i="91"/>
  <c r="K171" i="91" s="1"/>
  <c r="J172" i="91"/>
  <c r="J173" i="91"/>
  <c r="J174" i="91"/>
  <c r="K174" i="91" s="1"/>
  <c r="J175" i="91"/>
  <c r="J176" i="91"/>
  <c r="J177" i="91"/>
  <c r="K177" i="91" s="1"/>
  <c r="J178" i="91"/>
  <c r="J179" i="91"/>
  <c r="J180" i="91"/>
  <c r="K180" i="91" s="1"/>
  <c r="J181" i="91"/>
  <c r="J182" i="91"/>
  <c r="J183" i="91"/>
  <c r="K183" i="91" s="1"/>
  <c r="J184" i="91"/>
  <c r="J185" i="91"/>
  <c r="J186" i="91"/>
  <c r="K186" i="91" s="1"/>
  <c r="J187" i="91"/>
  <c r="J188" i="91"/>
  <c r="J64" i="90"/>
  <c r="J65" i="90"/>
  <c r="J66" i="90"/>
  <c r="K66" i="90" s="1"/>
  <c r="J67" i="90"/>
  <c r="J68" i="90"/>
  <c r="J69" i="90"/>
  <c r="K69" i="90" s="1"/>
  <c r="J70" i="90"/>
  <c r="J71" i="90"/>
  <c r="J72" i="90"/>
  <c r="K72" i="90" s="1"/>
  <c r="J73" i="90"/>
  <c r="J74" i="90"/>
  <c r="J75" i="90"/>
  <c r="K75" i="90" s="1"/>
  <c r="J76" i="90"/>
  <c r="J77" i="90"/>
  <c r="J78" i="90"/>
  <c r="K78" i="90" s="1"/>
  <c r="J79" i="90"/>
  <c r="J80" i="90"/>
  <c r="J81" i="90"/>
  <c r="K81" i="90" s="1"/>
  <c r="J82" i="90"/>
  <c r="J83" i="90"/>
  <c r="J84" i="90"/>
  <c r="K84" i="90" s="1"/>
  <c r="J85" i="90"/>
  <c r="J86" i="90"/>
  <c r="J87" i="90"/>
  <c r="K87" i="90" s="1"/>
  <c r="J88" i="90"/>
  <c r="J89" i="90"/>
  <c r="J90" i="90"/>
  <c r="K90" i="90" s="1"/>
  <c r="J91" i="90"/>
  <c r="J92" i="90"/>
  <c r="J93" i="90"/>
  <c r="K93" i="90" s="1"/>
  <c r="J94" i="90"/>
  <c r="J95" i="90"/>
  <c r="J96" i="90"/>
  <c r="K96" i="90" s="1"/>
  <c r="J97" i="90"/>
  <c r="J98" i="90"/>
  <c r="J99" i="90"/>
  <c r="K99" i="90" s="1"/>
  <c r="J100" i="90"/>
  <c r="J101" i="90"/>
  <c r="J102" i="90"/>
  <c r="K102" i="90" s="1"/>
  <c r="J103" i="90"/>
  <c r="J104" i="90"/>
  <c r="J105" i="90"/>
  <c r="K105" i="90" s="1"/>
  <c r="J106" i="90"/>
  <c r="J107" i="90"/>
  <c r="J108" i="90"/>
  <c r="K108" i="90" s="1"/>
  <c r="J109" i="90"/>
  <c r="J110" i="90"/>
  <c r="J111" i="90"/>
  <c r="K111" i="90" s="1"/>
  <c r="J112" i="90"/>
  <c r="J113" i="90"/>
  <c r="J114" i="90"/>
  <c r="K114" i="90" s="1"/>
  <c r="J115" i="90"/>
  <c r="J116" i="90"/>
  <c r="J117" i="90"/>
  <c r="K117" i="90" s="1"/>
  <c r="J118" i="90"/>
  <c r="J119" i="90"/>
  <c r="J120" i="90"/>
  <c r="K120" i="90" s="1"/>
  <c r="J121" i="90"/>
  <c r="J122" i="90"/>
  <c r="J123" i="90"/>
  <c r="K123" i="90" s="1"/>
  <c r="J124" i="90"/>
  <c r="J125" i="90"/>
  <c r="J126" i="90"/>
  <c r="K126" i="90" s="1"/>
  <c r="J127" i="90"/>
  <c r="J128" i="90"/>
  <c r="J129" i="90"/>
  <c r="K129" i="90" s="1"/>
  <c r="J130" i="90"/>
  <c r="J131" i="90"/>
  <c r="J132" i="90"/>
  <c r="K132" i="90" s="1"/>
  <c r="J133" i="90"/>
  <c r="J134" i="90"/>
  <c r="J135" i="90"/>
  <c r="K135" i="90" s="1"/>
  <c r="J136" i="90"/>
  <c r="J137" i="90"/>
  <c r="J138" i="90"/>
  <c r="K138" i="90" s="1"/>
  <c r="J139" i="90"/>
  <c r="J140" i="90"/>
  <c r="J141" i="90"/>
  <c r="K141" i="90" s="1"/>
  <c r="J142" i="90"/>
  <c r="J143" i="90"/>
  <c r="J144" i="90"/>
  <c r="K144" i="90" s="1"/>
  <c r="J145" i="90"/>
  <c r="J146" i="90"/>
  <c r="J147" i="90"/>
  <c r="K147" i="90" s="1"/>
  <c r="J148" i="90"/>
  <c r="J149" i="90"/>
  <c r="J150" i="90"/>
  <c r="K150" i="90" s="1"/>
  <c r="J151" i="90"/>
  <c r="J152" i="90"/>
  <c r="J153" i="90"/>
  <c r="K153" i="90" s="1"/>
  <c r="J154" i="90"/>
  <c r="J155" i="90"/>
  <c r="J156" i="90"/>
  <c r="K156" i="90" s="1"/>
  <c r="J157" i="90"/>
  <c r="J158" i="90"/>
  <c r="J159" i="90"/>
  <c r="K159" i="90" s="1"/>
  <c r="J160" i="90"/>
  <c r="J161" i="90"/>
  <c r="J162" i="90"/>
  <c r="K162" i="90" s="1"/>
  <c r="J163" i="90"/>
  <c r="J164" i="90"/>
  <c r="J165" i="90"/>
  <c r="K165" i="90" s="1"/>
  <c r="J166" i="90"/>
  <c r="J167" i="90"/>
  <c r="J168" i="90"/>
  <c r="K168" i="90" s="1"/>
  <c r="J169" i="90"/>
  <c r="J170" i="90"/>
  <c r="J171" i="90"/>
  <c r="K171" i="90" s="1"/>
  <c r="J172" i="90"/>
  <c r="J173" i="90"/>
  <c r="J174" i="90"/>
  <c r="K174" i="90" s="1"/>
  <c r="J175" i="90"/>
  <c r="J176" i="90"/>
  <c r="J177" i="90"/>
  <c r="K177" i="90" s="1"/>
  <c r="J178" i="90"/>
  <c r="J179" i="90"/>
  <c r="J180" i="90"/>
  <c r="K180" i="90" s="1"/>
  <c r="J181" i="90"/>
  <c r="J182" i="90"/>
  <c r="J183" i="90"/>
  <c r="K183" i="90" s="1"/>
  <c r="J184" i="90"/>
  <c r="J185" i="90"/>
  <c r="J64" i="89"/>
  <c r="J65" i="89"/>
  <c r="J66" i="89"/>
  <c r="K66" i="89" s="1"/>
  <c r="J67" i="89"/>
  <c r="J68" i="89"/>
  <c r="J69" i="89"/>
  <c r="K69" i="89" s="1"/>
  <c r="J70" i="89"/>
  <c r="J71" i="89"/>
  <c r="J72" i="89"/>
  <c r="K72" i="89" s="1"/>
  <c r="J73" i="89"/>
  <c r="J74" i="89"/>
  <c r="J75" i="89"/>
  <c r="K75" i="89" s="1"/>
  <c r="J76" i="89"/>
  <c r="J77" i="89"/>
  <c r="J78" i="89"/>
  <c r="K78" i="89" s="1"/>
  <c r="J79" i="89"/>
  <c r="J80" i="89"/>
  <c r="J81" i="89"/>
  <c r="K81" i="89" s="1"/>
  <c r="J82" i="89"/>
  <c r="J83" i="89"/>
  <c r="J84" i="89"/>
  <c r="K84" i="89" s="1"/>
  <c r="J85" i="89"/>
  <c r="J86" i="89"/>
  <c r="J87" i="89"/>
  <c r="K87" i="89" s="1"/>
  <c r="J88" i="89"/>
  <c r="J89" i="89"/>
  <c r="J90" i="89"/>
  <c r="K90" i="89" s="1"/>
  <c r="J91" i="89"/>
  <c r="J92" i="89"/>
  <c r="J93" i="89"/>
  <c r="K93" i="89" s="1"/>
  <c r="J94" i="89"/>
  <c r="J95" i="89"/>
  <c r="J96" i="89"/>
  <c r="K96" i="89" s="1"/>
  <c r="J97" i="89"/>
  <c r="J98" i="89"/>
  <c r="J99" i="89"/>
  <c r="K99" i="89" s="1"/>
  <c r="J100" i="89"/>
  <c r="J101" i="89"/>
  <c r="J102" i="89"/>
  <c r="K102" i="89" s="1"/>
  <c r="J103" i="89"/>
  <c r="J104" i="89"/>
  <c r="J105" i="89"/>
  <c r="K105" i="89" s="1"/>
  <c r="J106" i="89"/>
  <c r="J107" i="89"/>
  <c r="J108" i="89"/>
  <c r="K108" i="89" s="1"/>
  <c r="J109" i="89"/>
  <c r="J110" i="89"/>
  <c r="J111" i="89"/>
  <c r="K111" i="89" s="1"/>
  <c r="J112" i="89"/>
  <c r="J113" i="89"/>
  <c r="J114" i="89"/>
  <c r="K114" i="89" s="1"/>
  <c r="J115" i="89"/>
  <c r="J116" i="89"/>
  <c r="J117" i="89"/>
  <c r="K117" i="89" s="1"/>
  <c r="J118" i="89"/>
  <c r="J119" i="89"/>
  <c r="J120" i="89"/>
  <c r="K120" i="89" s="1"/>
  <c r="J121" i="89"/>
  <c r="J122" i="89"/>
  <c r="J123" i="89"/>
  <c r="K123" i="89" s="1"/>
  <c r="J124" i="89"/>
  <c r="J125" i="89"/>
  <c r="J126" i="89"/>
  <c r="K126" i="89" s="1"/>
  <c r="J127" i="89"/>
  <c r="J128" i="89"/>
  <c r="J129" i="89"/>
  <c r="K129" i="89" s="1"/>
  <c r="J130" i="89"/>
  <c r="J131" i="89"/>
  <c r="J132" i="89"/>
  <c r="K132" i="89" s="1"/>
  <c r="J133" i="89"/>
  <c r="J134" i="89"/>
  <c r="J135" i="89"/>
  <c r="K135" i="89" s="1"/>
  <c r="J136" i="89"/>
  <c r="J137" i="89"/>
  <c r="J138" i="89"/>
  <c r="K138" i="89" s="1"/>
  <c r="J139" i="89"/>
  <c r="J140" i="89"/>
  <c r="J141" i="89"/>
  <c r="K141" i="89" s="1"/>
  <c r="J142" i="89"/>
  <c r="J143" i="89"/>
  <c r="J144" i="89"/>
  <c r="K144" i="89" s="1"/>
  <c r="J145" i="89"/>
  <c r="J146" i="89"/>
  <c r="J147" i="89"/>
  <c r="K147" i="89" s="1"/>
  <c r="J148" i="89"/>
  <c r="J149" i="89"/>
  <c r="J150" i="89"/>
  <c r="K150" i="89" s="1"/>
  <c r="J151" i="89"/>
  <c r="J152" i="89"/>
  <c r="J153" i="89"/>
  <c r="K153" i="89" s="1"/>
  <c r="J154" i="89"/>
  <c r="J155" i="89"/>
  <c r="J156" i="89"/>
  <c r="K156" i="89" s="1"/>
  <c r="J157" i="89"/>
  <c r="J158" i="89"/>
  <c r="J159" i="89"/>
  <c r="K159" i="89" s="1"/>
  <c r="J160" i="89"/>
  <c r="J161" i="89"/>
  <c r="J162" i="89"/>
  <c r="K162" i="89" s="1"/>
  <c r="J163" i="89"/>
  <c r="J164" i="89"/>
  <c r="J165" i="89"/>
  <c r="K165" i="89" s="1"/>
  <c r="J166" i="89"/>
  <c r="J167" i="89"/>
  <c r="J168" i="89"/>
  <c r="K168" i="89" s="1"/>
  <c r="J169" i="89"/>
  <c r="J170" i="89"/>
  <c r="J171" i="89"/>
  <c r="K171" i="89" s="1"/>
  <c r="J172" i="89"/>
  <c r="J173" i="89"/>
  <c r="J174" i="89"/>
  <c r="K174" i="89" s="1"/>
  <c r="J175" i="89"/>
  <c r="J176" i="89"/>
  <c r="J177" i="89"/>
  <c r="K177" i="89" s="1"/>
  <c r="J178" i="89"/>
  <c r="J179" i="89"/>
  <c r="J180" i="89"/>
  <c r="K180" i="89" s="1"/>
  <c r="J181" i="89"/>
  <c r="J182" i="89"/>
  <c r="J183" i="89"/>
  <c r="K183" i="89" s="1"/>
  <c r="J184" i="89"/>
  <c r="J185" i="89"/>
  <c r="J64" i="88"/>
  <c r="J65" i="88"/>
  <c r="J66" i="88"/>
  <c r="K66" i="88" s="1"/>
  <c r="J67" i="88"/>
  <c r="J68" i="88"/>
  <c r="J69" i="88"/>
  <c r="K69" i="88" s="1"/>
  <c r="J70" i="88"/>
  <c r="J71" i="88"/>
  <c r="J72" i="88"/>
  <c r="K72" i="88" s="1"/>
  <c r="J73" i="88"/>
  <c r="J74" i="88"/>
  <c r="J75" i="88"/>
  <c r="K75" i="88" s="1"/>
  <c r="J76" i="88"/>
  <c r="J77" i="88"/>
  <c r="J78" i="88"/>
  <c r="K78" i="88" s="1"/>
  <c r="J79" i="88"/>
  <c r="J80" i="88"/>
  <c r="J81" i="88"/>
  <c r="K81" i="88" s="1"/>
  <c r="J82" i="88"/>
  <c r="J83" i="88"/>
  <c r="J84" i="88"/>
  <c r="K84" i="88" s="1"/>
  <c r="J85" i="88"/>
  <c r="J86" i="88"/>
  <c r="J87" i="88"/>
  <c r="K87" i="88" s="1"/>
  <c r="J88" i="88"/>
  <c r="J89" i="88"/>
  <c r="J90" i="88"/>
  <c r="K90" i="88" s="1"/>
  <c r="J91" i="88"/>
  <c r="J92" i="88"/>
  <c r="J93" i="88"/>
  <c r="K93" i="88" s="1"/>
  <c r="J94" i="88"/>
  <c r="J95" i="88"/>
  <c r="J96" i="88"/>
  <c r="K96" i="88" s="1"/>
  <c r="J97" i="88"/>
  <c r="J98" i="88"/>
  <c r="J99" i="88"/>
  <c r="K99" i="88" s="1"/>
  <c r="J100" i="88"/>
  <c r="J101" i="88"/>
  <c r="J102" i="88"/>
  <c r="K102" i="88" s="1"/>
  <c r="J103" i="88"/>
  <c r="J104" i="88"/>
  <c r="J105" i="88"/>
  <c r="K105" i="88" s="1"/>
  <c r="J106" i="88"/>
  <c r="J107" i="88"/>
  <c r="J108" i="88"/>
  <c r="K108" i="88" s="1"/>
  <c r="J109" i="88"/>
  <c r="J110" i="88"/>
  <c r="J111" i="88"/>
  <c r="K111" i="88" s="1"/>
  <c r="J112" i="88"/>
  <c r="J113" i="88"/>
  <c r="J114" i="88"/>
  <c r="K114" i="88" s="1"/>
  <c r="J115" i="88"/>
  <c r="J116" i="88"/>
  <c r="J117" i="88"/>
  <c r="K117" i="88" s="1"/>
  <c r="J118" i="88"/>
  <c r="J119" i="88"/>
  <c r="J120" i="88"/>
  <c r="K120" i="88" s="1"/>
  <c r="J121" i="88"/>
  <c r="J122" i="88"/>
  <c r="J123" i="88"/>
  <c r="K123" i="88" s="1"/>
  <c r="J124" i="88"/>
  <c r="J125" i="88"/>
  <c r="J126" i="88"/>
  <c r="K126" i="88" s="1"/>
  <c r="J127" i="88"/>
  <c r="J128" i="88"/>
  <c r="J129" i="88"/>
  <c r="K129" i="88" s="1"/>
  <c r="J130" i="88"/>
  <c r="J131" i="88"/>
  <c r="J132" i="88"/>
  <c r="K132" i="88" s="1"/>
  <c r="J133" i="88"/>
  <c r="J134" i="88"/>
  <c r="J135" i="88"/>
  <c r="K135" i="88" s="1"/>
  <c r="J136" i="88"/>
  <c r="J137" i="88"/>
  <c r="J138" i="88"/>
  <c r="K138" i="88" s="1"/>
  <c r="J139" i="88"/>
  <c r="J140" i="88"/>
  <c r="J141" i="88"/>
  <c r="K141" i="88" s="1"/>
  <c r="J142" i="88"/>
  <c r="J143" i="88"/>
  <c r="J144" i="88"/>
  <c r="K144" i="88" s="1"/>
  <c r="J145" i="88"/>
  <c r="J146" i="88"/>
  <c r="J147" i="88"/>
  <c r="K147" i="88" s="1"/>
  <c r="J148" i="88"/>
  <c r="J149" i="88"/>
  <c r="J150" i="88"/>
  <c r="K150" i="88" s="1"/>
  <c r="J151" i="88"/>
  <c r="J152" i="88"/>
  <c r="J153" i="88"/>
  <c r="K153" i="88" s="1"/>
  <c r="J154" i="88"/>
  <c r="J155" i="88"/>
  <c r="J156" i="88"/>
  <c r="K156" i="88" s="1"/>
  <c r="J157" i="88"/>
  <c r="J158" i="88"/>
  <c r="J159" i="88"/>
  <c r="K159" i="88" s="1"/>
  <c r="J160" i="88"/>
  <c r="J161" i="88"/>
  <c r="J162" i="88"/>
  <c r="K162" i="88" s="1"/>
  <c r="J163" i="88"/>
  <c r="J164" i="88"/>
  <c r="J165" i="88"/>
  <c r="K165" i="88" s="1"/>
  <c r="J166" i="88"/>
  <c r="J167" i="88"/>
  <c r="J168" i="88"/>
  <c r="K168" i="88" s="1"/>
  <c r="J169" i="88"/>
  <c r="J170" i="88"/>
  <c r="J171" i="88"/>
  <c r="K171" i="88" s="1"/>
  <c r="J172" i="88"/>
  <c r="J173" i="88"/>
  <c r="J174" i="88"/>
  <c r="K174" i="88" s="1"/>
  <c r="J175" i="88"/>
  <c r="J176" i="88"/>
  <c r="J177" i="88"/>
  <c r="K177" i="88" s="1"/>
  <c r="J178" i="88"/>
  <c r="J179" i="88"/>
  <c r="J180" i="88"/>
  <c r="K180" i="88" s="1"/>
  <c r="J181" i="88"/>
  <c r="J182" i="88"/>
  <c r="J183" i="88"/>
  <c r="K183" i="88" s="1"/>
  <c r="J184" i="88"/>
  <c r="J185" i="88"/>
  <c r="J64" i="87"/>
  <c r="J65" i="87"/>
  <c r="J66" i="87"/>
  <c r="K66" i="87" s="1"/>
  <c r="J67" i="87"/>
  <c r="J68" i="87"/>
  <c r="J69" i="87"/>
  <c r="K69" i="87" s="1"/>
  <c r="J70" i="87"/>
  <c r="J71" i="87"/>
  <c r="J72" i="87"/>
  <c r="K72" i="87" s="1"/>
  <c r="J73" i="87"/>
  <c r="J74" i="87"/>
  <c r="J75" i="87"/>
  <c r="K75" i="87" s="1"/>
  <c r="J76" i="87"/>
  <c r="J77" i="87"/>
  <c r="J78" i="87"/>
  <c r="K78" i="87" s="1"/>
  <c r="J79" i="87"/>
  <c r="J80" i="87"/>
  <c r="J81" i="87"/>
  <c r="K81" i="87" s="1"/>
  <c r="J82" i="87"/>
  <c r="J83" i="87"/>
  <c r="J84" i="87"/>
  <c r="K84" i="87" s="1"/>
  <c r="J85" i="87"/>
  <c r="J86" i="87"/>
  <c r="J87" i="87"/>
  <c r="K87" i="87" s="1"/>
  <c r="J88" i="87"/>
  <c r="J89" i="87"/>
  <c r="J90" i="87"/>
  <c r="K90" i="87" s="1"/>
  <c r="J91" i="87"/>
  <c r="J92" i="87"/>
  <c r="J93" i="87"/>
  <c r="K93" i="87" s="1"/>
  <c r="J94" i="87"/>
  <c r="J95" i="87"/>
  <c r="J96" i="87"/>
  <c r="K96" i="87" s="1"/>
  <c r="J97" i="87"/>
  <c r="J98" i="87"/>
  <c r="J99" i="87"/>
  <c r="K99" i="87" s="1"/>
  <c r="J100" i="87"/>
  <c r="J101" i="87"/>
  <c r="J102" i="87"/>
  <c r="K102" i="87" s="1"/>
  <c r="J103" i="87"/>
  <c r="J104" i="87"/>
  <c r="J105" i="87"/>
  <c r="K105" i="87" s="1"/>
  <c r="J106" i="87"/>
  <c r="J107" i="87"/>
  <c r="J108" i="87"/>
  <c r="K108" i="87" s="1"/>
  <c r="J109" i="87"/>
  <c r="J110" i="87"/>
  <c r="J111" i="87"/>
  <c r="K111" i="87" s="1"/>
  <c r="J112" i="87"/>
  <c r="J113" i="87"/>
  <c r="J114" i="87"/>
  <c r="K114" i="87" s="1"/>
  <c r="J115" i="87"/>
  <c r="J116" i="87"/>
  <c r="J117" i="87"/>
  <c r="K117" i="87" s="1"/>
  <c r="J118" i="87"/>
  <c r="J119" i="87"/>
  <c r="J120" i="87"/>
  <c r="K120" i="87" s="1"/>
  <c r="J121" i="87"/>
  <c r="J122" i="87"/>
  <c r="J123" i="87"/>
  <c r="K123" i="87" s="1"/>
  <c r="J124" i="87"/>
  <c r="J125" i="87"/>
  <c r="J126" i="87"/>
  <c r="K126" i="87" s="1"/>
  <c r="J127" i="87"/>
  <c r="J128" i="87"/>
  <c r="J129" i="87"/>
  <c r="K129" i="87" s="1"/>
  <c r="J130" i="87"/>
  <c r="J131" i="87"/>
  <c r="J132" i="87"/>
  <c r="K132" i="87" s="1"/>
  <c r="J133" i="87"/>
  <c r="J134" i="87"/>
  <c r="J135" i="87"/>
  <c r="K135" i="87" s="1"/>
  <c r="J136" i="87"/>
  <c r="J137" i="87"/>
  <c r="J138" i="87"/>
  <c r="K138" i="87" s="1"/>
  <c r="J139" i="87"/>
  <c r="J140" i="87"/>
  <c r="J141" i="87"/>
  <c r="K141" i="87" s="1"/>
  <c r="J142" i="87"/>
  <c r="J143" i="87"/>
  <c r="J144" i="87"/>
  <c r="K144" i="87" s="1"/>
  <c r="J145" i="87"/>
  <c r="J146" i="87"/>
  <c r="J147" i="87"/>
  <c r="K147" i="87" s="1"/>
  <c r="J148" i="87"/>
  <c r="J149" i="87"/>
  <c r="J150" i="87"/>
  <c r="K150" i="87" s="1"/>
  <c r="J151" i="87"/>
  <c r="J152" i="87"/>
  <c r="J153" i="87"/>
  <c r="K153" i="87" s="1"/>
  <c r="J154" i="87"/>
  <c r="J155" i="87"/>
  <c r="J156" i="87"/>
  <c r="K156" i="87" s="1"/>
  <c r="J157" i="87"/>
  <c r="J158" i="87"/>
  <c r="J159" i="87"/>
  <c r="K159" i="87" s="1"/>
  <c r="J160" i="87"/>
  <c r="J161" i="87"/>
  <c r="J162" i="87"/>
  <c r="K162" i="87" s="1"/>
  <c r="J163" i="87"/>
  <c r="J164" i="87"/>
  <c r="J165" i="87"/>
  <c r="K165" i="87" s="1"/>
  <c r="J166" i="87"/>
  <c r="J167" i="87"/>
  <c r="J168" i="87"/>
  <c r="K168" i="87" s="1"/>
  <c r="J169" i="87"/>
  <c r="J170" i="87"/>
  <c r="J171" i="87"/>
  <c r="K171" i="87" s="1"/>
  <c r="J172" i="87"/>
  <c r="J173" i="87"/>
  <c r="J174" i="87"/>
  <c r="K174" i="87" s="1"/>
  <c r="J175" i="87"/>
  <c r="J176" i="87"/>
  <c r="J177" i="87"/>
  <c r="K177" i="87" s="1"/>
  <c r="J178" i="87"/>
  <c r="J179" i="87"/>
  <c r="J180" i="87"/>
  <c r="K180" i="87" s="1"/>
  <c r="J181" i="87"/>
  <c r="J182" i="87"/>
  <c r="J183" i="87"/>
  <c r="K183" i="87" s="1"/>
  <c r="J184" i="87"/>
  <c r="J185" i="87"/>
  <c r="J64" i="85"/>
  <c r="J65" i="85"/>
  <c r="J66" i="85"/>
  <c r="K66" i="85" s="1"/>
  <c r="J67" i="85"/>
  <c r="J68" i="85"/>
  <c r="J69" i="85"/>
  <c r="K69" i="85" s="1"/>
  <c r="J70" i="85"/>
  <c r="J71" i="85"/>
  <c r="J72" i="85"/>
  <c r="K72" i="85" s="1"/>
  <c r="J73" i="85"/>
  <c r="J74" i="85"/>
  <c r="J75" i="85"/>
  <c r="K75" i="85" s="1"/>
  <c r="J76" i="85"/>
  <c r="J77" i="85"/>
  <c r="J78" i="85"/>
  <c r="K78" i="85" s="1"/>
  <c r="J79" i="85"/>
  <c r="J80" i="85"/>
  <c r="J81" i="85"/>
  <c r="K81" i="85" s="1"/>
  <c r="J82" i="85"/>
  <c r="J83" i="85"/>
  <c r="J84" i="85"/>
  <c r="K84" i="85" s="1"/>
  <c r="J85" i="85"/>
  <c r="J86" i="85"/>
  <c r="J87" i="85"/>
  <c r="K87" i="85" s="1"/>
  <c r="J88" i="85"/>
  <c r="J89" i="85"/>
  <c r="J90" i="85"/>
  <c r="K90" i="85" s="1"/>
  <c r="J91" i="85"/>
  <c r="J92" i="85"/>
  <c r="J93" i="85"/>
  <c r="K93" i="85" s="1"/>
  <c r="J94" i="85"/>
  <c r="J95" i="85"/>
  <c r="J96" i="85"/>
  <c r="K96" i="85" s="1"/>
  <c r="J97" i="85"/>
  <c r="J98" i="85"/>
  <c r="J99" i="85"/>
  <c r="K99" i="85" s="1"/>
  <c r="J100" i="85"/>
  <c r="J101" i="85"/>
  <c r="J102" i="85"/>
  <c r="K102" i="85" s="1"/>
  <c r="J103" i="85"/>
  <c r="J104" i="85"/>
  <c r="J105" i="85"/>
  <c r="K105" i="85" s="1"/>
  <c r="J106" i="85"/>
  <c r="J107" i="85"/>
  <c r="J108" i="85"/>
  <c r="K108" i="85" s="1"/>
  <c r="J109" i="85"/>
  <c r="J110" i="85"/>
  <c r="J111" i="85"/>
  <c r="K111" i="85" s="1"/>
  <c r="J112" i="85"/>
  <c r="J113" i="85"/>
  <c r="J114" i="85"/>
  <c r="K114" i="85" s="1"/>
  <c r="J115" i="85"/>
  <c r="J116" i="85"/>
  <c r="J117" i="85"/>
  <c r="K117" i="85" s="1"/>
  <c r="J118" i="85"/>
  <c r="J119" i="85"/>
  <c r="J120" i="85"/>
  <c r="K120" i="85" s="1"/>
  <c r="J121" i="85"/>
  <c r="J122" i="85"/>
  <c r="J123" i="85"/>
  <c r="K123" i="85" s="1"/>
  <c r="J124" i="85"/>
  <c r="J125" i="85"/>
  <c r="J126" i="85"/>
  <c r="K126" i="85" s="1"/>
  <c r="J127" i="85"/>
  <c r="J128" i="85"/>
  <c r="J129" i="85"/>
  <c r="K129" i="85" s="1"/>
  <c r="J130" i="85"/>
  <c r="J131" i="85"/>
  <c r="J132" i="85"/>
  <c r="K132" i="85" s="1"/>
  <c r="J133" i="85"/>
  <c r="J134" i="85"/>
  <c r="J135" i="85"/>
  <c r="K135" i="85" s="1"/>
  <c r="J136" i="85"/>
  <c r="J137" i="85"/>
  <c r="J138" i="85"/>
  <c r="K138" i="85" s="1"/>
  <c r="J139" i="85"/>
  <c r="J140" i="85"/>
  <c r="J141" i="85"/>
  <c r="K141" i="85" s="1"/>
  <c r="J142" i="85"/>
  <c r="J143" i="85"/>
  <c r="J144" i="85"/>
  <c r="K144" i="85" s="1"/>
  <c r="J145" i="85"/>
  <c r="J146" i="85"/>
  <c r="J147" i="85"/>
  <c r="K147" i="85" s="1"/>
  <c r="J148" i="85"/>
  <c r="J149" i="85"/>
  <c r="J150" i="85"/>
  <c r="K150" i="85" s="1"/>
  <c r="J151" i="85"/>
  <c r="J152" i="85"/>
  <c r="J153" i="85"/>
  <c r="K153" i="85" s="1"/>
  <c r="J154" i="85"/>
  <c r="J155" i="85"/>
  <c r="J156" i="85"/>
  <c r="K156" i="85" s="1"/>
  <c r="J157" i="85"/>
  <c r="J158" i="85"/>
  <c r="J159" i="85"/>
  <c r="K159" i="85" s="1"/>
  <c r="J160" i="85"/>
  <c r="J161" i="85"/>
  <c r="J162" i="85"/>
  <c r="K162" i="85" s="1"/>
  <c r="J163" i="85"/>
  <c r="J164" i="85"/>
  <c r="J165" i="85"/>
  <c r="K165" i="85" s="1"/>
  <c r="J166" i="85"/>
  <c r="J167" i="85"/>
  <c r="J168" i="85"/>
  <c r="K168" i="85" s="1"/>
  <c r="J169" i="85"/>
  <c r="J170" i="85"/>
  <c r="J171" i="85"/>
  <c r="K171" i="85" s="1"/>
  <c r="J172" i="85"/>
  <c r="J173" i="85"/>
  <c r="J174" i="85"/>
  <c r="K174" i="85" s="1"/>
  <c r="J175" i="85"/>
  <c r="J176" i="85"/>
  <c r="J177" i="85"/>
  <c r="K177" i="85" s="1"/>
  <c r="J178" i="85"/>
  <c r="J179" i="85"/>
  <c r="J180" i="85"/>
  <c r="K180" i="85" s="1"/>
  <c r="J181" i="85"/>
  <c r="J182" i="85"/>
  <c r="J183" i="85"/>
  <c r="K183" i="85" s="1"/>
  <c r="J184" i="85"/>
  <c r="J185" i="85"/>
  <c r="J64" i="84"/>
  <c r="J65" i="84"/>
  <c r="J66" i="84"/>
  <c r="K66" i="84" s="1"/>
  <c r="J67" i="84"/>
  <c r="J68" i="84"/>
  <c r="J69" i="84"/>
  <c r="K69" i="84" s="1"/>
  <c r="J70" i="84"/>
  <c r="J71" i="84"/>
  <c r="J72" i="84"/>
  <c r="K72" i="84" s="1"/>
  <c r="J73" i="84"/>
  <c r="J74" i="84"/>
  <c r="J75" i="84"/>
  <c r="K75" i="84" s="1"/>
  <c r="J76" i="84"/>
  <c r="J77" i="84"/>
  <c r="J78" i="84"/>
  <c r="K78" i="84" s="1"/>
  <c r="J79" i="84"/>
  <c r="J80" i="84"/>
  <c r="J81" i="84"/>
  <c r="K81" i="84" s="1"/>
  <c r="J82" i="84"/>
  <c r="J83" i="84"/>
  <c r="J84" i="84"/>
  <c r="K84" i="84" s="1"/>
  <c r="J85" i="84"/>
  <c r="J86" i="84"/>
  <c r="J87" i="84"/>
  <c r="K87" i="84" s="1"/>
  <c r="J88" i="84"/>
  <c r="J89" i="84"/>
  <c r="J90" i="84"/>
  <c r="K90" i="84" s="1"/>
  <c r="J91" i="84"/>
  <c r="J92" i="84"/>
  <c r="J93" i="84"/>
  <c r="K93" i="84" s="1"/>
  <c r="J94" i="84"/>
  <c r="J95" i="84"/>
  <c r="J96" i="84"/>
  <c r="K96" i="84" s="1"/>
  <c r="J97" i="84"/>
  <c r="J98" i="84"/>
  <c r="J99" i="84"/>
  <c r="K99" i="84" s="1"/>
  <c r="J100" i="84"/>
  <c r="J101" i="84"/>
  <c r="J102" i="84"/>
  <c r="K102" i="84" s="1"/>
  <c r="J103" i="84"/>
  <c r="J104" i="84"/>
  <c r="J105" i="84"/>
  <c r="K105" i="84" s="1"/>
  <c r="J106" i="84"/>
  <c r="J107" i="84"/>
  <c r="J108" i="84"/>
  <c r="K108" i="84" s="1"/>
  <c r="J109" i="84"/>
  <c r="J110" i="84"/>
  <c r="J111" i="84"/>
  <c r="K111" i="84" s="1"/>
  <c r="J112" i="84"/>
  <c r="J113" i="84"/>
  <c r="J114" i="84"/>
  <c r="K114" i="84" s="1"/>
  <c r="J115" i="84"/>
  <c r="J116" i="84"/>
  <c r="J117" i="84"/>
  <c r="K117" i="84" s="1"/>
  <c r="J118" i="84"/>
  <c r="J119" i="84"/>
  <c r="J120" i="84"/>
  <c r="K120" i="84" s="1"/>
  <c r="J121" i="84"/>
  <c r="J122" i="84"/>
  <c r="J123" i="84"/>
  <c r="K123" i="84" s="1"/>
  <c r="J124" i="84"/>
  <c r="J125" i="84"/>
  <c r="J126" i="84"/>
  <c r="K126" i="84" s="1"/>
  <c r="J127" i="84"/>
  <c r="J128" i="84"/>
  <c r="J129" i="84"/>
  <c r="K129" i="84" s="1"/>
  <c r="J130" i="84"/>
  <c r="J131" i="84"/>
  <c r="J132" i="84"/>
  <c r="K132" i="84" s="1"/>
  <c r="J133" i="84"/>
  <c r="J134" i="84"/>
  <c r="J135" i="84"/>
  <c r="K135" i="84" s="1"/>
  <c r="J136" i="84"/>
  <c r="J137" i="84"/>
  <c r="J138" i="84"/>
  <c r="K138" i="84" s="1"/>
  <c r="J139" i="84"/>
  <c r="J140" i="84"/>
  <c r="J141" i="84"/>
  <c r="K141" i="84" s="1"/>
  <c r="J142" i="84"/>
  <c r="J143" i="84"/>
  <c r="J144" i="84"/>
  <c r="K144" i="84" s="1"/>
  <c r="J145" i="84"/>
  <c r="J146" i="84"/>
  <c r="J147" i="84"/>
  <c r="K147" i="84" s="1"/>
  <c r="J148" i="84"/>
  <c r="J149" i="84"/>
  <c r="J150" i="84"/>
  <c r="K150" i="84" s="1"/>
  <c r="J151" i="84"/>
  <c r="J152" i="84"/>
  <c r="J153" i="84"/>
  <c r="K153" i="84" s="1"/>
  <c r="J154" i="84"/>
  <c r="J155" i="84"/>
  <c r="J156" i="84"/>
  <c r="K156" i="84" s="1"/>
  <c r="J157" i="84"/>
  <c r="J158" i="84"/>
  <c r="J159" i="84"/>
  <c r="K159" i="84" s="1"/>
  <c r="J160" i="84"/>
  <c r="J161" i="84"/>
  <c r="J162" i="84"/>
  <c r="K162" i="84" s="1"/>
  <c r="J163" i="84"/>
  <c r="J164" i="84"/>
  <c r="J165" i="84"/>
  <c r="K165" i="84" s="1"/>
  <c r="J166" i="84"/>
  <c r="J167" i="84"/>
  <c r="J168" i="84"/>
  <c r="K168" i="84" s="1"/>
  <c r="J169" i="84"/>
  <c r="J170" i="84"/>
  <c r="J171" i="84"/>
  <c r="K171" i="84" s="1"/>
  <c r="J172" i="84"/>
  <c r="J173" i="84"/>
  <c r="J174" i="84"/>
  <c r="K174" i="84" s="1"/>
  <c r="J175" i="84"/>
  <c r="J176" i="84"/>
  <c r="J177" i="84"/>
  <c r="K177" i="84" s="1"/>
  <c r="J178" i="84"/>
  <c r="J179" i="84"/>
  <c r="J180" i="84"/>
  <c r="K180" i="84" s="1"/>
  <c r="J181" i="84"/>
  <c r="J182" i="84"/>
  <c r="J183" i="84"/>
  <c r="K183" i="84" s="1"/>
  <c r="J184" i="84"/>
  <c r="J185" i="84"/>
  <c r="J64" i="83"/>
  <c r="J65" i="83"/>
  <c r="J66" i="83"/>
  <c r="K66" i="83" s="1"/>
  <c r="J67" i="83"/>
  <c r="J68" i="83"/>
  <c r="J69" i="83"/>
  <c r="K69" i="83" s="1"/>
  <c r="J70" i="83"/>
  <c r="J71" i="83"/>
  <c r="J72" i="83"/>
  <c r="K72" i="83" s="1"/>
  <c r="J73" i="83"/>
  <c r="J74" i="83"/>
  <c r="J75" i="83"/>
  <c r="K75" i="83" s="1"/>
  <c r="J76" i="83"/>
  <c r="J77" i="83"/>
  <c r="J78" i="83"/>
  <c r="K78" i="83" s="1"/>
  <c r="J79" i="83"/>
  <c r="J80" i="83"/>
  <c r="J81" i="83"/>
  <c r="K81" i="83" s="1"/>
  <c r="J82" i="83"/>
  <c r="J83" i="83"/>
  <c r="J84" i="83"/>
  <c r="K84" i="83" s="1"/>
  <c r="J85" i="83"/>
  <c r="J86" i="83"/>
  <c r="J87" i="83"/>
  <c r="K87" i="83" s="1"/>
  <c r="J88" i="83"/>
  <c r="J89" i="83"/>
  <c r="J90" i="83"/>
  <c r="K90" i="83" s="1"/>
  <c r="J91" i="83"/>
  <c r="J92" i="83"/>
  <c r="J93" i="83"/>
  <c r="K93" i="83" s="1"/>
  <c r="J94" i="83"/>
  <c r="J95" i="83"/>
  <c r="J96" i="83"/>
  <c r="K96" i="83" s="1"/>
  <c r="J97" i="83"/>
  <c r="J98" i="83"/>
  <c r="J99" i="83"/>
  <c r="K99" i="83" s="1"/>
  <c r="J100" i="83"/>
  <c r="J101" i="83"/>
  <c r="J102" i="83"/>
  <c r="K102" i="83" s="1"/>
  <c r="J103" i="83"/>
  <c r="J104" i="83"/>
  <c r="J105" i="83"/>
  <c r="K105" i="83" s="1"/>
  <c r="J106" i="83"/>
  <c r="J107" i="83"/>
  <c r="J108" i="83"/>
  <c r="K108" i="83" s="1"/>
  <c r="J109" i="83"/>
  <c r="J110" i="83"/>
  <c r="J111" i="83"/>
  <c r="K111" i="83" s="1"/>
  <c r="J112" i="83"/>
  <c r="J113" i="83"/>
  <c r="J114" i="83"/>
  <c r="K114" i="83" s="1"/>
  <c r="J115" i="83"/>
  <c r="J116" i="83"/>
  <c r="J117" i="83"/>
  <c r="K117" i="83" s="1"/>
  <c r="J118" i="83"/>
  <c r="J119" i="83"/>
  <c r="J120" i="83"/>
  <c r="K120" i="83" s="1"/>
  <c r="J121" i="83"/>
  <c r="J122" i="83"/>
  <c r="J123" i="83"/>
  <c r="K123" i="83" s="1"/>
  <c r="J124" i="83"/>
  <c r="J125" i="83"/>
  <c r="J126" i="83"/>
  <c r="K126" i="83" s="1"/>
  <c r="J127" i="83"/>
  <c r="J128" i="83"/>
  <c r="J129" i="83"/>
  <c r="K129" i="83" s="1"/>
  <c r="J130" i="83"/>
  <c r="J131" i="83"/>
  <c r="J132" i="83"/>
  <c r="K132" i="83" s="1"/>
  <c r="J133" i="83"/>
  <c r="J134" i="83"/>
  <c r="J135" i="83"/>
  <c r="K135" i="83" s="1"/>
  <c r="J136" i="83"/>
  <c r="J137" i="83"/>
  <c r="J138" i="83"/>
  <c r="K138" i="83" s="1"/>
  <c r="J139" i="83"/>
  <c r="J140" i="83"/>
  <c r="J141" i="83"/>
  <c r="K141" i="83" s="1"/>
  <c r="J142" i="83"/>
  <c r="J143" i="83"/>
  <c r="J144" i="83"/>
  <c r="K144" i="83" s="1"/>
  <c r="J145" i="83"/>
  <c r="J146" i="83"/>
  <c r="J147" i="83"/>
  <c r="K147" i="83" s="1"/>
  <c r="J148" i="83"/>
  <c r="J149" i="83"/>
  <c r="J150" i="83"/>
  <c r="K150" i="83" s="1"/>
  <c r="J151" i="83"/>
  <c r="J152" i="83"/>
  <c r="J153" i="83"/>
  <c r="K153" i="83" s="1"/>
  <c r="J154" i="83"/>
  <c r="J155" i="83"/>
  <c r="J156" i="83"/>
  <c r="K156" i="83" s="1"/>
  <c r="J157" i="83"/>
  <c r="J158" i="83"/>
  <c r="J159" i="83"/>
  <c r="K159" i="83" s="1"/>
  <c r="J160" i="83"/>
  <c r="J161" i="83"/>
  <c r="J162" i="83"/>
  <c r="K162" i="83" s="1"/>
  <c r="J163" i="83"/>
  <c r="J164" i="83"/>
  <c r="J165" i="83"/>
  <c r="K165" i="83" s="1"/>
  <c r="J166" i="83"/>
  <c r="J167" i="83"/>
  <c r="J168" i="83"/>
  <c r="K168" i="83" s="1"/>
  <c r="J169" i="83"/>
  <c r="J170" i="83"/>
  <c r="J171" i="83"/>
  <c r="K171" i="83" s="1"/>
  <c r="J172" i="83"/>
  <c r="J173" i="83"/>
  <c r="J174" i="83"/>
  <c r="K174" i="83" s="1"/>
  <c r="J175" i="83"/>
  <c r="J176" i="83"/>
  <c r="J177" i="83"/>
  <c r="K177" i="83" s="1"/>
  <c r="J178" i="83"/>
  <c r="J179" i="83"/>
  <c r="J180" i="83"/>
  <c r="K180" i="83" s="1"/>
  <c r="J181" i="83"/>
  <c r="J182" i="83"/>
  <c r="J183" i="83"/>
  <c r="K183" i="83" s="1"/>
  <c r="J184" i="83"/>
  <c r="J185" i="83"/>
  <c r="J64" i="82"/>
  <c r="J65" i="82"/>
  <c r="J66" i="82"/>
  <c r="K66" i="82" s="1"/>
  <c r="J67" i="82"/>
  <c r="J68" i="82"/>
  <c r="J69" i="82"/>
  <c r="K69" i="82" s="1"/>
  <c r="J70" i="82"/>
  <c r="J71" i="82"/>
  <c r="J72" i="82"/>
  <c r="K72" i="82" s="1"/>
  <c r="J73" i="82"/>
  <c r="J74" i="82"/>
  <c r="J75" i="82"/>
  <c r="K75" i="82" s="1"/>
  <c r="J76" i="82"/>
  <c r="J77" i="82"/>
  <c r="J78" i="82"/>
  <c r="K78" i="82" s="1"/>
  <c r="J79" i="82"/>
  <c r="J80" i="82"/>
  <c r="J81" i="82"/>
  <c r="K81" i="82" s="1"/>
  <c r="J82" i="82"/>
  <c r="J83" i="82"/>
  <c r="J84" i="82"/>
  <c r="K84" i="82" s="1"/>
  <c r="J85" i="82"/>
  <c r="J86" i="82"/>
  <c r="J87" i="82"/>
  <c r="K87" i="82" s="1"/>
  <c r="J88" i="82"/>
  <c r="J89" i="82"/>
  <c r="J90" i="82"/>
  <c r="K90" i="82" s="1"/>
  <c r="J91" i="82"/>
  <c r="J92" i="82"/>
  <c r="J93" i="82"/>
  <c r="K93" i="82" s="1"/>
  <c r="J94" i="82"/>
  <c r="J95" i="82"/>
  <c r="J96" i="82"/>
  <c r="K96" i="82" s="1"/>
  <c r="J97" i="82"/>
  <c r="J98" i="82"/>
  <c r="J99" i="82"/>
  <c r="K99" i="82" s="1"/>
  <c r="J100" i="82"/>
  <c r="J101" i="82"/>
  <c r="J102" i="82"/>
  <c r="K102" i="82" s="1"/>
  <c r="J103" i="82"/>
  <c r="J104" i="82"/>
  <c r="J105" i="82"/>
  <c r="K105" i="82" s="1"/>
  <c r="J106" i="82"/>
  <c r="J107" i="82"/>
  <c r="J108" i="82"/>
  <c r="K108" i="82" s="1"/>
  <c r="J109" i="82"/>
  <c r="J110" i="82"/>
  <c r="J111" i="82"/>
  <c r="K111" i="82" s="1"/>
  <c r="J112" i="82"/>
  <c r="J113" i="82"/>
  <c r="J114" i="82"/>
  <c r="K114" i="82" s="1"/>
  <c r="J115" i="82"/>
  <c r="J116" i="82"/>
  <c r="J117" i="82"/>
  <c r="K117" i="82" s="1"/>
  <c r="J118" i="82"/>
  <c r="J119" i="82"/>
  <c r="J120" i="82"/>
  <c r="K120" i="82" s="1"/>
  <c r="J121" i="82"/>
  <c r="J122" i="82"/>
  <c r="J123" i="82"/>
  <c r="K123" i="82" s="1"/>
  <c r="J124" i="82"/>
  <c r="J125" i="82"/>
  <c r="J126" i="82"/>
  <c r="K126" i="82" s="1"/>
  <c r="J127" i="82"/>
  <c r="J128" i="82"/>
  <c r="J129" i="82"/>
  <c r="K129" i="82" s="1"/>
  <c r="J130" i="82"/>
  <c r="J131" i="82"/>
  <c r="J132" i="82"/>
  <c r="K132" i="82" s="1"/>
  <c r="J133" i="82"/>
  <c r="J134" i="82"/>
  <c r="J135" i="82"/>
  <c r="K135" i="82" s="1"/>
  <c r="J136" i="82"/>
  <c r="J137" i="82"/>
  <c r="J138" i="82"/>
  <c r="K138" i="82" s="1"/>
  <c r="J139" i="82"/>
  <c r="J140" i="82"/>
  <c r="J141" i="82"/>
  <c r="K141" i="82" s="1"/>
  <c r="J142" i="82"/>
  <c r="J143" i="82"/>
  <c r="J144" i="82"/>
  <c r="K144" i="82" s="1"/>
  <c r="J145" i="82"/>
  <c r="J146" i="82"/>
  <c r="J147" i="82"/>
  <c r="K147" i="82" s="1"/>
  <c r="J148" i="82"/>
  <c r="J149" i="82"/>
  <c r="J150" i="82"/>
  <c r="K150" i="82" s="1"/>
  <c r="J151" i="82"/>
  <c r="J152" i="82"/>
  <c r="J153" i="82"/>
  <c r="K153" i="82" s="1"/>
  <c r="J154" i="82"/>
  <c r="J155" i="82"/>
  <c r="J156" i="82"/>
  <c r="K156" i="82" s="1"/>
  <c r="J157" i="82"/>
  <c r="J158" i="82"/>
  <c r="J159" i="82"/>
  <c r="K159" i="82" s="1"/>
  <c r="J160" i="82"/>
  <c r="J161" i="82"/>
  <c r="J162" i="82"/>
  <c r="K162" i="82" s="1"/>
  <c r="J163" i="82"/>
  <c r="J164" i="82"/>
  <c r="J165" i="82"/>
  <c r="K165" i="82" s="1"/>
  <c r="J166" i="82"/>
  <c r="J167" i="82"/>
  <c r="J168" i="82"/>
  <c r="K168" i="82" s="1"/>
  <c r="J169" i="82"/>
  <c r="J170" i="82"/>
  <c r="J171" i="82"/>
  <c r="K171" i="82" s="1"/>
  <c r="J172" i="82"/>
  <c r="J173" i="82"/>
  <c r="J174" i="82"/>
  <c r="K174" i="82" s="1"/>
  <c r="J175" i="82"/>
  <c r="J176" i="82"/>
  <c r="J177" i="82"/>
  <c r="K177" i="82" s="1"/>
  <c r="J178" i="82"/>
  <c r="J179" i="82"/>
  <c r="J180" i="82"/>
  <c r="K180" i="82" s="1"/>
  <c r="J181" i="82"/>
  <c r="J182" i="82"/>
  <c r="J183" i="82"/>
  <c r="K183" i="82" s="1"/>
  <c r="J184" i="82"/>
  <c r="J185" i="82"/>
  <c r="J64" i="81"/>
  <c r="J65" i="81"/>
  <c r="J66" i="81"/>
  <c r="K66" i="81" s="1"/>
  <c r="J67" i="81"/>
  <c r="J68" i="81"/>
  <c r="J69" i="81"/>
  <c r="K69" i="81" s="1"/>
  <c r="J70" i="81"/>
  <c r="J71" i="81"/>
  <c r="J72" i="81"/>
  <c r="K72" i="81" s="1"/>
  <c r="J73" i="81"/>
  <c r="J74" i="81"/>
  <c r="J75" i="81"/>
  <c r="K75" i="81" s="1"/>
  <c r="J76" i="81"/>
  <c r="J77" i="81"/>
  <c r="J78" i="81"/>
  <c r="K78" i="81" s="1"/>
  <c r="J79" i="81"/>
  <c r="J80" i="81"/>
  <c r="J81" i="81"/>
  <c r="K81" i="81" s="1"/>
  <c r="J82" i="81"/>
  <c r="J83" i="81"/>
  <c r="J84" i="81"/>
  <c r="K84" i="81" s="1"/>
  <c r="J85" i="81"/>
  <c r="J86" i="81"/>
  <c r="J87" i="81"/>
  <c r="K87" i="81" s="1"/>
  <c r="J88" i="81"/>
  <c r="J89" i="81"/>
  <c r="J90" i="81"/>
  <c r="K90" i="81" s="1"/>
  <c r="J91" i="81"/>
  <c r="J92" i="81"/>
  <c r="J93" i="81"/>
  <c r="K93" i="81" s="1"/>
  <c r="J94" i="81"/>
  <c r="J95" i="81"/>
  <c r="J96" i="81"/>
  <c r="K96" i="81" s="1"/>
  <c r="J97" i="81"/>
  <c r="J98" i="81"/>
  <c r="J99" i="81"/>
  <c r="K99" i="81" s="1"/>
  <c r="J100" i="81"/>
  <c r="J101" i="81"/>
  <c r="J102" i="81"/>
  <c r="K102" i="81" s="1"/>
  <c r="J103" i="81"/>
  <c r="J104" i="81"/>
  <c r="J105" i="81"/>
  <c r="K105" i="81" s="1"/>
  <c r="J106" i="81"/>
  <c r="J107" i="81"/>
  <c r="J108" i="81"/>
  <c r="K108" i="81" s="1"/>
  <c r="J109" i="81"/>
  <c r="J110" i="81"/>
  <c r="J111" i="81"/>
  <c r="K111" i="81" s="1"/>
  <c r="J112" i="81"/>
  <c r="J113" i="81"/>
  <c r="J114" i="81"/>
  <c r="K114" i="81" s="1"/>
  <c r="J115" i="81"/>
  <c r="J116" i="81"/>
  <c r="J117" i="81"/>
  <c r="K117" i="81" s="1"/>
  <c r="J118" i="81"/>
  <c r="J119" i="81"/>
  <c r="J120" i="81"/>
  <c r="K120" i="81" s="1"/>
  <c r="J121" i="81"/>
  <c r="J122" i="81"/>
  <c r="J123" i="81"/>
  <c r="K123" i="81" s="1"/>
  <c r="J124" i="81"/>
  <c r="J125" i="81"/>
  <c r="J126" i="81"/>
  <c r="K126" i="81" s="1"/>
  <c r="J127" i="81"/>
  <c r="J128" i="81"/>
  <c r="J129" i="81"/>
  <c r="K129" i="81" s="1"/>
  <c r="J130" i="81"/>
  <c r="J131" i="81"/>
  <c r="J132" i="81"/>
  <c r="K132" i="81" s="1"/>
  <c r="J133" i="81"/>
  <c r="J134" i="81"/>
  <c r="J135" i="81"/>
  <c r="K135" i="81" s="1"/>
  <c r="J136" i="81"/>
  <c r="J137" i="81"/>
  <c r="J138" i="81"/>
  <c r="K138" i="81" s="1"/>
  <c r="J139" i="81"/>
  <c r="J140" i="81"/>
  <c r="J141" i="81"/>
  <c r="K141" i="81" s="1"/>
  <c r="J142" i="81"/>
  <c r="J143" i="81"/>
  <c r="J144" i="81"/>
  <c r="K144" i="81" s="1"/>
  <c r="J145" i="81"/>
  <c r="J146" i="81"/>
  <c r="J147" i="81"/>
  <c r="K147" i="81" s="1"/>
  <c r="J148" i="81"/>
  <c r="J149" i="81"/>
  <c r="J150" i="81"/>
  <c r="K150" i="81" s="1"/>
  <c r="J151" i="81"/>
  <c r="J152" i="81"/>
  <c r="J153" i="81"/>
  <c r="K153" i="81" s="1"/>
  <c r="J154" i="81"/>
  <c r="J155" i="81"/>
  <c r="J156" i="81"/>
  <c r="K156" i="81" s="1"/>
  <c r="J157" i="81"/>
  <c r="J158" i="81"/>
  <c r="J159" i="81"/>
  <c r="K159" i="81" s="1"/>
  <c r="J160" i="81"/>
  <c r="J161" i="81"/>
  <c r="J162" i="81"/>
  <c r="K162" i="81" s="1"/>
  <c r="J163" i="81"/>
  <c r="J164" i="81"/>
  <c r="J165" i="81"/>
  <c r="K165" i="81" s="1"/>
  <c r="J166" i="81"/>
  <c r="J167" i="81"/>
  <c r="J168" i="81"/>
  <c r="K168" i="81" s="1"/>
  <c r="J169" i="81"/>
  <c r="J170" i="81"/>
  <c r="J171" i="81"/>
  <c r="K171" i="81" s="1"/>
  <c r="J172" i="81"/>
  <c r="J173" i="81"/>
  <c r="J174" i="81"/>
  <c r="K174" i="81" s="1"/>
  <c r="J175" i="81"/>
  <c r="J176" i="81"/>
  <c r="J177" i="81"/>
  <c r="K177" i="81" s="1"/>
  <c r="J178" i="81"/>
  <c r="J179" i="81"/>
  <c r="J180" i="81"/>
  <c r="K180" i="81" s="1"/>
  <c r="J181" i="81"/>
  <c r="J182" i="81"/>
  <c r="J183" i="81"/>
  <c r="K183" i="81" s="1"/>
  <c r="J184" i="81"/>
  <c r="J185" i="81"/>
  <c r="J64" i="74"/>
  <c r="J65" i="74"/>
  <c r="J66" i="74"/>
  <c r="K66" i="74" s="1"/>
  <c r="J67" i="74"/>
  <c r="J68" i="74"/>
  <c r="J69" i="74"/>
  <c r="K69" i="74" s="1"/>
  <c r="J70" i="74"/>
  <c r="J71" i="74"/>
  <c r="J72" i="74"/>
  <c r="K72" i="74" s="1"/>
  <c r="J73" i="74"/>
  <c r="J74" i="74"/>
  <c r="J75" i="74"/>
  <c r="K75" i="74" s="1"/>
  <c r="J76" i="74"/>
  <c r="J77" i="74"/>
  <c r="J78" i="74"/>
  <c r="K78" i="74" s="1"/>
  <c r="J79" i="74"/>
  <c r="J80" i="74"/>
  <c r="J81" i="74"/>
  <c r="K81" i="74" s="1"/>
  <c r="J82" i="74"/>
  <c r="J83" i="74"/>
  <c r="J84" i="74"/>
  <c r="K84" i="74" s="1"/>
  <c r="J85" i="74"/>
  <c r="J86" i="74"/>
  <c r="J87" i="74"/>
  <c r="K87" i="74" s="1"/>
  <c r="J88" i="74"/>
  <c r="J89" i="74"/>
  <c r="J90" i="74"/>
  <c r="K90" i="74" s="1"/>
  <c r="J91" i="74"/>
  <c r="J92" i="74"/>
  <c r="J93" i="74"/>
  <c r="K93" i="74" s="1"/>
  <c r="J94" i="74"/>
  <c r="J95" i="74"/>
  <c r="J96" i="74"/>
  <c r="K96" i="74" s="1"/>
  <c r="J97" i="74"/>
  <c r="J98" i="74"/>
  <c r="J99" i="74"/>
  <c r="K99" i="74" s="1"/>
  <c r="J100" i="74"/>
  <c r="J101" i="74"/>
  <c r="J102" i="74"/>
  <c r="K102" i="74" s="1"/>
  <c r="J103" i="74"/>
  <c r="J104" i="74"/>
  <c r="J105" i="74"/>
  <c r="K105" i="74" s="1"/>
  <c r="J106" i="74"/>
  <c r="J107" i="74"/>
  <c r="J108" i="74"/>
  <c r="K108" i="74" s="1"/>
  <c r="J109" i="74"/>
  <c r="J110" i="74"/>
  <c r="J111" i="74"/>
  <c r="K111" i="74" s="1"/>
  <c r="J112" i="74"/>
  <c r="J113" i="74"/>
  <c r="J114" i="74"/>
  <c r="K114" i="74" s="1"/>
  <c r="J115" i="74"/>
  <c r="J116" i="74"/>
  <c r="J117" i="74"/>
  <c r="K117" i="74" s="1"/>
  <c r="J118" i="74"/>
  <c r="J119" i="74"/>
  <c r="J120" i="74"/>
  <c r="K120" i="74" s="1"/>
  <c r="J121" i="74"/>
  <c r="J122" i="74"/>
  <c r="J123" i="74"/>
  <c r="K123" i="74" s="1"/>
  <c r="J124" i="74"/>
  <c r="J125" i="74"/>
  <c r="J126" i="74"/>
  <c r="K126" i="74" s="1"/>
  <c r="J127" i="74"/>
  <c r="J128" i="74"/>
  <c r="J129" i="74"/>
  <c r="K129" i="74" s="1"/>
  <c r="J130" i="74"/>
  <c r="J131" i="74"/>
  <c r="J132" i="74"/>
  <c r="K132" i="74" s="1"/>
  <c r="J133" i="74"/>
  <c r="J134" i="74"/>
  <c r="J135" i="74"/>
  <c r="K135" i="74" s="1"/>
  <c r="J136" i="74"/>
  <c r="J137" i="74"/>
  <c r="J138" i="74"/>
  <c r="K138" i="74" s="1"/>
  <c r="J139" i="74"/>
  <c r="J140" i="74"/>
  <c r="J141" i="74"/>
  <c r="K141" i="74" s="1"/>
  <c r="J142" i="74"/>
  <c r="J143" i="74"/>
  <c r="J144" i="74"/>
  <c r="K144" i="74" s="1"/>
  <c r="J145" i="74"/>
  <c r="J146" i="74"/>
  <c r="J147" i="74"/>
  <c r="K147" i="74" s="1"/>
  <c r="J148" i="74"/>
  <c r="J149" i="74"/>
  <c r="J150" i="74"/>
  <c r="K150" i="74" s="1"/>
  <c r="J151" i="74"/>
  <c r="J152" i="74"/>
  <c r="J153" i="74"/>
  <c r="K153" i="74" s="1"/>
  <c r="J154" i="74"/>
  <c r="J155" i="74"/>
  <c r="J156" i="74"/>
  <c r="K156" i="74" s="1"/>
  <c r="J157" i="74"/>
  <c r="J158" i="74"/>
  <c r="J159" i="74"/>
  <c r="K159" i="74" s="1"/>
  <c r="J160" i="74"/>
  <c r="J161" i="74"/>
  <c r="J162" i="74"/>
  <c r="K162" i="74" s="1"/>
  <c r="J163" i="74"/>
  <c r="J164" i="74"/>
  <c r="J165" i="74"/>
  <c r="K165" i="74" s="1"/>
  <c r="J166" i="74"/>
  <c r="J167" i="74"/>
  <c r="J168" i="74"/>
  <c r="K168" i="74" s="1"/>
  <c r="J169" i="74"/>
  <c r="J170" i="74"/>
  <c r="J171" i="74"/>
  <c r="K171" i="74" s="1"/>
  <c r="J172" i="74"/>
  <c r="J173" i="74"/>
  <c r="J174" i="74"/>
  <c r="K174" i="74" s="1"/>
  <c r="J175" i="74"/>
  <c r="J176" i="74"/>
  <c r="J177" i="74"/>
  <c r="K177" i="74" s="1"/>
  <c r="J178" i="74"/>
  <c r="J179" i="74"/>
  <c r="J180" i="74"/>
  <c r="K180" i="74" s="1"/>
  <c r="J181" i="74"/>
  <c r="J182" i="74"/>
  <c r="J183" i="74"/>
  <c r="K183" i="74" s="1"/>
  <c r="J184" i="74"/>
  <c r="J185" i="74"/>
  <c r="J63" i="94"/>
  <c r="K63" i="94" s="1"/>
  <c r="J63" i="93"/>
  <c r="K63" i="93" s="1"/>
  <c r="J63" i="92"/>
  <c r="K63" i="92" s="1"/>
  <c r="J63" i="91"/>
  <c r="K63" i="91" s="1"/>
  <c r="J63" i="90"/>
  <c r="K63" i="90" s="1"/>
  <c r="J63" i="89"/>
  <c r="K63" i="89" s="1"/>
  <c r="J63" i="88"/>
  <c r="K63" i="88" s="1"/>
  <c r="J63" i="87"/>
  <c r="K63" i="87" s="1"/>
  <c r="J63" i="85"/>
  <c r="K63" i="85" s="1"/>
  <c r="J63" i="84"/>
  <c r="J63" i="83"/>
  <c r="K63" i="83" s="1"/>
  <c r="J63" i="82"/>
  <c r="K63" i="82" s="1"/>
  <c r="J63" i="81"/>
  <c r="K63" i="81" s="1"/>
  <c r="J63" i="74"/>
  <c r="K63" i="74" s="1"/>
  <c r="J23" i="94"/>
  <c r="J25" i="94"/>
  <c r="J27" i="94"/>
  <c r="J29" i="94"/>
  <c r="J31" i="94"/>
  <c r="J33" i="94"/>
  <c r="J35" i="94"/>
  <c r="J37" i="94"/>
  <c r="J39" i="94"/>
  <c r="J41" i="94"/>
  <c r="J43" i="94"/>
  <c r="J45" i="94"/>
  <c r="J47" i="94"/>
  <c r="J49" i="94"/>
  <c r="J51" i="94"/>
  <c r="J53" i="94"/>
  <c r="J55" i="94"/>
  <c r="J57" i="94"/>
  <c r="J59" i="94"/>
  <c r="J61" i="94"/>
  <c r="J23" i="93"/>
  <c r="J25" i="93"/>
  <c r="J27" i="93"/>
  <c r="J29" i="93"/>
  <c r="J31" i="93"/>
  <c r="J33" i="93"/>
  <c r="J35" i="93"/>
  <c r="J37" i="93"/>
  <c r="J39" i="93"/>
  <c r="J41" i="93"/>
  <c r="J43" i="93"/>
  <c r="J45" i="93"/>
  <c r="J47" i="93"/>
  <c r="J49" i="93"/>
  <c r="J51" i="93"/>
  <c r="J53" i="93"/>
  <c r="J55" i="93"/>
  <c r="J57" i="93"/>
  <c r="J59" i="93"/>
  <c r="J61" i="93"/>
  <c r="J23" i="92"/>
  <c r="J25" i="92"/>
  <c r="J27" i="92"/>
  <c r="J29" i="92"/>
  <c r="J31" i="92"/>
  <c r="J33" i="92"/>
  <c r="J35" i="92"/>
  <c r="J37" i="92"/>
  <c r="J39" i="92"/>
  <c r="J41" i="92"/>
  <c r="J43" i="92"/>
  <c r="J45" i="92"/>
  <c r="J47" i="92"/>
  <c r="J49" i="92"/>
  <c r="J51" i="92"/>
  <c r="J53" i="92"/>
  <c r="J55" i="92"/>
  <c r="J57" i="92"/>
  <c r="J59" i="92"/>
  <c r="J61" i="92"/>
  <c r="J23" i="91"/>
  <c r="J25" i="91"/>
  <c r="J27" i="91"/>
  <c r="J29" i="91"/>
  <c r="J31" i="91"/>
  <c r="J33" i="91"/>
  <c r="J35" i="91"/>
  <c r="J37" i="91"/>
  <c r="J39" i="91"/>
  <c r="J41" i="91"/>
  <c r="J43" i="91"/>
  <c r="J45" i="91"/>
  <c r="J47" i="91"/>
  <c r="J49" i="91"/>
  <c r="J51" i="91"/>
  <c r="J53" i="91"/>
  <c r="J55" i="91"/>
  <c r="J57" i="91"/>
  <c r="J59" i="91"/>
  <c r="J61" i="91"/>
  <c r="J23" i="90"/>
  <c r="J25" i="90"/>
  <c r="J27" i="90"/>
  <c r="J29" i="90"/>
  <c r="J31" i="90"/>
  <c r="J33" i="90"/>
  <c r="J35" i="90"/>
  <c r="J37" i="90"/>
  <c r="J39" i="90"/>
  <c r="J41" i="90"/>
  <c r="J43" i="90"/>
  <c r="J45" i="90"/>
  <c r="J47" i="90"/>
  <c r="J49" i="90"/>
  <c r="J51" i="90"/>
  <c r="J53" i="90"/>
  <c r="J55" i="90"/>
  <c r="J57" i="90"/>
  <c r="J59" i="90"/>
  <c r="J61" i="90"/>
  <c r="J23" i="89"/>
  <c r="J25" i="89"/>
  <c r="J27" i="89"/>
  <c r="J29" i="89"/>
  <c r="J31" i="89"/>
  <c r="J33" i="89"/>
  <c r="J35" i="89"/>
  <c r="J37" i="89"/>
  <c r="J39" i="89"/>
  <c r="J41" i="89"/>
  <c r="J43" i="89"/>
  <c r="J45" i="89"/>
  <c r="J47" i="89"/>
  <c r="J49" i="89"/>
  <c r="J51" i="89"/>
  <c r="J53" i="89"/>
  <c r="J55" i="89"/>
  <c r="J57" i="89"/>
  <c r="J59" i="89"/>
  <c r="J61" i="89"/>
  <c r="J23" i="88"/>
  <c r="J25" i="88"/>
  <c r="J27" i="88"/>
  <c r="J29" i="88"/>
  <c r="J31" i="88"/>
  <c r="J33" i="88"/>
  <c r="J35" i="88"/>
  <c r="J37" i="88"/>
  <c r="J39" i="88"/>
  <c r="J41" i="88"/>
  <c r="J43" i="88"/>
  <c r="J45" i="88"/>
  <c r="J47" i="88"/>
  <c r="J49" i="88"/>
  <c r="J51" i="88"/>
  <c r="J53" i="88"/>
  <c r="J55" i="88"/>
  <c r="J57" i="88"/>
  <c r="J59" i="88"/>
  <c r="J61" i="88"/>
  <c r="J23" i="87"/>
  <c r="J25" i="87"/>
  <c r="J27" i="87"/>
  <c r="J29" i="87"/>
  <c r="J31" i="87"/>
  <c r="J33" i="87"/>
  <c r="J35" i="87"/>
  <c r="J37" i="87"/>
  <c r="J39" i="87"/>
  <c r="J41" i="87"/>
  <c r="J43" i="87"/>
  <c r="J45" i="87"/>
  <c r="J47" i="87"/>
  <c r="J49" i="87"/>
  <c r="J51" i="87"/>
  <c r="J53" i="87"/>
  <c r="J55" i="87"/>
  <c r="J57" i="87"/>
  <c r="J59" i="87"/>
  <c r="J61" i="87"/>
  <c r="J23" i="85"/>
  <c r="J25" i="85"/>
  <c r="J27" i="85"/>
  <c r="J29" i="85"/>
  <c r="J31" i="85"/>
  <c r="J33" i="85"/>
  <c r="J35" i="85"/>
  <c r="J37" i="85"/>
  <c r="J39" i="85"/>
  <c r="J41" i="85"/>
  <c r="J43" i="85"/>
  <c r="J45" i="85"/>
  <c r="J47" i="85"/>
  <c r="J49" i="85"/>
  <c r="J51" i="85"/>
  <c r="J53" i="85"/>
  <c r="J55" i="85"/>
  <c r="J57" i="85"/>
  <c r="J59" i="85"/>
  <c r="J61" i="85"/>
  <c r="J23" i="84"/>
  <c r="J25" i="84"/>
  <c r="J27" i="84"/>
  <c r="J29" i="84"/>
  <c r="J31" i="84"/>
  <c r="J33" i="84"/>
  <c r="J35" i="84"/>
  <c r="J37" i="84"/>
  <c r="J39" i="84"/>
  <c r="J41" i="84"/>
  <c r="J43" i="84"/>
  <c r="J45" i="84"/>
  <c r="J47" i="84"/>
  <c r="J49" i="84"/>
  <c r="J51" i="84"/>
  <c r="J53" i="84"/>
  <c r="J55" i="84"/>
  <c r="J57" i="84"/>
  <c r="J59" i="84"/>
  <c r="J61" i="84"/>
  <c r="J23" i="83"/>
  <c r="J25" i="83"/>
  <c r="J27" i="83"/>
  <c r="J29" i="83"/>
  <c r="J31" i="83"/>
  <c r="J33" i="83"/>
  <c r="J35" i="83"/>
  <c r="J37" i="83"/>
  <c r="J39" i="83"/>
  <c r="J41" i="83"/>
  <c r="J43" i="83"/>
  <c r="J45" i="83"/>
  <c r="J47" i="83"/>
  <c r="J49" i="83"/>
  <c r="J51" i="83"/>
  <c r="J53" i="83"/>
  <c r="J55" i="83"/>
  <c r="J57" i="83"/>
  <c r="J59" i="83"/>
  <c r="J61" i="83"/>
  <c r="J23" i="82"/>
  <c r="J25" i="82"/>
  <c r="J27" i="82"/>
  <c r="J29" i="82"/>
  <c r="J31" i="82"/>
  <c r="J33" i="82"/>
  <c r="J35" i="82"/>
  <c r="J37" i="82"/>
  <c r="J39" i="82"/>
  <c r="J41" i="82"/>
  <c r="J43" i="82"/>
  <c r="J45" i="82"/>
  <c r="J47" i="82"/>
  <c r="J49" i="82"/>
  <c r="J51" i="82"/>
  <c r="J53" i="82"/>
  <c r="J55" i="82"/>
  <c r="J57" i="82"/>
  <c r="J59" i="82"/>
  <c r="J61" i="82"/>
  <c r="J23" i="81"/>
  <c r="J25" i="81"/>
  <c r="J27" i="81"/>
  <c r="J29" i="81"/>
  <c r="J31" i="81"/>
  <c r="J33" i="81"/>
  <c r="J35" i="81"/>
  <c r="J37" i="81"/>
  <c r="J39" i="81"/>
  <c r="J41" i="81"/>
  <c r="J43" i="81"/>
  <c r="J45" i="81"/>
  <c r="J47" i="81"/>
  <c r="J49" i="81"/>
  <c r="J51" i="81"/>
  <c r="J53" i="81"/>
  <c r="J55" i="81"/>
  <c r="J57" i="81"/>
  <c r="J59" i="81"/>
  <c r="J61" i="81"/>
  <c r="J23" i="74"/>
  <c r="J25" i="74"/>
  <c r="J27" i="74"/>
  <c r="J29" i="74"/>
  <c r="J31" i="74"/>
  <c r="J33" i="74"/>
  <c r="J35" i="74"/>
  <c r="J37" i="74"/>
  <c r="J39" i="74"/>
  <c r="J41" i="74"/>
  <c r="J43" i="74"/>
  <c r="J45" i="74"/>
  <c r="J47" i="74"/>
  <c r="J49" i="74"/>
  <c r="J51" i="74"/>
  <c r="J53" i="74"/>
  <c r="J55" i="74"/>
  <c r="J57" i="74"/>
  <c r="J59" i="74"/>
  <c r="J61" i="74"/>
  <c r="J21" i="94"/>
  <c r="J21" i="93"/>
  <c r="J21" i="92"/>
  <c r="J21" i="91"/>
  <c r="J21" i="90"/>
  <c r="J21" i="89"/>
  <c r="J21" i="88"/>
  <c r="J21" i="87"/>
  <c r="J21" i="85"/>
  <c r="J21" i="84"/>
  <c r="J21" i="83"/>
  <c r="J21" i="82"/>
  <c r="J21" i="81"/>
  <c r="J21" i="74"/>
  <c r="J19" i="94"/>
  <c r="J19" i="93"/>
  <c r="J19" i="92"/>
  <c r="J19" i="91"/>
  <c r="J19" i="90"/>
  <c r="J19" i="89"/>
  <c r="J19" i="88"/>
  <c r="J19" i="87"/>
  <c r="J19" i="85"/>
  <c r="J19" i="84"/>
  <c r="J19" i="83"/>
  <c r="J19" i="82"/>
  <c r="J19" i="81"/>
  <c r="J19" i="74"/>
  <c r="J17" i="94"/>
  <c r="J17" i="93"/>
  <c r="J17" i="92"/>
  <c r="J17" i="91"/>
  <c r="J17" i="90"/>
  <c r="J17" i="89"/>
  <c r="J17" i="88"/>
  <c r="J17" i="87"/>
  <c r="J17" i="85"/>
  <c r="J17" i="84"/>
  <c r="J17" i="83"/>
  <c r="J17" i="82"/>
  <c r="J17" i="81"/>
  <c r="J17" i="74"/>
  <c r="J15" i="94"/>
  <c r="J15" i="93"/>
  <c r="J15" i="92"/>
  <c r="J15" i="91"/>
  <c r="J15" i="90"/>
  <c r="J15" i="89"/>
  <c r="J15" i="88"/>
  <c r="J15" i="87"/>
  <c r="J15" i="85"/>
  <c r="J15" i="84"/>
  <c r="J15" i="83"/>
  <c r="J15" i="82"/>
  <c r="J15" i="81"/>
  <c r="J15" i="74"/>
  <c r="J13" i="94"/>
  <c r="J13" i="93"/>
  <c r="J13" i="92"/>
  <c r="J13" i="91"/>
  <c r="J13" i="90"/>
  <c r="J13" i="89"/>
  <c r="J13" i="88"/>
  <c r="J13" i="87"/>
  <c r="J13" i="85"/>
  <c r="J13" i="84"/>
  <c r="J13" i="83"/>
  <c r="J13" i="82"/>
  <c r="J13" i="81"/>
  <c r="J13" i="74"/>
  <c r="J11" i="94"/>
  <c r="J11" i="93"/>
  <c r="J11" i="92"/>
  <c r="J11" i="91"/>
  <c r="J11" i="90"/>
  <c r="J11" i="89"/>
  <c r="J11" i="88"/>
  <c r="J11" i="87"/>
  <c r="J11" i="85"/>
  <c r="J11" i="84"/>
  <c r="J11" i="83"/>
  <c r="J11" i="82"/>
  <c r="J11" i="81"/>
  <c r="J11" i="74"/>
  <c r="J9" i="94"/>
  <c r="J9" i="93"/>
  <c r="J9" i="92"/>
  <c r="J9" i="91"/>
  <c r="J9" i="90"/>
  <c r="J9" i="89"/>
  <c r="J9" i="88"/>
  <c r="J9" i="87"/>
  <c r="J9" i="85"/>
  <c r="J9" i="84"/>
  <c r="J9" i="83"/>
  <c r="J9" i="82"/>
  <c r="J9" i="81"/>
  <c r="J9" i="74"/>
  <c r="D273" i="94" l="1"/>
  <c r="AJ19" i="91" l="1"/>
  <c r="AI19" i="91"/>
  <c r="AI20" i="91" s="1"/>
  <c r="D281" i="91" s="1"/>
  <c r="AJ18" i="91"/>
  <c r="AI18" i="91"/>
  <c r="AJ17" i="91"/>
  <c r="AI17" i="91"/>
  <c r="AJ16" i="91"/>
  <c r="AI16" i="91"/>
  <c r="AJ15" i="91"/>
  <c r="AI15" i="91"/>
  <c r="AJ14" i="91"/>
  <c r="AI14" i="91"/>
  <c r="AJ13" i="91"/>
  <c r="AI13" i="91"/>
  <c r="AJ12" i="91"/>
  <c r="AJ20" i="91" s="1"/>
  <c r="AJ19" i="90"/>
  <c r="AI19" i="90"/>
  <c r="AI20" i="90" s="1"/>
  <c r="D278" i="90" s="1"/>
  <c r="AJ18" i="90"/>
  <c r="AI18" i="90"/>
  <c r="AJ17" i="90"/>
  <c r="AI17" i="90"/>
  <c r="AJ16" i="90"/>
  <c r="AI16" i="90"/>
  <c r="AJ15" i="90"/>
  <c r="AI15" i="90"/>
  <c r="AJ14" i="90"/>
  <c r="AI14" i="90"/>
  <c r="AJ13" i="90"/>
  <c r="AI13" i="90"/>
  <c r="AJ12" i="90"/>
  <c r="AJ20" i="90" s="1"/>
  <c r="AJ19" i="89"/>
  <c r="AI19" i="89"/>
  <c r="AI20" i="89" s="1"/>
  <c r="D278" i="89" s="1"/>
  <c r="AJ18" i="89"/>
  <c r="AI18" i="89"/>
  <c r="AJ17" i="89"/>
  <c r="AI17" i="89"/>
  <c r="AJ16" i="89"/>
  <c r="AI16" i="89"/>
  <c r="AJ15" i="89"/>
  <c r="AI15" i="89"/>
  <c r="AJ14" i="89"/>
  <c r="AI14" i="89"/>
  <c r="AJ13" i="89"/>
  <c r="AI13" i="89"/>
  <c r="AJ12" i="89"/>
  <c r="AJ20" i="89" s="1"/>
  <c r="AJ19" i="88"/>
  <c r="AI19" i="88"/>
  <c r="AI20" i="88" s="1"/>
  <c r="D278" i="88" s="1"/>
  <c r="AJ18" i="88"/>
  <c r="AI18" i="88"/>
  <c r="AJ17" i="88"/>
  <c r="AI17" i="88"/>
  <c r="AJ16" i="88"/>
  <c r="AI16" i="88"/>
  <c r="AJ15" i="88"/>
  <c r="AI15" i="88"/>
  <c r="AJ14" i="88"/>
  <c r="AI14" i="88"/>
  <c r="AJ13" i="88"/>
  <c r="AI13" i="88"/>
  <c r="AJ12" i="88"/>
  <c r="AJ20" i="88" s="1"/>
  <c r="AJ19" i="87"/>
  <c r="AI19" i="87"/>
  <c r="AI20" i="87" s="1"/>
  <c r="D278" i="87" s="1"/>
  <c r="AJ18" i="87"/>
  <c r="AI18" i="87"/>
  <c r="AJ17" i="87"/>
  <c r="AI17" i="87"/>
  <c r="AJ16" i="87"/>
  <c r="AI16" i="87"/>
  <c r="AJ15" i="87"/>
  <c r="AI15" i="87"/>
  <c r="AJ14" i="87"/>
  <c r="AI14" i="87"/>
  <c r="AJ13" i="87"/>
  <c r="AI13" i="87"/>
  <c r="AJ12" i="87"/>
  <c r="AJ20" i="87" s="1"/>
  <c r="AJ19" i="85"/>
  <c r="AI19" i="85"/>
  <c r="AI20" i="85" s="1"/>
  <c r="D278" i="85" s="1"/>
  <c r="AJ18" i="85"/>
  <c r="AI18" i="85"/>
  <c r="AJ17" i="85"/>
  <c r="AI17" i="85"/>
  <c r="AJ16" i="85"/>
  <c r="AI16" i="85"/>
  <c r="AJ15" i="85"/>
  <c r="AI15" i="85"/>
  <c r="AJ14" i="85"/>
  <c r="AI14" i="85"/>
  <c r="AJ13" i="85"/>
  <c r="AI13" i="85"/>
  <c r="AJ12" i="85"/>
  <c r="AJ20" i="85" s="1"/>
  <c r="AJ19" i="84"/>
  <c r="AI19" i="84"/>
  <c r="AI20" i="84" s="1"/>
  <c r="D278" i="84" s="1"/>
  <c r="AJ18" i="84"/>
  <c r="AI18" i="84"/>
  <c r="AJ17" i="84"/>
  <c r="AI17" i="84"/>
  <c r="AJ16" i="84"/>
  <c r="AI16" i="84"/>
  <c r="AJ15" i="84"/>
  <c r="AI15" i="84"/>
  <c r="AJ14" i="84"/>
  <c r="AI14" i="84"/>
  <c r="AJ13" i="84"/>
  <c r="AI13" i="84"/>
  <c r="AJ12" i="84"/>
  <c r="AJ20" i="84" s="1"/>
  <c r="AJ19" i="83"/>
  <c r="AI19" i="83"/>
  <c r="AI20" i="83" s="1"/>
  <c r="D278" i="83" s="1"/>
  <c r="AJ18" i="83"/>
  <c r="AI18" i="83"/>
  <c r="AJ17" i="83"/>
  <c r="AI17" i="83"/>
  <c r="AJ16" i="83"/>
  <c r="AI16" i="83"/>
  <c r="AJ15" i="83"/>
  <c r="AI15" i="83"/>
  <c r="AJ14" i="83"/>
  <c r="AI14" i="83"/>
  <c r="AJ13" i="83"/>
  <c r="AI13" i="83"/>
  <c r="AJ12" i="83"/>
  <c r="AJ20" i="83" s="1"/>
  <c r="AJ19" i="82"/>
  <c r="AI19" i="82"/>
  <c r="AI20" i="82" s="1"/>
  <c r="D278" i="82" s="1"/>
  <c r="AJ18" i="82"/>
  <c r="AI18" i="82"/>
  <c r="AJ17" i="82"/>
  <c r="AI17" i="82"/>
  <c r="AJ16" i="82"/>
  <c r="AI16" i="82"/>
  <c r="AJ15" i="82"/>
  <c r="AI15" i="82"/>
  <c r="AJ14" i="82"/>
  <c r="AI14" i="82"/>
  <c r="AJ13" i="82"/>
  <c r="AI13" i="82"/>
  <c r="AJ12" i="82"/>
  <c r="AJ20" i="82" s="1"/>
  <c r="AJ19" i="81"/>
  <c r="AI19" i="81"/>
  <c r="AI20" i="81" s="1"/>
  <c r="D278" i="81" s="1"/>
  <c r="AJ18" i="81"/>
  <c r="AI18" i="81"/>
  <c r="AJ17" i="81"/>
  <c r="AI17" i="81"/>
  <c r="AJ16" i="81"/>
  <c r="AI16" i="81"/>
  <c r="AJ15" i="81"/>
  <c r="AI15" i="81"/>
  <c r="AJ14" i="81"/>
  <c r="AI14" i="81"/>
  <c r="AJ13" i="81"/>
  <c r="AI13" i="81"/>
  <c r="AJ12" i="81"/>
  <c r="AJ20" i="81" s="1"/>
  <c r="AJ19" i="74"/>
  <c r="AI19" i="74"/>
  <c r="AI20" i="74" s="1"/>
  <c r="D278" i="74" s="1"/>
  <c r="AJ18" i="74"/>
  <c r="AI18" i="74"/>
  <c r="AJ17" i="74"/>
  <c r="AI17" i="74"/>
  <c r="AJ16" i="74"/>
  <c r="AI16" i="74"/>
  <c r="AJ15" i="74"/>
  <c r="AI15" i="74"/>
  <c r="AJ14" i="74"/>
  <c r="AI14" i="74"/>
  <c r="AJ13" i="74"/>
  <c r="AI13" i="74"/>
  <c r="AJ12" i="74"/>
  <c r="AJ20" i="74" s="1"/>
  <c r="P188" i="94" l="1"/>
  <c r="L188" i="94"/>
  <c r="P187" i="94"/>
  <c r="T2" i="94"/>
  <c r="S2" i="94"/>
  <c r="P188" i="93"/>
  <c r="L188" i="93"/>
  <c r="P187" i="93"/>
  <c r="T2" i="93"/>
  <c r="S2" i="93"/>
  <c r="P188" i="92"/>
  <c r="L188" i="92"/>
  <c r="P187" i="92"/>
  <c r="AJ12" i="92"/>
  <c r="AI13" i="92" s="1"/>
  <c r="H120" i="92" s="1"/>
  <c r="T2" i="92"/>
  <c r="S2" i="92"/>
  <c r="H186" i="91"/>
  <c r="H183" i="90"/>
  <c r="H183" i="89"/>
  <c r="H183" i="88"/>
  <c r="H183" i="87"/>
  <c r="H183" i="85"/>
  <c r="H183" i="84"/>
  <c r="H183" i="83"/>
  <c r="H183" i="82"/>
  <c r="H183" i="81"/>
  <c r="H183" i="74"/>
  <c r="T120" i="92"/>
  <c r="E183" i="90" l="1"/>
  <c r="D183" i="90" s="1"/>
  <c r="D262" i="90" s="1"/>
  <c r="C262" i="90" s="1"/>
  <c r="E183" i="82"/>
  <c r="D183" i="82" s="1"/>
  <c r="E183" i="87"/>
  <c r="D183" i="87"/>
  <c r="E183" i="74"/>
  <c r="D183" i="74" s="1"/>
  <c r="D262" i="74" s="1"/>
  <c r="C262" i="74" s="1"/>
  <c r="E183" i="84"/>
  <c r="E183" i="89"/>
  <c r="D183" i="89" s="1"/>
  <c r="E183" i="81"/>
  <c r="D183" i="81" s="1"/>
  <c r="D262" i="81" s="1"/>
  <c r="C262" i="81" s="1"/>
  <c r="E183" i="83"/>
  <c r="E183" i="88"/>
  <c r="D183" i="88" s="1"/>
  <c r="E186" i="91"/>
  <c r="D186" i="91" s="1"/>
  <c r="AI18" i="92"/>
  <c r="H198" i="92" s="1"/>
  <c r="E198" i="92" s="1"/>
  <c r="D198" i="92" s="1"/>
  <c r="D267" i="92" s="1"/>
  <c r="C267" i="92" s="1"/>
  <c r="AI17" i="93"/>
  <c r="H194" i="93" s="1"/>
  <c r="AJ14" i="93"/>
  <c r="AJ18" i="93"/>
  <c r="AJ13" i="93"/>
  <c r="AJ20" i="93"/>
  <c r="AJ19" i="93"/>
  <c r="AJ17" i="93"/>
  <c r="AJ16" i="93"/>
  <c r="AJ15" i="93"/>
  <c r="AI16" i="93"/>
  <c r="H190" i="93" s="1"/>
  <c r="E190" i="93" s="1"/>
  <c r="D190" i="93" s="1"/>
  <c r="D265" i="93" s="1"/>
  <c r="C265" i="93" s="1"/>
  <c r="AJ13" i="94"/>
  <c r="AJ15" i="94"/>
  <c r="AJ16" i="94"/>
  <c r="AJ14" i="94"/>
  <c r="AJ20" i="94"/>
  <c r="AJ19" i="94"/>
  <c r="AJ18" i="94"/>
  <c r="AJ17" i="94"/>
  <c r="AI19" i="93"/>
  <c r="H202" i="93" s="1"/>
  <c r="AI20" i="92"/>
  <c r="D278" i="92" s="1"/>
  <c r="AJ20" i="92"/>
  <c r="AJ19" i="92"/>
  <c r="AJ18" i="92"/>
  <c r="AJ17" i="92"/>
  <c r="AJ16" i="92"/>
  <c r="AJ15" i="92"/>
  <c r="AJ14" i="92"/>
  <c r="AJ13" i="92"/>
  <c r="E183" i="85"/>
  <c r="AI15" i="94"/>
  <c r="AI17" i="94"/>
  <c r="H194" i="94" s="1"/>
  <c r="E194" i="94" s="1"/>
  <c r="AI19" i="94"/>
  <c r="H202" i="94" s="1"/>
  <c r="AI13" i="94"/>
  <c r="E278" i="94"/>
  <c r="D274" i="94"/>
  <c r="Y6" i="94" s="1"/>
  <c r="E277" i="94"/>
  <c r="E273" i="94"/>
  <c r="D277" i="94"/>
  <c r="AB6" i="94" s="1"/>
  <c r="X6" i="94"/>
  <c r="E276" i="94"/>
  <c r="D275" i="94"/>
  <c r="Z6" i="94" s="1"/>
  <c r="D276" i="94"/>
  <c r="AA6" i="94" s="1"/>
  <c r="E275" i="94"/>
  <c r="E274" i="94"/>
  <c r="AI16" i="94"/>
  <c r="H190" i="94" s="1"/>
  <c r="AI14" i="94"/>
  <c r="AI18" i="94"/>
  <c r="H198" i="94" s="1"/>
  <c r="E198" i="94" s="1"/>
  <c r="AI20" i="94"/>
  <c r="D278" i="94" s="1"/>
  <c r="AI13" i="93"/>
  <c r="AI18" i="93"/>
  <c r="H198" i="93" s="1"/>
  <c r="AI20" i="93"/>
  <c r="D278" i="93" s="1"/>
  <c r="E278" i="93"/>
  <c r="D274" i="93"/>
  <c r="Y6" i="93" s="1"/>
  <c r="E277" i="93"/>
  <c r="E273" i="93"/>
  <c r="D277" i="93"/>
  <c r="AB6" i="93" s="1"/>
  <c r="D273" i="93"/>
  <c r="X6" i="93" s="1"/>
  <c r="E276" i="93"/>
  <c r="D276" i="93"/>
  <c r="AA6" i="93" s="1"/>
  <c r="D275" i="93"/>
  <c r="Z6" i="93" s="1"/>
  <c r="E194" i="93"/>
  <c r="D194" i="93" s="1"/>
  <c r="D266" i="93" s="1"/>
  <c r="C266" i="93" s="1"/>
  <c r="E274" i="93"/>
  <c r="E275" i="93"/>
  <c r="AI14" i="93"/>
  <c r="AI15" i="93"/>
  <c r="E278" i="92"/>
  <c r="D274" i="92"/>
  <c r="Y6" i="92" s="1"/>
  <c r="E202" i="92"/>
  <c r="E277" i="92"/>
  <c r="E273" i="92"/>
  <c r="D277" i="92"/>
  <c r="AB6" i="92" s="1"/>
  <c r="D273" i="92"/>
  <c r="X6" i="92" s="1"/>
  <c r="E276" i="92"/>
  <c r="D276" i="92"/>
  <c r="AA6" i="92" s="1"/>
  <c r="D275" i="92"/>
  <c r="Z6" i="92" s="1"/>
  <c r="E274" i="92"/>
  <c r="E275" i="92"/>
  <c r="E120" i="92"/>
  <c r="AI14" i="92"/>
  <c r="H63" i="92"/>
  <c r="AI15" i="92"/>
  <c r="H87" i="92"/>
  <c r="AI17" i="92"/>
  <c r="H194" i="92" s="1"/>
  <c r="E194" i="92" s="1"/>
  <c r="AI19" i="92"/>
  <c r="H202" i="92" s="1"/>
  <c r="H72" i="92"/>
  <c r="H168" i="92"/>
  <c r="H135" i="92"/>
  <c r="H162" i="92"/>
  <c r="H114" i="92"/>
  <c r="AI16" i="92"/>
  <c r="H190" i="92" s="1"/>
  <c r="C114" i="13"/>
  <c r="D114" i="13"/>
  <c r="E114" i="13"/>
  <c r="F114" i="13"/>
  <c r="T114" i="92"/>
  <c r="T72" i="92"/>
  <c r="T168" i="92"/>
  <c r="T87" i="92"/>
  <c r="T135" i="92"/>
  <c r="T63" i="92"/>
  <c r="T162" i="92"/>
  <c r="E162" i="92" l="1"/>
  <c r="E168" i="92"/>
  <c r="E72" i="92"/>
  <c r="D262" i="88"/>
  <c r="C262" i="88" s="1"/>
  <c r="D262" i="87"/>
  <c r="C262" i="87" s="1"/>
  <c r="D183" i="83"/>
  <c r="D262" i="83" s="1"/>
  <c r="C262" i="83" s="1"/>
  <c r="D183" i="84"/>
  <c r="D262" i="84" s="1"/>
  <c r="C262" i="84" s="1"/>
  <c r="D262" i="82"/>
  <c r="C262" i="82" s="1"/>
  <c r="D262" i="89"/>
  <c r="C262" i="89" s="1"/>
  <c r="D183" i="85"/>
  <c r="D262" i="85" s="1"/>
  <c r="C262" i="85" s="1"/>
  <c r="I76" i="92"/>
  <c r="I88" i="92"/>
  <c r="I131" i="92"/>
  <c r="I100" i="92"/>
  <c r="I112" i="92"/>
  <c r="I168" i="92"/>
  <c r="I170" i="92"/>
  <c r="I146" i="92"/>
  <c r="I87" i="92"/>
  <c r="I91" i="92"/>
  <c r="I94" i="92"/>
  <c r="G42" i="92"/>
  <c r="G50" i="92"/>
  <c r="I167" i="92"/>
  <c r="I136" i="92"/>
  <c r="I148" i="92"/>
  <c r="I64" i="92"/>
  <c r="I72" i="92"/>
  <c r="I165" i="92"/>
  <c r="I177" i="92"/>
  <c r="I158" i="92"/>
  <c r="I74" i="92"/>
  <c r="I156" i="92"/>
  <c r="I78" i="92"/>
  <c r="I85" i="92"/>
  <c r="I119" i="92"/>
  <c r="G28" i="92"/>
  <c r="G60" i="92"/>
  <c r="I139" i="92"/>
  <c r="I163" i="92"/>
  <c r="I126" i="92"/>
  <c r="G10" i="92"/>
  <c r="G16" i="92"/>
  <c r="I172" i="92"/>
  <c r="I140" i="92"/>
  <c r="I181" i="92"/>
  <c r="I69" i="92"/>
  <c r="I157" i="92"/>
  <c r="I92" i="92"/>
  <c r="I116" i="92"/>
  <c r="I68" i="92"/>
  <c r="I66" i="92"/>
  <c r="I82" i="92"/>
  <c r="I133" i="92"/>
  <c r="I176" i="92"/>
  <c r="I137" i="92"/>
  <c r="G18" i="92"/>
  <c r="I138" i="92"/>
  <c r="I109" i="92"/>
  <c r="I147" i="92"/>
  <c r="G40" i="92"/>
  <c r="G46" i="92"/>
  <c r="I103" i="92"/>
  <c r="I121" i="92"/>
  <c r="I149" i="92"/>
  <c r="I108" i="92"/>
  <c r="I130" i="92"/>
  <c r="I175" i="92"/>
  <c r="I110" i="92"/>
  <c r="I75" i="92"/>
  <c r="I122" i="92"/>
  <c r="I118" i="92"/>
  <c r="G56" i="92"/>
  <c r="I127" i="92"/>
  <c r="I111" i="92"/>
  <c r="I161" i="92"/>
  <c r="I151" i="92"/>
  <c r="I98" i="92"/>
  <c r="G38" i="92"/>
  <c r="I65" i="92"/>
  <c r="I160" i="92"/>
  <c r="I124" i="92"/>
  <c r="G22" i="92"/>
  <c r="I145" i="92"/>
  <c r="I120" i="92"/>
  <c r="G52" i="92"/>
  <c r="I115" i="92"/>
  <c r="I104" i="92"/>
  <c r="I125" i="92"/>
  <c r="I180" i="92"/>
  <c r="I135" i="92"/>
  <c r="I159" i="92"/>
  <c r="G62" i="92"/>
  <c r="I67" i="92"/>
  <c r="I113" i="92"/>
  <c r="I123" i="92"/>
  <c r="I89" i="92"/>
  <c r="G20" i="92"/>
  <c r="I81" i="92"/>
  <c r="I129" i="92"/>
  <c r="I142" i="92"/>
  <c r="I71" i="92"/>
  <c r="I90" i="92"/>
  <c r="G24" i="92"/>
  <c r="I83" i="92"/>
  <c r="I152" i="92"/>
  <c r="I154" i="92"/>
  <c r="I150" i="92"/>
  <c r="I73" i="92"/>
  <c r="G48" i="92"/>
  <c r="I164" i="92"/>
  <c r="I174" i="92"/>
  <c r="I97" i="92"/>
  <c r="G32" i="92"/>
  <c r="I93" i="92"/>
  <c r="I162" i="92"/>
  <c r="I166" i="92"/>
  <c r="I179" i="92"/>
  <c r="I102" i="92"/>
  <c r="I171" i="92"/>
  <c r="I70" i="92"/>
  <c r="I99" i="92"/>
  <c r="I106" i="92"/>
  <c r="I95" i="92"/>
  <c r="I141" i="92"/>
  <c r="I178" i="92"/>
  <c r="I84" i="92"/>
  <c r="I86" i="92"/>
  <c r="I96" i="92"/>
  <c r="G44" i="92"/>
  <c r="I169" i="92"/>
  <c r="I101" i="92"/>
  <c r="I128" i="92"/>
  <c r="G54" i="92"/>
  <c r="I173" i="92"/>
  <c r="I80" i="92"/>
  <c r="G26" i="92"/>
  <c r="G12" i="92"/>
  <c r="I105" i="92"/>
  <c r="I143" i="92"/>
  <c r="I132" i="92"/>
  <c r="I182" i="92"/>
  <c r="G58" i="92"/>
  <c r="G14" i="92"/>
  <c r="I107" i="92"/>
  <c r="I153" i="92"/>
  <c r="I134" i="92"/>
  <c r="G36" i="92"/>
  <c r="G30" i="92"/>
  <c r="I114" i="92"/>
  <c r="I79" i="92"/>
  <c r="I63" i="92"/>
  <c r="I77" i="92"/>
  <c r="G34" i="92"/>
  <c r="I117" i="92"/>
  <c r="I155" i="92"/>
  <c r="I144" i="92"/>
  <c r="E202" i="94"/>
  <c r="D202" i="94" s="1"/>
  <c r="D268" i="94" s="1"/>
  <c r="C268" i="94" s="1"/>
  <c r="I182" i="94"/>
  <c r="I175" i="94"/>
  <c r="I163" i="94"/>
  <c r="I151" i="94"/>
  <c r="I139" i="94"/>
  <c r="I170" i="94"/>
  <c r="I168" i="94"/>
  <c r="I158" i="94"/>
  <c r="I156" i="94"/>
  <c r="I146" i="94"/>
  <c r="I144" i="94"/>
  <c r="I134" i="94"/>
  <c r="I132" i="94"/>
  <c r="I178" i="94"/>
  <c r="I166" i="94"/>
  <c r="I180" i="94"/>
  <c r="I173" i="94"/>
  <c r="I171" i="94"/>
  <c r="I161" i="94"/>
  <c r="I159" i="94"/>
  <c r="I149" i="94"/>
  <c r="I147" i="94"/>
  <c r="I137" i="94"/>
  <c r="I135" i="94"/>
  <c r="I176" i="94"/>
  <c r="I157" i="94"/>
  <c r="I154" i="94"/>
  <c r="I150" i="94"/>
  <c r="I148" i="94"/>
  <c r="I141" i="94"/>
  <c r="I140" i="94"/>
  <c r="I118" i="94"/>
  <c r="I106" i="94"/>
  <c r="I172" i="94"/>
  <c r="I162" i="94"/>
  <c r="I160" i="94"/>
  <c r="I153" i="94"/>
  <c r="I152" i="94"/>
  <c r="I143" i="94"/>
  <c r="I125" i="94"/>
  <c r="I123" i="94"/>
  <c r="I113" i="94"/>
  <c r="I111" i="94"/>
  <c r="I101" i="94"/>
  <c r="I99" i="94"/>
  <c r="I177" i="94"/>
  <c r="I167" i="94"/>
  <c r="I155" i="94"/>
  <c r="I121" i="94"/>
  <c r="I109" i="94"/>
  <c r="I169" i="94"/>
  <c r="I131" i="94"/>
  <c r="I130" i="94"/>
  <c r="I128" i="94"/>
  <c r="I126" i="94"/>
  <c r="I116" i="94"/>
  <c r="I114" i="94"/>
  <c r="I104" i="94"/>
  <c r="I102" i="94"/>
  <c r="I174" i="94"/>
  <c r="I164" i="94"/>
  <c r="I124" i="94"/>
  <c r="I112" i="94"/>
  <c r="I100" i="94"/>
  <c r="I181" i="94"/>
  <c r="I119" i="94"/>
  <c r="I117" i="94"/>
  <c r="I107" i="94"/>
  <c r="I105" i="94"/>
  <c r="I115" i="94"/>
  <c r="I89" i="94"/>
  <c r="I87" i="94"/>
  <c r="I77" i="94"/>
  <c r="I75" i="94"/>
  <c r="I65" i="94"/>
  <c r="I63" i="94"/>
  <c r="G56" i="94"/>
  <c r="G48" i="94"/>
  <c r="G40" i="94"/>
  <c r="I142" i="94"/>
  <c r="I138" i="94"/>
  <c r="I120" i="94"/>
  <c r="I110" i="94"/>
  <c r="I98" i="94"/>
  <c r="I97" i="94"/>
  <c r="I85" i="94"/>
  <c r="I73" i="94"/>
  <c r="G38" i="94"/>
  <c r="I133" i="94"/>
  <c r="I127" i="94"/>
  <c r="I92" i="94"/>
  <c r="I90" i="94"/>
  <c r="I80" i="94"/>
  <c r="I78" i="94"/>
  <c r="I68" i="94"/>
  <c r="I66" i="94"/>
  <c r="G60" i="94"/>
  <c r="G52" i="94"/>
  <c r="I145" i="94"/>
  <c r="I122" i="94"/>
  <c r="I88" i="94"/>
  <c r="I76" i="94"/>
  <c r="I64" i="94"/>
  <c r="G50" i="94"/>
  <c r="I165" i="94"/>
  <c r="I129" i="94"/>
  <c r="I95" i="94"/>
  <c r="I93" i="94"/>
  <c r="I83" i="94"/>
  <c r="I81" i="94"/>
  <c r="I71" i="94"/>
  <c r="I69" i="94"/>
  <c r="I96" i="94"/>
  <c r="I86" i="94"/>
  <c r="I84" i="94"/>
  <c r="I74" i="94"/>
  <c r="I72" i="94"/>
  <c r="G44" i="94"/>
  <c r="G36" i="94"/>
  <c r="I103" i="94"/>
  <c r="I70" i="94"/>
  <c r="I67" i="94"/>
  <c r="G14" i="94"/>
  <c r="G12" i="94"/>
  <c r="I136" i="94"/>
  <c r="I82" i="94"/>
  <c r="G32" i="94"/>
  <c r="G24" i="94"/>
  <c r="G20" i="94"/>
  <c r="I79" i="94"/>
  <c r="G18" i="94"/>
  <c r="I179" i="94"/>
  <c r="I108" i="94"/>
  <c r="I94" i="94"/>
  <c r="G46" i="94"/>
  <c r="G34" i="94"/>
  <c r="G28" i="94"/>
  <c r="G16" i="94"/>
  <c r="I91" i="94"/>
  <c r="G54" i="94"/>
  <c r="G26" i="94"/>
  <c r="G58" i="94"/>
  <c r="G10" i="94"/>
  <c r="G62" i="94"/>
  <c r="G42" i="94"/>
  <c r="G30" i="94"/>
  <c r="G22" i="94"/>
  <c r="H183" i="94"/>
  <c r="H153" i="94"/>
  <c r="H141" i="94"/>
  <c r="H147" i="94"/>
  <c r="H159" i="94"/>
  <c r="H132" i="94"/>
  <c r="H111" i="94"/>
  <c r="H180" i="94"/>
  <c r="H126" i="94"/>
  <c r="H187" i="94"/>
  <c r="H174" i="94"/>
  <c r="H105" i="94"/>
  <c r="H53" i="94"/>
  <c r="H43" i="94"/>
  <c r="H99" i="94"/>
  <c r="H78" i="94"/>
  <c r="H55" i="94"/>
  <c r="H188" i="94"/>
  <c r="H41" i="94"/>
  <c r="H17" i="94"/>
  <c r="H93" i="94"/>
  <c r="H39" i="94"/>
  <c r="H27" i="94"/>
  <c r="H19" i="94"/>
  <c r="H29" i="94"/>
  <c r="H15" i="94"/>
  <c r="H84" i="94"/>
  <c r="H51" i="94"/>
  <c r="H31" i="94"/>
  <c r="H168" i="94"/>
  <c r="H120" i="94"/>
  <c r="H162" i="94"/>
  <c r="H114" i="94"/>
  <c r="H87" i="94"/>
  <c r="H63" i="94"/>
  <c r="H135" i="94"/>
  <c r="H72" i="94"/>
  <c r="E190" i="94"/>
  <c r="D190" i="94" s="1"/>
  <c r="D265" i="94" s="1"/>
  <c r="C265" i="94" s="1"/>
  <c r="D194" i="94"/>
  <c r="D266" i="94" s="1"/>
  <c r="C266" i="94" s="1"/>
  <c r="D198" i="94"/>
  <c r="D267" i="94" s="1"/>
  <c r="C267" i="94" s="1"/>
  <c r="H177" i="94"/>
  <c r="H165" i="94"/>
  <c r="H144" i="94"/>
  <c r="H138" i="94"/>
  <c r="H108" i="94"/>
  <c r="H156" i="94"/>
  <c r="H150" i="94"/>
  <c r="H123" i="94"/>
  <c r="H102" i="94"/>
  <c r="H61" i="94"/>
  <c r="H75" i="94"/>
  <c r="H35" i="94"/>
  <c r="H117" i="94"/>
  <c r="H45" i="94"/>
  <c r="H171" i="94"/>
  <c r="H90" i="94"/>
  <c r="H66" i="94"/>
  <c r="H57" i="94"/>
  <c r="H37" i="94"/>
  <c r="H49" i="94"/>
  <c r="H25" i="94"/>
  <c r="H129" i="94"/>
  <c r="H69" i="94"/>
  <c r="H47" i="94"/>
  <c r="H9" i="94"/>
  <c r="H21" i="94"/>
  <c r="H11" i="94"/>
  <c r="H81" i="94"/>
  <c r="H59" i="94"/>
  <c r="H23" i="94"/>
  <c r="H96" i="94"/>
  <c r="H33" i="94"/>
  <c r="H13" i="94"/>
  <c r="E202" i="93"/>
  <c r="D202" i="93" s="1"/>
  <c r="D268" i="93" s="1"/>
  <c r="C268" i="93" s="1"/>
  <c r="H168" i="93"/>
  <c r="H162" i="93"/>
  <c r="H135" i="93"/>
  <c r="H120" i="93"/>
  <c r="H114" i="93"/>
  <c r="H72" i="93"/>
  <c r="H87" i="93"/>
  <c r="H63" i="93"/>
  <c r="H177" i="93"/>
  <c r="H165" i="93"/>
  <c r="H156" i="93"/>
  <c r="H171" i="93"/>
  <c r="H150" i="93"/>
  <c r="H138" i="93"/>
  <c r="H117" i="93"/>
  <c r="H108" i="93"/>
  <c r="H96" i="93"/>
  <c r="H123" i="93"/>
  <c r="H57" i="93"/>
  <c r="H37" i="93"/>
  <c r="H81" i="93"/>
  <c r="H49" i="93"/>
  <c r="H144" i="93"/>
  <c r="H61" i="93"/>
  <c r="H33" i="93"/>
  <c r="H129" i="93"/>
  <c r="H90" i="93"/>
  <c r="H75" i="93"/>
  <c r="H35" i="93"/>
  <c r="H23" i="93"/>
  <c r="H102" i="93"/>
  <c r="H45" i="93"/>
  <c r="H13" i="93"/>
  <c r="H66" i="93"/>
  <c r="H25" i="93"/>
  <c r="H59" i="93"/>
  <c r="H47" i="93"/>
  <c r="H69" i="93"/>
  <c r="H21" i="93"/>
  <c r="H9" i="93"/>
  <c r="H11" i="93"/>
  <c r="E198" i="93"/>
  <c r="D198" i="93" s="1"/>
  <c r="D267" i="93" s="1"/>
  <c r="C267" i="93" s="1"/>
  <c r="I182" i="93"/>
  <c r="I175" i="93"/>
  <c r="I163" i="93"/>
  <c r="I170" i="93"/>
  <c r="I168" i="93"/>
  <c r="I158" i="93"/>
  <c r="I156" i="93"/>
  <c r="I178" i="93"/>
  <c r="I166" i="93"/>
  <c r="I154" i="93"/>
  <c r="I180" i="93"/>
  <c r="I173" i="93"/>
  <c r="I171" i="93"/>
  <c r="I161" i="93"/>
  <c r="I159" i="93"/>
  <c r="I149" i="93"/>
  <c r="I147" i="93"/>
  <c r="I137" i="93"/>
  <c r="I135" i="93"/>
  <c r="I179" i="93"/>
  <c r="I169" i="93"/>
  <c r="I157" i="93"/>
  <c r="I145" i="93"/>
  <c r="I181" i="93"/>
  <c r="I172" i="93"/>
  <c r="I160" i="93"/>
  <c r="I148" i="93"/>
  <c r="I136" i="93"/>
  <c r="I177" i="93"/>
  <c r="I167" i="93"/>
  <c r="I165" i="93"/>
  <c r="I155" i="93"/>
  <c r="I153" i="93"/>
  <c r="I162" i="93"/>
  <c r="I134" i="93"/>
  <c r="I133" i="93"/>
  <c r="I138" i="93"/>
  <c r="I128" i="93"/>
  <c r="I176" i="93"/>
  <c r="I151" i="93"/>
  <c r="I132" i="93"/>
  <c r="I119" i="93"/>
  <c r="I117" i="93"/>
  <c r="I107" i="93"/>
  <c r="I105" i="93"/>
  <c r="I95" i="93"/>
  <c r="I93" i="93"/>
  <c r="I83" i="93"/>
  <c r="I81" i="93"/>
  <c r="I131" i="93"/>
  <c r="I127" i="93"/>
  <c r="I115" i="93"/>
  <c r="I103" i="93"/>
  <c r="I91" i="93"/>
  <c r="I174" i="93"/>
  <c r="I164" i="93"/>
  <c r="I141" i="93"/>
  <c r="I130" i="93"/>
  <c r="I152" i="93"/>
  <c r="I144" i="93"/>
  <c r="I143" i="93"/>
  <c r="I142" i="93"/>
  <c r="I129" i="93"/>
  <c r="I118" i="93"/>
  <c r="I106" i="93"/>
  <c r="I94" i="93"/>
  <c r="I82" i="93"/>
  <c r="I126" i="93"/>
  <c r="I122" i="93"/>
  <c r="I116" i="93"/>
  <c r="I140" i="93"/>
  <c r="I71" i="93"/>
  <c r="I69" i="93"/>
  <c r="G32" i="93"/>
  <c r="I139" i="93"/>
  <c r="I124" i="93"/>
  <c r="I146" i="93"/>
  <c r="I74" i="93"/>
  <c r="I72" i="93"/>
  <c r="G44" i="93"/>
  <c r="G36" i="93"/>
  <c r="I87" i="93"/>
  <c r="I85" i="93"/>
  <c r="I70" i="93"/>
  <c r="G58" i="93"/>
  <c r="I125" i="93"/>
  <c r="I99" i="93"/>
  <c r="I97" i="93"/>
  <c r="I96" i="93"/>
  <c r="I90" i="93"/>
  <c r="I89" i="93"/>
  <c r="I88" i="93"/>
  <c r="I86" i="93"/>
  <c r="I80" i="93"/>
  <c r="I79" i="93"/>
  <c r="I77" i="93"/>
  <c r="I75" i="93"/>
  <c r="I65" i="93"/>
  <c r="I63" i="93"/>
  <c r="G56" i="93"/>
  <c r="G48" i="93"/>
  <c r="G40" i="93"/>
  <c r="I111" i="93"/>
  <c r="I109" i="93"/>
  <c r="I108" i="93"/>
  <c r="I102" i="93"/>
  <c r="I101" i="93"/>
  <c r="I100" i="93"/>
  <c r="I98" i="93"/>
  <c r="I92" i="93"/>
  <c r="I84" i="93"/>
  <c r="I73" i="93"/>
  <c r="G38" i="93"/>
  <c r="G54" i="93"/>
  <c r="G28" i="93"/>
  <c r="G26" i="93"/>
  <c r="I110" i="93"/>
  <c r="I68" i="93"/>
  <c r="G10" i="93"/>
  <c r="I66" i="93"/>
  <c r="G42" i="93"/>
  <c r="G22" i="93"/>
  <c r="I76" i="93"/>
  <c r="G62" i="93"/>
  <c r="G50" i="93"/>
  <c r="I123" i="93"/>
  <c r="I78" i="93"/>
  <c r="I64" i="93"/>
  <c r="G52" i="93"/>
  <c r="G14" i="93"/>
  <c r="G12" i="93"/>
  <c r="I114" i="93"/>
  <c r="G46" i="93"/>
  <c r="G24" i="93"/>
  <c r="G20" i="93"/>
  <c r="G16" i="93"/>
  <c r="I150" i="93"/>
  <c r="I121" i="93"/>
  <c r="I113" i="93"/>
  <c r="I67" i="93"/>
  <c r="G34" i="93"/>
  <c r="G30" i="93"/>
  <c r="G18" i="93"/>
  <c r="I120" i="93"/>
  <c r="I112" i="93"/>
  <c r="I104" i="93"/>
  <c r="G60" i="93"/>
  <c r="H183" i="93"/>
  <c r="H188" i="93"/>
  <c r="H180" i="93"/>
  <c r="H159" i="93"/>
  <c r="H147" i="93"/>
  <c r="H187" i="93"/>
  <c r="H174" i="93"/>
  <c r="H153" i="93"/>
  <c r="H132" i="93"/>
  <c r="H105" i="93"/>
  <c r="H93" i="93"/>
  <c r="H141" i="93"/>
  <c r="H84" i="93"/>
  <c r="H126" i="93"/>
  <c r="H29" i="93"/>
  <c r="H41" i="93"/>
  <c r="H51" i="93"/>
  <c r="H53" i="93"/>
  <c r="H99" i="93"/>
  <c r="H43" i="93"/>
  <c r="H111" i="93"/>
  <c r="H19" i="93"/>
  <c r="H17" i="93"/>
  <c r="H31" i="93"/>
  <c r="H27" i="93"/>
  <c r="H78" i="93"/>
  <c r="H15" i="93"/>
  <c r="H55" i="93"/>
  <c r="H39" i="93"/>
  <c r="D202" i="92"/>
  <c r="D268" i="92" s="1"/>
  <c r="C268" i="92" s="1"/>
  <c r="D194" i="92"/>
  <c r="D266" i="92" s="1"/>
  <c r="C266" i="92" s="1"/>
  <c r="E190" i="92"/>
  <c r="D190" i="92" s="1"/>
  <c r="D265" i="92" s="1"/>
  <c r="C265" i="92" s="1"/>
  <c r="H177" i="92"/>
  <c r="H165" i="92"/>
  <c r="H129" i="92"/>
  <c r="H156" i="92"/>
  <c r="H144" i="92"/>
  <c r="H171" i="92"/>
  <c r="H150" i="92"/>
  <c r="H138" i="92"/>
  <c r="H123" i="92"/>
  <c r="H102" i="92"/>
  <c r="H90" i="92"/>
  <c r="H117" i="92"/>
  <c r="H66" i="92"/>
  <c r="H47" i="92"/>
  <c r="H57" i="92"/>
  <c r="H37" i="92"/>
  <c r="H59" i="92"/>
  <c r="H9" i="92"/>
  <c r="H49" i="92"/>
  <c r="H21" i="92"/>
  <c r="H11" i="92"/>
  <c r="H81" i="92"/>
  <c r="H75" i="92"/>
  <c r="H69" i="92"/>
  <c r="H23" i="92"/>
  <c r="H96" i="92"/>
  <c r="H61" i="92"/>
  <c r="H33" i="92"/>
  <c r="H13" i="92"/>
  <c r="H108" i="92"/>
  <c r="H35" i="92"/>
  <c r="H45" i="92"/>
  <c r="H25" i="92"/>
  <c r="E87" i="92"/>
  <c r="E135" i="92"/>
  <c r="H183" i="92"/>
  <c r="H153" i="92"/>
  <c r="H141" i="92"/>
  <c r="H188" i="92"/>
  <c r="H180" i="92"/>
  <c r="H159" i="92"/>
  <c r="H147" i="92"/>
  <c r="H187" i="92"/>
  <c r="H174" i="92"/>
  <c r="H111" i="92"/>
  <c r="H126" i="92"/>
  <c r="H78" i="92"/>
  <c r="H132" i="92"/>
  <c r="H105" i="92"/>
  <c r="H55" i="92"/>
  <c r="H27" i="92"/>
  <c r="H29" i="92"/>
  <c r="H39" i="92"/>
  <c r="H15" i="92"/>
  <c r="H41" i="92"/>
  <c r="H84" i="92"/>
  <c r="H51" i="92"/>
  <c r="H31" i="92"/>
  <c r="H93" i="92"/>
  <c r="H53" i="92"/>
  <c r="H99" i="92"/>
  <c r="H43" i="92"/>
  <c r="H19" i="92"/>
  <c r="H17" i="92"/>
  <c r="E63" i="92"/>
  <c r="E114" i="92"/>
  <c r="P191" i="91"/>
  <c r="L191" i="91"/>
  <c r="P190" i="91"/>
  <c r="P188" i="90"/>
  <c r="L188" i="90"/>
  <c r="P187" i="90"/>
  <c r="T2" i="90"/>
  <c r="S2" i="90"/>
  <c r="P188" i="89"/>
  <c r="L188" i="89"/>
  <c r="P187" i="89"/>
  <c r="P188" i="88"/>
  <c r="L188" i="88"/>
  <c r="P187" i="88"/>
  <c r="T2" i="88"/>
  <c r="S2" i="88"/>
  <c r="P188" i="87"/>
  <c r="L188" i="87"/>
  <c r="P187" i="87"/>
  <c r="H194" i="87"/>
  <c r="N21" i="42"/>
  <c r="M21" i="42"/>
  <c r="L21" i="42"/>
  <c r="N20" i="42"/>
  <c r="M20" i="42"/>
  <c r="L20" i="42"/>
  <c r="N19" i="42"/>
  <c r="M19" i="42"/>
  <c r="L19" i="42"/>
  <c r="N18" i="42"/>
  <c r="M18" i="42"/>
  <c r="L18" i="42"/>
  <c r="N21" i="43"/>
  <c r="M21" i="43"/>
  <c r="L21" i="43"/>
  <c r="N20" i="43"/>
  <c r="M20" i="43"/>
  <c r="L20" i="43"/>
  <c r="N19" i="43"/>
  <c r="M19" i="43"/>
  <c r="L19" i="43"/>
  <c r="N18" i="43"/>
  <c r="M18" i="43"/>
  <c r="L18" i="43"/>
  <c r="N21" i="44"/>
  <c r="M21" i="44"/>
  <c r="L21" i="44"/>
  <c r="N20" i="44"/>
  <c r="M20" i="44"/>
  <c r="L20" i="44"/>
  <c r="N19" i="44"/>
  <c r="M19" i="44"/>
  <c r="L19" i="44"/>
  <c r="N18" i="44"/>
  <c r="M18" i="44"/>
  <c r="L18" i="44"/>
  <c r="J29" i="42"/>
  <c r="J28" i="42"/>
  <c r="J27" i="42"/>
  <c r="J26" i="42"/>
  <c r="J25" i="42"/>
  <c r="J24" i="42"/>
  <c r="J23" i="42"/>
  <c r="J22" i="42"/>
  <c r="J21" i="42"/>
  <c r="J20" i="42"/>
  <c r="J19" i="42"/>
  <c r="J18" i="42"/>
  <c r="J29" i="43"/>
  <c r="J28" i="43"/>
  <c r="J27" i="43"/>
  <c r="J26" i="43"/>
  <c r="J25" i="43"/>
  <c r="J24" i="43"/>
  <c r="J23" i="43"/>
  <c r="J22" i="43"/>
  <c r="J21" i="43"/>
  <c r="J20" i="43"/>
  <c r="J19" i="43"/>
  <c r="J18" i="43"/>
  <c r="J29" i="44"/>
  <c r="J28" i="44"/>
  <c r="J27" i="44"/>
  <c r="J26" i="44"/>
  <c r="J25" i="44"/>
  <c r="J24" i="44"/>
  <c r="J23" i="44"/>
  <c r="J22" i="44"/>
  <c r="J21" i="44"/>
  <c r="J20" i="44"/>
  <c r="J19" i="44"/>
  <c r="J18" i="44"/>
  <c r="H19" i="44"/>
  <c r="F113" i="86"/>
  <c r="Q96" i="86" s="1"/>
  <c r="E113" i="86"/>
  <c r="D113" i="86"/>
  <c r="C113" i="86"/>
  <c r="F112" i="86"/>
  <c r="E112" i="86"/>
  <c r="D112" i="86"/>
  <c r="P94" i="86" s="1"/>
  <c r="C112" i="86"/>
  <c r="P93" i="86" s="1"/>
  <c r="G111" i="86"/>
  <c r="G103" i="86" s="1"/>
  <c r="F110" i="86"/>
  <c r="F111" i="86" s="1"/>
  <c r="E110" i="86"/>
  <c r="O95" i="86" s="1"/>
  <c r="D110" i="86"/>
  <c r="D111" i="86" s="1"/>
  <c r="C110" i="86"/>
  <c r="C111" i="86" s="1"/>
  <c r="H103" i="86"/>
  <c r="F103" i="86"/>
  <c r="E103" i="86"/>
  <c r="D103" i="86"/>
  <c r="C103" i="86"/>
  <c r="X96" i="86"/>
  <c r="W96" i="86"/>
  <c r="V96" i="86"/>
  <c r="U96" i="86"/>
  <c r="T96" i="86"/>
  <c r="P96" i="86"/>
  <c r="N96" i="86"/>
  <c r="L96" i="86"/>
  <c r="J96" i="86"/>
  <c r="X95" i="86"/>
  <c r="W95" i="86"/>
  <c r="V95" i="86"/>
  <c r="U95" i="86"/>
  <c r="T95" i="86"/>
  <c r="Q95" i="86"/>
  <c r="P95" i="86"/>
  <c r="N95" i="86"/>
  <c r="L95" i="86"/>
  <c r="J95" i="86"/>
  <c r="X94" i="86"/>
  <c r="W94" i="86"/>
  <c r="V94" i="86"/>
  <c r="U94" i="86"/>
  <c r="T94" i="86"/>
  <c r="Q94" i="86"/>
  <c r="N94" i="86"/>
  <c r="L94" i="86"/>
  <c r="J94" i="86"/>
  <c r="X93" i="86"/>
  <c r="W93" i="86"/>
  <c r="V93" i="86"/>
  <c r="U93" i="86"/>
  <c r="T93" i="86"/>
  <c r="Q93" i="86"/>
  <c r="N93" i="86"/>
  <c r="L93" i="86"/>
  <c r="K93" i="86"/>
  <c r="J93" i="86"/>
  <c r="J88" i="86"/>
  <c r="J87" i="86"/>
  <c r="F86" i="86"/>
  <c r="E86" i="86"/>
  <c r="Q68" i="86" s="1"/>
  <c r="D86" i="86"/>
  <c r="C86" i="86"/>
  <c r="F85" i="86"/>
  <c r="E85" i="86"/>
  <c r="D85" i="86"/>
  <c r="C85" i="86"/>
  <c r="P66" i="86" s="1"/>
  <c r="G84" i="86"/>
  <c r="D83" i="86"/>
  <c r="D84" i="86" s="1"/>
  <c r="H76" i="86"/>
  <c r="G76" i="86"/>
  <c r="F76" i="86"/>
  <c r="F83" i="86" s="1"/>
  <c r="E76" i="86"/>
  <c r="E83" i="86" s="1"/>
  <c r="D76" i="86"/>
  <c r="C76" i="86"/>
  <c r="C83" i="86" s="1"/>
  <c r="X69" i="86"/>
  <c r="W69" i="86"/>
  <c r="V69" i="86"/>
  <c r="U69" i="86"/>
  <c r="T69" i="86"/>
  <c r="Q69" i="86"/>
  <c r="P69" i="86"/>
  <c r="N69" i="86"/>
  <c r="L69" i="86"/>
  <c r="J69" i="86"/>
  <c r="X68" i="86"/>
  <c r="W68" i="86"/>
  <c r="V68" i="86"/>
  <c r="U68" i="86"/>
  <c r="T68" i="86"/>
  <c r="P68" i="86"/>
  <c r="N68" i="86"/>
  <c r="L68" i="86"/>
  <c r="J68" i="86"/>
  <c r="X67" i="86"/>
  <c r="W67" i="86"/>
  <c r="V67" i="86"/>
  <c r="U67" i="86"/>
  <c r="T67" i="86"/>
  <c r="Q67" i="86"/>
  <c r="P67" i="86"/>
  <c r="N67" i="86"/>
  <c r="L67" i="86"/>
  <c r="J67" i="86"/>
  <c r="X66" i="86"/>
  <c r="W66" i="86"/>
  <c r="V66" i="86"/>
  <c r="U66" i="86"/>
  <c r="T66" i="86"/>
  <c r="Q66" i="86"/>
  <c r="N66" i="86"/>
  <c r="L66" i="86"/>
  <c r="K66" i="86"/>
  <c r="J66" i="86"/>
  <c r="J61" i="86"/>
  <c r="J60" i="86"/>
  <c r="F59" i="86"/>
  <c r="E59" i="86"/>
  <c r="Q41" i="86" s="1"/>
  <c r="D59" i="86"/>
  <c r="C59" i="86"/>
  <c r="F58" i="86"/>
  <c r="E58" i="86"/>
  <c r="D58" i="86"/>
  <c r="C58" i="86"/>
  <c r="C57" i="86"/>
  <c r="F56" i="86"/>
  <c r="O42" i="86" s="1"/>
  <c r="C56" i="86"/>
  <c r="H49" i="86"/>
  <c r="G49" i="86"/>
  <c r="F49" i="86"/>
  <c r="E49" i="86"/>
  <c r="E56" i="86" s="1"/>
  <c r="D49" i="86"/>
  <c r="D56" i="86" s="1"/>
  <c r="C49" i="86"/>
  <c r="X42" i="86"/>
  <c r="W42" i="86"/>
  <c r="V42" i="86"/>
  <c r="U42" i="86"/>
  <c r="T42" i="86"/>
  <c r="Q42" i="86"/>
  <c r="P42" i="86"/>
  <c r="N42" i="86"/>
  <c r="L42" i="86"/>
  <c r="J42" i="86"/>
  <c r="X41" i="86"/>
  <c r="W41" i="86"/>
  <c r="V41" i="86"/>
  <c r="U41" i="86"/>
  <c r="T41" i="86"/>
  <c r="P41" i="86"/>
  <c r="N41" i="86"/>
  <c r="L41" i="86"/>
  <c r="J41" i="86"/>
  <c r="X40" i="86"/>
  <c r="W40" i="86"/>
  <c r="V40" i="86"/>
  <c r="U40" i="86"/>
  <c r="T40" i="86"/>
  <c r="Q40" i="86"/>
  <c r="P40" i="86"/>
  <c r="N40" i="86"/>
  <c r="L40" i="86"/>
  <c r="J40" i="86"/>
  <c r="X39" i="86"/>
  <c r="W39" i="86"/>
  <c r="V39" i="86"/>
  <c r="U39" i="86"/>
  <c r="T39" i="86"/>
  <c r="Q39" i="86"/>
  <c r="P39" i="86"/>
  <c r="O39" i="86"/>
  <c r="N39" i="86"/>
  <c r="L39" i="86"/>
  <c r="K39" i="86"/>
  <c r="J39" i="86"/>
  <c r="J34" i="86"/>
  <c r="J33" i="86"/>
  <c r="F32" i="86"/>
  <c r="E32" i="86"/>
  <c r="D32" i="86"/>
  <c r="C32" i="86"/>
  <c r="F31" i="86"/>
  <c r="P15" i="86" s="1"/>
  <c r="E31" i="86"/>
  <c r="D31" i="86"/>
  <c r="P13" i="86" s="1"/>
  <c r="C31" i="86"/>
  <c r="P12" i="86" s="1"/>
  <c r="F30" i="86"/>
  <c r="E30" i="86"/>
  <c r="D30" i="86"/>
  <c r="C30" i="86"/>
  <c r="F29" i="86"/>
  <c r="O15" i="86" s="1"/>
  <c r="D29" i="86"/>
  <c r="O13" i="86" s="1"/>
  <c r="C29" i="86"/>
  <c r="O12" i="86" s="1"/>
  <c r="H22" i="86"/>
  <c r="G22" i="86"/>
  <c r="F22" i="86"/>
  <c r="E22" i="86"/>
  <c r="E29" i="86" s="1"/>
  <c r="O14" i="86" s="1"/>
  <c r="D22" i="86"/>
  <c r="C22" i="86"/>
  <c r="X15" i="86"/>
  <c r="W15" i="86"/>
  <c r="V15" i="86"/>
  <c r="U15" i="86"/>
  <c r="T15" i="86"/>
  <c r="Q15" i="86"/>
  <c r="N15" i="86"/>
  <c r="L15" i="86"/>
  <c r="J15" i="86"/>
  <c r="X14" i="86"/>
  <c r="W14" i="86"/>
  <c r="V14" i="86"/>
  <c r="U14" i="86"/>
  <c r="T14" i="86"/>
  <c r="Q14" i="86"/>
  <c r="P14" i="86"/>
  <c r="N14" i="86"/>
  <c r="L14" i="86"/>
  <c r="J14" i="86"/>
  <c r="X13" i="86"/>
  <c r="W13" i="86"/>
  <c r="V13" i="86"/>
  <c r="U13" i="86"/>
  <c r="T13" i="86"/>
  <c r="Q13" i="86"/>
  <c r="N13" i="86"/>
  <c r="L13" i="86"/>
  <c r="J13" i="86"/>
  <c r="X12" i="86"/>
  <c r="W12" i="86"/>
  <c r="V12" i="86"/>
  <c r="U12" i="86"/>
  <c r="T12" i="86"/>
  <c r="Q12" i="86"/>
  <c r="N12" i="86"/>
  <c r="L12" i="86"/>
  <c r="K12" i="86"/>
  <c r="J12" i="86"/>
  <c r="J7" i="86"/>
  <c r="J6" i="86"/>
  <c r="T153" i="92"/>
  <c r="T111" i="92"/>
  <c r="T114" i="94"/>
  <c r="T105" i="93"/>
  <c r="T81" i="93"/>
  <c r="T90" i="93"/>
  <c r="T162" i="93"/>
  <c r="T39" i="94"/>
  <c r="T99" i="93"/>
  <c r="T126" i="93"/>
  <c r="T72" i="93"/>
  <c r="T57" i="94"/>
  <c r="T171" i="94"/>
  <c r="T132" i="92"/>
  <c r="T135" i="94"/>
  <c r="T159" i="93"/>
  <c r="T111" i="94"/>
  <c r="T69" i="93"/>
  <c r="T96" i="94"/>
  <c r="T78" i="94"/>
  <c r="T141" i="93"/>
  <c r="T81" i="92"/>
  <c r="T69" i="92"/>
  <c r="T99" i="94"/>
  <c r="T174" i="94"/>
  <c r="T33" i="92"/>
  <c r="T75" i="92"/>
  <c r="T81" i="94"/>
  <c r="T45" i="93"/>
  <c r="T177" i="93"/>
  <c r="T162" i="94"/>
  <c r="T21" i="92"/>
  <c r="T21" i="94"/>
  <c r="T180" i="94"/>
  <c r="T165" i="94"/>
  <c r="T9" i="92"/>
  <c r="T108" i="94"/>
  <c r="T66" i="94"/>
  <c r="T159" i="92"/>
  <c r="T120" i="93"/>
  <c r="T156" i="94"/>
  <c r="T117" i="92"/>
  <c r="T171" i="92"/>
  <c r="T57" i="93"/>
  <c r="T45" i="92"/>
  <c r="T93" i="93"/>
  <c r="T129" i="93"/>
  <c r="T168" i="94"/>
  <c r="T87" i="93"/>
  <c r="T153" i="94"/>
  <c r="T63" i="93"/>
  <c r="T90" i="94"/>
  <c r="T15" i="92"/>
  <c r="T123" i="93"/>
  <c r="T141" i="92"/>
  <c r="T15" i="93"/>
  <c r="T27" i="92"/>
  <c r="T129" i="94"/>
  <c r="T105" i="94"/>
  <c r="T117" i="93"/>
  <c r="T66" i="93"/>
  <c r="T96" i="92"/>
  <c r="T57" i="92"/>
  <c r="T51" i="92"/>
  <c r="T150" i="93"/>
  <c r="T156" i="93"/>
  <c r="T21" i="93"/>
  <c r="T153" i="93"/>
  <c r="T141" i="94"/>
  <c r="T33" i="93"/>
  <c r="T96" i="93"/>
  <c r="T156" i="92"/>
  <c r="T111" i="93"/>
  <c r="T33" i="94"/>
  <c r="T138" i="93"/>
  <c r="T126" i="94"/>
  <c r="T114" i="93"/>
  <c r="T102" i="92"/>
  <c r="T102" i="94"/>
  <c r="T51" i="93"/>
  <c r="T120" i="94"/>
  <c r="T90" i="92"/>
  <c r="T174" i="92"/>
  <c r="T93" i="94"/>
  <c r="T150" i="92"/>
  <c r="T102" i="93"/>
  <c r="T150" i="94"/>
  <c r="T84" i="93"/>
  <c r="T168" i="93"/>
  <c r="T27" i="93"/>
  <c r="T75" i="93"/>
  <c r="T126" i="92"/>
  <c r="T159" i="94"/>
  <c r="T174" i="93"/>
  <c r="T180" i="93"/>
  <c r="T165" i="92"/>
  <c r="T93" i="92"/>
  <c r="T123" i="94"/>
  <c r="T132" i="94"/>
  <c r="T138" i="94"/>
  <c r="T9" i="93"/>
  <c r="T117" i="94"/>
  <c r="T9" i="94"/>
  <c r="T69" i="94"/>
  <c r="T87" i="94"/>
  <c r="T84" i="94"/>
  <c r="T147" i="94"/>
  <c r="T144" i="92"/>
  <c r="T105" i="92"/>
  <c r="T39" i="92"/>
  <c r="T144" i="94"/>
  <c r="T177" i="92"/>
  <c r="T39" i="93"/>
  <c r="T27" i="94"/>
  <c r="T78" i="93"/>
  <c r="T147" i="92"/>
  <c r="T132" i="93"/>
  <c r="T78" i="92"/>
  <c r="T123" i="92"/>
  <c r="T180" i="92"/>
  <c r="T108" i="92"/>
  <c r="T15" i="94"/>
  <c r="T108" i="93"/>
  <c r="T171" i="93"/>
  <c r="T99" i="92"/>
  <c r="T138" i="92"/>
  <c r="T75" i="94"/>
  <c r="T147" i="93"/>
  <c r="T177" i="94"/>
  <c r="T129" i="92"/>
  <c r="T135" i="93"/>
  <c r="T84" i="92"/>
  <c r="T66" i="92"/>
  <c r="T72" i="94"/>
  <c r="T51" i="94"/>
  <c r="T45" i="94"/>
  <c r="T63" i="94"/>
  <c r="T165" i="93"/>
  <c r="T144" i="93"/>
  <c r="E117" i="94" l="1"/>
  <c r="E120" i="94"/>
  <c r="E81" i="94"/>
  <c r="E108" i="94"/>
  <c r="E21" i="94"/>
  <c r="E57" i="94"/>
  <c r="E144" i="94"/>
  <c r="E135" i="94"/>
  <c r="E93" i="94"/>
  <c r="E159" i="94"/>
  <c r="E78" i="94"/>
  <c r="E9" i="94"/>
  <c r="E66" i="94"/>
  <c r="E102" i="94"/>
  <c r="E63" i="94"/>
  <c r="E51" i="94"/>
  <c r="E105" i="94"/>
  <c r="E147" i="94"/>
  <c r="E90" i="94"/>
  <c r="E165" i="94"/>
  <c r="E87" i="94"/>
  <c r="E84" i="94"/>
  <c r="E141" i="94"/>
  <c r="E123" i="94"/>
  <c r="E69" i="94"/>
  <c r="E171" i="94"/>
  <c r="E177" i="94"/>
  <c r="E114" i="94"/>
  <c r="E15" i="94"/>
  <c r="E188" i="94"/>
  <c r="D188" i="94" s="1"/>
  <c r="D264" i="94" s="1"/>
  <c r="C264" i="94" s="1"/>
  <c r="E187" i="94"/>
  <c r="D187" i="94" s="1"/>
  <c r="D263" i="94" s="1"/>
  <c r="C263" i="94" s="1"/>
  <c r="E153" i="94"/>
  <c r="E33" i="94"/>
  <c r="E174" i="94"/>
  <c r="E96" i="94"/>
  <c r="E129" i="94"/>
  <c r="E45" i="94"/>
  <c r="E150" i="94"/>
  <c r="E162" i="94"/>
  <c r="E126" i="94"/>
  <c r="E183" i="94"/>
  <c r="E180" i="94"/>
  <c r="E168" i="94"/>
  <c r="E27" i="94"/>
  <c r="E99" i="94"/>
  <c r="E111" i="94"/>
  <c r="E156" i="94"/>
  <c r="E75" i="94"/>
  <c r="E138" i="94"/>
  <c r="E72" i="94"/>
  <c r="E39" i="94"/>
  <c r="E132" i="94"/>
  <c r="E153" i="93"/>
  <c r="E174" i="93"/>
  <c r="E87" i="93"/>
  <c r="E187" i="93"/>
  <c r="D187" i="93" s="1"/>
  <c r="D263" i="93" s="1"/>
  <c r="C263" i="93" s="1"/>
  <c r="E75" i="93"/>
  <c r="E72" i="93"/>
  <c r="E39" i="93"/>
  <c r="E111" i="93"/>
  <c r="E84" i="93"/>
  <c r="E147" i="93"/>
  <c r="E90" i="93"/>
  <c r="E57" i="93"/>
  <c r="E171" i="93"/>
  <c r="E114" i="93"/>
  <c r="E150" i="93"/>
  <c r="E141" i="93"/>
  <c r="E159" i="93"/>
  <c r="E66" i="93"/>
  <c r="E129" i="93"/>
  <c r="E123" i="93"/>
  <c r="E156" i="93"/>
  <c r="E120" i="93"/>
  <c r="E15" i="93"/>
  <c r="E93" i="93"/>
  <c r="E33" i="93"/>
  <c r="E96" i="93"/>
  <c r="E135" i="93"/>
  <c r="E99" i="93"/>
  <c r="E180" i="93"/>
  <c r="E78" i="93"/>
  <c r="E105" i="93"/>
  <c r="E188" i="93"/>
  <c r="D188" i="93" s="1"/>
  <c r="D264" i="93" s="1"/>
  <c r="C264" i="93" s="1"/>
  <c r="E9" i="93"/>
  <c r="E45" i="93"/>
  <c r="E108" i="93"/>
  <c r="E165" i="93"/>
  <c r="E162" i="93"/>
  <c r="E27" i="93"/>
  <c r="E51" i="93"/>
  <c r="E132" i="93"/>
  <c r="E183" i="93"/>
  <c r="E21" i="93"/>
  <c r="E102" i="93"/>
  <c r="E144" i="93"/>
  <c r="E117" i="93"/>
  <c r="E177" i="93"/>
  <c r="E168" i="93"/>
  <c r="E69" i="93"/>
  <c r="E138" i="93"/>
  <c r="E63" i="93"/>
  <c r="E81" i="93"/>
  <c r="E126" i="93"/>
  <c r="E102" i="92"/>
  <c r="E39" i="92"/>
  <c r="E111" i="92"/>
  <c r="E153" i="92"/>
  <c r="E123" i="92"/>
  <c r="E129" i="92"/>
  <c r="E174" i="92"/>
  <c r="E183" i="92"/>
  <c r="E45" i="92"/>
  <c r="E69" i="92"/>
  <c r="E138" i="92"/>
  <c r="E165" i="92"/>
  <c r="E93" i="92"/>
  <c r="E27" i="92"/>
  <c r="E187" i="92"/>
  <c r="D187" i="92" s="1"/>
  <c r="D263" i="92" s="1"/>
  <c r="C263" i="92" s="1"/>
  <c r="E75" i="92"/>
  <c r="E57" i="92"/>
  <c r="E150" i="92"/>
  <c r="E177" i="92"/>
  <c r="E147" i="92"/>
  <c r="E108" i="92"/>
  <c r="E66" i="92"/>
  <c r="E81" i="92"/>
  <c r="E105" i="92"/>
  <c r="E51" i="92"/>
  <c r="E159" i="92"/>
  <c r="E171" i="92"/>
  <c r="E84" i="92"/>
  <c r="E132" i="92"/>
  <c r="E180" i="92"/>
  <c r="E33" i="92"/>
  <c r="E21" i="92"/>
  <c r="E117" i="92"/>
  <c r="E144" i="92"/>
  <c r="E78" i="92"/>
  <c r="E188" i="92"/>
  <c r="D188" i="92" s="1"/>
  <c r="D264" i="92" s="1"/>
  <c r="C264" i="92" s="1"/>
  <c r="E90" i="92"/>
  <c r="E156" i="92"/>
  <c r="E96" i="92"/>
  <c r="E99" i="92"/>
  <c r="E15" i="92"/>
  <c r="E126" i="92"/>
  <c r="E141" i="92"/>
  <c r="E9" i="92"/>
  <c r="I182" i="91"/>
  <c r="I172" i="91"/>
  <c r="I184" i="91"/>
  <c r="I180" i="91"/>
  <c r="I170" i="91"/>
  <c r="I168" i="91"/>
  <c r="I158" i="91"/>
  <c r="I156" i="91"/>
  <c r="I146" i="91"/>
  <c r="I144" i="91"/>
  <c r="I134" i="91"/>
  <c r="I132" i="91"/>
  <c r="I185" i="91"/>
  <c r="I178" i="91"/>
  <c r="I166" i="91"/>
  <c r="I173" i="91"/>
  <c r="I171" i="91"/>
  <c r="I161" i="91"/>
  <c r="I159" i="91"/>
  <c r="I149" i="91"/>
  <c r="I147" i="91"/>
  <c r="I137" i="91"/>
  <c r="I135" i="91"/>
  <c r="I181" i="91"/>
  <c r="I169" i="91"/>
  <c r="I157" i="91"/>
  <c r="I145" i="91"/>
  <c r="I175" i="91"/>
  <c r="I183" i="91"/>
  <c r="I162" i="91"/>
  <c r="I160" i="91"/>
  <c r="I154" i="91"/>
  <c r="I153" i="91"/>
  <c r="I152" i="91"/>
  <c r="I165" i="91"/>
  <c r="I164" i="91"/>
  <c r="I163" i="91"/>
  <c r="I155" i="91"/>
  <c r="I131" i="91"/>
  <c r="I130" i="91"/>
  <c r="I121" i="91"/>
  <c r="I109" i="91"/>
  <c r="I97" i="91"/>
  <c r="I176" i="91"/>
  <c r="I174" i="91"/>
  <c r="I179" i="91"/>
  <c r="I177" i="91"/>
  <c r="I167" i="91"/>
  <c r="I129" i="91"/>
  <c r="I127" i="91"/>
  <c r="I115" i="91"/>
  <c r="I103" i="91"/>
  <c r="I123" i="91"/>
  <c r="I113" i="91"/>
  <c r="I112" i="91"/>
  <c r="I139" i="91"/>
  <c r="I133" i="91"/>
  <c r="I128" i="91"/>
  <c r="I117" i="91"/>
  <c r="I107" i="91"/>
  <c r="I106" i="91"/>
  <c r="I151" i="91"/>
  <c r="I143" i="91"/>
  <c r="I122" i="91"/>
  <c r="I111" i="91"/>
  <c r="I101" i="91"/>
  <c r="I100" i="91"/>
  <c r="I89" i="91"/>
  <c r="I148" i="91"/>
  <c r="I140" i="91"/>
  <c r="I126" i="91"/>
  <c r="I116" i="91"/>
  <c r="I105" i="91"/>
  <c r="I94" i="91"/>
  <c r="I93" i="91"/>
  <c r="I83" i="91"/>
  <c r="I81" i="91"/>
  <c r="I136" i="91"/>
  <c r="I120" i="91"/>
  <c r="I110" i="91"/>
  <c r="I141" i="91"/>
  <c r="I114" i="91"/>
  <c r="I104" i="91"/>
  <c r="I91" i="91"/>
  <c r="I86" i="91"/>
  <c r="I84" i="91"/>
  <c r="I74" i="91"/>
  <c r="I72" i="91"/>
  <c r="I138" i="91"/>
  <c r="I125" i="91"/>
  <c r="I124" i="91"/>
  <c r="I108" i="91"/>
  <c r="I98" i="91"/>
  <c r="I150" i="91"/>
  <c r="I142" i="91"/>
  <c r="I119" i="91"/>
  <c r="I118" i="91"/>
  <c r="I102" i="91"/>
  <c r="I90" i="91"/>
  <c r="I87" i="91"/>
  <c r="I77" i="91"/>
  <c r="I75" i="91"/>
  <c r="I65" i="91"/>
  <c r="I63" i="91"/>
  <c r="G56" i="91"/>
  <c r="I76" i="91"/>
  <c r="G62" i="91"/>
  <c r="G10" i="91"/>
  <c r="I85" i="91"/>
  <c r="I71" i="91"/>
  <c r="I70" i="91"/>
  <c r="G60" i="91"/>
  <c r="G38" i="91"/>
  <c r="G30" i="91"/>
  <c r="G22" i="91"/>
  <c r="I64" i="91"/>
  <c r="G54" i="91"/>
  <c r="G32" i="91"/>
  <c r="G20" i="91"/>
  <c r="I95" i="91"/>
  <c r="I69" i="91"/>
  <c r="G58" i="91"/>
  <c r="G52" i="91"/>
  <c r="G50" i="91"/>
  <c r="G42" i="91"/>
  <c r="G34" i="91"/>
  <c r="G14" i="91"/>
  <c r="G12" i="91"/>
  <c r="I79" i="91"/>
  <c r="I99" i="91"/>
  <c r="I73" i="91"/>
  <c r="G24" i="91"/>
  <c r="I80" i="91"/>
  <c r="I78" i="91"/>
  <c r="I68" i="91"/>
  <c r="G46" i="91"/>
  <c r="G18" i="91"/>
  <c r="I67" i="91"/>
  <c r="G44" i="91"/>
  <c r="G36" i="91"/>
  <c r="G28" i="91"/>
  <c r="G16" i="91"/>
  <c r="G48" i="91"/>
  <c r="G40" i="91"/>
  <c r="I82" i="91"/>
  <c r="I66" i="91"/>
  <c r="G26" i="91"/>
  <c r="H197" i="91"/>
  <c r="H205" i="91"/>
  <c r="H193" i="91"/>
  <c r="E193" i="91" s="1"/>
  <c r="H201" i="91"/>
  <c r="E205" i="91" s="1"/>
  <c r="E281" i="91"/>
  <c r="D277" i="91"/>
  <c r="Y6" i="91" s="1"/>
  <c r="D280" i="91"/>
  <c r="AB6" i="91" s="1"/>
  <c r="D276" i="91"/>
  <c r="X6" i="91" s="1"/>
  <c r="E279" i="91"/>
  <c r="D279" i="91"/>
  <c r="AA6" i="91" s="1"/>
  <c r="E278" i="91"/>
  <c r="D278" i="91"/>
  <c r="Z6" i="91" s="1"/>
  <c r="E280" i="91"/>
  <c r="E277" i="91"/>
  <c r="E276" i="91"/>
  <c r="H190" i="90"/>
  <c r="E190" i="90" s="1"/>
  <c r="H198" i="90"/>
  <c r="E202" i="90" s="1"/>
  <c r="E278" i="90"/>
  <c r="D274" i="90"/>
  <c r="Y6" i="90" s="1"/>
  <c r="E277" i="90"/>
  <c r="E273" i="90"/>
  <c r="D277" i="90"/>
  <c r="AB6" i="90" s="1"/>
  <c r="D273" i="90"/>
  <c r="X6" i="90" s="1"/>
  <c r="E276" i="90"/>
  <c r="D276" i="90"/>
  <c r="AA6" i="90" s="1"/>
  <c r="E275" i="90"/>
  <c r="D275" i="90"/>
  <c r="Z6" i="90" s="1"/>
  <c r="E274" i="90"/>
  <c r="H194" i="90"/>
  <c r="E194" i="90" s="1"/>
  <c r="H202" i="90"/>
  <c r="I179" i="89"/>
  <c r="I169" i="89"/>
  <c r="I176" i="89"/>
  <c r="I174" i="89"/>
  <c r="I164" i="89"/>
  <c r="I162" i="89"/>
  <c r="I152" i="89"/>
  <c r="I150" i="89"/>
  <c r="I140" i="89"/>
  <c r="I138" i="89"/>
  <c r="I128" i="89"/>
  <c r="I181" i="89"/>
  <c r="I172" i="89"/>
  <c r="I177" i="89"/>
  <c r="I167" i="89"/>
  <c r="I165" i="89"/>
  <c r="I155" i="89"/>
  <c r="I153" i="89"/>
  <c r="I143" i="89"/>
  <c r="I141" i="89"/>
  <c r="I182" i="89"/>
  <c r="I175" i="89"/>
  <c r="I163" i="89"/>
  <c r="I170" i="89"/>
  <c r="I168" i="89"/>
  <c r="I158" i="89"/>
  <c r="I156" i="89"/>
  <c r="I146" i="89"/>
  <c r="I144" i="89"/>
  <c r="I134" i="89"/>
  <c r="I132" i="89"/>
  <c r="I171" i="89"/>
  <c r="I125" i="89"/>
  <c r="I123" i="89"/>
  <c r="I178" i="89"/>
  <c r="I173" i="89"/>
  <c r="I159" i="89"/>
  <c r="I154" i="89"/>
  <c r="I151" i="89"/>
  <c r="I148" i="89"/>
  <c r="I147" i="89"/>
  <c r="I145" i="89"/>
  <c r="I137" i="89"/>
  <c r="I131" i="89"/>
  <c r="I130" i="89"/>
  <c r="I126" i="89"/>
  <c r="I116" i="89"/>
  <c r="I114" i="89"/>
  <c r="I104" i="89"/>
  <c r="I102" i="89"/>
  <c r="I92" i="89"/>
  <c r="I149" i="89"/>
  <c r="I124" i="89"/>
  <c r="I112" i="89"/>
  <c r="I100" i="89"/>
  <c r="I160" i="89"/>
  <c r="I129" i="89"/>
  <c r="I119" i="89"/>
  <c r="I117" i="89"/>
  <c r="I107" i="89"/>
  <c r="I105" i="89"/>
  <c r="I95" i="89"/>
  <c r="I93" i="89"/>
  <c r="I180" i="89"/>
  <c r="I161" i="89"/>
  <c r="I166" i="89"/>
  <c r="I157" i="89"/>
  <c r="I127" i="89"/>
  <c r="I118" i="89"/>
  <c r="I106" i="89"/>
  <c r="I94" i="89"/>
  <c r="I115" i="89"/>
  <c r="I91" i="89"/>
  <c r="I86" i="89"/>
  <c r="I85" i="89"/>
  <c r="I73" i="89"/>
  <c r="I133" i="89"/>
  <c r="I121" i="89"/>
  <c r="I110" i="89"/>
  <c r="I96" i="89"/>
  <c r="I90" i="89"/>
  <c r="I80" i="89"/>
  <c r="I78" i="89"/>
  <c r="I111" i="89"/>
  <c r="I101" i="89"/>
  <c r="I76" i="89"/>
  <c r="I64" i="89"/>
  <c r="I136" i="89"/>
  <c r="I97" i="89"/>
  <c r="I89" i="89"/>
  <c r="I83" i="89"/>
  <c r="I81" i="89"/>
  <c r="I71" i="89"/>
  <c r="I69" i="89"/>
  <c r="I120" i="89"/>
  <c r="I103" i="89"/>
  <c r="I88" i="89"/>
  <c r="I79" i="89"/>
  <c r="I67" i="89"/>
  <c r="G62" i="89"/>
  <c r="G54" i="89"/>
  <c r="G46" i="89"/>
  <c r="G18" i="89"/>
  <c r="I139" i="89"/>
  <c r="I135" i="89"/>
  <c r="I108" i="89"/>
  <c r="I98" i="89"/>
  <c r="I87" i="89"/>
  <c r="I84" i="89"/>
  <c r="I74" i="89"/>
  <c r="I72" i="89"/>
  <c r="I122" i="89"/>
  <c r="I113" i="89"/>
  <c r="I99" i="89"/>
  <c r="I82" i="89"/>
  <c r="I142" i="89"/>
  <c r="I109" i="89"/>
  <c r="I77" i="89"/>
  <c r="I75" i="89"/>
  <c r="I65" i="89"/>
  <c r="I63" i="89"/>
  <c r="G56" i="89"/>
  <c r="G48" i="89"/>
  <c r="G40" i="89"/>
  <c r="G58" i="89"/>
  <c r="G10" i="89"/>
  <c r="I68" i="89"/>
  <c r="G50" i="89"/>
  <c r="G44" i="89"/>
  <c r="G38" i="89"/>
  <c r="G20" i="89"/>
  <c r="I70" i="89"/>
  <c r="G32" i="89"/>
  <c r="G26" i="89"/>
  <c r="G42" i="89"/>
  <c r="G36" i="89"/>
  <c r="G30" i="89"/>
  <c r="G14" i="89"/>
  <c r="G12" i="89"/>
  <c r="G52" i="89"/>
  <c r="G24" i="89"/>
  <c r="G60" i="89"/>
  <c r="G34" i="89"/>
  <c r="G28" i="89"/>
  <c r="G22" i="89"/>
  <c r="I66" i="89"/>
  <c r="G16" i="89"/>
  <c r="H198" i="89"/>
  <c r="E202" i="89" s="1"/>
  <c r="H190" i="89"/>
  <c r="E190" i="89" s="1"/>
  <c r="H202" i="89"/>
  <c r="H194" i="89"/>
  <c r="E194" i="89" s="1"/>
  <c r="E278" i="89"/>
  <c r="D274" i="89"/>
  <c r="Y6" i="89" s="1"/>
  <c r="E277" i="89"/>
  <c r="E273" i="89"/>
  <c r="D277" i="89"/>
  <c r="AB6" i="89" s="1"/>
  <c r="D273" i="89"/>
  <c r="X6" i="89" s="1"/>
  <c r="E276" i="89"/>
  <c r="D276" i="89"/>
  <c r="AA6" i="89" s="1"/>
  <c r="E275" i="89"/>
  <c r="D275" i="89"/>
  <c r="Z6" i="89" s="1"/>
  <c r="E274" i="89"/>
  <c r="H190" i="88"/>
  <c r="E190" i="88" s="1"/>
  <c r="D190" i="88" s="1"/>
  <c r="D265" i="88" s="1"/>
  <c r="C265" i="88" s="1"/>
  <c r="H194" i="88"/>
  <c r="E194" i="88" s="1"/>
  <c r="D194" i="88" s="1"/>
  <c r="D266" i="88" s="1"/>
  <c r="C266" i="88" s="1"/>
  <c r="H168" i="88"/>
  <c r="H120" i="88"/>
  <c r="H135" i="88"/>
  <c r="H114" i="88"/>
  <c r="H72" i="88"/>
  <c r="H87" i="88"/>
  <c r="H63" i="88"/>
  <c r="E63" i="88" s="1"/>
  <c r="H162" i="88"/>
  <c r="H198" i="88"/>
  <c r="E202" i="88" s="1"/>
  <c r="E278" i="88"/>
  <c r="D274" i="88"/>
  <c r="Y6" i="88" s="1"/>
  <c r="E277" i="88"/>
  <c r="E273" i="88"/>
  <c r="D277" i="88"/>
  <c r="AB6" i="88" s="1"/>
  <c r="D273" i="88"/>
  <c r="X6" i="88" s="1"/>
  <c r="E276" i="88"/>
  <c r="D276" i="88"/>
  <c r="AA6" i="88" s="1"/>
  <c r="E275" i="88"/>
  <c r="D275" i="88"/>
  <c r="Z6" i="88" s="1"/>
  <c r="E274" i="88"/>
  <c r="H202" i="88"/>
  <c r="E278" i="87"/>
  <c r="D274" i="87"/>
  <c r="Y6" i="87" s="1"/>
  <c r="E277" i="87"/>
  <c r="E273" i="87"/>
  <c r="D277" i="87"/>
  <c r="AB6" i="87" s="1"/>
  <c r="D273" i="87"/>
  <c r="X6" i="87" s="1"/>
  <c r="E276" i="87"/>
  <c r="D276" i="87"/>
  <c r="AA6" i="87" s="1"/>
  <c r="E194" i="87"/>
  <c r="D194" i="87" s="1"/>
  <c r="D266" i="87" s="1"/>
  <c r="C266" i="87" s="1"/>
  <c r="E275" i="87"/>
  <c r="D275" i="87"/>
  <c r="Z6" i="87" s="1"/>
  <c r="E274" i="87"/>
  <c r="H202" i="87"/>
  <c r="H190" i="87"/>
  <c r="H198" i="87"/>
  <c r="E202" i="87" s="1"/>
  <c r="O40" i="86"/>
  <c r="D57" i="86"/>
  <c r="E57" i="86"/>
  <c r="O41" i="86"/>
  <c r="E84" i="86"/>
  <c r="O68" i="86"/>
  <c r="O69" i="86"/>
  <c r="F84" i="86"/>
  <c r="C84" i="86"/>
  <c r="O66" i="86"/>
  <c r="O93" i="86"/>
  <c r="O96" i="86"/>
  <c r="F57" i="86"/>
  <c r="O94" i="86"/>
  <c r="O67" i="86"/>
  <c r="E111" i="86"/>
  <c r="T114" i="88"/>
  <c r="T72" i="88"/>
  <c r="T135" i="88"/>
  <c r="T162" i="88"/>
  <c r="T87" i="88"/>
  <c r="T63" i="88"/>
  <c r="T120" i="88"/>
  <c r="T168" i="88"/>
  <c r="D183" i="93" l="1"/>
  <c r="D262" i="93" s="1"/>
  <c r="C262" i="93" s="1"/>
  <c r="D183" i="92"/>
  <c r="D262" i="92" s="1"/>
  <c r="C262" i="92" s="1"/>
  <c r="D183" i="94"/>
  <c r="D262" i="94" s="1"/>
  <c r="C262" i="94" s="1"/>
  <c r="E162" i="88"/>
  <c r="E72" i="88"/>
  <c r="E120" i="88"/>
  <c r="E114" i="88"/>
  <c r="E201" i="91"/>
  <c r="D201" i="91" s="1"/>
  <c r="D270" i="91" s="1"/>
  <c r="C270" i="91" s="1"/>
  <c r="E198" i="90"/>
  <c r="D202" i="90"/>
  <c r="D268" i="90" s="1"/>
  <c r="C268" i="90" s="1"/>
  <c r="E198" i="88"/>
  <c r="H171" i="91"/>
  <c r="H123" i="91"/>
  <c r="H165" i="91"/>
  <c r="H117" i="91"/>
  <c r="H138" i="91"/>
  <c r="H87" i="91"/>
  <c r="H63" i="91"/>
  <c r="H72" i="91"/>
  <c r="H174" i="91"/>
  <c r="H180" i="91"/>
  <c r="H168" i="91"/>
  <c r="H159" i="91"/>
  <c r="H147" i="91"/>
  <c r="H153" i="91"/>
  <c r="H111" i="91"/>
  <c r="H99" i="91"/>
  <c r="H105" i="91"/>
  <c r="H91" i="91"/>
  <c r="H132" i="91"/>
  <c r="H126" i="91"/>
  <c r="H120" i="91"/>
  <c r="H141" i="91"/>
  <c r="H61" i="91"/>
  <c r="H35" i="91"/>
  <c r="H75" i="91"/>
  <c r="H59" i="91"/>
  <c r="H45" i="91"/>
  <c r="H25" i="91"/>
  <c r="H47" i="91"/>
  <c r="H37" i="91"/>
  <c r="H69" i="91"/>
  <c r="H57" i="91"/>
  <c r="H9" i="91"/>
  <c r="H81" i="91"/>
  <c r="H49" i="91"/>
  <c r="H21" i="91"/>
  <c r="H11" i="91"/>
  <c r="H33" i="91"/>
  <c r="H13" i="91"/>
  <c r="H23" i="91"/>
  <c r="H66" i="91"/>
  <c r="E197" i="91"/>
  <c r="D197" i="91" s="1"/>
  <c r="D269" i="91" s="1"/>
  <c r="C269" i="91" s="1"/>
  <c r="D205" i="91"/>
  <c r="D271" i="91" s="1"/>
  <c r="C271" i="91" s="1"/>
  <c r="D193" i="91"/>
  <c r="D268" i="91" s="1"/>
  <c r="C268" i="91" s="1"/>
  <c r="H183" i="91"/>
  <c r="H191" i="91"/>
  <c r="H190" i="91"/>
  <c r="H177" i="91"/>
  <c r="H162" i="91"/>
  <c r="H156" i="91"/>
  <c r="H150" i="91"/>
  <c r="H129" i="91"/>
  <c r="H95" i="91"/>
  <c r="H135" i="91"/>
  <c r="H144" i="91"/>
  <c r="H114" i="91"/>
  <c r="H84" i="91"/>
  <c r="H108" i="91"/>
  <c r="H53" i="91"/>
  <c r="H43" i="91"/>
  <c r="H19" i="91"/>
  <c r="H17" i="91"/>
  <c r="H27" i="91"/>
  <c r="H29" i="91"/>
  <c r="H102" i="91"/>
  <c r="H39" i="91"/>
  <c r="H15" i="91"/>
  <c r="H78" i="91"/>
  <c r="H41" i="91"/>
  <c r="H51" i="91"/>
  <c r="H31" i="91"/>
  <c r="H55" i="91"/>
  <c r="D194" i="90"/>
  <c r="D266" i="90" s="1"/>
  <c r="C266" i="90" s="1"/>
  <c r="H180" i="90"/>
  <c r="H159" i="90"/>
  <c r="H147" i="90"/>
  <c r="H188" i="90"/>
  <c r="H174" i="90"/>
  <c r="H187" i="90"/>
  <c r="H153" i="90"/>
  <c r="H141" i="90"/>
  <c r="H132" i="90"/>
  <c r="H126" i="90"/>
  <c r="H78" i="90"/>
  <c r="H84" i="90"/>
  <c r="H39" i="90"/>
  <c r="H15" i="90"/>
  <c r="H99" i="90"/>
  <c r="H41" i="90"/>
  <c r="H51" i="90"/>
  <c r="H31" i="90"/>
  <c r="H111" i="90"/>
  <c r="H53" i="90"/>
  <c r="H93" i="90"/>
  <c r="H43" i="90"/>
  <c r="H19" i="90"/>
  <c r="H17" i="90"/>
  <c r="H105" i="90"/>
  <c r="H55" i="90"/>
  <c r="H27" i="90"/>
  <c r="H29" i="90"/>
  <c r="D198" i="90"/>
  <c r="D267" i="90" s="1"/>
  <c r="C267" i="90" s="1"/>
  <c r="H135" i="90"/>
  <c r="H162" i="90"/>
  <c r="H168" i="90"/>
  <c r="H114" i="90"/>
  <c r="H120" i="90"/>
  <c r="H72" i="90"/>
  <c r="H63" i="90"/>
  <c r="H87" i="90"/>
  <c r="I179" i="90"/>
  <c r="I169" i="90"/>
  <c r="I157" i="90"/>
  <c r="I145" i="90"/>
  <c r="I133" i="90"/>
  <c r="I176" i="90"/>
  <c r="I174" i="90"/>
  <c r="I164" i="90"/>
  <c r="I162" i="90"/>
  <c r="I152" i="90"/>
  <c r="I150" i="90"/>
  <c r="I181" i="90"/>
  <c r="I172" i="90"/>
  <c r="I160" i="90"/>
  <c r="I148" i="90"/>
  <c r="I177" i="90"/>
  <c r="I167" i="90"/>
  <c r="I165" i="90"/>
  <c r="I155" i="90"/>
  <c r="I153" i="90"/>
  <c r="I143" i="90"/>
  <c r="I141" i="90"/>
  <c r="I131" i="90"/>
  <c r="I129" i="90"/>
  <c r="I182" i="90"/>
  <c r="I175" i="90"/>
  <c r="I163" i="90"/>
  <c r="I151" i="90"/>
  <c r="I139" i="90"/>
  <c r="I170" i="90"/>
  <c r="I168" i="90"/>
  <c r="I158" i="90"/>
  <c r="I156" i="90"/>
  <c r="I146" i="90"/>
  <c r="I144" i="90"/>
  <c r="I134" i="90"/>
  <c r="I132" i="90"/>
  <c r="I178" i="90"/>
  <c r="I166" i="90"/>
  <c r="I154" i="90"/>
  <c r="I142" i="90"/>
  <c r="I136" i="90"/>
  <c r="I128" i="90"/>
  <c r="I125" i="90"/>
  <c r="I123" i="90"/>
  <c r="I113" i="90"/>
  <c r="I111" i="90"/>
  <c r="I101" i="90"/>
  <c r="I99" i="90"/>
  <c r="I171" i="90"/>
  <c r="I161" i="90"/>
  <c r="I121" i="90"/>
  <c r="I126" i="90"/>
  <c r="I116" i="90"/>
  <c r="I114" i="90"/>
  <c r="I104" i="90"/>
  <c r="I102" i="90"/>
  <c r="I92" i="90"/>
  <c r="I90" i="90"/>
  <c r="I80" i="90"/>
  <c r="I78" i="90"/>
  <c r="I137" i="90"/>
  <c r="I124" i="90"/>
  <c r="I112" i="90"/>
  <c r="I100" i="90"/>
  <c r="I88" i="90"/>
  <c r="I76" i="90"/>
  <c r="I180" i="90"/>
  <c r="I159" i="90"/>
  <c r="I149" i="90"/>
  <c r="I135" i="90"/>
  <c r="I119" i="90"/>
  <c r="I117" i="90"/>
  <c r="I107" i="90"/>
  <c r="I105" i="90"/>
  <c r="I95" i="90"/>
  <c r="I93" i="90"/>
  <c r="I140" i="90"/>
  <c r="I173" i="90"/>
  <c r="I138" i="90"/>
  <c r="I122" i="90"/>
  <c r="I120" i="90"/>
  <c r="I110" i="90"/>
  <c r="I108" i="90"/>
  <c r="I98" i="90"/>
  <c r="I96" i="90"/>
  <c r="I86" i="90"/>
  <c r="I84" i="90"/>
  <c r="I74" i="90"/>
  <c r="I72" i="90"/>
  <c r="I147" i="90"/>
  <c r="I130" i="90"/>
  <c r="I127" i="90"/>
  <c r="I118" i="90"/>
  <c r="I106" i="90"/>
  <c r="I94" i="90"/>
  <c r="I82" i="90"/>
  <c r="I70" i="90"/>
  <c r="I97" i="90"/>
  <c r="I83" i="90"/>
  <c r="I69" i="90"/>
  <c r="I79" i="90"/>
  <c r="I67" i="90"/>
  <c r="G62" i="90"/>
  <c r="G54" i="90"/>
  <c r="G46" i="90"/>
  <c r="G18" i="90"/>
  <c r="I109" i="90"/>
  <c r="I89" i="90"/>
  <c r="I75" i="90"/>
  <c r="G44" i="90"/>
  <c r="G36" i="90"/>
  <c r="G28" i="90"/>
  <c r="G16" i="90"/>
  <c r="G40" i="90"/>
  <c r="G10" i="90"/>
  <c r="I85" i="90"/>
  <c r="G58" i="90"/>
  <c r="G26" i="90"/>
  <c r="I81" i="90"/>
  <c r="I71" i="90"/>
  <c r="I65" i="90"/>
  <c r="I63" i="90"/>
  <c r="G56" i="90"/>
  <c r="G48" i="90"/>
  <c r="I103" i="90"/>
  <c r="I91" i="90"/>
  <c r="G38" i="90"/>
  <c r="G30" i="90"/>
  <c r="G22" i="90"/>
  <c r="I87" i="90"/>
  <c r="I77" i="90"/>
  <c r="I68" i="90"/>
  <c r="I66" i="90"/>
  <c r="G60" i="90"/>
  <c r="G52" i="90"/>
  <c r="G32" i="90"/>
  <c r="G24" i="90"/>
  <c r="I115" i="90"/>
  <c r="I73" i="90"/>
  <c r="I64" i="90"/>
  <c r="G50" i="90"/>
  <c r="G42" i="90"/>
  <c r="G34" i="90"/>
  <c r="G14" i="90"/>
  <c r="G12" i="90"/>
  <c r="G20" i="90"/>
  <c r="H171" i="90"/>
  <c r="H150" i="90"/>
  <c r="H177" i="90"/>
  <c r="H165" i="90"/>
  <c r="H156" i="90"/>
  <c r="H144" i="90"/>
  <c r="H129" i="90"/>
  <c r="H123" i="90"/>
  <c r="H102" i="90"/>
  <c r="H90" i="90"/>
  <c r="H117" i="90"/>
  <c r="H138" i="90"/>
  <c r="H108" i="90"/>
  <c r="H96" i="90"/>
  <c r="H57" i="90"/>
  <c r="H37" i="90"/>
  <c r="H69" i="90"/>
  <c r="H59" i="90"/>
  <c r="H49" i="90"/>
  <c r="H21" i="90"/>
  <c r="H11" i="90"/>
  <c r="H13" i="90"/>
  <c r="H75" i="90"/>
  <c r="H23" i="90"/>
  <c r="H33" i="90"/>
  <c r="H61" i="90"/>
  <c r="H81" i="90"/>
  <c r="H35" i="90"/>
  <c r="H45" i="90"/>
  <c r="H25" i="90"/>
  <c r="H66" i="90"/>
  <c r="H47" i="90"/>
  <c r="H9" i="90"/>
  <c r="D190" i="90"/>
  <c r="D265" i="90" s="1"/>
  <c r="C265" i="90" s="1"/>
  <c r="H171" i="89"/>
  <c r="H177" i="89"/>
  <c r="H165" i="89"/>
  <c r="H144" i="89"/>
  <c r="H138" i="89"/>
  <c r="H150" i="89"/>
  <c r="H102" i="89"/>
  <c r="H156" i="89"/>
  <c r="H129" i="89"/>
  <c r="H117" i="89"/>
  <c r="H108" i="89"/>
  <c r="H96" i="89"/>
  <c r="H75" i="89"/>
  <c r="H90" i="89"/>
  <c r="H66" i="89"/>
  <c r="H123" i="89"/>
  <c r="H57" i="89"/>
  <c r="H81" i="89"/>
  <c r="H69" i="89"/>
  <c r="H59" i="89"/>
  <c r="H61" i="89"/>
  <c r="H33" i="89"/>
  <c r="H13" i="89"/>
  <c r="H49" i="89"/>
  <c r="H37" i="89"/>
  <c r="H25" i="89"/>
  <c r="H47" i="89"/>
  <c r="H35" i="89"/>
  <c r="H23" i="89"/>
  <c r="H9" i="89"/>
  <c r="H45" i="89"/>
  <c r="H11" i="89"/>
  <c r="H21" i="89"/>
  <c r="D194" i="89"/>
  <c r="D266" i="89" s="1"/>
  <c r="C266" i="89" s="1"/>
  <c r="D190" i="89"/>
  <c r="D265" i="89" s="1"/>
  <c r="C265" i="89" s="1"/>
  <c r="D202" i="89"/>
  <c r="D268" i="89" s="1"/>
  <c r="C268" i="89" s="1"/>
  <c r="H162" i="89"/>
  <c r="H168" i="89"/>
  <c r="H135" i="89"/>
  <c r="H114" i="89"/>
  <c r="H120" i="89"/>
  <c r="H63" i="89"/>
  <c r="H87" i="89"/>
  <c r="H72" i="89"/>
  <c r="H180" i="89"/>
  <c r="H188" i="89"/>
  <c r="H174" i="89"/>
  <c r="H187" i="89"/>
  <c r="H141" i="89"/>
  <c r="H159" i="89"/>
  <c r="H153" i="89"/>
  <c r="H147" i="89"/>
  <c r="H126" i="89"/>
  <c r="H105" i="89"/>
  <c r="H78" i="89"/>
  <c r="H132" i="89"/>
  <c r="H111" i="89"/>
  <c r="H93" i="89"/>
  <c r="H39" i="89"/>
  <c r="H84" i="89"/>
  <c r="H99" i="89"/>
  <c r="H53" i="89"/>
  <c r="H43" i="89"/>
  <c r="H55" i="89"/>
  <c r="H31" i="89"/>
  <c r="H41" i="89"/>
  <c r="H29" i="89"/>
  <c r="H17" i="89"/>
  <c r="H19" i="89"/>
  <c r="H15" i="89"/>
  <c r="H51" i="89"/>
  <c r="H27" i="89"/>
  <c r="E198" i="89"/>
  <c r="D198" i="89" s="1"/>
  <c r="D267" i="89" s="1"/>
  <c r="C267" i="89" s="1"/>
  <c r="I179" i="88"/>
  <c r="I169" i="88"/>
  <c r="I176" i="88"/>
  <c r="I174" i="88"/>
  <c r="I164" i="88"/>
  <c r="I162" i="88"/>
  <c r="I181" i="88"/>
  <c r="I172" i="88"/>
  <c r="I177" i="88"/>
  <c r="I167" i="88"/>
  <c r="I165" i="88"/>
  <c r="I155" i="88"/>
  <c r="I153" i="88"/>
  <c r="I143" i="88"/>
  <c r="I141" i="88"/>
  <c r="I131" i="88"/>
  <c r="I129" i="88"/>
  <c r="I182" i="88"/>
  <c r="I175" i="88"/>
  <c r="I163" i="88"/>
  <c r="I151" i="88"/>
  <c r="I139" i="88"/>
  <c r="I170" i="88"/>
  <c r="I168" i="88"/>
  <c r="I158" i="88"/>
  <c r="I156" i="88"/>
  <c r="I178" i="88"/>
  <c r="I166" i="88"/>
  <c r="I154" i="88"/>
  <c r="I142" i="88"/>
  <c r="I130" i="88"/>
  <c r="I118" i="88"/>
  <c r="I171" i="88"/>
  <c r="I125" i="88"/>
  <c r="I123" i="88"/>
  <c r="I113" i="88"/>
  <c r="I111" i="88"/>
  <c r="I101" i="88"/>
  <c r="I99" i="88"/>
  <c r="I89" i="88"/>
  <c r="I87" i="88"/>
  <c r="I161" i="88"/>
  <c r="I159" i="88"/>
  <c r="I135" i="88"/>
  <c r="I133" i="88"/>
  <c r="I128" i="88"/>
  <c r="I127" i="88"/>
  <c r="I121" i="88"/>
  <c r="I109" i="88"/>
  <c r="I147" i="88"/>
  <c r="I145" i="88"/>
  <c r="I144" i="88"/>
  <c r="I138" i="88"/>
  <c r="I137" i="88"/>
  <c r="I136" i="88"/>
  <c r="I134" i="88"/>
  <c r="I132" i="88"/>
  <c r="I116" i="88"/>
  <c r="I114" i="88"/>
  <c r="I104" i="88"/>
  <c r="I102" i="88"/>
  <c r="I92" i="88"/>
  <c r="I90" i="88"/>
  <c r="I80" i="88"/>
  <c r="I180" i="88"/>
  <c r="I157" i="88"/>
  <c r="I150" i="88"/>
  <c r="I149" i="88"/>
  <c r="I148" i="88"/>
  <c r="I146" i="88"/>
  <c r="I140" i="88"/>
  <c r="I126" i="88"/>
  <c r="I124" i="88"/>
  <c r="I112" i="88"/>
  <c r="I100" i="88"/>
  <c r="I88" i="88"/>
  <c r="I152" i="88"/>
  <c r="I119" i="88"/>
  <c r="I117" i="88"/>
  <c r="I107" i="88"/>
  <c r="I105" i="88"/>
  <c r="I95" i="88"/>
  <c r="I93" i="88"/>
  <c r="I83" i="88"/>
  <c r="I173" i="88"/>
  <c r="I160" i="88"/>
  <c r="I115" i="88"/>
  <c r="I103" i="88"/>
  <c r="I91" i="88"/>
  <c r="I120" i="88"/>
  <c r="I110" i="88"/>
  <c r="I106" i="88"/>
  <c r="I84" i="88"/>
  <c r="I79" i="88"/>
  <c r="I67" i="88"/>
  <c r="G62" i="88"/>
  <c r="G54" i="88"/>
  <c r="G46" i="88"/>
  <c r="I94" i="88"/>
  <c r="I74" i="88"/>
  <c r="I72" i="88"/>
  <c r="G44" i="88"/>
  <c r="G36" i="88"/>
  <c r="G28" i="88"/>
  <c r="G16" i="88"/>
  <c r="I70" i="88"/>
  <c r="G58" i="88"/>
  <c r="G26" i="88"/>
  <c r="I108" i="88"/>
  <c r="I97" i="88"/>
  <c r="I77" i="88"/>
  <c r="I75" i="88"/>
  <c r="I65" i="88"/>
  <c r="I63" i="88"/>
  <c r="G56" i="88"/>
  <c r="G48" i="88"/>
  <c r="G40" i="88"/>
  <c r="G10" i="88"/>
  <c r="I96" i="88"/>
  <c r="I85" i="88"/>
  <c r="I82" i="88"/>
  <c r="I81" i="88"/>
  <c r="I73" i="88"/>
  <c r="G38" i="88"/>
  <c r="G30" i="88"/>
  <c r="G22" i="88"/>
  <c r="I122" i="88"/>
  <c r="I78" i="88"/>
  <c r="I68" i="88"/>
  <c r="I66" i="88"/>
  <c r="G60" i="88"/>
  <c r="G52" i="88"/>
  <c r="I98" i="88"/>
  <c r="I76" i="88"/>
  <c r="I64" i="88"/>
  <c r="G50" i="88"/>
  <c r="G42" i="88"/>
  <c r="G34" i="88"/>
  <c r="G14" i="88"/>
  <c r="G12" i="88"/>
  <c r="I71" i="88"/>
  <c r="G24" i="88"/>
  <c r="G32" i="88"/>
  <c r="G18" i="88"/>
  <c r="I86" i="88"/>
  <c r="I69" i="88"/>
  <c r="G20" i="88"/>
  <c r="E135" i="88"/>
  <c r="H180" i="88"/>
  <c r="H159" i="88"/>
  <c r="H188" i="88"/>
  <c r="H174" i="88"/>
  <c r="H187" i="88"/>
  <c r="H153" i="88"/>
  <c r="H141" i="88"/>
  <c r="H132" i="88"/>
  <c r="H111" i="88"/>
  <c r="H147" i="88"/>
  <c r="H126" i="88"/>
  <c r="H105" i="88"/>
  <c r="H93" i="88"/>
  <c r="H39" i="88"/>
  <c r="H84" i="88"/>
  <c r="H41" i="88"/>
  <c r="H99" i="88"/>
  <c r="H51" i="88"/>
  <c r="H31" i="88"/>
  <c r="H53" i="88"/>
  <c r="H43" i="88"/>
  <c r="H19" i="88"/>
  <c r="H17" i="88"/>
  <c r="H78" i="88"/>
  <c r="H55" i="88"/>
  <c r="H27" i="88"/>
  <c r="H15" i="88"/>
  <c r="H29" i="88"/>
  <c r="H171" i="88"/>
  <c r="H177" i="88"/>
  <c r="H165" i="88"/>
  <c r="H156" i="88"/>
  <c r="H144" i="88"/>
  <c r="H129" i="88"/>
  <c r="H108" i="88"/>
  <c r="H123" i="88"/>
  <c r="H138" i="88"/>
  <c r="H102" i="88"/>
  <c r="H90" i="88"/>
  <c r="H150" i="88"/>
  <c r="H117" i="88"/>
  <c r="H96" i="88"/>
  <c r="H69" i="88"/>
  <c r="H59" i="88"/>
  <c r="H49" i="88"/>
  <c r="H21" i="88"/>
  <c r="H11" i="88"/>
  <c r="H23" i="88"/>
  <c r="H61" i="88"/>
  <c r="H33" i="88"/>
  <c r="H13" i="88"/>
  <c r="H75" i="88"/>
  <c r="H35" i="88"/>
  <c r="H81" i="88"/>
  <c r="H45" i="88"/>
  <c r="H25" i="88"/>
  <c r="H66" i="88"/>
  <c r="H47" i="88"/>
  <c r="H37" i="88"/>
  <c r="H9" i="88"/>
  <c r="H57" i="88"/>
  <c r="E168" i="88"/>
  <c r="E87" i="88"/>
  <c r="D202" i="88"/>
  <c r="D268" i="88" s="1"/>
  <c r="C268" i="88" s="1"/>
  <c r="D198" i="88"/>
  <c r="D267" i="88" s="1"/>
  <c r="C267" i="88" s="1"/>
  <c r="H162" i="87"/>
  <c r="H168" i="87"/>
  <c r="H120" i="87"/>
  <c r="H135" i="87"/>
  <c r="H114" i="87"/>
  <c r="H72" i="87"/>
  <c r="H87" i="87"/>
  <c r="H63" i="87"/>
  <c r="D202" i="87"/>
  <c r="D268" i="87" s="1"/>
  <c r="C268" i="87" s="1"/>
  <c r="H180" i="87"/>
  <c r="H159" i="87"/>
  <c r="H188" i="87"/>
  <c r="H174" i="87"/>
  <c r="H187" i="87"/>
  <c r="H132" i="87"/>
  <c r="H153" i="87"/>
  <c r="H147" i="87"/>
  <c r="H141" i="87"/>
  <c r="H126" i="87"/>
  <c r="H78" i="87"/>
  <c r="H84" i="87"/>
  <c r="H105" i="87"/>
  <c r="H41" i="87"/>
  <c r="H99" i="87"/>
  <c r="H111" i="87"/>
  <c r="H93" i="87"/>
  <c r="H15" i="87"/>
  <c r="H55" i="87"/>
  <c r="H43" i="87"/>
  <c r="H31" i="87"/>
  <c r="H17" i="87"/>
  <c r="H53" i="87"/>
  <c r="H29" i="87"/>
  <c r="H51" i="87"/>
  <c r="H19" i="87"/>
  <c r="H39" i="87"/>
  <c r="H27" i="87"/>
  <c r="E190" i="87"/>
  <c r="D190" i="87" s="1"/>
  <c r="D265" i="87" s="1"/>
  <c r="C265" i="87" s="1"/>
  <c r="I179" i="87"/>
  <c r="I169" i="87"/>
  <c r="I176" i="87"/>
  <c r="I174" i="87"/>
  <c r="I164" i="87"/>
  <c r="I162" i="87"/>
  <c r="I152" i="87"/>
  <c r="I150" i="87"/>
  <c r="I181" i="87"/>
  <c r="I172" i="87"/>
  <c r="I160" i="87"/>
  <c r="I177" i="87"/>
  <c r="I167" i="87"/>
  <c r="I165" i="87"/>
  <c r="I155" i="87"/>
  <c r="I153" i="87"/>
  <c r="I143" i="87"/>
  <c r="I141" i="87"/>
  <c r="I131" i="87"/>
  <c r="I129" i="87"/>
  <c r="I182" i="87"/>
  <c r="I175" i="87"/>
  <c r="I163" i="87"/>
  <c r="I170" i="87"/>
  <c r="I168" i="87"/>
  <c r="I158" i="87"/>
  <c r="I156" i="87"/>
  <c r="I146" i="87"/>
  <c r="I144" i="87"/>
  <c r="I134" i="87"/>
  <c r="I132" i="87"/>
  <c r="I178" i="87"/>
  <c r="I166" i="87"/>
  <c r="I154" i="87"/>
  <c r="I142" i="87"/>
  <c r="I130" i="87"/>
  <c r="I157" i="87"/>
  <c r="I118" i="87"/>
  <c r="I106" i="87"/>
  <c r="I171" i="87"/>
  <c r="I161" i="87"/>
  <c r="I125" i="87"/>
  <c r="I123" i="87"/>
  <c r="I135" i="87"/>
  <c r="I133" i="87"/>
  <c r="I127" i="87"/>
  <c r="I147" i="87"/>
  <c r="I145" i="87"/>
  <c r="I139" i="87"/>
  <c r="I138" i="87"/>
  <c r="I137" i="87"/>
  <c r="I136" i="87"/>
  <c r="I128" i="87"/>
  <c r="I116" i="87"/>
  <c r="I114" i="87"/>
  <c r="I104" i="87"/>
  <c r="I102" i="87"/>
  <c r="I92" i="87"/>
  <c r="I90" i="87"/>
  <c r="I80" i="87"/>
  <c r="I180" i="87"/>
  <c r="I159" i="87"/>
  <c r="I149" i="87"/>
  <c r="I148" i="87"/>
  <c r="I140" i="87"/>
  <c r="I126" i="87"/>
  <c r="I124" i="87"/>
  <c r="I112" i="87"/>
  <c r="I173" i="87"/>
  <c r="I151" i="87"/>
  <c r="I122" i="87"/>
  <c r="I120" i="87"/>
  <c r="I110" i="87"/>
  <c r="I108" i="87"/>
  <c r="I98" i="87"/>
  <c r="I96" i="87"/>
  <c r="I86" i="87"/>
  <c r="I84" i="87"/>
  <c r="I113" i="87"/>
  <c r="I85" i="87"/>
  <c r="I76" i="87"/>
  <c r="I64" i="87"/>
  <c r="I109" i="87"/>
  <c r="I101" i="87"/>
  <c r="I100" i="87"/>
  <c r="I71" i="87"/>
  <c r="I69" i="87"/>
  <c r="I119" i="87"/>
  <c r="I105" i="87"/>
  <c r="I95" i="87"/>
  <c r="I94" i="87"/>
  <c r="I79" i="87"/>
  <c r="I67" i="87"/>
  <c r="I115" i="87"/>
  <c r="I99" i="87"/>
  <c r="I89" i="87"/>
  <c r="I88" i="87"/>
  <c r="I74" i="87"/>
  <c r="I72" i="87"/>
  <c r="G44" i="87"/>
  <c r="G36" i="87"/>
  <c r="G28" i="87"/>
  <c r="I111" i="87"/>
  <c r="I93" i="87"/>
  <c r="I83" i="87"/>
  <c r="I82" i="87"/>
  <c r="I70" i="87"/>
  <c r="I103" i="87"/>
  <c r="I87" i="87"/>
  <c r="I77" i="87"/>
  <c r="I75" i="87"/>
  <c r="I117" i="87"/>
  <c r="I107" i="87"/>
  <c r="I97" i="87"/>
  <c r="I81" i="87"/>
  <c r="I73" i="87"/>
  <c r="I121" i="87"/>
  <c r="I91" i="87"/>
  <c r="I78" i="87"/>
  <c r="I68" i="87"/>
  <c r="I66" i="87"/>
  <c r="G60" i="87"/>
  <c r="G52" i="87"/>
  <c r="G62" i="87"/>
  <c r="G56" i="87"/>
  <c r="G50" i="87"/>
  <c r="G18" i="87"/>
  <c r="G38" i="87"/>
  <c r="G32" i="87"/>
  <c r="G26" i="87"/>
  <c r="G42" i="87"/>
  <c r="G54" i="87"/>
  <c r="G48" i="87"/>
  <c r="G10" i="87"/>
  <c r="G58" i="87"/>
  <c r="G30" i="87"/>
  <c r="G24" i="87"/>
  <c r="G20" i="87"/>
  <c r="I63" i="87"/>
  <c r="G46" i="87"/>
  <c r="G40" i="87"/>
  <c r="G34" i="87"/>
  <c r="I65" i="87"/>
  <c r="G22" i="87"/>
  <c r="G14" i="87"/>
  <c r="G12" i="87"/>
  <c r="G16" i="87"/>
  <c r="E198" i="87"/>
  <c r="D198" i="87" s="1"/>
  <c r="D267" i="87" s="1"/>
  <c r="C267" i="87" s="1"/>
  <c r="H171" i="87"/>
  <c r="H177" i="87"/>
  <c r="H165" i="87"/>
  <c r="H156" i="87"/>
  <c r="H144" i="87"/>
  <c r="H108" i="87"/>
  <c r="H129" i="87"/>
  <c r="H138" i="87"/>
  <c r="H150" i="87"/>
  <c r="H96" i="87"/>
  <c r="H66" i="87"/>
  <c r="H90" i="87"/>
  <c r="H69" i="87"/>
  <c r="H49" i="87"/>
  <c r="H21" i="87"/>
  <c r="H75" i="87"/>
  <c r="H123" i="87"/>
  <c r="H117" i="87"/>
  <c r="H102" i="87"/>
  <c r="H81" i="87"/>
  <c r="H45" i="87"/>
  <c r="H25" i="87"/>
  <c r="H33" i="87"/>
  <c r="H11" i="87"/>
  <c r="H9" i="87"/>
  <c r="H61" i="87"/>
  <c r="H37" i="87"/>
  <c r="H59" i="87"/>
  <c r="H47" i="87"/>
  <c r="H13" i="87"/>
  <c r="H35" i="87"/>
  <c r="H23" i="87"/>
  <c r="H57" i="87"/>
  <c r="T90" i="87"/>
  <c r="T108" i="90"/>
  <c r="T63" i="89"/>
  <c r="T147" i="88"/>
  <c r="T141" i="91"/>
  <c r="T96" i="87"/>
  <c r="T72" i="90"/>
  <c r="T69" i="91"/>
  <c r="T165" i="88"/>
  <c r="T129" i="91"/>
  <c r="T129" i="87"/>
  <c r="T90" i="90"/>
  <c r="T105" i="90"/>
  <c r="T153" i="89"/>
  <c r="T177" i="89"/>
  <c r="T129" i="89"/>
  <c r="T27" i="89"/>
  <c r="T27" i="87"/>
  <c r="T132" i="87"/>
  <c r="T51" i="90"/>
  <c r="T39" i="90"/>
  <c r="T27" i="90"/>
  <c r="T147" i="91"/>
  <c r="T132" i="89"/>
  <c r="T87" i="90"/>
  <c r="T126" i="91"/>
  <c r="T135" i="91"/>
  <c r="T177" i="91"/>
  <c r="T165" i="87"/>
  <c r="T95" i="91"/>
  <c r="T105" i="89"/>
  <c r="T51" i="87"/>
  <c r="T66" i="91"/>
  <c r="T57" i="89"/>
  <c r="T117" i="88"/>
  <c r="T84" i="90"/>
  <c r="T15" i="90"/>
  <c r="T81" i="87"/>
  <c r="T21" i="87"/>
  <c r="T75" i="90"/>
  <c r="T105" i="88"/>
  <c r="T156" i="89"/>
  <c r="T91" i="91"/>
  <c r="T69" i="89"/>
  <c r="T33" i="87"/>
  <c r="T132" i="90"/>
  <c r="T153" i="87"/>
  <c r="T171" i="88"/>
  <c r="T114" i="87"/>
  <c r="T159" i="87"/>
  <c r="T45" i="87"/>
  <c r="T174" i="90"/>
  <c r="T93" i="89"/>
  <c r="T114" i="89"/>
  <c r="T33" i="88"/>
  <c r="T144" i="89"/>
  <c r="T117" i="90"/>
  <c r="T78" i="90"/>
  <c r="T159" i="89"/>
  <c r="T45" i="89"/>
  <c r="T81" i="90"/>
  <c r="T135" i="90"/>
  <c r="T45" i="90"/>
  <c r="T117" i="89"/>
  <c r="T66" i="90"/>
  <c r="T39" i="88"/>
  <c r="T108" i="88"/>
  <c r="T78" i="88"/>
  <c r="T9" i="91"/>
  <c r="T153" i="88"/>
  <c r="T138" i="89"/>
  <c r="T15" i="87"/>
  <c r="T168" i="89"/>
  <c r="T117" i="87"/>
  <c r="T129" i="88"/>
  <c r="T63" i="90"/>
  <c r="T84" i="88"/>
  <c r="T15" i="88"/>
  <c r="T27" i="88"/>
  <c r="T69" i="90"/>
  <c r="T84" i="87"/>
  <c r="T75" i="87"/>
  <c r="T72" i="91"/>
  <c r="T108" i="87"/>
  <c r="T138" i="90"/>
  <c r="T147" i="87"/>
  <c r="T168" i="87"/>
  <c r="T138" i="87"/>
  <c r="T81" i="88"/>
  <c r="T87" i="89"/>
  <c r="T114" i="90"/>
  <c r="T33" i="89"/>
  <c r="T156" i="90"/>
  <c r="T180" i="87"/>
  <c r="T162" i="91"/>
  <c r="T135" i="89"/>
  <c r="T153" i="91"/>
  <c r="T171" i="87"/>
  <c r="T102" i="90"/>
  <c r="T171" i="89"/>
  <c r="T63" i="91"/>
  <c r="T9" i="87"/>
  <c r="T120" i="91"/>
  <c r="T129" i="90"/>
  <c r="T75" i="89"/>
  <c r="T33" i="91"/>
  <c r="T111" i="90"/>
  <c r="T81" i="89"/>
  <c r="T102" i="89"/>
  <c r="T21" i="90"/>
  <c r="T144" i="88"/>
  <c r="T63" i="87"/>
  <c r="T51" i="89"/>
  <c r="T69" i="87"/>
  <c r="T96" i="88"/>
  <c r="T27" i="91"/>
  <c r="T45" i="91"/>
  <c r="T159" i="91"/>
  <c r="T177" i="87"/>
  <c r="T111" i="88"/>
  <c r="T102" i="88"/>
  <c r="T141" i="87"/>
  <c r="T99" i="89"/>
  <c r="T123" i="87"/>
  <c r="T123" i="88"/>
  <c r="T174" i="91"/>
  <c r="T78" i="87"/>
  <c r="T21" i="89"/>
  <c r="T135" i="87"/>
  <c r="T9" i="89"/>
  <c r="T138" i="91"/>
  <c r="T171" i="90"/>
  <c r="T141" i="88"/>
  <c r="T180" i="89"/>
  <c r="T159" i="90"/>
  <c r="T90" i="88"/>
  <c r="T123" i="89"/>
  <c r="T21" i="91"/>
  <c r="T96" i="90"/>
  <c r="T93" i="88"/>
  <c r="T165" i="89"/>
  <c r="T174" i="89"/>
  <c r="T150" i="87"/>
  <c r="T162" i="89"/>
  <c r="T162" i="87"/>
  <c r="T141" i="90"/>
  <c r="T75" i="91"/>
  <c r="T99" i="88"/>
  <c r="T93" i="90"/>
  <c r="T87" i="87"/>
  <c r="T75" i="88"/>
  <c r="T120" i="89"/>
  <c r="T168" i="90"/>
  <c r="T57" i="88"/>
  <c r="T15" i="89"/>
  <c r="T180" i="91"/>
  <c r="T126" i="88"/>
  <c r="T108" i="89"/>
  <c r="T180" i="90"/>
  <c r="T150" i="88"/>
  <c r="T183" i="91"/>
  <c r="T180" i="88"/>
  <c r="T39" i="87"/>
  <c r="T57" i="91"/>
  <c r="T15" i="91"/>
  <c r="T117" i="91"/>
  <c r="T141" i="89"/>
  <c r="T156" i="87"/>
  <c r="T72" i="87"/>
  <c r="T150" i="90"/>
  <c r="T111" i="87"/>
  <c r="T171" i="91"/>
  <c r="T90" i="89"/>
  <c r="T84" i="91"/>
  <c r="T147" i="90"/>
  <c r="T177" i="88"/>
  <c r="T120" i="87"/>
  <c r="T132" i="91"/>
  <c r="T123" i="90"/>
  <c r="T78" i="91"/>
  <c r="T126" i="90"/>
  <c r="T69" i="88"/>
  <c r="T156" i="91"/>
  <c r="T144" i="91"/>
  <c r="T9" i="88"/>
  <c r="T99" i="90"/>
  <c r="T93" i="87"/>
  <c r="T45" i="88"/>
  <c r="T39" i="89"/>
  <c r="T96" i="89"/>
  <c r="T84" i="89"/>
  <c r="T99" i="87"/>
  <c r="T102" i="87"/>
  <c r="T39" i="91"/>
  <c r="T156" i="88"/>
  <c r="T51" i="91"/>
  <c r="T111" i="89"/>
  <c r="T72" i="89"/>
  <c r="T123" i="91"/>
  <c r="T174" i="87"/>
  <c r="T66" i="88"/>
  <c r="T66" i="87"/>
  <c r="T174" i="88"/>
  <c r="T150" i="91"/>
  <c r="T126" i="89"/>
  <c r="T9" i="90"/>
  <c r="T147" i="89"/>
  <c r="T51" i="88"/>
  <c r="T105" i="87"/>
  <c r="T177" i="90"/>
  <c r="T144" i="87"/>
  <c r="T78" i="89"/>
  <c r="T132" i="88"/>
  <c r="T120" i="90"/>
  <c r="T150" i="89"/>
  <c r="T57" i="87"/>
  <c r="T81" i="91"/>
  <c r="T21" i="88"/>
  <c r="T144" i="90"/>
  <c r="T66" i="89"/>
  <c r="T126" i="87"/>
  <c r="T138" i="88"/>
  <c r="T153" i="90"/>
  <c r="T33" i="90"/>
  <c r="T57" i="90"/>
  <c r="T159" i="88"/>
  <c r="E78" i="91" l="1"/>
  <c r="E129" i="91"/>
  <c r="E21" i="91"/>
  <c r="E126" i="91"/>
  <c r="E147" i="91"/>
  <c r="E63" i="91"/>
  <c r="E15" i="91"/>
  <c r="E150" i="91"/>
  <c r="E45" i="91"/>
  <c r="E132" i="91"/>
  <c r="E159" i="91"/>
  <c r="E87" i="91"/>
  <c r="D87" i="91" s="1"/>
  <c r="E39" i="91"/>
  <c r="E108" i="91"/>
  <c r="E156" i="91"/>
  <c r="E81" i="91"/>
  <c r="E91" i="91"/>
  <c r="E168" i="91"/>
  <c r="E138" i="91"/>
  <c r="E102" i="91"/>
  <c r="E84" i="91"/>
  <c r="E162" i="91"/>
  <c r="E66" i="91"/>
  <c r="E9" i="91"/>
  <c r="E75" i="91"/>
  <c r="E105" i="91"/>
  <c r="E180" i="91"/>
  <c r="E117" i="91"/>
  <c r="E114" i="91"/>
  <c r="E177" i="91"/>
  <c r="E57" i="91"/>
  <c r="E99" i="91"/>
  <c r="E165" i="91"/>
  <c r="E27" i="91"/>
  <c r="E144" i="91"/>
  <c r="E190" i="91"/>
  <c r="D266" i="91" s="1"/>
  <c r="C266" i="91" s="1"/>
  <c r="E69" i="91"/>
  <c r="E111" i="91"/>
  <c r="E174" i="91"/>
  <c r="E123" i="91"/>
  <c r="E51" i="91"/>
  <c r="E135" i="91"/>
  <c r="E191" i="91"/>
  <c r="D267" i="91" s="1"/>
  <c r="C267" i="91" s="1"/>
  <c r="E33" i="91"/>
  <c r="E141" i="91"/>
  <c r="E153" i="91"/>
  <c r="E171" i="91"/>
  <c r="E95" i="91"/>
  <c r="E183" i="91"/>
  <c r="E120" i="91"/>
  <c r="E72" i="91"/>
  <c r="E21" i="90"/>
  <c r="E138" i="90"/>
  <c r="E156" i="90"/>
  <c r="E135" i="90"/>
  <c r="E15" i="90"/>
  <c r="E187" i="90"/>
  <c r="D187" i="90" s="1"/>
  <c r="D263" i="90" s="1"/>
  <c r="C263" i="90" s="1"/>
  <c r="E81" i="90"/>
  <c r="E165" i="90"/>
  <c r="E87" i="90"/>
  <c r="E93" i="90"/>
  <c r="E39" i="90"/>
  <c r="E174" i="90"/>
  <c r="E117" i="90"/>
  <c r="E177" i="90"/>
  <c r="E63" i="90"/>
  <c r="E84" i="90"/>
  <c r="E188" i="90"/>
  <c r="D188" i="90" s="1"/>
  <c r="D264" i="90" s="1"/>
  <c r="C264" i="90" s="1"/>
  <c r="E9" i="90"/>
  <c r="E33" i="90"/>
  <c r="E69" i="90"/>
  <c r="E90" i="90"/>
  <c r="E72" i="90"/>
  <c r="E27" i="90"/>
  <c r="E111" i="90"/>
  <c r="E78" i="90"/>
  <c r="E147" i="90"/>
  <c r="E102" i="90"/>
  <c r="E150" i="90"/>
  <c r="E120" i="90"/>
  <c r="E126" i="90"/>
  <c r="E159" i="90"/>
  <c r="E66" i="90"/>
  <c r="E75" i="90"/>
  <c r="E57" i="90"/>
  <c r="E123" i="90"/>
  <c r="E171" i="90"/>
  <c r="E114" i="90"/>
  <c r="E105" i="90"/>
  <c r="E51" i="90"/>
  <c r="E132" i="90"/>
  <c r="E180" i="90"/>
  <c r="E96" i="90"/>
  <c r="E129" i="90"/>
  <c r="E168" i="90"/>
  <c r="E141" i="90"/>
  <c r="E45" i="90"/>
  <c r="E108" i="90"/>
  <c r="E144" i="90"/>
  <c r="E162" i="90"/>
  <c r="E99" i="90"/>
  <c r="E153" i="90"/>
  <c r="E15" i="89"/>
  <c r="E105" i="89"/>
  <c r="E135" i="89"/>
  <c r="E99" i="89"/>
  <c r="E126" i="89"/>
  <c r="E180" i="89"/>
  <c r="E168" i="89"/>
  <c r="E9" i="89"/>
  <c r="E33" i="89"/>
  <c r="E90" i="89"/>
  <c r="E102" i="89"/>
  <c r="E75" i="89"/>
  <c r="E150" i="89"/>
  <c r="E138" i="89"/>
  <c r="E39" i="89"/>
  <c r="E93" i="89"/>
  <c r="E159" i="89"/>
  <c r="E87" i="89"/>
  <c r="E69" i="89"/>
  <c r="E108" i="89"/>
  <c r="E144" i="89"/>
  <c r="E84" i="89"/>
  <c r="E162" i="89"/>
  <c r="E72" i="89"/>
  <c r="E96" i="89"/>
  <c r="E111" i="89"/>
  <c r="E141" i="89"/>
  <c r="E63" i="89"/>
  <c r="E81" i="89"/>
  <c r="E117" i="89"/>
  <c r="E165" i="89"/>
  <c r="E147" i="89"/>
  <c r="E153" i="89"/>
  <c r="E27" i="89"/>
  <c r="E132" i="89"/>
  <c r="E187" i="89"/>
  <c r="D263" i="89" s="1"/>
  <c r="C263" i="89" s="1"/>
  <c r="E120" i="89"/>
  <c r="E21" i="89"/>
  <c r="E57" i="89"/>
  <c r="E129" i="89"/>
  <c r="E177" i="89"/>
  <c r="E51" i="89"/>
  <c r="E78" i="89"/>
  <c r="E174" i="89"/>
  <c r="E114" i="89"/>
  <c r="E123" i="89"/>
  <c r="E156" i="89"/>
  <c r="E188" i="89"/>
  <c r="D264" i="89" s="1"/>
  <c r="C264" i="89" s="1"/>
  <c r="E45" i="89"/>
  <c r="E66" i="89"/>
  <c r="E171" i="89"/>
  <c r="E9" i="88"/>
  <c r="E153" i="88"/>
  <c r="E123" i="88"/>
  <c r="E171" i="88"/>
  <c r="E69" i="88"/>
  <c r="E33" i="88"/>
  <c r="E96" i="88"/>
  <c r="E129" i="88"/>
  <c r="E15" i="88"/>
  <c r="E126" i="88"/>
  <c r="E188" i="88"/>
  <c r="D188" i="88" s="1"/>
  <c r="D264" i="88" s="1"/>
  <c r="C264" i="88" s="1"/>
  <c r="E117" i="88"/>
  <c r="E27" i="88"/>
  <c r="E159" i="88"/>
  <c r="E66" i="88"/>
  <c r="E144" i="88"/>
  <c r="E156" i="88"/>
  <c r="E111" i="88"/>
  <c r="E147" i="88"/>
  <c r="E51" i="88"/>
  <c r="E150" i="88"/>
  <c r="E99" i="88"/>
  <c r="E180" i="88"/>
  <c r="E45" i="88"/>
  <c r="E90" i="88"/>
  <c r="E165" i="88"/>
  <c r="E78" i="88"/>
  <c r="E132" i="88"/>
  <c r="E57" i="88"/>
  <c r="E81" i="88"/>
  <c r="E21" i="88"/>
  <c r="E102" i="88"/>
  <c r="E177" i="88"/>
  <c r="E84" i="88"/>
  <c r="E141" i="88"/>
  <c r="E75" i="88"/>
  <c r="E93" i="88"/>
  <c r="E138" i="88"/>
  <c r="E39" i="88"/>
  <c r="E187" i="88"/>
  <c r="D187" i="88" s="1"/>
  <c r="D263" i="88" s="1"/>
  <c r="C263" i="88" s="1"/>
  <c r="E108" i="88"/>
  <c r="E105" i="88"/>
  <c r="E174" i="88"/>
  <c r="E81" i="87"/>
  <c r="E96" i="87"/>
  <c r="E165" i="87"/>
  <c r="E105" i="87"/>
  <c r="E187" i="87"/>
  <c r="D263" i="87" s="1"/>
  <c r="C263" i="87" s="1"/>
  <c r="E57" i="87"/>
  <c r="E9" i="87"/>
  <c r="E123" i="87"/>
  <c r="E177" i="87"/>
  <c r="E27" i="87"/>
  <c r="E84" i="87"/>
  <c r="E174" i="87"/>
  <c r="E87" i="87"/>
  <c r="E90" i="87"/>
  <c r="E150" i="87"/>
  <c r="E39" i="87"/>
  <c r="E78" i="87"/>
  <c r="E188" i="87"/>
  <c r="D264" i="87" s="1"/>
  <c r="C264" i="87" s="1"/>
  <c r="E72" i="87"/>
  <c r="E75" i="87"/>
  <c r="E138" i="87"/>
  <c r="E15" i="87"/>
  <c r="E126" i="87"/>
  <c r="E159" i="87"/>
  <c r="E114" i="87"/>
  <c r="E144" i="87"/>
  <c r="E33" i="87"/>
  <c r="E129" i="87"/>
  <c r="E51" i="87"/>
  <c r="E21" i="87"/>
  <c r="E171" i="87"/>
  <c r="E93" i="87"/>
  <c r="E141" i="87"/>
  <c r="E180" i="87"/>
  <c r="E135" i="87"/>
  <c r="E45" i="87"/>
  <c r="E69" i="87"/>
  <c r="E108" i="87"/>
  <c r="E111" i="87"/>
  <c r="E147" i="87"/>
  <c r="E120" i="87"/>
  <c r="E99" i="87"/>
  <c r="E153" i="87"/>
  <c r="E168" i="87"/>
  <c r="E102" i="87"/>
  <c r="E156" i="87"/>
  <c r="E132" i="87"/>
  <c r="E162" i="87"/>
  <c r="E66" i="87"/>
  <c r="E117" i="87"/>
  <c r="E63" i="87"/>
  <c r="O184" i="87"/>
  <c r="L185" i="83"/>
  <c r="Q186" i="91"/>
  <c r="O183" i="94"/>
  <c r="Q183" i="83"/>
  <c r="N184" i="94"/>
  <c r="N184" i="81"/>
  <c r="O183" i="88"/>
  <c r="N183" i="82"/>
  <c r="N184" i="89"/>
  <c r="P184" i="87"/>
  <c r="P184" i="74"/>
  <c r="P183" i="84"/>
  <c r="L184" i="87"/>
  <c r="Q185" i="82"/>
  <c r="O183" i="90"/>
  <c r="P184" i="88"/>
  <c r="Q185" i="92"/>
  <c r="P183" i="83"/>
  <c r="Q185" i="87"/>
  <c r="O184" i="94"/>
  <c r="O185" i="81"/>
  <c r="N183" i="88"/>
  <c r="L183" i="81"/>
  <c r="P184" i="85"/>
  <c r="Q184" i="84"/>
  <c r="Q184" i="94"/>
  <c r="L183" i="87"/>
  <c r="L185" i="81"/>
  <c r="P183" i="85"/>
  <c r="Q183" i="90"/>
  <c r="L185" i="87"/>
  <c r="P185" i="81"/>
  <c r="N185" i="89"/>
  <c r="L185" i="84"/>
  <c r="L183" i="82"/>
  <c r="N184" i="82"/>
  <c r="O184" i="82"/>
  <c r="L183" i="83"/>
  <c r="L184" i="81"/>
  <c r="O184" i="89"/>
  <c r="P184" i="84"/>
  <c r="L183" i="94"/>
  <c r="O188" i="91"/>
  <c r="P185" i="85"/>
  <c r="P185" i="83"/>
  <c r="N185" i="82"/>
  <c r="Q185" i="83"/>
  <c r="L185" i="93"/>
  <c r="O183" i="81"/>
  <c r="P184" i="93"/>
  <c r="Q185" i="93"/>
  <c r="Q184" i="87"/>
  <c r="O187" i="91"/>
  <c r="O185" i="90"/>
  <c r="P184" i="92"/>
  <c r="N185" i="88"/>
  <c r="L183" i="74"/>
  <c r="L185" i="85"/>
  <c r="L183" i="92"/>
  <c r="L183" i="90"/>
  <c r="L184" i="92"/>
  <c r="N183" i="74"/>
  <c r="N184" i="93"/>
  <c r="Q184" i="82"/>
  <c r="N184" i="84"/>
  <c r="L183" i="85"/>
  <c r="Q184" i="93"/>
  <c r="P183" i="74"/>
  <c r="L185" i="89"/>
  <c r="L185" i="74"/>
  <c r="L184" i="90"/>
  <c r="Q184" i="89"/>
  <c r="L185" i="88"/>
  <c r="Q184" i="92"/>
  <c r="N185" i="92"/>
  <c r="P185" i="82"/>
  <c r="Q185" i="74"/>
  <c r="Q184" i="74"/>
  <c r="N185" i="87"/>
  <c r="Q184" i="90"/>
  <c r="P183" i="87"/>
  <c r="P184" i="81"/>
  <c r="N183" i="92"/>
  <c r="N184" i="85"/>
  <c r="O184" i="88"/>
  <c r="N184" i="87"/>
  <c r="N185" i="90"/>
  <c r="Q183" i="84"/>
  <c r="O184" i="84"/>
  <c r="P185" i="87"/>
  <c r="P184" i="90"/>
  <c r="L185" i="92"/>
  <c r="L184" i="84"/>
  <c r="L184" i="83"/>
  <c r="N185" i="84"/>
  <c r="O183" i="83"/>
  <c r="N183" i="94"/>
  <c r="P185" i="74"/>
  <c r="O185" i="89"/>
  <c r="L184" i="89"/>
  <c r="L183" i="88"/>
  <c r="N185" i="93"/>
  <c r="O183" i="92"/>
  <c r="Q185" i="88"/>
  <c r="P184" i="83"/>
  <c r="Q184" i="88"/>
  <c r="L185" i="90"/>
  <c r="O184" i="85"/>
  <c r="O183" i="74"/>
  <c r="Q185" i="84"/>
  <c r="Q183" i="87"/>
  <c r="P183" i="94"/>
  <c r="P183" i="81"/>
  <c r="N186" i="91"/>
  <c r="Q184" i="81"/>
  <c r="N185" i="85"/>
  <c r="L185" i="82"/>
  <c r="L184" i="74"/>
  <c r="L184" i="94"/>
  <c r="P185" i="94"/>
  <c r="P185" i="90"/>
  <c r="N184" i="92"/>
  <c r="Q185" i="90"/>
  <c r="N183" i="93"/>
  <c r="N185" i="83"/>
  <c r="N183" i="90"/>
  <c r="N183" i="81"/>
  <c r="O185" i="87"/>
  <c r="P184" i="82"/>
  <c r="Q185" i="89"/>
  <c r="P185" i="89"/>
  <c r="L184" i="88"/>
  <c r="P183" i="90"/>
  <c r="P185" i="84"/>
  <c r="O185" i="85"/>
  <c r="P183" i="89"/>
  <c r="N184" i="90"/>
  <c r="Q188" i="91"/>
  <c r="O185" i="92"/>
  <c r="Q183" i="74"/>
  <c r="O184" i="74"/>
  <c r="O185" i="84"/>
  <c r="P184" i="89"/>
  <c r="O184" i="83"/>
  <c r="P183" i="92"/>
  <c r="Q183" i="88"/>
  <c r="O183" i="85"/>
  <c r="Q185" i="85"/>
  <c r="Q183" i="94"/>
  <c r="L187" i="91"/>
  <c r="Q184" i="85"/>
  <c r="Q183" i="85"/>
  <c r="Q187" i="91"/>
  <c r="Q183" i="92"/>
  <c r="N183" i="85"/>
  <c r="Q185" i="81"/>
  <c r="L183" i="84"/>
  <c r="P183" i="88"/>
  <c r="N183" i="89"/>
  <c r="P183" i="82"/>
  <c r="Q183" i="81"/>
  <c r="O185" i="94"/>
  <c r="O184" i="93"/>
  <c r="N184" i="74"/>
  <c r="N185" i="94"/>
  <c r="Q183" i="82"/>
  <c r="N185" i="74"/>
  <c r="O183" i="82"/>
  <c r="O183" i="84"/>
  <c r="L185" i="94"/>
  <c r="L188" i="91"/>
  <c r="Q184" i="83"/>
  <c r="O185" i="82"/>
  <c r="P185" i="88"/>
  <c r="L184" i="82"/>
  <c r="N185" i="81"/>
  <c r="O185" i="88"/>
  <c r="O183" i="93"/>
  <c r="N184" i="83"/>
  <c r="O184" i="92"/>
  <c r="O185" i="93"/>
  <c r="O184" i="90"/>
  <c r="N183" i="87"/>
  <c r="O186" i="91"/>
  <c r="P188" i="91"/>
  <c r="Q185" i="94"/>
  <c r="O183" i="89"/>
  <c r="P186" i="91"/>
  <c r="O185" i="74"/>
  <c r="Q183" i="89"/>
  <c r="P183" i="93"/>
  <c r="N188" i="91"/>
  <c r="N184" i="88"/>
  <c r="O184" i="81"/>
  <c r="P184" i="94"/>
  <c r="P187" i="91"/>
  <c r="P185" i="93"/>
  <c r="O185" i="83"/>
  <c r="N183" i="84"/>
  <c r="L184" i="93"/>
  <c r="L183" i="93"/>
  <c r="N183" i="83"/>
  <c r="N187" i="91"/>
  <c r="O183" i="87"/>
  <c r="Q183" i="93"/>
  <c r="L183" i="89"/>
  <c r="P185" i="92"/>
  <c r="L184" i="85"/>
  <c r="D179" i="92" l="1"/>
  <c r="D178" i="92"/>
  <c r="D177" i="92"/>
  <c r="D260" i="92" s="1"/>
  <c r="C260" i="92" s="1"/>
  <c r="D176" i="94"/>
  <c r="D175" i="94"/>
  <c r="D174" i="94"/>
  <c r="D259" i="94" s="1"/>
  <c r="C259" i="94" s="1"/>
  <c r="D173" i="94"/>
  <c r="D172" i="94"/>
  <c r="D171" i="94"/>
  <c r="D258" i="94" s="1"/>
  <c r="C258" i="94" s="1"/>
  <c r="D167" i="93"/>
  <c r="D166" i="93"/>
  <c r="D165" i="93"/>
  <c r="D256" i="93" s="1"/>
  <c r="C256" i="93" s="1"/>
  <c r="D181" i="92"/>
  <c r="D182" i="92"/>
  <c r="D180" i="92"/>
  <c r="D261" i="92" s="1"/>
  <c r="C261" i="92" s="1"/>
  <c r="D173" i="93"/>
  <c r="D172" i="93"/>
  <c r="D171" i="93"/>
  <c r="D258" i="93" s="1"/>
  <c r="C258" i="93" s="1"/>
  <c r="D171" i="92"/>
  <c r="D258" i="92" s="1"/>
  <c r="C258" i="92" s="1"/>
  <c r="D173" i="92"/>
  <c r="D172" i="92"/>
  <c r="D179" i="93"/>
  <c r="D178" i="93"/>
  <c r="D177" i="93"/>
  <c r="D260" i="93" s="1"/>
  <c r="C260" i="93" s="1"/>
  <c r="D169" i="94"/>
  <c r="D170" i="94"/>
  <c r="D168" i="94"/>
  <c r="D257" i="94" s="1"/>
  <c r="C257" i="94" s="1"/>
  <c r="D175" i="92"/>
  <c r="D174" i="92"/>
  <c r="D259" i="92" s="1"/>
  <c r="C259" i="92" s="1"/>
  <c r="D176" i="92"/>
  <c r="D181" i="94"/>
  <c r="D180" i="94"/>
  <c r="D261" i="94" s="1"/>
  <c r="C261" i="94" s="1"/>
  <c r="D182" i="94"/>
  <c r="D179" i="94"/>
  <c r="D178" i="94"/>
  <c r="D177" i="94"/>
  <c r="D260" i="94" s="1"/>
  <c r="C260" i="94" s="1"/>
  <c r="D169" i="93"/>
  <c r="D170" i="93"/>
  <c r="D168" i="93"/>
  <c r="D257" i="93" s="1"/>
  <c r="C257" i="93" s="1"/>
  <c r="D182" i="93"/>
  <c r="D180" i="93"/>
  <c r="D261" i="93" s="1"/>
  <c r="C261" i="93" s="1"/>
  <c r="D181" i="93"/>
  <c r="D170" i="92"/>
  <c r="D169" i="92"/>
  <c r="D168" i="92"/>
  <c r="D257" i="92" s="1"/>
  <c r="C257" i="92" s="1"/>
  <c r="D167" i="94"/>
  <c r="D166" i="94"/>
  <c r="D165" i="94"/>
  <c r="D256" i="94" s="1"/>
  <c r="C256" i="94" s="1"/>
  <c r="D165" i="92"/>
  <c r="D256" i="92" s="1"/>
  <c r="C256" i="92" s="1"/>
  <c r="D166" i="92"/>
  <c r="D167" i="92"/>
  <c r="D174" i="93"/>
  <c r="D259" i="93" s="1"/>
  <c r="C259" i="93" s="1"/>
  <c r="D176" i="93"/>
  <c r="D175" i="93"/>
  <c r="D150" i="92"/>
  <c r="D251" i="92" s="1"/>
  <c r="C251" i="92" s="1"/>
  <c r="D152" i="92"/>
  <c r="D151" i="92"/>
  <c r="D153" i="94"/>
  <c r="D252" i="94" s="1"/>
  <c r="C252" i="94" s="1"/>
  <c r="D155" i="94"/>
  <c r="D154" i="94"/>
  <c r="D152" i="93"/>
  <c r="D151" i="93"/>
  <c r="D150" i="93"/>
  <c r="D251" i="93" s="1"/>
  <c r="C251" i="93" s="1"/>
  <c r="D158" i="93"/>
  <c r="D157" i="93"/>
  <c r="D156" i="93"/>
  <c r="D253" i="93" s="1"/>
  <c r="C253" i="93" s="1"/>
  <c r="D164" i="92"/>
  <c r="D163" i="92"/>
  <c r="D162" i="92"/>
  <c r="D255" i="92" s="1"/>
  <c r="C255" i="92" s="1"/>
  <c r="D164" i="93"/>
  <c r="D163" i="93"/>
  <c r="D162" i="93"/>
  <c r="D255" i="93" s="1"/>
  <c r="C255" i="93" s="1"/>
  <c r="D164" i="94"/>
  <c r="D163" i="94"/>
  <c r="D162" i="94"/>
  <c r="D255" i="94" s="1"/>
  <c r="C255" i="94" s="1"/>
  <c r="D160" i="92"/>
  <c r="D159" i="92"/>
  <c r="D254" i="92" s="1"/>
  <c r="C254" i="92" s="1"/>
  <c r="D161" i="92"/>
  <c r="D153" i="92"/>
  <c r="D252" i="92" s="1"/>
  <c r="C252" i="92" s="1"/>
  <c r="D154" i="92"/>
  <c r="D155" i="92"/>
  <c r="D149" i="93"/>
  <c r="D148" i="93"/>
  <c r="D147" i="93"/>
  <c r="D250" i="93" s="1"/>
  <c r="C250" i="93" s="1"/>
  <c r="D153" i="93"/>
  <c r="D252" i="93" s="1"/>
  <c r="C252" i="93" s="1"/>
  <c r="D155" i="93"/>
  <c r="D154" i="93"/>
  <c r="D148" i="94"/>
  <c r="D149" i="94"/>
  <c r="D147" i="94"/>
  <c r="D250" i="94" s="1"/>
  <c r="C250" i="94" s="1"/>
  <c r="D152" i="94"/>
  <c r="D151" i="94"/>
  <c r="D150" i="94"/>
  <c r="D251" i="94" s="1"/>
  <c r="C251" i="94" s="1"/>
  <c r="D158" i="92"/>
  <c r="D157" i="92"/>
  <c r="D156" i="92"/>
  <c r="D253" i="92" s="1"/>
  <c r="C253" i="92" s="1"/>
  <c r="D161" i="93"/>
  <c r="D159" i="93"/>
  <c r="D254" i="93" s="1"/>
  <c r="C254" i="93" s="1"/>
  <c r="D160" i="93"/>
  <c r="D158" i="94"/>
  <c r="D157" i="94"/>
  <c r="D156" i="94"/>
  <c r="D253" i="94" s="1"/>
  <c r="C253" i="94" s="1"/>
  <c r="D148" i="92"/>
  <c r="D149" i="92"/>
  <c r="D147" i="92"/>
  <c r="D250" i="92" s="1"/>
  <c r="C250" i="92" s="1"/>
  <c r="D161" i="94"/>
  <c r="D160" i="94"/>
  <c r="D159" i="94"/>
  <c r="D254" i="94" s="1"/>
  <c r="C254" i="94" s="1"/>
  <c r="D137" i="93"/>
  <c r="D136" i="93"/>
  <c r="D135" i="93"/>
  <c r="D246" i="93" s="1"/>
  <c r="C246" i="93" s="1"/>
  <c r="D131" i="93"/>
  <c r="D129" i="93"/>
  <c r="D244" i="93" s="1"/>
  <c r="C244" i="93" s="1"/>
  <c r="D130" i="93"/>
  <c r="D146" i="93"/>
  <c r="D145" i="93"/>
  <c r="D144" i="93"/>
  <c r="D249" i="93" s="1"/>
  <c r="C249" i="93" s="1"/>
  <c r="D128" i="92"/>
  <c r="D127" i="92"/>
  <c r="D126" i="92"/>
  <c r="D243" i="92" s="1"/>
  <c r="C243" i="92" s="1"/>
  <c r="D146" i="92"/>
  <c r="D145" i="92"/>
  <c r="D144" i="92"/>
  <c r="D249" i="92" s="1"/>
  <c r="C249" i="92" s="1"/>
  <c r="D128" i="94"/>
  <c r="D127" i="94"/>
  <c r="D126" i="94"/>
  <c r="D243" i="94" s="1"/>
  <c r="C243" i="94" s="1"/>
  <c r="D134" i="93"/>
  <c r="D133" i="93"/>
  <c r="D132" i="93"/>
  <c r="D245" i="93" s="1"/>
  <c r="C245" i="93" s="1"/>
  <c r="D140" i="94"/>
  <c r="D139" i="94"/>
  <c r="D138" i="94"/>
  <c r="D247" i="94" s="1"/>
  <c r="C247" i="94" s="1"/>
  <c r="D123" i="93"/>
  <c r="D242" i="93" s="1"/>
  <c r="C242" i="93" s="1"/>
  <c r="D125" i="93"/>
  <c r="D124" i="93"/>
  <c r="D146" i="94"/>
  <c r="D145" i="94"/>
  <c r="D144" i="94"/>
  <c r="D249" i="94" s="1"/>
  <c r="C249" i="94" s="1"/>
  <c r="D134" i="94"/>
  <c r="D133" i="94"/>
  <c r="D132" i="94"/>
  <c r="D245" i="94" s="1"/>
  <c r="C245" i="94" s="1"/>
  <c r="D131" i="92"/>
  <c r="D129" i="92"/>
  <c r="D244" i="92" s="1"/>
  <c r="C244" i="92" s="1"/>
  <c r="D130" i="92"/>
  <c r="D140" i="93"/>
  <c r="D139" i="93"/>
  <c r="D138" i="93"/>
  <c r="D247" i="93" s="1"/>
  <c r="C247" i="93" s="1"/>
  <c r="D129" i="94"/>
  <c r="D244" i="94" s="1"/>
  <c r="C244" i="94" s="1"/>
  <c r="D131" i="94"/>
  <c r="D130" i="94"/>
  <c r="D142" i="92"/>
  <c r="D143" i="92"/>
  <c r="D141" i="92"/>
  <c r="D248" i="92" s="1"/>
  <c r="C248" i="92" s="1"/>
  <c r="D135" i="94"/>
  <c r="D246" i="94" s="1"/>
  <c r="C246" i="94" s="1"/>
  <c r="D137" i="94"/>
  <c r="D136" i="94"/>
  <c r="D142" i="93"/>
  <c r="D143" i="93"/>
  <c r="D141" i="93"/>
  <c r="D248" i="93" s="1"/>
  <c r="C248" i="93" s="1"/>
  <c r="D125" i="92"/>
  <c r="D124" i="92"/>
  <c r="D123" i="92"/>
  <c r="D242" i="92" s="1"/>
  <c r="C242" i="92" s="1"/>
  <c r="D123" i="94"/>
  <c r="D242" i="94" s="1"/>
  <c r="C242" i="94" s="1"/>
  <c r="D124" i="94"/>
  <c r="D125" i="94"/>
  <c r="D128" i="93"/>
  <c r="D127" i="93"/>
  <c r="D126" i="93"/>
  <c r="D243" i="93" s="1"/>
  <c r="C243" i="93" s="1"/>
  <c r="D141" i="94"/>
  <c r="D248" i="94" s="1"/>
  <c r="C248" i="94" s="1"/>
  <c r="D143" i="94"/>
  <c r="D142" i="94"/>
  <c r="D140" i="92"/>
  <c r="D139" i="92"/>
  <c r="D138" i="92"/>
  <c r="D247" i="92" s="1"/>
  <c r="C247" i="92" s="1"/>
  <c r="D137" i="92"/>
  <c r="D135" i="92"/>
  <c r="D246" i="92" s="1"/>
  <c r="C246" i="92" s="1"/>
  <c r="D136" i="92"/>
  <c r="D134" i="92"/>
  <c r="D133" i="92"/>
  <c r="D132" i="92"/>
  <c r="D245" i="92" s="1"/>
  <c r="C245" i="92" s="1"/>
  <c r="D118" i="93"/>
  <c r="D118" i="94"/>
  <c r="D118" i="92"/>
  <c r="D117" i="93"/>
  <c r="D240" i="93" s="1"/>
  <c r="C240" i="93" s="1"/>
  <c r="D117" i="94"/>
  <c r="D240" i="94" s="1"/>
  <c r="C240" i="94" s="1"/>
  <c r="D117" i="92"/>
  <c r="D240" i="92" s="1"/>
  <c r="C240" i="92" s="1"/>
  <c r="D116" i="93"/>
  <c r="D116" i="92"/>
  <c r="D116" i="94"/>
  <c r="D114" i="93"/>
  <c r="D239" i="93" s="1"/>
  <c r="C239" i="93" s="1"/>
  <c r="D114" i="92"/>
  <c r="D239" i="92" s="1"/>
  <c r="C239" i="92" s="1"/>
  <c r="D114" i="94"/>
  <c r="D239" i="94" s="1"/>
  <c r="C239" i="94" s="1"/>
  <c r="D120" i="92"/>
  <c r="D241" i="92" s="1"/>
  <c r="C241" i="92" s="1"/>
  <c r="D122" i="92"/>
  <c r="D121" i="92"/>
  <c r="D122" i="94"/>
  <c r="D121" i="94"/>
  <c r="D120" i="94"/>
  <c r="D241" i="94" s="1"/>
  <c r="C241" i="94" s="1"/>
  <c r="D122" i="93"/>
  <c r="D121" i="93"/>
  <c r="D120" i="93"/>
  <c r="D241" i="93" s="1"/>
  <c r="C241" i="93" s="1"/>
  <c r="D115" i="93"/>
  <c r="D119" i="93"/>
  <c r="D115" i="92"/>
  <c r="D119" i="94"/>
  <c r="D115" i="94"/>
  <c r="D119" i="92"/>
  <c r="D105" i="92"/>
  <c r="D236" i="92" s="1"/>
  <c r="C236" i="92" s="1"/>
  <c r="D106" i="92"/>
  <c r="D107" i="92"/>
  <c r="D108" i="94"/>
  <c r="D237" i="94" s="1"/>
  <c r="C237" i="94" s="1"/>
  <c r="D110" i="94"/>
  <c r="D109" i="94"/>
  <c r="D107" i="94"/>
  <c r="D106" i="94"/>
  <c r="D105" i="94"/>
  <c r="D236" i="94" s="1"/>
  <c r="C236" i="94" s="1"/>
  <c r="D111" i="92"/>
  <c r="D238" i="92" s="1"/>
  <c r="C238" i="92" s="1"/>
  <c r="D113" i="92"/>
  <c r="D112" i="92"/>
  <c r="D113" i="94"/>
  <c r="D112" i="94"/>
  <c r="D111" i="94"/>
  <c r="D238" i="94" s="1"/>
  <c r="C238" i="94" s="1"/>
  <c r="D110" i="92"/>
  <c r="D109" i="92"/>
  <c r="D108" i="92"/>
  <c r="D237" i="92" s="1"/>
  <c r="C237" i="92" s="1"/>
  <c r="D113" i="93"/>
  <c r="D112" i="93"/>
  <c r="D111" i="93"/>
  <c r="D238" i="93" s="1"/>
  <c r="C238" i="93" s="1"/>
  <c r="D107" i="93"/>
  <c r="D106" i="93"/>
  <c r="D105" i="93"/>
  <c r="D236" i="93" s="1"/>
  <c r="C236" i="93" s="1"/>
  <c r="D109" i="93"/>
  <c r="D110" i="93"/>
  <c r="D108" i="93"/>
  <c r="D237" i="93" s="1"/>
  <c r="C237" i="93" s="1"/>
  <c r="D99" i="94"/>
  <c r="D234" i="94" s="1"/>
  <c r="C234" i="94" s="1"/>
  <c r="D100" i="94"/>
  <c r="D101" i="94"/>
  <c r="D100" i="93"/>
  <c r="D99" i="93"/>
  <c r="D234" i="93" s="1"/>
  <c r="C234" i="93" s="1"/>
  <c r="D101" i="93"/>
  <c r="D100" i="92"/>
  <c r="D101" i="92"/>
  <c r="D99" i="92"/>
  <c r="D234" i="92" s="1"/>
  <c r="C234" i="92" s="1"/>
  <c r="D104" i="93"/>
  <c r="D103" i="93"/>
  <c r="D102" i="93"/>
  <c r="D235" i="93" s="1"/>
  <c r="C235" i="93" s="1"/>
  <c r="D103" i="92"/>
  <c r="D104" i="92"/>
  <c r="D102" i="92"/>
  <c r="D235" i="92" s="1"/>
  <c r="C235" i="92" s="1"/>
  <c r="D104" i="94"/>
  <c r="D103" i="94"/>
  <c r="D102" i="94"/>
  <c r="D235" i="94" s="1"/>
  <c r="C235" i="94" s="1"/>
  <c r="D96" i="92"/>
  <c r="D233" i="92" s="1"/>
  <c r="C233" i="92" s="1"/>
  <c r="D97" i="92"/>
  <c r="D98" i="92"/>
  <c r="D98" i="94"/>
  <c r="D97" i="94"/>
  <c r="D96" i="94"/>
  <c r="D233" i="94" s="1"/>
  <c r="C233" i="94" s="1"/>
  <c r="D98" i="93"/>
  <c r="D97" i="93"/>
  <c r="D96" i="93"/>
  <c r="D233" i="93" s="1"/>
  <c r="C233" i="93" s="1"/>
  <c r="D95" i="93"/>
  <c r="D94" i="93"/>
  <c r="D93" i="93"/>
  <c r="D232" i="93" s="1"/>
  <c r="C232" i="93" s="1"/>
  <c r="D95" i="94"/>
  <c r="D94" i="94"/>
  <c r="D93" i="94"/>
  <c r="D232" i="94" s="1"/>
  <c r="C232" i="94" s="1"/>
  <c r="D93" i="92"/>
  <c r="D232" i="92" s="1"/>
  <c r="C232" i="92" s="1"/>
  <c r="D94" i="92"/>
  <c r="D95" i="92"/>
  <c r="D92" i="94"/>
  <c r="D91" i="94"/>
  <c r="D90" i="94"/>
  <c r="D231" i="94" s="1"/>
  <c r="C231" i="94" s="1"/>
  <c r="D90" i="92"/>
  <c r="D231" i="92" s="1"/>
  <c r="C231" i="92" s="1"/>
  <c r="D92" i="92"/>
  <c r="D91" i="92"/>
  <c r="D92" i="93"/>
  <c r="D91" i="93"/>
  <c r="D90" i="93"/>
  <c r="D231" i="93" s="1"/>
  <c r="C231" i="93" s="1"/>
  <c r="D89" i="93"/>
  <c r="D88" i="93"/>
  <c r="D87" i="93"/>
  <c r="D230" i="93" s="1"/>
  <c r="C230" i="93" s="1"/>
  <c r="D89" i="94"/>
  <c r="D88" i="94"/>
  <c r="D87" i="94"/>
  <c r="D230" i="94" s="1"/>
  <c r="C230" i="94" s="1"/>
  <c r="D88" i="92"/>
  <c r="D87" i="92"/>
  <c r="D230" i="92" s="1"/>
  <c r="C230" i="92" s="1"/>
  <c r="D89" i="92"/>
  <c r="D86" i="94"/>
  <c r="D85" i="94"/>
  <c r="D84" i="94"/>
  <c r="D229" i="94" s="1"/>
  <c r="C229" i="94" s="1"/>
  <c r="D86" i="93"/>
  <c r="D85" i="93"/>
  <c r="D84" i="93"/>
  <c r="D229" i="93" s="1"/>
  <c r="C229" i="93" s="1"/>
  <c r="D84" i="92"/>
  <c r="D229" i="92" s="1"/>
  <c r="C229" i="92" s="1"/>
  <c r="D85" i="92"/>
  <c r="D86" i="92"/>
  <c r="D82" i="93"/>
  <c r="D81" i="93"/>
  <c r="D228" i="93" s="1"/>
  <c r="C228" i="93" s="1"/>
  <c r="D83" i="93"/>
  <c r="D83" i="94"/>
  <c r="D82" i="94"/>
  <c r="D81" i="94"/>
  <c r="D228" i="94" s="1"/>
  <c r="C228" i="94" s="1"/>
  <c r="D83" i="92"/>
  <c r="D82" i="92"/>
  <c r="D81" i="92"/>
  <c r="D228" i="92" s="1"/>
  <c r="C228" i="92" s="1"/>
  <c r="D80" i="94"/>
  <c r="D79" i="94"/>
  <c r="D78" i="94"/>
  <c r="D227" i="94" s="1"/>
  <c r="C227" i="94" s="1"/>
  <c r="D78" i="92"/>
  <c r="D227" i="92" s="1"/>
  <c r="C227" i="92" s="1"/>
  <c r="D80" i="92"/>
  <c r="D79" i="92"/>
  <c r="D80" i="93"/>
  <c r="D79" i="93"/>
  <c r="D78" i="93"/>
  <c r="D227" i="93" s="1"/>
  <c r="C227" i="93" s="1"/>
  <c r="D73" i="93"/>
  <c r="D72" i="93"/>
  <c r="D225" i="93" s="1"/>
  <c r="C225" i="93" s="1"/>
  <c r="D74" i="93"/>
  <c r="D77" i="94"/>
  <c r="D76" i="94"/>
  <c r="D75" i="94"/>
  <c r="D226" i="94" s="1"/>
  <c r="C226" i="94" s="1"/>
  <c r="D72" i="92"/>
  <c r="D225" i="92" s="1"/>
  <c r="C225" i="92" s="1"/>
  <c r="D73" i="92"/>
  <c r="D74" i="92"/>
  <c r="D77" i="93"/>
  <c r="D76" i="93"/>
  <c r="D75" i="93"/>
  <c r="D226" i="93" s="1"/>
  <c r="C226" i="93" s="1"/>
  <c r="D76" i="92"/>
  <c r="D77" i="92"/>
  <c r="D75" i="92"/>
  <c r="D226" i="92" s="1"/>
  <c r="C226" i="92" s="1"/>
  <c r="D73" i="94"/>
  <c r="D72" i="94"/>
  <c r="D225" i="94" s="1"/>
  <c r="C225" i="94" s="1"/>
  <c r="D74" i="94"/>
  <c r="D71" i="93"/>
  <c r="D70" i="93"/>
  <c r="D69" i="93"/>
  <c r="D224" i="93" s="1"/>
  <c r="C224" i="93" s="1"/>
  <c r="D70" i="92"/>
  <c r="D71" i="92"/>
  <c r="D69" i="92"/>
  <c r="D224" i="92" s="1"/>
  <c r="C224" i="92" s="1"/>
  <c r="D71" i="94"/>
  <c r="D70" i="94"/>
  <c r="D69" i="94"/>
  <c r="D224" i="94" s="1"/>
  <c r="C224" i="94" s="1"/>
  <c r="D68" i="92"/>
  <c r="D68" i="94"/>
  <c r="D68" i="93"/>
  <c r="D66" i="92"/>
  <c r="D223" i="92" s="1"/>
  <c r="C223" i="92" s="1"/>
  <c r="D66" i="94"/>
  <c r="D223" i="94" s="1"/>
  <c r="C223" i="94" s="1"/>
  <c r="D66" i="93"/>
  <c r="D223" i="93" s="1"/>
  <c r="C223" i="93" s="1"/>
  <c r="D67" i="92"/>
  <c r="D67" i="94"/>
  <c r="D67" i="93"/>
  <c r="D57" i="92"/>
  <c r="D221" i="92" s="1"/>
  <c r="C221" i="92" s="1"/>
  <c r="D58" i="92"/>
  <c r="D61" i="92"/>
  <c r="D60" i="92"/>
  <c r="D62" i="92"/>
  <c r="D59" i="92"/>
  <c r="D65" i="94"/>
  <c r="D64" i="94"/>
  <c r="D63" i="94"/>
  <c r="D222" i="94" s="1"/>
  <c r="C222" i="94" s="1"/>
  <c r="D65" i="92"/>
  <c r="D63" i="92"/>
  <c r="D222" i="92" s="1"/>
  <c r="C222" i="92" s="1"/>
  <c r="D64" i="92"/>
  <c r="D65" i="93"/>
  <c r="D63" i="93"/>
  <c r="D222" i="93" s="1"/>
  <c r="C222" i="93" s="1"/>
  <c r="D64" i="93"/>
  <c r="D61" i="93"/>
  <c r="D59" i="93"/>
  <c r="D62" i="93"/>
  <c r="D57" i="93"/>
  <c r="D221" i="93" s="1"/>
  <c r="C221" i="93" s="1"/>
  <c r="D60" i="93"/>
  <c r="D58" i="93"/>
  <c r="D62" i="94"/>
  <c r="D61" i="94"/>
  <c r="D60" i="94"/>
  <c r="D59" i="94"/>
  <c r="D58" i="94"/>
  <c r="D57" i="94"/>
  <c r="D221" i="94" s="1"/>
  <c r="C221" i="94" s="1"/>
  <c r="D41" i="93"/>
  <c r="D43" i="93"/>
  <c r="D42" i="93"/>
  <c r="D44" i="93"/>
  <c r="D40" i="93"/>
  <c r="D39" i="93"/>
  <c r="D218" i="93" s="1"/>
  <c r="C218" i="93" s="1"/>
  <c r="D51" i="93"/>
  <c r="D220" i="93" s="1"/>
  <c r="C220" i="93" s="1"/>
  <c r="D56" i="93"/>
  <c r="D55" i="93"/>
  <c r="D54" i="93"/>
  <c r="D53" i="93"/>
  <c r="D52" i="93"/>
  <c r="D44" i="94"/>
  <c r="D43" i="94"/>
  <c r="D42" i="94"/>
  <c r="D41" i="94"/>
  <c r="D40" i="94"/>
  <c r="D39" i="94"/>
  <c r="D218" i="94" s="1"/>
  <c r="C218" i="94" s="1"/>
  <c r="D56" i="94"/>
  <c r="D55" i="94"/>
  <c r="D54" i="94"/>
  <c r="D53" i="94"/>
  <c r="D52" i="94"/>
  <c r="D51" i="94"/>
  <c r="D220" i="94" s="1"/>
  <c r="C220" i="94" s="1"/>
  <c r="D53" i="92"/>
  <c r="D55" i="92"/>
  <c r="D51" i="92"/>
  <c r="D220" i="92" s="1"/>
  <c r="C220" i="92" s="1"/>
  <c r="D54" i="92"/>
  <c r="D56" i="92"/>
  <c r="D52" i="92"/>
  <c r="D44" i="92"/>
  <c r="D42" i="92"/>
  <c r="D43" i="92"/>
  <c r="D41" i="92"/>
  <c r="D39" i="92"/>
  <c r="D218" i="92" s="1"/>
  <c r="C218" i="92" s="1"/>
  <c r="D40" i="92"/>
  <c r="D27" i="94"/>
  <c r="D216" i="94" s="1"/>
  <c r="C216" i="94" s="1"/>
  <c r="D32" i="94"/>
  <c r="D31" i="94"/>
  <c r="D30" i="94"/>
  <c r="D29" i="94"/>
  <c r="D28" i="94"/>
  <c r="D31" i="92"/>
  <c r="D32" i="92"/>
  <c r="D29" i="92"/>
  <c r="D27" i="92"/>
  <c r="D216" i="92" s="1"/>
  <c r="C216" i="92" s="1"/>
  <c r="D30" i="92"/>
  <c r="D28" i="92"/>
  <c r="D30" i="93"/>
  <c r="D31" i="93"/>
  <c r="D27" i="93"/>
  <c r="D216" i="93" s="1"/>
  <c r="C216" i="93" s="1"/>
  <c r="D29" i="93"/>
  <c r="D28" i="93"/>
  <c r="D32" i="93"/>
  <c r="D25" i="94"/>
  <c r="D23" i="94"/>
  <c r="D24" i="94"/>
  <c r="D21" i="94"/>
  <c r="D215" i="94" s="1"/>
  <c r="C215" i="94" s="1"/>
  <c r="D26" i="94"/>
  <c r="D22" i="94"/>
  <c r="D24" i="93"/>
  <c r="D22" i="93"/>
  <c r="D23" i="93"/>
  <c r="D25" i="93"/>
  <c r="D26" i="93"/>
  <c r="D21" i="93"/>
  <c r="D215" i="93" s="1"/>
  <c r="C215" i="93" s="1"/>
  <c r="D24" i="92"/>
  <c r="D22" i="92"/>
  <c r="D23" i="92"/>
  <c r="D21" i="92"/>
  <c r="D215" i="92" s="1"/>
  <c r="C215" i="92" s="1"/>
  <c r="D26" i="92"/>
  <c r="D25" i="92"/>
  <c r="D17" i="92"/>
  <c r="D16" i="92"/>
  <c r="D18" i="92"/>
  <c r="D19" i="92"/>
  <c r="D20" i="92"/>
  <c r="D15" i="92"/>
  <c r="D214" i="92" s="1"/>
  <c r="C214" i="92" s="1"/>
  <c r="D20" i="94"/>
  <c r="D19" i="94"/>
  <c r="D18" i="94"/>
  <c r="D17" i="94"/>
  <c r="D16" i="94"/>
  <c r="D15" i="94"/>
  <c r="D214" i="94" s="1"/>
  <c r="C214" i="94" s="1"/>
  <c r="D16" i="93"/>
  <c r="D19" i="93"/>
  <c r="D15" i="93"/>
  <c r="D214" i="93" s="1"/>
  <c r="C214" i="93" s="1"/>
  <c r="D20" i="93"/>
  <c r="D18" i="93"/>
  <c r="D17" i="93"/>
  <c r="P188" i="85"/>
  <c r="L188" i="85"/>
  <c r="P187" i="85"/>
  <c r="P188" i="84"/>
  <c r="L188" i="84"/>
  <c r="P187" i="84"/>
  <c r="H190" i="84"/>
  <c r="P188" i="83"/>
  <c r="L188" i="83"/>
  <c r="P187" i="83"/>
  <c r="I77" i="83"/>
  <c r="T2" i="83"/>
  <c r="S2" i="83"/>
  <c r="P188" i="82"/>
  <c r="L188" i="82"/>
  <c r="P187" i="82"/>
  <c r="H198" i="82"/>
  <c r="T2" i="82"/>
  <c r="S2" i="82"/>
  <c r="P188" i="81"/>
  <c r="L188" i="81"/>
  <c r="P187" i="81"/>
  <c r="H202" i="81"/>
  <c r="H190" i="81"/>
  <c r="T2" i="81"/>
  <c r="S2" i="81"/>
  <c r="AD49" i="73"/>
  <c r="AD47" i="73"/>
  <c r="AD44" i="73"/>
  <c r="AC49" i="73"/>
  <c r="AC47" i="73"/>
  <c r="AC44" i="73"/>
  <c r="AB49" i="73"/>
  <c r="AB47" i="73"/>
  <c r="AB44" i="73"/>
  <c r="X50" i="73"/>
  <c r="X48" i="73"/>
  <c r="X45" i="73"/>
  <c r="W40" i="73"/>
  <c r="W39" i="73"/>
  <c r="W38" i="73"/>
  <c r="V40" i="73"/>
  <c r="V39" i="73"/>
  <c r="V38" i="73"/>
  <c r="U40" i="73"/>
  <c r="U39" i="73"/>
  <c r="U38" i="73"/>
  <c r="T40" i="73"/>
  <c r="T39" i="73"/>
  <c r="T38" i="73"/>
  <c r="R39" i="73"/>
  <c r="R40" i="73"/>
  <c r="R38" i="73"/>
  <c r="Q39" i="73"/>
  <c r="Q40" i="73"/>
  <c r="Q38" i="73"/>
  <c r="AD33" i="73"/>
  <c r="AC33" i="73"/>
  <c r="AB33" i="73"/>
  <c r="AD31" i="73"/>
  <c r="AC31" i="73"/>
  <c r="AB31" i="73"/>
  <c r="X34" i="73"/>
  <c r="X32" i="73"/>
  <c r="AD28" i="73"/>
  <c r="AC28" i="73"/>
  <c r="X29" i="73"/>
  <c r="AB28" i="73"/>
  <c r="W24" i="73"/>
  <c r="W23" i="73"/>
  <c r="V24" i="73"/>
  <c r="V23" i="73"/>
  <c r="V22" i="73"/>
  <c r="U24" i="73"/>
  <c r="U23" i="73"/>
  <c r="U22" i="73"/>
  <c r="T24" i="73"/>
  <c r="T23" i="73"/>
  <c r="S23" i="73"/>
  <c r="S24" i="73"/>
  <c r="Q23" i="73"/>
  <c r="Q24" i="73"/>
  <c r="Q22" i="73"/>
  <c r="R24" i="73"/>
  <c r="R23" i="73"/>
  <c r="R22" i="73"/>
  <c r="P17" i="73"/>
  <c r="P18" i="73" s="1"/>
  <c r="H55" i="85" l="1"/>
  <c r="H194" i="85"/>
  <c r="E194" i="85" s="1"/>
  <c r="D194" i="85" s="1"/>
  <c r="D266" i="85" s="1"/>
  <c r="C266" i="85" s="1"/>
  <c r="H87" i="85"/>
  <c r="H198" i="85"/>
  <c r="E198" i="85" s="1"/>
  <c r="D198" i="85" s="1"/>
  <c r="D267" i="85" s="1"/>
  <c r="C267" i="85" s="1"/>
  <c r="H202" i="85"/>
  <c r="H190" i="85"/>
  <c r="H41" i="85"/>
  <c r="H180" i="85"/>
  <c r="H188" i="85"/>
  <c r="E188" i="85" s="1"/>
  <c r="H174" i="85"/>
  <c r="H153" i="85"/>
  <c r="H141" i="85"/>
  <c r="H132" i="85"/>
  <c r="H126" i="85"/>
  <c r="H111" i="85"/>
  <c r="H99" i="85"/>
  <c r="H78" i="85"/>
  <c r="H29" i="85"/>
  <c r="H39" i="85"/>
  <c r="H53" i="85"/>
  <c r="E278" i="85"/>
  <c r="D274" i="85"/>
  <c r="Y6" i="85" s="1"/>
  <c r="E277" i="85"/>
  <c r="E273" i="85"/>
  <c r="E180" i="85"/>
  <c r="D277" i="85"/>
  <c r="AB6" i="85" s="1"/>
  <c r="D273" i="85"/>
  <c r="X6" i="85" s="1"/>
  <c r="E276" i="85"/>
  <c r="D276" i="85"/>
  <c r="AA6" i="85" s="1"/>
  <c r="D275" i="85"/>
  <c r="Z6" i="85" s="1"/>
  <c r="E275" i="85"/>
  <c r="E274" i="85"/>
  <c r="H84" i="85"/>
  <c r="H51" i="85"/>
  <c r="H27" i="85"/>
  <c r="H15" i="85"/>
  <c r="H43" i="85"/>
  <c r="H105" i="85"/>
  <c r="H19" i="85"/>
  <c r="H194" i="84"/>
  <c r="E194" i="84" s="1"/>
  <c r="E278" i="84"/>
  <c r="D274" i="84"/>
  <c r="Y6" i="84" s="1"/>
  <c r="E277" i="84"/>
  <c r="E273" i="84"/>
  <c r="D277" i="84"/>
  <c r="AB6" i="84" s="1"/>
  <c r="D273" i="84"/>
  <c r="X6" i="84" s="1"/>
  <c r="E276" i="84"/>
  <c r="D276" i="84"/>
  <c r="AA6" i="84" s="1"/>
  <c r="D275" i="84"/>
  <c r="Z6" i="84" s="1"/>
  <c r="E274" i="84"/>
  <c r="E190" i="84"/>
  <c r="D190" i="84" s="1"/>
  <c r="D265" i="84" s="1"/>
  <c r="C265" i="84" s="1"/>
  <c r="E275" i="84"/>
  <c r="H202" i="84"/>
  <c r="H198" i="84"/>
  <c r="E202" i="84" s="1"/>
  <c r="G10" i="83"/>
  <c r="G18" i="83"/>
  <c r="E278" i="83"/>
  <c r="D274" i="83"/>
  <c r="Y6" i="83" s="1"/>
  <c r="E277" i="83"/>
  <c r="E273" i="83"/>
  <c r="D277" i="83"/>
  <c r="AB6" i="83" s="1"/>
  <c r="D273" i="83"/>
  <c r="X6" i="83" s="1"/>
  <c r="E276" i="83"/>
  <c r="D276" i="83"/>
  <c r="AA6" i="83" s="1"/>
  <c r="E275" i="83"/>
  <c r="D275" i="83"/>
  <c r="Z6" i="83" s="1"/>
  <c r="E274" i="83"/>
  <c r="H190" i="83"/>
  <c r="H194" i="83"/>
  <c r="H198" i="83"/>
  <c r="E198" i="83" s="1"/>
  <c r="G38" i="83"/>
  <c r="G56" i="83"/>
  <c r="I68" i="83"/>
  <c r="I78" i="83"/>
  <c r="I66" i="83"/>
  <c r="I111" i="83"/>
  <c r="G16" i="83"/>
  <c r="H202" i="83"/>
  <c r="G22" i="83"/>
  <c r="G28" i="83"/>
  <c r="G42" i="83"/>
  <c r="I80" i="83"/>
  <c r="I101" i="83"/>
  <c r="G40" i="83"/>
  <c r="G60" i="83"/>
  <c r="G62" i="83"/>
  <c r="I65" i="83"/>
  <c r="I75" i="83"/>
  <c r="G52" i="83"/>
  <c r="G54" i="83"/>
  <c r="I159" i="83"/>
  <c r="G14" i="83"/>
  <c r="G30" i="83"/>
  <c r="I179" i="83"/>
  <c r="I169" i="83"/>
  <c r="I157" i="83"/>
  <c r="I176" i="83"/>
  <c r="I174" i="83"/>
  <c r="I181" i="83"/>
  <c r="I172" i="83"/>
  <c r="I177" i="83"/>
  <c r="I167" i="83"/>
  <c r="I165" i="83"/>
  <c r="I155" i="83"/>
  <c r="I153" i="83"/>
  <c r="I143" i="83"/>
  <c r="I141" i="83"/>
  <c r="I131" i="83"/>
  <c r="I129" i="83"/>
  <c r="I182" i="83"/>
  <c r="I175" i="83"/>
  <c r="I163" i="83"/>
  <c r="I170" i="83"/>
  <c r="I168" i="83"/>
  <c r="I158" i="83"/>
  <c r="I156" i="83"/>
  <c r="I146" i="83"/>
  <c r="I144" i="83"/>
  <c r="I134" i="83"/>
  <c r="I178" i="83"/>
  <c r="I166" i="83"/>
  <c r="I154" i="83"/>
  <c r="I142" i="83"/>
  <c r="I130" i="83"/>
  <c r="I125" i="83"/>
  <c r="I123" i="83"/>
  <c r="I171" i="83"/>
  <c r="I164" i="83"/>
  <c r="I162" i="83"/>
  <c r="I135" i="83"/>
  <c r="I133" i="83"/>
  <c r="I128" i="83"/>
  <c r="I127" i="83"/>
  <c r="I121" i="83"/>
  <c r="I109" i="83"/>
  <c r="I97" i="83"/>
  <c r="I85" i="83"/>
  <c r="I147" i="83"/>
  <c r="I145" i="83"/>
  <c r="I139" i="83"/>
  <c r="I138" i="83"/>
  <c r="I137" i="83"/>
  <c r="I136" i="83"/>
  <c r="I132" i="83"/>
  <c r="I116" i="83"/>
  <c r="I114" i="83"/>
  <c r="I160" i="83"/>
  <c r="I151" i="83"/>
  <c r="I150" i="83"/>
  <c r="I149" i="83"/>
  <c r="I148" i="83"/>
  <c r="I140" i="83"/>
  <c r="I126" i="83"/>
  <c r="I124" i="83"/>
  <c r="I112" i="83"/>
  <c r="I100" i="83"/>
  <c r="I88" i="83"/>
  <c r="I180" i="83"/>
  <c r="I152" i="83"/>
  <c r="I119" i="83"/>
  <c r="I117" i="83"/>
  <c r="I107" i="83"/>
  <c r="I105" i="83"/>
  <c r="I95" i="83"/>
  <c r="I93" i="83"/>
  <c r="I115" i="83"/>
  <c r="I103" i="83"/>
  <c r="I173" i="83"/>
  <c r="I161" i="83"/>
  <c r="I122" i="83"/>
  <c r="I120" i="83"/>
  <c r="I110" i="83"/>
  <c r="I108" i="83"/>
  <c r="I98" i="83"/>
  <c r="I96" i="83"/>
  <c r="I86" i="83"/>
  <c r="I84" i="83"/>
  <c r="I99" i="83"/>
  <c r="I87" i="83"/>
  <c r="I73" i="83"/>
  <c r="I104" i="83"/>
  <c r="I92" i="83"/>
  <c r="I102" i="83"/>
  <c r="I118" i="83"/>
  <c r="I94" i="83"/>
  <c r="I83" i="83"/>
  <c r="I81" i="83"/>
  <c r="I71" i="83"/>
  <c r="I69" i="83"/>
  <c r="G32" i="83"/>
  <c r="G24" i="83"/>
  <c r="G20" i="83"/>
  <c r="I89" i="83"/>
  <c r="I79" i="83"/>
  <c r="I67" i="83"/>
  <c r="I90" i="83"/>
  <c r="I74" i="83"/>
  <c r="I72" i="83"/>
  <c r="G44" i="83"/>
  <c r="G36" i="83"/>
  <c r="I113" i="83"/>
  <c r="I106" i="83"/>
  <c r="I91" i="83"/>
  <c r="I82" i="83"/>
  <c r="I70" i="83"/>
  <c r="G58" i="83"/>
  <c r="G26" i="83"/>
  <c r="G46" i="83"/>
  <c r="G50" i="83"/>
  <c r="I64" i="83"/>
  <c r="G12" i="83"/>
  <c r="G48" i="83"/>
  <c r="G34" i="83"/>
  <c r="I63" i="83"/>
  <c r="I76" i="83"/>
  <c r="H194" i="82"/>
  <c r="E194" i="82" s="1"/>
  <c r="H202" i="82"/>
  <c r="H190" i="82"/>
  <c r="E190" i="82" s="1"/>
  <c r="E278" i="82"/>
  <c r="D274" i="82"/>
  <c r="Y6" i="82" s="1"/>
  <c r="E277" i="82"/>
  <c r="E273" i="82"/>
  <c r="E198" i="82"/>
  <c r="D198" i="82" s="1"/>
  <c r="D267" i="82" s="1"/>
  <c r="C267" i="82" s="1"/>
  <c r="D277" i="82"/>
  <c r="AB6" i="82" s="1"/>
  <c r="D273" i="82"/>
  <c r="X6" i="82" s="1"/>
  <c r="E276" i="82"/>
  <c r="D276" i="82"/>
  <c r="AA6" i="82" s="1"/>
  <c r="D275" i="82"/>
  <c r="Z6" i="82" s="1"/>
  <c r="E202" i="82"/>
  <c r="E275" i="82"/>
  <c r="E274" i="82"/>
  <c r="H194" i="81"/>
  <c r="E194" i="81" s="1"/>
  <c r="H198" i="81"/>
  <c r="E198" i="81" s="1"/>
  <c r="E278" i="81"/>
  <c r="D274" i="81"/>
  <c r="Y6" i="81" s="1"/>
  <c r="E277" i="81"/>
  <c r="E273" i="81"/>
  <c r="D277" i="81"/>
  <c r="AB6" i="81" s="1"/>
  <c r="D273" i="81"/>
  <c r="X6" i="81" s="1"/>
  <c r="E276" i="81"/>
  <c r="D276" i="81"/>
  <c r="AA6" i="81" s="1"/>
  <c r="E275" i="81"/>
  <c r="D275" i="81"/>
  <c r="Z6" i="81" s="1"/>
  <c r="E274" i="81"/>
  <c r="E190" i="81"/>
  <c r="D190" i="81" s="1"/>
  <c r="D265" i="81" s="1"/>
  <c r="C265" i="81" s="1"/>
  <c r="S40" i="73"/>
  <c r="S38" i="73"/>
  <c r="S39" i="73"/>
  <c r="S22" i="73"/>
  <c r="T22" i="73" s="1"/>
  <c r="I178" i="74"/>
  <c r="I179" i="74"/>
  <c r="I180" i="74"/>
  <c r="I181" i="74"/>
  <c r="I182" i="74"/>
  <c r="T174" i="85"/>
  <c r="T141" i="85"/>
  <c r="T15" i="85"/>
  <c r="T111" i="85"/>
  <c r="T84" i="85"/>
  <c r="T51" i="85"/>
  <c r="T180" i="85"/>
  <c r="T27" i="85"/>
  <c r="T99" i="85"/>
  <c r="T132" i="85"/>
  <c r="T126" i="85"/>
  <c r="T153" i="85"/>
  <c r="T105" i="85"/>
  <c r="T87" i="85"/>
  <c r="T39" i="85"/>
  <c r="E78" i="85" l="1"/>
  <c r="E111" i="85"/>
  <c r="E126" i="85"/>
  <c r="E99" i="85"/>
  <c r="E132" i="85"/>
  <c r="E153" i="85"/>
  <c r="E105" i="85"/>
  <c r="E174" i="85"/>
  <c r="E51" i="85"/>
  <c r="E84" i="85"/>
  <c r="E190" i="85"/>
  <c r="D190" i="85" s="1"/>
  <c r="D265" i="85" s="1"/>
  <c r="C265" i="85" s="1"/>
  <c r="E202" i="83"/>
  <c r="D202" i="83" s="1"/>
  <c r="D268" i="83" s="1"/>
  <c r="C268" i="83" s="1"/>
  <c r="H114" i="85"/>
  <c r="H159" i="85"/>
  <c r="H147" i="85"/>
  <c r="H17" i="85"/>
  <c r="H31" i="85"/>
  <c r="H93" i="85"/>
  <c r="H187" i="85"/>
  <c r="E187" i="85" s="1"/>
  <c r="H120" i="85"/>
  <c r="H72" i="85"/>
  <c r="H162" i="85"/>
  <c r="E202" i="85"/>
  <c r="D202" i="85" s="1"/>
  <c r="D268" i="85" s="1"/>
  <c r="C268" i="85" s="1"/>
  <c r="H135" i="85"/>
  <c r="H63" i="85"/>
  <c r="H168" i="85"/>
  <c r="I179" i="85"/>
  <c r="I176" i="85"/>
  <c r="I174" i="85"/>
  <c r="I164" i="85"/>
  <c r="I162" i="85"/>
  <c r="I152" i="85"/>
  <c r="I150" i="85"/>
  <c r="I140" i="85"/>
  <c r="I138" i="85"/>
  <c r="I181" i="85"/>
  <c r="I172" i="85"/>
  <c r="I160" i="85"/>
  <c r="I148" i="85"/>
  <c r="I177" i="85"/>
  <c r="I167" i="85"/>
  <c r="I165" i="85"/>
  <c r="I155" i="85"/>
  <c r="I153" i="85"/>
  <c r="I143" i="85"/>
  <c r="I141" i="85"/>
  <c r="I131" i="85"/>
  <c r="I129" i="85"/>
  <c r="I182" i="85"/>
  <c r="I175" i="85"/>
  <c r="I163" i="85"/>
  <c r="I151" i="85"/>
  <c r="I139" i="85"/>
  <c r="I178" i="85"/>
  <c r="I166" i="85"/>
  <c r="I154" i="85"/>
  <c r="I142" i="85"/>
  <c r="I130" i="85"/>
  <c r="I157" i="85"/>
  <c r="I144" i="85"/>
  <c r="I126" i="85"/>
  <c r="I124" i="85"/>
  <c r="I112" i="85"/>
  <c r="I100" i="85"/>
  <c r="I88" i="85"/>
  <c r="I119" i="85"/>
  <c r="I117" i="85"/>
  <c r="I107" i="85"/>
  <c r="I105" i="85"/>
  <c r="I95" i="85"/>
  <c r="I93" i="85"/>
  <c r="I83" i="85"/>
  <c r="I170" i="85"/>
  <c r="I145" i="85"/>
  <c r="I115" i="85"/>
  <c r="I180" i="85"/>
  <c r="I168" i="85"/>
  <c r="I158" i="85"/>
  <c r="I128" i="85"/>
  <c r="I122" i="85"/>
  <c r="I120" i="85"/>
  <c r="I110" i="85"/>
  <c r="I108" i="85"/>
  <c r="I98" i="85"/>
  <c r="I96" i="85"/>
  <c r="I156" i="85"/>
  <c r="I146" i="85"/>
  <c r="I135" i="85"/>
  <c r="I133" i="85"/>
  <c r="I132" i="85"/>
  <c r="I127" i="85"/>
  <c r="I118" i="85"/>
  <c r="I106" i="85"/>
  <c r="I159" i="85"/>
  <c r="I149" i="85"/>
  <c r="I121" i="85"/>
  <c r="I109" i="85"/>
  <c r="I97" i="85"/>
  <c r="I102" i="85"/>
  <c r="I92" i="85"/>
  <c r="I80" i="85"/>
  <c r="I78" i="85"/>
  <c r="I68" i="85"/>
  <c r="I66" i="85"/>
  <c r="G60" i="85"/>
  <c r="G52" i="85"/>
  <c r="I134" i="85"/>
  <c r="I103" i="85"/>
  <c r="I86" i="85"/>
  <c r="I76" i="85"/>
  <c r="I64" i="85"/>
  <c r="I169" i="85"/>
  <c r="I114" i="85"/>
  <c r="I94" i="85"/>
  <c r="I81" i="85"/>
  <c r="I71" i="85"/>
  <c r="I69" i="85"/>
  <c r="G32" i="85"/>
  <c r="G24" i="85"/>
  <c r="I161" i="85"/>
  <c r="I137" i="85"/>
  <c r="I111" i="85"/>
  <c r="I99" i="85"/>
  <c r="I89" i="85"/>
  <c r="I85" i="85"/>
  <c r="I79" i="85"/>
  <c r="I67" i="85"/>
  <c r="G62" i="85"/>
  <c r="G54" i="85"/>
  <c r="G46" i="85"/>
  <c r="G18" i="85"/>
  <c r="I147" i="85"/>
  <c r="I116" i="85"/>
  <c r="I104" i="85"/>
  <c r="I90" i="85"/>
  <c r="I136" i="85"/>
  <c r="I173" i="85"/>
  <c r="I84" i="85"/>
  <c r="I77" i="85"/>
  <c r="I75" i="85"/>
  <c r="I65" i="85"/>
  <c r="I63" i="85"/>
  <c r="G56" i="85"/>
  <c r="G48" i="85"/>
  <c r="G40" i="85"/>
  <c r="I171" i="85"/>
  <c r="I101" i="85"/>
  <c r="I74" i="85"/>
  <c r="I72" i="85"/>
  <c r="G58" i="85"/>
  <c r="I125" i="85"/>
  <c r="G38" i="85"/>
  <c r="I123" i="85"/>
  <c r="I113" i="85"/>
  <c r="I82" i="85"/>
  <c r="I70" i="85"/>
  <c r="G42" i="85"/>
  <c r="G22" i="85"/>
  <c r="G16" i="85"/>
  <c r="G44" i="85"/>
  <c r="G28" i="85"/>
  <c r="I73" i="85"/>
  <c r="G26" i="85"/>
  <c r="I87" i="85"/>
  <c r="G30" i="85"/>
  <c r="G36" i="85"/>
  <c r="G14" i="85"/>
  <c r="G10" i="85"/>
  <c r="I91" i="85"/>
  <c r="G50" i="85"/>
  <c r="G34" i="85"/>
  <c r="G20" i="85"/>
  <c r="G12" i="85"/>
  <c r="H150" i="85"/>
  <c r="H177" i="85"/>
  <c r="H165" i="85"/>
  <c r="H156" i="85"/>
  <c r="H144" i="85"/>
  <c r="H102" i="85"/>
  <c r="H90" i="85"/>
  <c r="H117" i="85"/>
  <c r="H108" i="85"/>
  <c r="H171" i="85"/>
  <c r="H123" i="85"/>
  <c r="H45" i="85"/>
  <c r="H25" i="85"/>
  <c r="H66" i="85"/>
  <c r="H138" i="85"/>
  <c r="H57" i="85"/>
  <c r="H37" i="85"/>
  <c r="H81" i="85"/>
  <c r="H69" i="85"/>
  <c r="H59" i="85"/>
  <c r="H129" i="85"/>
  <c r="H96" i="85"/>
  <c r="H61" i="85"/>
  <c r="H33" i="85"/>
  <c r="H23" i="85"/>
  <c r="H21" i="85"/>
  <c r="H9" i="85"/>
  <c r="H47" i="85"/>
  <c r="H11" i="85"/>
  <c r="H75" i="85"/>
  <c r="H49" i="85"/>
  <c r="H13" i="85"/>
  <c r="H35" i="85"/>
  <c r="E39" i="85"/>
  <c r="E15" i="85"/>
  <c r="E27" i="85"/>
  <c r="E87" i="85"/>
  <c r="E141" i="85"/>
  <c r="D264" i="85"/>
  <c r="C264" i="85" s="1"/>
  <c r="H135" i="84"/>
  <c r="H162" i="84"/>
  <c r="H168" i="84"/>
  <c r="H114" i="84"/>
  <c r="H120" i="84"/>
  <c r="H87" i="84"/>
  <c r="H72" i="84"/>
  <c r="H63" i="84"/>
  <c r="H171" i="84"/>
  <c r="H150" i="84"/>
  <c r="H177" i="84"/>
  <c r="H165" i="84"/>
  <c r="H156" i="84"/>
  <c r="H144" i="84"/>
  <c r="H129" i="84"/>
  <c r="H117" i="84"/>
  <c r="H81" i="84"/>
  <c r="H138" i="84"/>
  <c r="H90" i="84"/>
  <c r="H69" i="84"/>
  <c r="H108" i="84"/>
  <c r="H123" i="84"/>
  <c r="H102" i="84"/>
  <c r="H75" i="84"/>
  <c r="H35" i="84"/>
  <c r="H96" i="84"/>
  <c r="H45" i="84"/>
  <c r="H25" i="84"/>
  <c r="H66" i="84"/>
  <c r="H57" i="84"/>
  <c r="H9" i="84"/>
  <c r="H13" i="84"/>
  <c r="H23" i="84"/>
  <c r="H61" i="84"/>
  <c r="H49" i="84"/>
  <c r="H37" i="84"/>
  <c r="H21" i="84"/>
  <c r="H11" i="84"/>
  <c r="H33" i="84"/>
  <c r="H59" i="84"/>
  <c r="H47" i="84"/>
  <c r="H180" i="84"/>
  <c r="H159" i="84"/>
  <c r="H147" i="84"/>
  <c r="H188" i="84"/>
  <c r="H174" i="84"/>
  <c r="H187" i="84"/>
  <c r="H153" i="84"/>
  <c r="H141" i="84"/>
  <c r="H126" i="84"/>
  <c r="H105" i="84"/>
  <c r="H93" i="84"/>
  <c r="H111" i="84"/>
  <c r="H99" i="84"/>
  <c r="H78" i="84"/>
  <c r="H132" i="84"/>
  <c r="H43" i="84"/>
  <c r="H53" i="84"/>
  <c r="H19" i="84"/>
  <c r="H84" i="84"/>
  <c r="H17" i="84"/>
  <c r="H51" i="84"/>
  <c r="H39" i="84"/>
  <c r="H27" i="84"/>
  <c r="H55" i="84"/>
  <c r="H15" i="84"/>
  <c r="H41" i="84"/>
  <c r="H29" i="84"/>
  <c r="H31" i="84"/>
  <c r="E198" i="84"/>
  <c r="D198" i="84" s="1"/>
  <c r="D267" i="84" s="1"/>
  <c r="C267" i="84" s="1"/>
  <c r="I179" i="84"/>
  <c r="I169" i="84"/>
  <c r="I157" i="84"/>
  <c r="I145" i="84"/>
  <c r="I133" i="84"/>
  <c r="I176" i="84"/>
  <c r="I174" i="84"/>
  <c r="I164" i="84"/>
  <c r="I162" i="84"/>
  <c r="I152" i="84"/>
  <c r="I150" i="84"/>
  <c r="I140" i="84"/>
  <c r="I138" i="84"/>
  <c r="I181" i="84"/>
  <c r="I172" i="84"/>
  <c r="I160" i="84"/>
  <c r="I177" i="84"/>
  <c r="I167" i="84"/>
  <c r="I165" i="84"/>
  <c r="I155" i="84"/>
  <c r="I153" i="84"/>
  <c r="I143" i="84"/>
  <c r="I141" i="84"/>
  <c r="I131" i="84"/>
  <c r="I129" i="84"/>
  <c r="I182" i="84"/>
  <c r="I175" i="84"/>
  <c r="I163" i="84"/>
  <c r="I151" i="84"/>
  <c r="I139" i="84"/>
  <c r="I178" i="84"/>
  <c r="I166" i="84"/>
  <c r="I154" i="84"/>
  <c r="I142" i="84"/>
  <c r="I180" i="84"/>
  <c r="I173" i="84"/>
  <c r="I171" i="84"/>
  <c r="I161" i="84"/>
  <c r="I159" i="84"/>
  <c r="I149" i="84"/>
  <c r="I146" i="84"/>
  <c r="I116" i="84"/>
  <c r="I114" i="84"/>
  <c r="I156" i="84"/>
  <c r="I144" i="84"/>
  <c r="I126" i="84"/>
  <c r="I134" i="84"/>
  <c r="I119" i="84"/>
  <c r="I117" i="84"/>
  <c r="I170" i="84"/>
  <c r="I147" i="84"/>
  <c r="I137" i="84"/>
  <c r="I115" i="84"/>
  <c r="I103" i="84"/>
  <c r="I91" i="84"/>
  <c r="I79" i="84"/>
  <c r="I135" i="84"/>
  <c r="I128" i="84"/>
  <c r="I122" i="84"/>
  <c r="I120" i="84"/>
  <c r="I130" i="84"/>
  <c r="I127" i="84"/>
  <c r="I168" i="84"/>
  <c r="I158" i="84"/>
  <c r="I148" i="84"/>
  <c r="I132" i="84"/>
  <c r="I125" i="84"/>
  <c r="I123" i="84"/>
  <c r="I113" i="84"/>
  <c r="I111" i="84"/>
  <c r="I101" i="84"/>
  <c r="I99" i="84"/>
  <c r="I89" i="84"/>
  <c r="I87" i="84"/>
  <c r="I77" i="84"/>
  <c r="I75" i="84"/>
  <c r="I112" i="84"/>
  <c r="I100" i="84"/>
  <c r="I84" i="84"/>
  <c r="I74" i="84"/>
  <c r="I73" i="84"/>
  <c r="I124" i="84"/>
  <c r="I105" i="84"/>
  <c r="I136" i="84"/>
  <c r="I110" i="84"/>
  <c r="I109" i="84"/>
  <c r="I88" i="84"/>
  <c r="I67" i="84"/>
  <c r="I104" i="84"/>
  <c r="I93" i="84"/>
  <c r="I83" i="84"/>
  <c r="I82" i="84"/>
  <c r="I72" i="84"/>
  <c r="I108" i="84"/>
  <c r="I98" i="84"/>
  <c r="I97" i="84"/>
  <c r="I76" i="84"/>
  <c r="I70" i="84"/>
  <c r="I118" i="84"/>
  <c r="I96" i="84"/>
  <c r="I86" i="84"/>
  <c r="I85" i="84"/>
  <c r="G38" i="84"/>
  <c r="G30" i="84"/>
  <c r="G22" i="84"/>
  <c r="I121" i="84"/>
  <c r="I107" i="84"/>
  <c r="I106" i="84"/>
  <c r="I90" i="84"/>
  <c r="I80" i="84"/>
  <c r="I68" i="84"/>
  <c r="I66" i="84"/>
  <c r="G60" i="84"/>
  <c r="G52" i="84"/>
  <c r="I95" i="84"/>
  <c r="I78" i="84"/>
  <c r="I69" i="84"/>
  <c r="I64" i="84"/>
  <c r="I81" i="84"/>
  <c r="G58" i="84"/>
  <c r="G46" i="84"/>
  <c r="G34" i="84"/>
  <c r="I94" i="84"/>
  <c r="I71" i="84"/>
  <c r="I63" i="84"/>
  <c r="G40" i="84"/>
  <c r="G28" i="84"/>
  <c r="G20" i="84"/>
  <c r="I65" i="84"/>
  <c r="G14" i="84"/>
  <c r="G12" i="84"/>
  <c r="G62" i="84"/>
  <c r="G50" i="84"/>
  <c r="G18" i="84"/>
  <c r="G24" i="84"/>
  <c r="G10" i="84"/>
  <c r="G56" i="84"/>
  <c r="G44" i="84"/>
  <c r="G32" i="84"/>
  <c r="G16" i="84"/>
  <c r="I102" i="84"/>
  <c r="I92" i="84"/>
  <c r="G54" i="84"/>
  <c r="G42" i="84"/>
  <c r="G26" i="84"/>
  <c r="G48" i="84"/>
  <c r="G36" i="84"/>
  <c r="D194" i="84"/>
  <c r="D266" i="84" s="1"/>
  <c r="C266" i="84" s="1"/>
  <c r="D202" i="84"/>
  <c r="D268" i="84" s="1"/>
  <c r="C268" i="84" s="1"/>
  <c r="D198" i="83"/>
  <c r="D267" i="83" s="1"/>
  <c r="C267" i="83" s="1"/>
  <c r="E190" i="83"/>
  <c r="D190" i="83" s="1"/>
  <c r="D265" i="83" s="1"/>
  <c r="C265" i="83" s="1"/>
  <c r="H180" i="83"/>
  <c r="H159" i="83"/>
  <c r="H188" i="83"/>
  <c r="H174" i="83"/>
  <c r="H187" i="83"/>
  <c r="H153" i="83"/>
  <c r="H132" i="83"/>
  <c r="H111" i="83"/>
  <c r="H99" i="83"/>
  <c r="H147" i="83"/>
  <c r="H141" i="83"/>
  <c r="H126" i="83"/>
  <c r="H105" i="83"/>
  <c r="H93" i="83"/>
  <c r="H84" i="83"/>
  <c r="H29" i="83"/>
  <c r="H41" i="83"/>
  <c r="H51" i="83"/>
  <c r="H31" i="83"/>
  <c r="H43" i="83"/>
  <c r="H27" i="83"/>
  <c r="H15" i="83"/>
  <c r="H53" i="83"/>
  <c r="H39" i="83"/>
  <c r="H19" i="83"/>
  <c r="H78" i="83"/>
  <c r="H55" i="83"/>
  <c r="H17" i="83"/>
  <c r="H168" i="83"/>
  <c r="H87" i="83"/>
  <c r="H162" i="83"/>
  <c r="H135" i="83"/>
  <c r="H114" i="83"/>
  <c r="H120" i="83"/>
  <c r="H72" i="83"/>
  <c r="H63" i="83"/>
  <c r="E194" i="83"/>
  <c r="D194" i="83" s="1"/>
  <c r="D266" i="83" s="1"/>
  <c r="C266" i="83" s="1"/>
  <c r="H171" i="83"/>
  <c r="H177" i="83"/>
  <c r="H165" i="83"/>
  <c r="H156" i="83"/>
  <c r="H144" i="83"/>
  <c r="H123" i="83"/>
  <c r="H138" i="83"/>
  <c r="H102" i="83"/>
  <c r="H90" i="83"/>
  <c r="H150" i="83"/>
  <c r="H117" i="83"/>
  <c r="H75" i="83"/>
  <c r="H129" i="83"/>
  <c r="H57" i="83"/>
  <c r="H37" i="83"/>
  <c r="H81" i="83"/>
  <c r="H69" i="83"/>
  <c r="H108" i="83"/>
  <c r="H49" i="83"/>
  <c r="H23" i="83"/>
  <c r="H96" i="83"/>
  <c r="H66" i="83"/>
  <c r="H47" i="83"/>
  <c r="H11" i="83"/>
  <c r="H61" i="83"/>
  <c r="H45" i="83"/>
  <c r="H25" i="83"/>
  <c r="H59" i="83"/>
  <c r="H33" i="83"/>
  <c r="H35" i="83"/>
  <c r="H13" i="83"/>
  <c r="H9" i="83"/>
  <c r="H21" i="83"/>
  <c r="H171" i="82"/>
  <c r="H177" i="82"/>
  <c r="H165" i="82"/>
  <c r="H156" i="82"/>
  <c r="H144" i="82"/>
  <c r="H117" i="82"/>
  <c r="H150" i="82"/>
  <c r="H138" i="82"/>
  <c r="H108" i="82"/>
  <c r="H96" i="82"/>
  <c r="H123" i="82"/>
  <c r="H129" i="82"/>
  <c r="H75" i="82"/>
  <c r="H66" i="82"/>
  <c r="H57" i="82"/>
  <c r="H37" i="82"/>
  <c r="H102" i="82"/>
  <c r="H81" i="82"/>
  <c r="H69" i="82"/>
  <c r="H59" i="82"/>
  <c r="H49" i="82"/>
  <c r="H13" i="82"/>
  <c r="H61" i="82"/>
  <c r="H25" i="82"/>
  <c r="H9" i="82"/>
  <c r="H47" i="82"/>
  <c r="H35" i="82"/>
  <c r="H21" i="82"/>
  <c r="H11" i="82"/>
  <c r="H23" i="82"/>
  <c r="H90" i="82"/>
  <c r="H45" i="82"/>
  <c r="H33" i="82"/>
  <c r="D194" i="82"/>
  <c r="D266" i="82" s="1"/>
  <c r="C266" i="82" s="1"/>
  <c r="I179" i="82"/>
  <c r="I169" i="82"/>
  <c r="I157" i="82"/>
  <c r="I176" i="82"/>
  <c r="I174" i="82"/>
  <c r="I164" i="82"/>
  <c r="I162" i="82"/>
  <c r="I152" i="82"/>
  <c r="I150" i="82"/>
  <c r="I181" i="82"/>
  <c r="I172" i="82"/>
  <c r="I160" i="82"/>
  <c r="I177" i="82"/>
  <c r="I167" i="82"/>
  <c r="I165" i="82"/>
  <c r="I155" i="82"/>
  <c r="I153" i="82"/>
  <c r="I143" i="82"/>
  <c r="I141" i="82"/>
  <c r="I131" i="82"/>
  <c r="I129" i="82"/>
  <c r="I182" i="82"/>
  <c r="I175" i="82"/>
  <c r="I163" i="82"/>
  <c r="I178" i="82"/>
  <c r="I166" i="82"/>
  <c r="I154" i="82"/>
  <c r="I170" i="82"/>
  <c r="I136" i="82"/>
  <c r="I119" i="82"/>
  <c r="I117" i="82"/>
  <c r="I151" i="82"/>
  <c r="I133" i="82"/>
  <c r="I115" i="82"/>
  <c r="I103" i="82"/>
  <c r="I149" i="82"/>
  <c r="I146" i="82"/>
  <c r="I138" i="82"/>
  <c r="I130" i="82"/>
  <c r="I128" i="82"/>
  <c r="I122" i="82"/>
  <c r="I120" i="82"/>
  <c r="I110" i="82"/>
  <c r="I108" i="82"/>
  <c r="I98" i="82"/>
  <c r="I96" i="82"/>
  <c r="I180" i="82"/>
  <c r="I159" i="82"/>
  <c r="I148" i="82"/>
  <c r="I135" i="82"/>
  <c r="I127" i="82"/>
  <c r="I118" i="82"/>
  <c r="I106" i="82"/>
  <c r="I94" i="82"/>
  <c r="I156" i="82"/>
  <c r="I145" i="82"/>
  <c r="I132" i="82"/>
  <c r="I125" i="82"/>
  <c r="I123" i="82"/>
  <c r="I171" i="82"/>
  <c r="I161" i="82"/>
  <c r="I142" i="82"/>
  <c r="I140" i="82"/>
  <c r="I121" i="82"/>
  <c r="I109" i="82"/>
  <c r="I97" i="82"/>
  <c r="I168" i="82"/>
  <c r="I158" i="82"/>
  <c r="I147" i="82"/>
  <c r="I139" i="82"/>
  <c r="I137" i="82"/>
  <c r="I124" i="82"/>
  <c r="I114" i="82"/>
  <c r="I104" i="82"/>
  <c r="I92" i="82"/>
  <c r="I87" i="82"/>
  <c r="I77" i="82"/>
  <c r="I75" i="82"/>
  <c r="I116" i="82"/>
  <c r="I100" i="82"/>
  <c r="I89" i="82"/>
  <c r="I85" i="82"/>
  <c r="I73" i="82"/>
  <c r="I126" i="82"/>
  <c r="I105" i="82"/>
  <c r="I91" i="82"/>
  <c r="I80" i="82"/>
  <c r="I78" i="82"/>
  <c r="I68" i="82"/>
  <c r="I66" i="82"/>
  <c r="I111" i="82"/>
  <c r="I101" i="82"/>
  <c r="I88" i="82"/>
  <c r="I76" i="82"/>
  <c r="I64" i="82"/>
  <c r="I102" i="82"/>
  <c r="I95" i="82"/>
  <c r="I83" i="82"/>
  <c r="I81" i="82"/>
  <c r="I71" i="82"/>
  <c r="I69" i="82"/>
  <c r="G32" i="82"/>
  <c r="G24" i="82"/>
  <c r="I173" i="82"/>
  <c r="I134" i="82"/>
  <c r="I112" i="82"/>
  <c r="I90" i="82"/>
  <c r="I79" i="82"/>
  <c r="I67" i="82"/>
  <c r="G62" i="82"/>
  <c r="G54" i="82"/>
  <c r="G46" i="82"/>
  <c r="I84" i="82"/>
  <c r="I74" i="82"/>
  <c r="I70" i="82"/>
  <c r="I63" i="82"/>
  <c r="G10" i="82"/>
  <c r="G22" i="82"/>
  <c r="I65" i="82"/>
  <c r="G56" i="82"/>
  <c r="G44" i="82"/>
  <c r="G14" i="82"/>
  <c r="G12" i="82"/>
  <c r="G34" i="82"/>
  <c r="I86" i="82"/>
  <c r="G50" i="82"/>
  <c r="G38" i="82"/>
  <c r="G26" i="82"/>
  <c r="G20" i="82"/>
  <c r="I144" i="82"/>
  <c r="I99" i="82"/>
  <c r="G48" i="82"/>
  <c r="G36" i="82"/>
  <c r="G18" i="82"/>
  <c r="G60" i="82"/>
  <c r="G58" i="82"/>
  <c r="G42" i="82"/>
  <c r="G30" i="82"/>
  <c r="G16" i="82"/>
  <c r="I93" i="82"/>
  <c r="I72" i="82"/>
  <c r="I113" i="82"/>
  <c r="G52" i="82"/>
  <c r="G40" i="82"/>
  <c r="G28" i="82"/>
  <c r="I107" i="82"/>
  <c r="I82" i="82"/>
  <c r="D190" i="82"/>
  <c r="D265" i="82" s="1"/>
  <c r="C265" i="82" s="1"/>
  <c r="H162" i="82"/>
  <c r="H168" i="82"/>
  <c r="H120" i="82"/>
  <c r="H135" i="82"/>
  <c r="H114" i="82"/>
  <c r="H87" i="82"/>
  <c r="H72" i="82"/>
  <c r="H63" i="82"/>
  <c r="H180" i="82"/>
  <c r="H159" i="82"/>
  <c r="H188" i="82"/>
  <c r="H174" i="82"/>
  <c r="H187" i="82"/>
  <c r="H153" i="82"/>
  <c r="H126" i="82"/>
  <c r="H141" i="82"/>
  <c r="H105" i="82"/>
  <c r="H132" i="82"/>
  <c r="H111" i="82"/>
  <c r="H99" i="82"/>
  <c r="H147" i="82"/>
  <c r="H78" i="82"/>
  <c r="H29" i="82"/>
  <c r="H39" i="82"/>
  <c r="H27" i="82"/>
  <c r="H17" i="82"/>
  <c r="H84" i="82"/>
  <c r="H51" i="82"/>
  <c r="H93" i="82"/>
  <c r="H19" i="82"/>
  <c r="H55" i="82"/>
  <c r="H43" i="82"/>
  <c r="H31" i="82"/>
  <c r="H53" i="82"/>
  <c r="H41" i="82"/>
  <c r="H15" i="82"/>
  <c r="D202" i="82"/>
  <c r="D268" i="82" s="1"/>
  <c r="C268" i="82" s="1"/>
  <c r="D194" i="81"/>
  <c r="D266" i="81" s="1"/>
  <c r="C266" i="81" s="1"/>
  <c r="E202" i="81"/>
  <c r="D202" i="81" s="1"/>
  <c r="D268" i="81" s="1"/>
  <c r="C268" i="81" s="1"/>
  <c r="H171" i="81"/>
  <c r="H156" i="81"/>
  <c r="H144" i="81"/>
  <c r="H177" i="81"/>
  <c r="H150" i="81"/>
  <c r="H129" i="81"/>
  <c r="H123" i="81"/>
  <c r="H138" i="81"/>
  <c r="H102" i="81"/>
  <c r="H165" i="81"/>
  <c r="H117" i="81"/>
  <c r="H81" i="81"/>
  <c r="H57" i="81"/>
  <c r="H37" i="81"/>
  <c r="H49" i="81"/>
  <c r="H61" i="81"/>
  <c r="H96" i="81"/>
  <c r="H90" i="81"/>
  <c r="H75" i="81"/>
  <c r="H108" i="81"/>
  <c r="H59" i="81"/>
  <c r="H47" i="81"/>
  <c r="H23" i="81"/>
  <c r="H69" i="81"/>
  <c r="H13" i="81"/>
  <c r="H35" i="81"/>
  <c r="H25" i="81"/>
  <c r="H45" i="81"/>
  <c r="H33" i="81"/>
  <c r="H11" i="81"/>
  <c r="H9" i="81"/>
  <c r="H66" i="81"/>
  <c r="H21" i="81"/>
  <c r="H162" i="81"/>
  <c r="H168" i="81"/>
  <c r="H135" i="81"/>
  <c r="H114" i="81"/>
  <c r="H87" i="81"/>
  <c r="H120" i="81"/>
  <c r="H72" i="81"/>
  <c r="H63" i="81"/>
  <c r="I179" i="81"/>
  <c r="I169" i="81"/>
  <c r="I157" i="81"/>
  <c r="I145" i="81"/>
  <c r="I181" i="81"/>
  <c r="I172" i="81"/>
  <c r="I160" i="81"/>
  <c r="I177" i="81"/>
  <c r="I167" i="81"/>
  <c r="I165" i="81"/>
  <c r="I155" i="81"/>
  <c r="I153" i="81"/>
  <c r="I143" i="81"/>
  <c r="I141" i="81"/>
  <c r="I131" i="81"/>
  <c r="I129" i="81"/>
  <c r="I170" i="81"/>
  <c r="I168" i="81"/>
  <c r="I158" i="81"/>
  <c r="I156" i="81"/>
  <c r="I146" i="81"/>
  <c r="I144" i="81"/>
  <c r="I134" i="81"/>
  <c r="I132" i="81"/>
  <c r="I178" i="81"/>
  <c r="I166" i="81"/>
  <c r="I154" i="81"/>
  <c r="I142" i="81"/>
  <c r="I130" i="81"/>
  <c r="I180" i="81"/>
  <c r="I173" i="81"/>
  <c r="I171" i="81"/>
  <c r="I161" i="81"/>
  <c r="I159" i="81"/>
  <c r="I149" i="81"/>
  <c r="I147" i="81"/>
  <c r="I150" i="81"/>
  <c r="I182" i="81"/>
  <c r="I174" i="81"/>
  <c r="I164" i="81"/>
  <c r="I135" i="81"/>
  <c r="I133" i="81"/>
  <c r="I125" i="81"/>
  <c r="I123" i="81"/>
  <c r="I148" i="81"/>
  <c r="I139" i="81"/>
  <c r="I138" i="81"/>
  <c r="I137" i="81"/>
  <c r="I136" i="81"/>
  <c r="I128" i="81"/>
  <c r="I127" i="81"/>
  <c r="I121" i="81"/>
  <c r="I176" i="81"/>
  <c r="I140" i="81"/>
  <c r="I116" i="81"/>
  <c r="I114" i="81"/>
  <c r="I104" i="81"/>
  <c r="I102" i="81"/>
  <c r="I92" i="81"/>
  <c r="I90" i="81"/>
  <c r="I80" i="81"/>
  <c r="I78" i="81"/>
  <c r="I163" i="81"/>
  <c r="I151" i="81"/>
  <c r="I126" i="81"/>
  <c r="I124" i="81"/>
  <c r="I112" i="81"/>
  <c r="I100" i="81"/>
  <c r="I175" i="81"/>
  <c r="I115" i="81"/>
  <c r="I103" i="81"/>
  <c r="I91" i="81"/>
  <c r="I79" i="81"/>
  <c r="I122" i="81"/>
  <c r="I118" i="81"/>
  <c r="I113" i="81"/>
  <c r="I89" i="81"/>
  <c r="I88" i="81"/>
  <c r="I76" i="81"/>
  <c r="I93" i="81"/>
  <c r="I83" i="81"/>
  <c r="I82" i="81"/>
  <c r="I71" i="81"/>
  <c r="I69" i="81"/>
  <c r="G32" i="81"/>
  <c r="I119" i="81"/>
  <c r="I87" i="81"/>
  <c r="I152" i="81"/>
  <c r="I120" i="81"/>
  <c r="I81" i="81"/>
  <c r="I74" i="81"/>
  <c r="I72" i="81"/>
  <c r="G44" i="81"/>
  <c r="G36" i="81"/>
  <c r="G28" i="81"/>
  <c r="I86" i="81"/>
  <c r="I70" i="81"/>
  <c r="G58" i="81"/>
  <c r="I96" i="81"/>
  <c r="I85" i="81"/>
  <c r="I77" i="81"/>
  <c r="I75" i="81"/>
  <c r="I65" i="81"/>
  <c r="I63" i="81"/>
  <c r="G56" i="81"/>
  <c r="G48" i="81"/>
  <c r="G40" i="81"/>
  <c r="I162" i="81"/>
  <c r="I108" i="81"/>
  <c r="I106" i="81"/>
  <c r="I105" i="81"/>
  <c r="I99" i="81"/>
  <c r="I98" i="81"/>
  <c r="I97" i="81"/>
  <c r="I84" i="81"/>
  <c r="I73" i="81"/>
  <c r="G38" i="81"/>
  <c r="I64" i="81"/>
  <c r="G52" i="81"/>
  <c r="I107" i="81"/>
  <c r="G46" i="81"/>
  <c r="G26" i="81"/>
  <c r="G10" i="81"/>
  <c r="I67" i="81"/>
  <c r="G30" i="81"/>
  <c r="G22" i="81"/>
  <c r="G60" i="81"/>
  <c r="G16" i="81"/>
  <c r="G54" i="81"/>
  <c r="G42" i="81"/>
  <c r="G34" i="81"/>
  <c r="G14" i="81"/>
  <c r="G12" i="81"/>
  <c r="G24" i="81"/>
  <c r="G20" i="81"/>
  <c r="I111" i="81"/>
  <c r="I95" i="81"/>
  <c r="I68" i="81"/>
  <c r="I110" i="81"/>
  <c r="I94" i="81"/>
  <c r="I66" i="81"/>
  <c r="G18" i="81"/>
  <c r="I117" i="81"/>
  <c r="I109" i="81"/>
  <c r="I101" i="81"/>
  <c r="G62" i="81"/>
  <c r="G50" i="81"/>
  <c r="H180" i="81"/>
  <c r="H159" i="81"/>
  <c r="H147" i="81"/>
  <c r="H188" i="81"/>
  <c r="H174" i="81"/>
  <c r="H132" i="81"/>
  <c r="H187" i="81"/>
  <c r="H153" i="81"/>
  <c r="H141" i="81"/>
  <c r="H126" i="81"/>
  <c r="H105" i="81"/>
  <c r="H93" i="81"/>
  <c r="H111" i="81"/>
  <c r="H78" i="81"/>
  <c r="H29" i="81"/>
  <c r="H41" i="81"/>
  <c r="H51" i="81"/>
  <c r="H53" i="81"/>
  <c r="H43" i="81"/>
  <c r="H31" i="81"/>
  <c r="H99" i="81"/>
  <c r="H84" i="81"/>
  <c r="H19" i="81"/>
  <c r="H55" i="81"/>
  <c r="H17" i="81"/>
  <c r="H39" i="81"/>
  <c r="H27" i="81"/>
  <c r="H15" i="81"/>
  <c r="D198" i="81"/>
  <c r="D267" i="81" s="1"/>
  <c r="C267" i="81" s="1"/>
  <c r="W22" i="73"/>
  <c r="H180" i="74"/>
  <c r="H177" i="74"/>
  <c r="I177" i="74"/>
  <c r="I176" i="74"/>
  <c r="I175" i="74"/>
  <c r="I174" i="74"/>
  <c r="H174" i="74"/>
  <c r="I173" i="74"/>
  <c r="I172" i="74"/>
  <c r="I171" i="74"/>
  <c r="H171" i="74"/>
  <c r="I170" i="74"/>
  <c r="I169" i="74"/>
  <c r="I168" i="74"/>
  <c r="H168" i="74"/>
  <c r="P90" i="79"/>
  <c r="AF90" i="79" s="1"/>
  <c r="P11" i="79"/>
  <c r="AF11" i="79" s="1"/>
  <c r="AS93" i="79"/>
  <c r="AQ93" i="79"/>
  <c r="AO93" i="79"/>
  <c r="AM93" i="79"/>
  <c r="AK93" i="79"/>
  <c r="F113" i="79"/>
  <c r="F112" i="79" s="1"/>
  <c r="E113" i="79"/>
  <c r="E112" i="79" s="1"/>
  <c r="D113" i="79"/>
  <c r="D112" i="79" s="1"/>
  <c r="C113" i="79"/>
  <c r="C112" i="79" s="1"/>
  <c r="E111" i="79"/>
  <c r="F110" i="79"/>
  <c r="E110" i="79"/>
  <c r="D110" i="79"/>
  <c r="C110" i="79"/>
  <c r="F108" i="79"/>
  <c r="E108" i="79"/>
  <c r="D108" i="79"/>
  <c r="C108" i="79"/>
  <c r="C125" i="79" s="1"/>
  <c r="U118" i="79" s="1"/>
  <c r="J94" i="79"/>
  <c r="I94" i="79"/>
  <c r="H94" i="79"/>
  <c r="G94" i="79"/>
  <c r="F94" i="79"/>
  <c r="E94" i="79"/>
  <c r="D94" i="79"/>
  <c r="C94" i="79"/>
  <c r="J93" i="79"/>
  <c r="H93" i="79"/>
  <c r="F93" i="79"/>
  <c r="E93" i="79"/>
  <c r="D93" i="79"/>
  <c r="C93" i="79"/>
  <c r="I91" i="79"/>
  <c r="H91" i="79"/>
  <c r="G91" i="79"/>
  <c r="F91" i="79"/>
  <c r="E91" i="79"/>
  <c r="D91" i="79"/>
  <c r="C91" i="79"/>
  <c r="J90" i="79"/>
  <c r="J91" i="79" s="1"/>
  <c r="H90" i="79"/>
  <c r="F34" i="79"/>
  <c r="E34" i="79"/>
  <c r="D34" i="79"/>
  <c r="D33" i="79" s="1"/>
  <c r="C34" i="79"/>
  <c r="C33" i="79" s="1"/>
  <c r="F33" i="79"/>
  <c r="E33" i="79"/>
  <c r="E32" i="79"/>
  <c r="F31" i="79"/>
  <c r="E31" i="79"/>
  <c r="D31" i="79"/>
  <c r="C31" i="79"/>
  <c r="J15" i="79"/>
  <c r="I15" i="79"/>
  <c r="H15" i="79"/>
  <c r="G15" i="79"/>
  <c r="F15" i="79"/>
  <c r="E15" i="79"/>
  <c r="D15" i="79"/>
  <c r="C15" i="79"/>
  <c r="J14" i="79"/>
  <c r="H14" i="79"/>
  <c r="F14" i="79"/>
  <c r="E14" i="79"/>
  <c r="D14" i="79"/>
  <c r="C14" i="79"/>
  <c r="I12" i="79"/>
  <c r="G12" i="79"/>
  <c r="F12" i="79"/>
  <c r="E12" i="79"/>
  <c r="D12" i="79"/>
  <c r="C12" i="79"/>
  <c r="J11" i="79"/>
  <c r="J12" i="79" s="1"/>
  <c r="H11" i="79"/>
  <c r="H12" i="79" s="1"/>
  <c r="T87" i="84"/>
  <c r="T102" i="85"/>
  <c r="T141" i="84"/>
  <c r="T45" i="85"/>
  <c r="T171" i="81"/>
  <c r="T117" i="83"/>
  <c r="T90" i="83"/>
  <c r="T174" i="74"/>
  <c r="T15" i="83"/>
  <c r="T165" i="83"/>
  <c r="T75" i="82"/>
  <c r="T75" i="81"/>
  <c r="T117" i="81"/>
  <c r="T39" i="81"/>
  <c r="T87" i="83"/>
  <c r="T78" i="82"/>
  <c r="T156" i="82"/>
  <c r="T156" i="84"/>
  <c r="T120" i="83"/>
  <c r="T9" i="82"/>
  <c r="T147" i="85"/>
  <c r="T165" i="85"/>
  <c r="T99" i="81"/>
  <c r="T111" i="82"/>
  <c r="T144" i="82"/>
  <c r="T15" i="84"/>
  <c r="T150" i="83"/>
  <c r="T150" i="82"/>
  <c r="T93" i="83"/>
  <c r="T87" i="81"/>
  <c r="T162" i="84"/>
  <c r="T165" i="82"/>
  <c r="T9" i="85"/>
  <c r="T120" i="84"/>
  <c r="T174" i="81"/>
  <c r="T57" i="84"/>
  <c r="T78" i="81"/>
  <c r="T96" i="84"/>
  <c r="T159" i="84"/>
  <c r="T57" i="82"/>
  <c r="T21" i="82"/>
  <c r="T51" i="82"/>
  <c r="T111" i="84"/>
  <c r="T27" i="83"/>
  <c r="T39" i="84"/>
  <c r="T144" i="81"/>
  <c r="T120" i="85"/>
  <c r="T93" i="82"/>
  <c r="T138" i="82"/>
  <c r="T180" i="82"/>
  <c r="T129" i="83"/>
  <c r="T51" i="81"/>
  <c r="T171" i="85"/>
  <c r="T114" i="82"/>
  <c r="T51" i="83"/>
  <c r="T84" i="81"/>
  <c r="T69" i="83"/>
  <c r="T153" i="84"/>
  <c r="T114" i="81"/>
  <c r="T108" i="85"/>
  <c r="T129" i="82"/>
  <c r="T105" i="83"/>
  <c r="T168" i="82"/>
  <c r="T108" i="83"/>
  <c r="T45" i="83"/>
  <c r="T90" i="82"/>
  <c r="T27" i="82"/>
  <c r="T135" i="82"/>
  <c r="T69" i="81"/>
  <c r="T162" i="85"/>
  <c r="T102" i="82"/>
  <c r="T162" i="83"/>
  <c r="T180" i="83"/>
  <c r="T135" i="81"/>
  <c r="T66" i="82"/>
  <c r="T165" i="84"/>
  <c r="T78" i="83"/>
  <c r="T90" i="84"/>
  <c r="T45" i="82"/>
  <c r="T93" i="85"/>
  <c r="T138" i="81"/>
  <c r="T123" i="81"/>
  <c r="T57" i="83"/>
  <c r="T90" i="81"/>
  <c r="T102" i="84"/>
  <c r="T174" i="83"/>
  <c r="T75" i="83"/>
  <c r="T153" i="83"/>
  <c r="T132" i="82"/>
  <c r="T156" i="81"/>
  <c r="T174" i="82"/>
  <c r="T66" i="85"/>
  <c r="T147" i="81"/>
  <c r="T9" i="84"/>
  <c r="T66" i="81"/>
  <c r="T33" i="83"/>
  <c r="T138" i="83"/>
  <c r="T45" i="84"/>
  <c r="T69" i="84"/>
  <c r="T168" i="84"/>
  <c r="T114" i="83"/>
  <c r="T81" i="85"/>
  <c r="T15" i="81"/>
  <c r="T63" i="81"/>
  <c r="T72" i="85"/>
  <c r="T21" i="84"/>
  <c r="T66" i="84"/>
  <c r="T9" i="81"/>
  <c r="T93" i="84"/>
  <c r="T45" i="81"/>
  <c r="T150" i="81"/>
  <c r="T81" i="84"/>
  <c r="T141" i="82"/>
  <c r="T171" i="82"/>
  <c r="T171" i="84"/>
  <c r="T132" i="83"/>
  <c r="T57" i="85"/>
  <c r="T126" i="83"/>
  <c r="T129" i="84"/>
  <c r="T102" i="83"/>
  <c r="T177" i="83"/>
  <c r="T21" i="85"/>
  <c r="T177" i="84"/>
  <c r="T27" i="81"/>
  <c r="T33" i="81"/>
  <c r="T21" i="81"/>
  <c r="T108" i="84"/>
  <c r="T123" i="82"/>
  <c r="T159" i="83"/>
  <c r="T177" i="74"/>
  <c r="T105" i="84"/>
  <c r="T33" i="82"/>
  <c r="T135" i="84"/>
  <c r="T168" i="85"/>
  <c r="T99" i="84"/>
  <c r="T180" i="81"/>
  <c r="T99" i="82"/>
  <c r="T174" i="84"/>
  <c r="T165" i="81"/>
  <c r="T63" i="82"/>
  <c r="T90" i="85"/>
  <c r="T87" i="82"/>
  <c r="T162" i="81"/>
  <c r="T81" i="81"/>
  <c r="T132" i="81"/>
  <c r="T81" i="82"/>
  <c r="T96" i="81"/>
  <c r="T96" i="85"/>
  <c r="T138" i="85"/>
  <c r="T15" i="82"/>
  <c r="T171" i="83"/>
  <c r="T171" i="74"/>
  <c r="T159" i="85"/>
  <c r="T69" i="82"/>
  <c r="T51" i="84"/>
  <c r="T84" i="83"/>
  <c r="T135" i="85"/>
  <c r="T144" i="83"/>
  <c r="T33" i="84"/>
  <c r="T156" i="85"/>
  <c r="T111" i="81"/>
  <c r="T138" i="84"/>
  <c r="T75" i="84"/>
  <c r="T75" i="85"/>
  <c r="T141" i="83"/>
  <c r="T126" i="84"/>
  <c r="T123" i="84"/>
  <c r="T99" i="83"/>
  <c r="T39" i="82"/>
  <c r="T126" i="81"/>
  <c r="T129" i="81"/>
  <c r="T93" i="81"/>
  <c r="T39" i="83"/>
  <c r="T105" i="81"/>
  <c r="T177" i="82"/>
  <c r="T177" i="85"/>
  <c r="T159" i="81"/>
  <c r="T156" i="83"/>
  <c r="T63" i="84"/>
  <c r="T72" i="81"/>
  <c r="T135" i="83"/>
  <c r="T180" i="84"/>
  <c r="T177" i="81"/>
  <c r="T21" i="83"/>
  <c r="T147" i="83"/>
  <c r="T159" i="82"/>
  <c r="T66" i="83"/>
  <c r="T153" i="81"/>
  <c r="T168" i="83"/>
  <c r="T180" i="74"/>
  <c r="T120" i="82"/>
  <c r="T108" i="81"/>
  <c r="T81" i="83"/>
  <c r="T150" i="84"/>
  <c r="T150" i="85"/>
  <c r="T123" i="85"/>
  <c r="T162" i="82"/>
  <c r="T120" i="81"/>
  <c r="T9" i="83"/>
  <c r="T144" i="85"/>
  <c r="T102" i="81"/>
  <c r="T147" i="82"/>
  <c r="T57" i="81"/>
  <c r="T63" i="83"/>
  <c r="T72" i="82"/>
  <c r="T33" i="85"/>
  <c r="T126" i="82"/>
  <c r="T117" i="82"/>
  <c r="T144" i="84"/>
  <c r="T168" i="81"/>
  <c r="T84" i="82"/>
  <c r="T111" i="83"/>
  <c r="T69" i="85"/>
  <c r="T108" i="82"/>
  <c r="T96" i="83"/>
  <c r="T129" i="85"/>
  <c r="T147" i="84"/>
  <c r="T168" i="74"/>
  <c r="T105" i="82"/>
  <c r="T96" i="82"/>
  <c r="T141" i="81"/>
  <c r="T27" i="84"/>
  <c r="T132" i="84"/>
  <c r="T123" i="83"/>
  <c r="T72" i="83"/>
  <c r="T153" i="82"/>
  <c r="D16" i="84" l="1"/>
  <c r="D170" i="74"/>
  <c r="D169" i="74"/>
  <c r="E168" i="85"/>
  <c r="E120" i="85"/>
  <c r="E177" i="74"/>
  <c r="E168" i="74"/>
  <c r="D263" i="85"/>
  <c r="C263" i="85" s="1"/>
  <c r="E171" i="74"/>
  <c r="E174" i="74"/>
  <c r="E93" i="85"/>
  <c r="E147" i="85"/>
  <c r="E159" i="85"/>
  <c r="E114" i="85"/>
  <c r="E63" i="85"/>
  <c r="E72" i="85"/>
  <c r="E135" i="85"/>
  <c r="E162" i="85"/>
  <c r="E138" i="85"/>
  <c r="E75" i="85"/>
  <c r="E96" i="85"/>
  <c r="E66" i="85"/>
  <c r="E90" i="85"/>
  <c r="E129" i="85"/>
  <c r="E102" i="85"/>
  <c r="E150" i="85"/>
  <c r="E45" i="85"/>
  <c r="E144" i="85"/>
  <c r="E9" i="85"/>
  <c r="E69" i="85"/>
  <c r="E123" i="85"/>
  <c r="E156" i="85"/>
  <c r="E21" i="85"/>
  <c r="E81" i="85"/>
  <c r="E171" i="85"/>
  <c r="E165" i="85"/>
  <c r="E108" i="85"/>
  <c r="E177" i="85"/>
  <c r="E33" i="85"/>
  <c r="E57" i="85"/>
  <c r="E117" i="85"/>
  <c r="E111" i="84"/>
  <c r="E188" i="84"/>
  <c r="D264" i="84" s="1"/>
  <c r="C264" i="84" s="1"/>
  <c r="E21" i="84"/>
  <c r="E66" i="84"/>
  <c r="E108" i="84"/>
  <c r="E144" i="84"/>
  <c r="E72" i="84"/>
  <c r="E84" i="84"/>
  <c r="E93" i="84"/>
  <c r="E147" i="84"/>
  <c r="E69" i="84"/>
  <c r="E156" i="84"/>
  <c r="E87" i="84"/>
  <c r="E105" i="84"/>
  <c r="E159" i="84"/>
  <c r="E45" i="84"/>
  <c r="E90" i="84"/>
  <c r="E165" i="84"/>
  <c r="E120" i="84"/>
  <c r="E15" i="84"/>
  <c r="E126" i="84"/>
  <c r="E180" i="84"/>
  <c r="E96" i="84"/>
  <c r="E138" i="84"/>
  <c r="E177" i="84"/>
  <c r="E114" i="84"/>
  <c r="E141" i="84"/>
  <c r="E81" i="84"/>
  <c r="E168" i="84"/>
  <c r="E27" i="84"/>
  <c r="E132" i="84"/>
  <c r="E153" i="84"/>
  <c r="E75" i="84"/>
  <c r="E117" i="84"/>
  <c r="E150" i="84"/>
  <c r="E162" i="84"/>
  <c r="E39" i="84"/>
  <c r="E78" i="84"/>
  <c r="E187" i="84"/>
  <c r="D263" i="84" s="1"/>
  <c r="C263" i="84" s="1"/>
  <c r="E33" i="84"/>
  <c r="E9" i="84"/>
  <c r="E102" i="84"/>
  <c r="E129" i="84"/>
  <c r="E171" i="84"/>
  <c r="E135" i="84"/>
  <c r="E51" i="84"/>
  <c r="E99" i="84"/>
  <c r="E174" i="84"/>
  <c r="E57" i="84"/>
  <c r="E123" i="84"/>
  <c r="E63" i="84"/>
  <c r="E168" i="83"/>
  <c r="E27" i="83"/>
  <c r="E105" i="83"/>
  <c r="E187" i="83"/>
  <c r="D187" i="83" s="1"/>
  <c r="D263" i="83" s="1"/>
  <c r="C263" i="83" s="1"/>
  <c r="E33" i="83"/>
  <c r="E96" i="83"/>
  <c r="E129" i="83"/>
  <c r="E144" i="83"/>
  <c r="E63" i="83"/>
  <c r="E126" i="83"/>
  <c r="E174" i="83"/>
  <c r="E75" i="83"/>
  <c r="E156" i="83"/>
  <c r="E72" i="83"/>
  <c r="E141" i="83"/>
  <c r="E188" i="83"/>
  <c r="D188" i="83" s="1"/>
  <c r="D264" i="83" s="1"/>
  <c r="C264" i="83" s="1"/>
  <c r="E117" i="83"/>
  <c r="E165" i="83"/>
  <c r="E120" i="83"/>
  <c r="E78" i="83"/>
  <c r="E51" i="83"/>
  <c r="E147" i="83"/>
  <c r="E159" i="83"/>
  <c r="E21" i="83"/>
  <c r="E108" i="83"/>
  <c r="E150" i="83"/>
  <c r="E177" i="83"/>
  <c r="E114" i="83"/>
  <c r="E99" i="83"/>
  <c r="E180" i="83"/>
  <c r="E45" i="83"/>
  <c r="E9" i="83"/>
  <c r="E69" i="83"/>
  <c r="E90" i="83"/>
  <c r="E135" i="83"/>
  <c r="E39" i="83"/>
  <c r="E111" i="83"/>
  <c r="E81" i="83"/>
  <c r="E102" i="83"/>
  <c r="E171" i="83"/>
  <c r="E162" i="83"/>
  <c r="E84" i="83"/>
  <c r="E132" i="83"/>
  <c r="E138" i="83"/>
  <c r="E87" i="83"/>
  <c r="E15" i="83"/>
  <c r="E93" i="83"/>
  <c r="E153" i="83"/>
  <c r="E66" i="83"/>
  <c r="E57" i="83"/>
  <c r="E123" i="83"/>
  <c r="E27" i="82"/>
  <c r="E180" i="82"/>
  <c r="E39" i="82"/>
  <c r="E141" i="82"/>
  <c r="E63" i="82"/>
  <c r="E126" i="82"/>
  <c r="E72" i="82"/>
  <c r="E75" i="82"/>
  <c r="E117" i="82"/>
  <c r="E162" i="82"/>
  <c r="E66" i="82"/>
  <c r="E78" i="82"/>
  <c r="E153" i="82"/>
  <c r="E87" i="82"/>
  <c r="E21" i="82"/>
  <c r="E129" i="82"/>
  <c r="E144" i="82"/>
  <c r="E147" i="82"/>
  <c r="E69" i="82"/>
  <c r="E123" i="82"/>
  <c r="E156" i="82"/>
  <c r="E93" i="82"/>
  <c r="E114" i="82"/>
  <c r="E51" i="82"/>
  <c r="E99" i="82"/>
  <c r="E135" i="82"/>
  <c r="E165" i="82"/>
  <c r="E84" i="82"/>
  <c r="E111" i="82"/>
  <c r="E188" i="82"/>
  <c r="D188" i="82" s="1"/>
  <c r="D264" i="82" s="1"/>
  <c r="C264" i="82" s="1"/>
  <c r="E120" i="82"/>
  <c r="E33" i="82"/>
  <c r="E9" i="82"/>
  <c r="E102" i="82"/>
  <c r="E108" i="82"/>
  <c r="E177" i="82"/>
  <c r="E187" i="82"/>
  <c r="D187" i="82" s="1"/>
  <c r="D263" i="82" s="1"/>
  <c r="C263" i="82" s="1"/>
  <c r="E15" i="82"/>
  <c r="E174" i="82"/>
  <c r="E81" i="82"/>
  <c r="E96" i="82"/>
  <c r="E132" i="82"/>
  <c r="E159" i="82"/>
  <c r="E168" i="82"/>
  <c r="E45" i="82"/>
  <c r="E138" i="82"/>
  <c r="E105" i="82"/>
  <c r="E90" i="82"/>
  <c r="E57" i="82"/>
  <c r="E150" i="82"/>
  <c r="E171" i="82"/>
  <c r="E159" i="81"/>
  <c r="E180" i="81"/>
  <c r="E153" i="81"/>
  <c r="E114" i="81"/>
  <c r="E33" i="81"/>
  <c r="E57" i="81"/>
  <c r="E187" i="81"/>
  <c r="D187" i="81" s="1"/>
  <c r="D263" i="81" s="1"/>
  <c r="C263" i="81" s="1"/>
  <c r="E135" i="81"/>
  <c r="E45" i="81"/>
  <c r="E108" i="81"/>
  <c r="E81" i="81"/>
  <c r="E150" i="81"/>
  <c r="E84" i="81"/>
  <c r="E168" i="81"/>
  <c r="E75" i="81"/>
  <c r="E117" i="81"/>
  <c r="E177" i="81"/>
  <c r="E39" i="81"/>
  <c r="E78" i="81"/>
  <c r="E99" i="81"/>
  <c r="E126" i="81"/>
  <c r="E132" i="81"/>
  <c r="E111" i="81"/>
  <c r="E174" i="81"/>
  <c r="E162" i="81"/>
  <c r="E90" i="81"/>
  <c r="E165" i="81"/>
  <c r="E15" i="81"/>
  <c r="E93" i="81"/>
  <c r="E188" i="81"/>
  <c r="D188" i="81" s="1"/>
  <c r="D264" i="81" s="1"/>
  <c r="C264" i="81" s="1"/>
  <c r="E63" i="81"/>
  <c r="E21" i="81"/>
  <c r="E96" i="81"/>
  <c r="E102" i="81"/>
  <c r="E144" i="81"/>
  <c r="E27" i="81"/>
  <c r="E105" i="81"/>
  <c r="E147" i="81"/>
  <c r="E72" i="81"/>
  <c r="E66" i="81"/>
  <c r="E69" i="81"/>
  <c r="E138" i="81"/>
  <c r="E156" i="81"/>
  <c r="E120" i="81"/>
  <c r="E9" i="81"/>
  <c r="E123" i="81"/>
  <c r="E171" i="81"/>
  <c r="E51" i="81"/>
  <c r="E87" i="81"/>
  <c r="E129" i="81"/>
  <c r="E141" i="81"/>
  <c r="E180" i="74"/>
  <c r="D168" i="74" l="1"/>
  <c r="D257" i="74" s="1"/>
  <c r="C257" i="74" s="1"/>
  <c r="D179" i="90"/>
  <c r="D178" i="90"/>
  <c r="D177" i="90"/>
  <c r="D260" i="90" s="1"/>
  <c r="C260" i="90" s="1"/>
  <c r="D174" i="90"/>
  <c r="D259" i="90" s="1"/>
  <c r="C259" i="90" s="1"/>
  <c r="D175" i="90"/>
  <c r="D176" i="90"/>
  <c r="D173" i="90"/>
  <c r="D172" i="90"/>
  <c r="D171" i="90"/>
  <c r="D258" i="90" s="1"/>
  <c r="C258" i="90" s="1"/>
  <c r="D173" i="88"/>
  <c r="D171" i="88"/>
  <c r="D258" i="88" s="1"/>
  <c r="C258" i="88" s="1"/>
  <c r="D172" i="88"/>
  <c r="D179" i="88"/>
  <c r="D177" i="88"/>
  <c r="D260" i="88" s="1"/>
  <c r="C260" i="88" s="1"/>
  <c r="D178" i="88"/>
  <c r="D170" i="89"/>
  <c r="D169" i="89"/>
  <c r="D168" i="89"/>
  <c r="D257" i="89" s="1"/>
  <c r="C257" i="89" s="1"/>
  <c r="D167" i="89"/>
  <c r="D166" i="89"/>
  <c r="D165" i="89"/>
  <c r="D256" i="89" s="1"/>
  <c r="C256" i="89" s="1"/>
  <c r="D181" i="91"/>
  <c r="D180" i="91"/>
  <c r="D182" i="91"/>
  <c r="D167" i="90"/>
  <c r="D166" i="90"/>
  <c r="D165" i="90"/>
  <c r="D256" i="90" s="1"/>
  <c r="C256" i="90" s="1"/>
  <c r="D177" i="87"/>
  <c r="D260" i="87" s="1"/>
  <c r="C260" i="87" s="1"/>
  <c r="D178" i="87"/>
  <c r="D179" i="87"/>
  <c r="D182" i="87"/>
  <c r="D181" i="87"/>
  <c r="D180" i="87"/>
  <c r="D261" i="87" s="1"/>
  <c r="C261" i="87" s="1"/>
  <c r="D180" i="90"/>
  <c r="D261" i="90" s="1"/>
  <c r="C261" i="90" s="1"/>
  <c r="D182" i="90"/>
  <c r="D181" i="90"/>
  <c r="D179" i="89"/>
  <c r="D178" i="89"/>
  <c r="D177" i="89"/>
  <c r="D260" i="89" s="1"/>
  <c r="C260" i="89" s="1"/>
  <c r="D169" i="91"/>
  <c r="D168" i="91"/>
  <c r="D170" i="91"/>
  <c r="D175" i="91"/>
  <c r="D174" i="91"/>
  <c r="D176" i="91"/>
  <c r="D170" i="87"/>
  <c r="D169" i="87"/>
  <c r="D168" i="87"/>
  <c r="D257" i="87" s="1"/>
  <c r="C257" i="87" s="1"/>
  <c r="D177" i="91"/>
  <c r="D179" i="91"/>
  <c r="D178" i="91"/>
  <c r="D171" i="89"/>
  <c r="D258" i="89" s="1"/>
  <c r="C258" i="89" s="1"/>
  <c r="D173" i="89"/>
  <c r="D172" i="89"/>
  <c r="D183" i="91"/>
  <c r="D185" i="91"/>
  <c r="D184" i="91"/>
  <c r="D167" i="87"/>
  <c r="D166" i="87"/>
  <c r="D165" i="87"/>
  <c r="D256" i="87" s="1"/>
  <c r="C256" i="87" s="1"/>
  <c r="D176" i="89"/>
  <c r="D175" i="89"/>
  <c r="D174" i="89"/>
  <c r="D259" i="89" s="1"/>
  <c r="C259" i="89" s="1"/>
  <c r="D167" i="88"/>
  <c r="D166" i="88"/>
  <c r="D165" i="88"/>
  <c r="D256" i="88" s="1"/>
  <c r="C256" i="88" s="1"/>
  <c r="D176" i="88"/>
  <c r="D175" i="88"/>
  <c r="D174" i="88"/>
  <c r="D259" i="88" s="1"/>
  <c r="C259" i="88" s="1"/>
  <c r="D170" i="90"/>
  <c r="D169" i="90"/>
  <c r="D168" i="90"/>
  <c r="D257" i="90" s="1"/>
  <c r="C257" i="90" s="1"/>
  <c r="D176" i="87"/>
  <c r="D175" i="87"/>
  <c r="D174" i="87"/>
  <c r="D259" i="87" s="1"/>
  <c r="C259" i="87" s="1"/>
  <c r="D182" i="89"/>
  <c r="D181" i="89"/>
  <c r="D180" i="89"/>
  <c r="D261" i="89" s="1"/>
  <c r="C261" i="89" s="1"/>
  <c r="D173" i="87"/>
  <c r="D171" i="87"/>
  <c r="D258" i="87" s="1"/>
  <c r="C258" i="87" s="1"/>
  <c r="D172" i="87"/>
  <c r="D170" i="88"/>
  <c r="D169" i="88"/>
  <c r="D168" i="88"/>
  <c r="D257" i="88" s="1"/>
  <c r="C257" i="88" s="1"/>
  <c r="D171" i="91"/>
  <c r="D173" i="91"/>
  <c r="D172" i="91"/>
  <c r="D182" i="88"/>
  <c r="D181" i="88"/>
  <c r="D180" i="88"/>
  <c r="D261" i="88" s="1"/>
  <c r="C261" i="88" s="1"/>
  <c r="D149" i="90"/>
  <c r="D148" i="90"/>
  <c r="D147" i="90"/>
  <c r="D250" i="90" s="1"/>
  <c r="C250" i="90" s="1"/>
  <c r="D156" i="89"/>
  <c r="D253" i="89" s="1"/>
  <c r="C253" i="89" s="1"/>
  <c r="D157" i="89"/>
  <c r="D158" i="89"/>
  <c r="D159" i="90"/>
  <c r="D254" i="90" s="1"/>
  <c r="C254" i="90" s="1"/>
  <c r="D161" i="90"/>
  <c r="D160" i="90"/>
  <c r="D155" i="87"/>
  <c r="D154" i="87"/>
  <c r="D153" i="87"/>
  <c r="D252" i="87" s="1"/>
  <c r="C252" i="87" s="1"/>
  <c r="D164" i="90"/>
  <c r="D163" i="90"/>
  <c r="D162" i="90"/>
  <c r="D255" i="90" s="1"/>
  <c r="C255" i="90" s="1"/>
  <c r="D158" i="88"/>
  <c r="D157" i="88"/>
  <c r="D156" i="88"/>
  <c r="D253" i="88" s="1"/>
  <c r="C253" i="88" s="1"/>
  <c r="D161" i="87"/>
  <c r="D160" i="87"/>
  <c r="D159" i="87"/>
  <c r="D254" i="87" s="1"/>
  <c r="C254" i="87" s="1"/>
  <c r="D167" i="91"/>
  <c r="D166" i="91"/>
  <c r="D165" i="91"/>
  <c r="D152" i="90"/>
  <c r="D151" i="90"/>
  <c r="D150" i="90"/>
  <c r="D251" i="90" s="1"/>
  <c r="C251" i="90" s="1"/>
  <c r="D150" i="91"/>
  <c r="D151" i="91"/>
  <c r="D152" i="91"/>
  <c r="D161" i="91"/>
  <c r="D160" i="91"/>
  <c r="D159" i="91"/>
  <c r="D151" i="89"/>
  <c r="D152" i="89"/>
  <c r="D150" i="89"/>
  <c r="D251" i="89" s="1"/>
  <c r="C251" i="89" s="1"/>
  <c r="D156" i="91"/>
  <c r="D157" i="91"/>
  <c r="D158" i="91"/>
  <c r="D155" i="88"/>
  <c r="D154" i="88"/>
  <c r="D153" i="88"/>
  <c r="D252" i="88" s="1"/>
  <c r="C252" i="88" s="1"/>
  <c r="D164" i="87"/>
  <c r="D163" i="87"/>
  <c r="D162" i="87"/>
  <c r="D255" i="87" s="1"/>
  <c r="C255" i="87" s="1"/>
  <c r="D149" i="88"/>
  <c r="D148" i="88"/>
  <c r="D147" i="88"/>
  <c r="D250" i="88" s="1"/>
  <c r="C250" i="88" s="1"/>
  <c r="D161" i="88"/>
  <c r="D160" i="88"/>
  <c r="D159" i="88"/>
  <c r="D254" i="88" s="1"/>
  <c r="C254" i="88" s="1"/>
  <c r="D150" i="88"/>
  <c r="D251" i="88" s="1"/>
  <c r="C251" i="88" s="1"/>
  <c r="D151" i="88"/>
  <c r="D152" i="88"/>
  <c r="D161" i="89"/>
  <c r="D160" i="89"/>
  <c r="D159" i="89"/>
  <c r="D254" i="89" s="1"/>
  <c r="C254" i="89" s="1"/>
  <c r="D164" i="89"/>
  <c r="D163" i="89"/>
  <c r="D162" i="89"/>
  <c r="D255" i="89" s="1"/>
  <c r="C255" i="89" s="1"/>
  <c r="D149" i="87"/>
  <c r="D148" i="87"/>
  <c r="D147" i="87"/>
  <c r="D250" i="87" s="1"/>
  <c r="C250" i="87" s="1"/>
  <c r="D158" i="90"/>
  <c r="D157" i="90"/>
  <c r="D156" i="90"/>
  <c r="D253" i="90" s="1"/>
  <c r="C253" i="90" s="1"/>
  <c r="D163" i="88"/>
  <c r="D162" i="88"/>
  <c r="D255" i="88" s="1"/>
  <c r="C255" i="88" s="1"/>
  <c r="D164" i="88"/>
  <c r="D149" i="89"/>
  <c r="D148" i="89"/>
  <c r="D147" i="89"/>
  <c r="D250" i="89" s="1"/>
  <c r="C250" i="89" s="1"/>
  <c r="D155" i="91"/>
  <c r="D154" i="91"/>
  <c r="D153" i="91"/>
  <c r="D150" i="87"/>
  <c r="D251" i="87" s="1"/>
  <c r="C251" i="87" s="1"/>
  <c r="D151" i="87"/>
  <c r="D152" i="87"/>
  <c r="D162" i="91"/>
  <c r="D163" i="91"/>
  <c r="D164" i="91"/>
  <c r="D153" i="90"/>
  <c r="D252" i="90" s="1"/>
  <c r="C252" i="90" s="1"/>
  <c r="D154" i="90"/>
  <c r="D155" i="90"/>
  <c r="D156" i="87"/>
  <c r="D253" i="87" s="1"/>
  <c r="C253" i="87" s="1"/>
  <c r="D158" i="87"/>
  <c r="D157" i="87"/>
  <c r="D155" i="89"/>
  <c r="D154" i="89"/>
  <c r="D153" i="89"/>
  <c r="D252" i="89" s="1"/>
  <c r="C252" i="89" s="1"/>
  <c r="D134" i="87"/>
  <c r="D132" i="87"/>
  <c r="D245" i="87" s="1"/>
  <c r="C245" i="87" s="1"/>
  <c r="D133" i="87"/>
  <c r="D146" i="90"/>
  <c r="D145" i="90"/>
  <c r="D144" i="90"/>
  <c r="D249" i="90" s="1"/>
  <c r="C249" i="90" s="1"/>
  <c r="D137" i="91"/>
  <c r="D136" i="91"/>
  <c r="D135" i="91"/>
  <c r="D138" i="91"/>
  <c r="D139" i="91"/>
  <c r="D140" i="91"/>
  <c r="D143" i="90"/>
  <c r="D142" i="90"/>
  <c r="D141" i="90"/>
  <c r="D248" i="90" s="1"/>
  <c r="C248" i="90" s="1"/>
  <c r="D146" i="89"/>
  <c r="D145" i="89"/>
  <c r="D144" i="89"/>
  <c r="D249" i="89" s="1"/>
  <c r="C249" i="89" s="1"/>
  <c r="D132" i="91"/>
  <c r="D134" i="91"/>
  <c r="D133" i="91"/>
  <c r="D126" i="91"/>
  <c r="D127" i="91"/>
  <c r="D128" i="91"/>
  <c r="D125" i="88"/>
  <c r="D124" i="88"/>
  <c r="D123" i="88"/>
  <c r="D242" i="88" s="1"/>
  <c r="C242" i="88" s="1"/>
  <c r="D143" i="89"/>
  <c r="D142" i="89"/>
  <c r="D141" i="89"/>
  <c r="D248" i="89" s="1"/>
  <c r="C248" i="89" s="1"/>
  <c r="D140" i="89"/>
  <c r="D139" i="89"/>
  <c r="D138" i="89"/>
  <c r="D247" i="89" s="1"/>
  <c r="C247" i="89" s="1"/>
  <c r="D131" i="88"/>
  <c r="D130" i="88"/>
  <c r="D129" i="88"/>
  <c r="D244" i="88" s="1"/>
  <c r="C244" i="88" s="1"/>
  <c r="D140" i="90"/>
  <c r="D139" i="90"/>
  <c r="D138" i="90"/>
  <c r="D247" i="90" s="1"/>
  <c r="C247" i="90" s="1"/>
  <c r="D143" i="91"/>
  <c r="D142" i="91"/>
  <c r="D141" i="91"/>
  <c r="D146" i="87"/>
  <c r="D145" i="87"/>
  <c r="D144" i="87"/>
  <c r="D249" i="87" s="1"/>
  <c r="C249" i="87" s="1"/>
  <c r="D137" i="89"/>
  <c r="D136" i="89"/>
  <c r="D135" i="89"/>
  <c r="D246" i="89" s="1"/>
  <c r="C246" i="89" s="1"/>
  <c r="D134" i="89"/>
  <c r="D133" i="89"/>
  <c r="D132" i="89"/>
  <c r="D245" i="89" s="1"/>
  <c r="C245" i="89" s="1"/>
  <c r="D144" i="91"/>
  <c r="D146" i="91"/>
  <c r="D145" i="91"/>
  <c r="D128" i="90"/>
  <c r="D127" i="90"/>
  <c r="D126" i="90"/>
  <c r="D243" i="90" s="1"/>
  <c r="C243" i="90" s="1"/>
  <c r="D137" i="88"/>
  <c r="D136" i="88"/>
  <c r="D135" i="88"/>
  <c r="D246" i="88" s="1"/>
  <c r="C246" i="88" s="1"/>
  <c r="D143" i="88"/>
  <c r="D142" i="88"/>
  <c r="D141" i="88"/>
  <c r="D248" i="88" s="1"/>
  <c r="C248" i="88" s="1"/>
  <c r="D145" i="88"/>
  <c r="D146" i="88"/>
  <c r="D144" i="88"/>
  <c r="D249" i="88" s="1"/>
  <c r="C249" i="88" s="1"/>
  <c r="D131" i="91"/>
  <c r="D130" i="91"/>
  <c r="D129" i="91"/>
  <c r="D128" i="89"/>
  <c r="D127" i="89"/>
  <c r="D126" i="89"/>
  <c r="D243" i="89" s="1"/>
  <c r="C243" i="89" s="1"/>
  <c r="D139" i="88"/>
  <c r="D140" i="88"/>
  <c r="D138" i="88"/>
  <c r="D247" i="88" s="1"/>
  <c r="C247" i="88" s="1"/>
  <c r="D137" i="87"/>
  <c r="D136" i="87"/>
  <c r="D135" i="87"/>
  <c r="D246" i="87" s="1"/>
  <c r="C246" i="87" s="1"/>
  <c r="D133" i="88"/>
  <c r="D134" i="88"/>
  <c r="D132" i="88"/>
  <c r="D245" i="88" s="1"/>
  <c r="C245" i="88" s="1"/>
  <c r="D125" i="90"/>
  <c r="D124" i="90"/>
  <c r="D123" i="90"/>
  <c r="D242" i="90" s="1"/>
  <c r="C242" i="90" s="1"/>
  <c r="D131" i="87"/>
  <c r="D130" i="87"/>
  <c r="D129" i="87"/>
  <c r="D244" i="87" s="1"/>
  <c r="C244" i="87" s="1"/>
  <c r="D125" i="87"/>
  <c r="D124" i="87"/>
  <c r="D123" i="87"/>
  <c r="D242" i="87" s="1"/>
  <c r="C242" i="87" s="1"/>
  <c r="D125" i="89"/>
  <c r="D124" i="89"/>
  <c r="D123" i="89"/>
  <c r="D242" i="89" s="1"/>
  <c r="C242" i="89" s="1"/>
  <c r="D143" i="87"/>
  <c r="D142" i="87"/>
  <c r="D141" i="87"/>
  <c r="D248" i="87" s="1"/>
  <c r="C248" i="87" s="1"/>
  <c r="D128" i="87"/>
  <c r="D127" i="87"/>
  <c r="D126" i="87"/>
  <c r="D243" i="87" s="1"/>
  <c r="C243" i="87" s="1"/>
  <c r="D131" i="89"/>
  <c r="D130" i="89"/>
  <c r="D129" i="89"/>
  <c r="D244" i="89" s="1"/>
  <c r="C244" i="89" s="1"/>
  <c r="D131" i="90"/>
  <c r="D130" i="90"/>
  <c r="D129" i="90"/>
  <c r="D244" i="90" s="1"/>
  <c r="C244" i="90" s="1"/>
  <c r="D149" i="91"/>
  <c r="D148" i="91"/>
  <c r="D147" i="91"/>
  <c r="D137" i="90"/>
  <c r="D136" i="90"/>
  <c r="D135" i="90"/>
  <c r="D246" i="90" s="1"/>
  <c r="C246" i="90" s="1"/>
  <c r="D126" i="88"/>
  <c r="D243" i="88" s="1"/>
  <c r="C243" i="88" s="1"/>
  <c r="D127" i="88"/>
  <c r="D128" i="88"/>
  <c r="D139" i="87"/>
  <c r="D140" i="87"/>
  <c r="D138" i="87"/>
  <c r="D247" i="87" s="1"/>
  <c r="C247" i="87" s="1"/>
  <c r="D134" i="90"/>
  <c r="D133" i="90"/>
  <c r="D132" i="90"/>
  <c r="D245" i="90" s="1"/>
  <c r="C245" i="90" s="1"/>
  <c r="D118" i="89"/>
  <c r="D118" i="90"/>
  <c r="D118" i="88"/>
  <c r="D121" i="91"/>
  <c r="D118" i="87"/>
  <c r="D117" i="89"/>
  <c r="D240" i="89" s="1"/>
  <c r="C240" i="89" s="1"/>
  <c r="D117" i="90"/>
  <c r="D240" i="90" s="1"/>
  <c r="C240" i="90" s="1"/>
  <c r="D117" i="88"/>
  <c r="D240" i="88" s="1"/>
  <c r="C240" i="88" s="1"/>
  <c r="D120" i="91"/>
  <c r="D117" i="87"/>
  <c r="D240" i="87" s="1"/>
  <c r="C240" i="87" s="1"/>
  <c r="D116" i="90"/>
  <c r="D119" i="91"/>
  <c r="D116" i="87"/>
  <c r="D116" i="89"/>
  <c r="D116" i="88"/>
  <c r="D114" i="90"/>
  <c r="D239" i="90" s="1"/>
  <c r="C239" i="90" s="1"/>
  <c r="D117" i="91"/>
  <c r="D114" i="87"/>
  <c r="D239" i="87" s="1"/>
  <c r="C239" i="87" s="1"/>
  <c r="D114" i="89"/>
  <c r="D239" i="89" s="1"/>
  <c r="C239" i="89" s="1"/>
  <c r="D114" i="88"/>
  <c r="D239" i="88" s="1"/>
  <c r="C239" i="88" s="1"/>
  <c r="D121" i="87"/>
  <c r="D122" i="87"/>
  <c r="D120" i="87"/>
  <c r="D241" i="87" s="1"/>
  <c r="C241" i="87" s="1"/>
  <c r="D124" i="91"/>
  <c r="D125" i="91"/>
  <c r="D123" i="91"/>
  <c r="D121" i="88"/>
  <c r="D122" i="88"/>
  <c r="D120" i="88"/>
  <c r="D241" i="88" s="1"/>
  <c r="C241" i="88" s="1"/>
  <c r="D122" i="90"/>
  <c r="D121" i="90"/>
  <c r="D120" i="90"/>
  <c r="D241" i="90" s="1"/>
  <c r="C241" i="90" s="1"/>
  <c r="D120" i="89"/>
  <c r="D241" i="89" s="1"/>
  <c r="C241" i="89" s="1"/>
  <c r="D121" i="89"/>
  <c r="D122" i="89"/>
  <c r="D119" i="89"/>
  <c r="D115" i="90"/>
  <c r="D119" i="90"/>
  <c r="D119" i="88"/>
  <c r="D118" i="91"/>
  <c r="D122" i="91"/>
  <c r="D115" i="87"/>
  <c r="D115" i="89"/>
  <c r="D115" i="88"/>
  <c r="D119" i="87"/>
  <c r="D110" i="87"/>
  <c r="D109" i="87"/>
  <c r="D108" i="87"/>
  <c r="D237" i="87" s="1"/>
  <c r="C237" i="87" s="1"/>
  <c r="D108" i="90"/>
  <c r="D237" i="90" s="1"/>
  <c r="C237" i="90" s="1"/>
  <c r="D110" i="90"/>
  <c r="D109" i="90"/>
  <c r="D112" i="87"/>
  <c r="D111" i="87"/>
  <c r="D238" i="87" s="1"/>
  <c r="C238" i="87" s="1"/>
  <c r="D113" i="87"/>
  <c r="D107" i="88"/>
  <c r="D106" i="88"/>
  <c r="D105" i="88"/>
  <c r="D236" i="88" s="1"/>
  <c r="C236" i="88" s="1"/>
  <c r="D113" i="90"/>
  <c r="D112" i="90"/>
  <c r="D111" i="90"/>
  <c r="D238" i="90" s="1"/>
  <c r="C238" i="90" s="1"/>
  <c r="D110" i="89"/>
  <c r="D109" i="89"/>
  <c r="D108" i="89"/>
  <c r="D237" i="89" s="1"/>
  <c r="C237" i="89" s="1"/>
  <c r="D113" i="89"/>
  <c r="D112" i="89"/>
  <c r="D111" i="89"/>
  <c r="D238" i="89" s="1"/>
  <c r="C238" i="89" s="1"/>
  <c r="D107" i="89"/>
  <c r="D105" i="89"/>
  <c r="D236" i="89" s="1"/>
  <c r="C236" i="89" s="1"/>
  <c r="D106" i="89"/>
  <c r="D108" i="91"/>
  <c r="D110" i="91"/>
  <c r="D109" i="91"/>
  <c r="D111" i="91"/>
  <c r="D113" i="91"/>
  <c r="D112" i="91"/>
  <c r="D114" i="91"/>
  <c r="D115" i="91"/>
  <c r="D116" i="91"/>
  <c r="D107" i="90"/>
  <c r="D106" i="90"/>
  <c r="D105" i="90"/>
  <c r="D236" i="90" s="1"/>
  <c r="C236" i="90" s="1"/>
  <c r="D110" i="88"/>
  <c r="D109" i="88"/>
  <c r="D108" i="88"/>
  <c r="D237" i="88" s="1"/>
  <c r="C237" i="88" s="1"/>
  <c r="D106" i="87"/>
  <c r="D105" i="87"/>
  <c r="D236" i="87" s="1"/>
  <c r="C236" i="87" s="1"/>
  <c r="D107" i="87"/>
  <c r="D112" i="88"/>
  <c r="D111" i="88"/>
  <c r="D238" i="88" s="1"/>
  <c r="C238" i="88" s="1"/>
  <c r="D113" i="88"/>
  <c r="D107" i="91"/>
  <c r="D106" i="91"/>
  <c r="D105" i="91"/>
  <c r="D101" i="89"/>
  <c r="D100" i="89"/>
  <c r="D99" i="89"/>
  <c r="D234" i="89" s="1"/>
  <c r="C234" i="89" s="1"/>
  <c r="D102" i="88"/>
  <c r="D235" i="88" s="1"/>
  <c r="C235" i="88" s="1"/>
  <c r="D103" i="88"/>
  <c r="D104" i="88"/>
  <c r="D102" i="89"/>
  <c r="D235" i="89" s="1"/>
  <c r="C235" i="89" s="1"/>
  <c r="D104" i="89"/>
  <c r="D103" i="89"/>
  <c r="D99" i="87"/>
  <c r="D234" i="87" s="1"/>
  <c r="C234" i="87" s="1"/>
  <c r="D101" i="87"/>
  <c r="D100" i="87"/>
  <c r="D101" i="90"/>
  <c r="D100" i="90"/>
  <c r="D99" i="90"/>
  <c r="D234" i="90" s="1"/>
  <c r="C234" i="90" s="1"/>
  <c r="D101" i="88"/>
  <c r="D100" i="88"/>
  <c r="D99" i="88"/>
  <c r="D234" i="88" s="1"/>
  <c r="C234" i="88" s="1"/>
  <c r="D104" i="90"/>
  <c r="D103" i="90"/>
  <c r="D102" i="90"/>
  <c r="D235" i="90" s="1"/>
  <c r="C235" i="90" s="1"/>
  <c r="D103" i="87"/>
  <c r="D102" i="87"/>
  <c r="D235" i="87" s="1"/>
  <c r="C235" i="87" s="1"/>
  <c r="D104" i="87"/>
  <c r="D102" i="91"/>
  <c r="D103" i="91"/>
  <c r="D104" i="91"/>
  <c r="D97" i="87"/>
  <c r="D98" i="87"/>
  <c r="D96" i="87"/>
  <c r="D233" i="87" s="1"/>
  <c r="C233" i="87" s="1"/>
  <c r="D98" i="90"/>
  <c r="D97" i="90"/>
  <c r="D96" i="90"/>
  <c r="D233" i="90" s="1"/>
  <c r="C233" i="90" s="1"/>
  <c r="D97" i="89"/>
  <c r="D96" i="89"/>
  <c r="D233" i="89" s="1"/>
  <c r="C233" i="89" s="1"/>
  <c r="D98" i="89"/>
  <c r="D98" i="88"/>
  <c r="D97" i="88"/>
  <c r="D96" i="88"/>
  <c r="D233" i="88" s="1"/>
  <c r="C233" i="88" s="1"/>
  <c r="D100" i="91"/>
  <c r="D101" i="91"/>
  <c r="D99" i="91"/>
  <c r="D95" i="90"/>
  <c r="D94" i="90"/>
  <c r="D93" i="90"/>
  <c r="D232" i="90" s="1"/>
  <c r="C232" i="90" s="1"/>
  <c r="D95" i="88"/>
  <c r="D93" i="88"/>
  <c r="D232" i="88" s="1"/>
  <c r="C232" i="88" s="1"/>
  <c r="D94" i="88"/>
  <c r="D95" i="87"/>
  <c r="D94" i="87"/>
  <c r="D93" i="87"/>
  <c r="D232" i="87" s="1"/>
  <c r="C232" i="87" s="1"/>
  <c r="D95" i="89"/>
  <c r="D93" i="89"/>
  <c r="D232" i="89" s="1"/>
  <c r="C232" i="89" s="1"/>
  <c r="D94" i="89"/>
  <c r="D97" i="91"/>
  <c r="D95" i="91"/>
  <c r="D98" i="91"/>
  <c r="D93" i="91"/>
  <c r="D91" i="91"/>
  <c r="D94" i="91"/>
  <c r="D92" i="90"/>
  <c r="D91" i="90"/>
  <c r="D90" i="90"/>
  <c r="D231" i="90" s="1"/>
  <c r="C231" i="90" s="1"/>
  <c r="D92" i="87"/>
  <c r="D91" i="87"/>
  <c r="D90" i="87"/>
  <c r="D231" i="87" s="1"/>
  <c r="C231" i="87" s="1"/>
  <c r="D91" i="89"/>
  <c r="D92" i="89"/>
  <c r="D90" i="89"/>
  <c r="D231" i="89" s="1"/>
  <c r="C231" i="89" s="1"/>
  <c r="D91" i="88"/>
  <c r="D92" i="88"/>
  <c r="D90" i="88"/>
  <c r="D231" i="88" s="1"/>
  <c r="C231" i="88" s="1"/>
  <c r="D89" i="91"/>
  <c r="D90" i="91"/>
  <c r="D233" i="91"/>
  <c r="C233" i="91" s="1"/>
  <c r="D89" i="90"/>
  <c r="D88" i="90"/>
  <c r="D87" i="90"/>
  <c r="D230" i="90" s="1"/>
  <c r="C230" i="90" s="1"/>
  <c r="D87" i="89"/>
  <c r="D230" i="89" s="1"/>
  <c r="C230" i="89" s="1"/>
  <c r="D88" i="89"/>
  <c r="D89" i="89"/>
  <c r="D89" i="88"/>
  <c r="D88" i="88"/>
  <c r="D87" i="88"/>
  <c r="D230" i="88" s="1"/>
  <c r="C230" i="88" s="1"/>
  <c r="D89" i="87"/>
  <c r="D88" i="87"/>
  <c r="D87" i="87"/>
  <c r="D230" i="87" s="1"/>
  <c r="C230" i="87" s="1"/>
  <c r="D85" i="89"/>
  <c r="D84" i="89"/>
  <c r="D229" i="89" s="1"/>
  <c r="C229" i="89" s="1"/>
  <c r="D86" i="89"/>
  <c r="D84" i="87"/>
  <c r="D229" i="87" s="1"/>
  <c r="C229" i="87" s="1"/>
  <c r="D86" i="87"/>
  <c r="D85" i="87"/>
  <c r="D86" i="90"/>
  <c r="D85" i="90"/>
  <c r="D84" i="90"/>
  <c r="D229" i="90" s="1"/>
  <c r="C229" i="90" s="1"/>
  <c r="D86" i="88"/>
  <c r="D84" i="88"/>
  <c r="D229" i="88" s="1"/>
  <c r="C229" i="88" s="1"/>
  <c r="D85" i="88"/>
  <c r="D84" i="91"/>
  <c r="D232" i="91" s="1"/>
  <c r="C232" i="91" s="1"/>
  <c r="D86" i="91"/>
  <c r="D85" i="91"/>
  <c r="D83" i="90"/>
  <c r="D82" i="90"/>
  <c r="D81" i="90"/>
  <c r="D228" i="90" s="1"/>
  <c r="C228" i="90" s="1"/>
  <c r="D82" i="88"/>
  <c r="D81" i="88"/>
  <c r="D228" i="88" s="1"/>
  <c r="C228" i="88" s="1"/>
  <c r="D83" i="88"/>
  <c r="D82" i="87"/>
  <c r="D83" i="87"/>
  <c r="D81" i="87"/>
  <c r="D228" i="87" s="1"/>
  <c r="C228" i="87" s="1"/>
  <c r="D82" i="91"/>
  <c r="D81" i="91"/>
  <c r="D231" i="91" s="1"/>
  <c r="C231" i="91" s="1"/>
  <c r="D83" i="91"/>
  <c r="D82" i="89"/>
  <c r="D83" i="89"/>
  <c r="D81" i="89"/>
  <c r="D228" i="89" s="1"/>
  <c r="C228" i="89" s="1"/>
  <c r="D79" i="88"/>
  <c r="D80" i="88"/>
  <c r="D78" i="88"/>
  <c r="D227" i="88" s="1"/>
  <c r="C227" i="88" s="1"/>
  <c r="D79" i="89"/>
  <c r="D80" i="89"/>
  <c r="D78" i="89"/>
  <c r="D227" i="89" s="1"/>
  <c r="C227" i="89" s="1"/>
  <c r="D80" i="91"/>
  <c r="D79" i="91"/>
  <c r="D78" i="91"/>
  <c r="D230" i="91" s="1"/>
  <c r="C230" i="91" s="1"/>
  <c r="D80" i="90"/>
  <c r="D79" i="90"/>
  <c r="D78" i="90"/>
  <c r="D227" i="90" s="1"/>
  <c r="C227" i="90" s="1"/>
  <c r="D80" i="87"/>
  <c r="D79" i="87"/>
  <c r="D78" i="87"/>
  <c r="D227" i="87" s="1"/>
  <c r="C227" i="87" s="1"/>
  <c r="D74" i="89"/>
  <c r="D73" i="89"/>
  <c r="D72" i="89"/>
  <c r="D225" i="89" s="1"/>
  <c r="C225" i="89" s="1"/>
  <c r="D72" i="87"/>
  <c r="D225" i="87" s="1"/>
  <c r="C225" i="87" s="1"/>
  <c r="D74" i="87"/>
  <c r="D73" i="87"/>
  <c r="D76" i="91"/>
  <c r="D75" i="91"/>
  <c r="D229" i="91" s="1"/>
  <c r="C229" i="91" s="1"/>
  <c r="D77" i="91"/>
  <c r="D74" i="88"/>
  <c r="D73" i="88"/>
  <c r="D72" i="88"/>
  <c r="D225" i="88" s="1"/>
  <c r="C225" i="88" s="1"/>
  <c r="D72" i="91"/>
  <c r="D228" i="91" s="1"/>
  <c r="C228" i="91" s="1"/>
  <c r="D74" i="91"/>
  <c r="D73" i="91"/>
  <c r="D75" i="87"/>
  <c r="D226" i="87" s="1"/>
  <c r="C226" i="87" s="1"/>
  <c r="D77" i="87"/>
  <c r="D76" i="87"/>
  <c r="D76" i="88"/>
  <c r="D77" i="88"/>
  <c r="D75" i="88"/>
  <c r="D226" i="88" s="1"/>
  <c r="C226" i="88" s="1"/>
  <c r="D77" i="90"/>
  <c r="D76" i="90"/>
  <c r="D75" i="90"/>
  <c r="D226" i="90" s="1"/>
  <c r="C226" i="90" s="1"/>
  <c r="D75" i="89"/>
  <c r="D226" i="89" s="1"/>
  <c r="C226" i="89" s="1"/>
  <c r="D76" i="89"/>
  <c r="D77" i="89"/>
  <c r="D74" i="90"/>
  <c r="D73" i="90"/>
  <c r="D72" i="90"/>
  <c r="D225" i="90" s="1"/>
  <c r="C225" i="90" s="1"/>
  <c r="D70" i="89"/>
  <c r="D69" i="89"/>
  <c r="D224" i="89" s="1"/>
  <c r="C224" i="89" s="1"/>
  <c r="D71" i="89"/>
  <c r="D70" i="88"/>
  <c r="D71" i="88"/>
  <c r="D69" i="88"/>
  <c r="D224" i="88" s="1"/>
  <c r="C224" i="88" s="1"/>
  <c r="D71" i="90"/>
  <c r="D70" i="90"/>
  <c r="D69" i="90"/>
  <c r="D224" i="90" s="1"/>
  <c r="C224" i="90" s="1"/>
  <c r="D70" i="87"/>
  <c r="D69" i="87"/>
  <c r="D224" i="87" s="1"/>
  <c r="C224" i="87" s="1"/>
  <c r="D71" i="87"/>
  <c r="D71" i="91"/>
  <c r="D70" i="91"/>
  <c r="D69" i="91"/>
  <c r="D227" i="91" s="1"/>
  <c r="C227" i="91" s="1"/>
  <c r="D68" i="90"/>
  <c r="D68" i="88"/>
  <c r="D68" i="91"/>
  <c r="D68" i="87"/>
  <c r="D68" i="89"/>
  <c r="D66" i="90"/>
  <c r="D223" i="90" s="1"/>
  <c r="C223" i="90" s="1"/>
  <c r="D66" i="88"/>
  <c r="D223" i="88" s="1"/>
  <c r="C223" i="88" s="1"/>
  <c r="D66" i="91"/>
  <c r="D226" i="91" s="1"/>
  <c r="C226" i="91" s="1"/>
  <c r="D66" i="87"/>
  <c r="D223" i="87" s="1"/>
  <c r="C223" i="87" s="1"/>
  <c r="D66" i="89"/>
  <c r="D223" i="89" s="1"/>
  <c r="C223" i="89" s="1"/>
  <c r="D67" i="90"/>
  <c r="D67" i="88"/>
  <c r="D67" i="91"/>
  <c r="D67" i="87"/>
  <c r="D67" i="89"/>
  <c r="D65" i="89"/>
  <c r="D64" i="89"/>
  <c r="D63" i="89"/>
  <c r="D222" i="89" s="1"/>
  <c r="C222" i="89" s="1"/>
  <c r="D58" i="91"/>
  <c r="D57" i="91"/>
  <c r="D224" i="91" s="1"/>
  <c r="C224" i="91" s="1"/>
  <c r="D62" i="91"/>
  <c r="D60" i="91"/>
  <c r="D61" i="91"/>
  <c r="D59" i="91"/>
  <c r="D62" i="90"/>
  <c r="D61" i="90"/>
  <c r="D60" i="90"/>
  <c r="D59" i="90"/>
  <c r="D58" i="90"/>
  <c r="D57" i="90"/>
  <c r="D221" i="90" s="1"/>
  <c r="C221" i="90" s="1"/>
  <c r="D59" i="87"/>
  <c r="D58" i="87"/>
  <c r="D61" i="87"/>
  <c r="D62" i="87"/>
  <c r="D60" i="87"/>
  <c r="D57" i="87"/>
  <c r="D221" i="87" s="1"/>
  <c r="C221" i="87" s="1"/>
  <c r="D63" i="88"/>
  <c r="D222" i="88" s="1"/>
  <c r="C222" i="88" s="1"/>
  <c r="D64" i="88"/>
  <c r="D65" i="88"/>
  <c r="D62" i="89"/>
  <c r="D61" i="89"/>
  <c r="D60" i="89"/>
  <c r="D59" i="89"/>
  <c r="D58" i="89"/>
  <c r="D57" i="89"/>
  <c r="D221" i="89" s="1"/>
  <c r="C221" i="89" s="1"/>
  <c r="D64" i="91"/>
  <c r="D63" i="91"/>
  <c r="D225" i="91" s="1"/>
  <c r="C225" i="91" s="1"/>
  <c r="D65" i="91"/>
  <c r="D65" i="90"/>
  <c r="D64" i="90"/>
  <c r="D63" i="90"/>
  <c r="D222" i="90" s="1"/>
  <c r="C222" i="90" s="1"/>
  <c r="D57" i="88"/>
  <c r="D221" i="88" s="1"/>
  <c r="C221" i="88" s="1"/>
  <c r="D58" i="88"/>
  <c r="D62" i="88"/>
  <c r="D61" i="88"/>
  <c r="D60" i="88"/>
  <c r="D59" i="88"/>
  <c r="D63" i="87"/>
  <c r="D222" i="87" s="1"/>
  <c r="C222" i="87" s="1"/>
  <c r="D65" i="87"/>
  <c r="D64" i="87"/>
  <c r="D40" i="91"/>
  <c r="D39" i="91"/>
  <c r="D221" i="91" s="1"/>
  <c r="C221" i="91" s="1"/>
  <c r="D42" i="91"/>
  <c r="D44" i="91"/>
  <c r="D41" i="91"/>
  <c r="D43" i="91"/>
  <c r="D52" i="91"/>
  <c r="D51" i="91"/>
  <c r="D223" i="91" s="1"/>
  <c r="C223" i="91" s="1"/>
  <c r="D54" i="91"/>
  <c r="D56" i="91"/>
  <c r="D55" i="91"/>
  <c r="D53" i="91"/>
  <c r="D41" i="87"/>
  <c r="D40" i="87"/>
  <c r="D43" i="87"/>
  <c r="D44" i="87"/>
  <c r="D39" i="87"/>
  <c r="D218" i="87" s="1"/>
  <c r="C218" i="87" s="1"/>
  <c r="D42" i="87"/>
  <c r="D44" i="90"/>
  <c r="D43" i="90"/>
  <c r="D42" i="90"/>
  <c r="D41" i="90"/>
  <c r="D40" i="90"/>
  <c r="D39" i="90"/>
  <c r="D218" i="90" s="1"/>
  <c r="C218" i="90" s="1"/>
  <c r="D56" i="90"/>
  <c r="D55" i="90"/>
  <c r="D54" i="90"/>
  <c r="D53" i="90"/>
  <c r="D52" i="90"/>
  <c r="D51" i="90"/>
  <c r="D220" i="90" s="1"/>
  <c r="C220" i="90" s="1"/>
  <c r="D56" i="89"/>
  <c r="D55" i="89"/>
  <c r="D54" i="89"/>
  <c r="D53" i="89"/>
  <c r="D52" i="89"/>
  <c r="D51" i="89"/>
  <c r="D220" i="89" s="1"/>
  <c r="C220" i="89" s="1"/>
  <c r="D56" i="88"/>
  <c r="D55" i="88"/>
  <c r="D54" i="88"/>
  <c r="D53" i="88"/>
  <c r="D52" i="88"/>
  <c r="D51" i="88"/>
  <c r="D220" i="88" s="1"/>
  <c r="C220" i="88" s="1"/>
  <c r="D44" i="89"/>
  <c r="D43" i="89"/>
  <c r="D42" i="89"/>
  <c r="D41" i="89"/>
  <c r="D40" i="89"/>
  <c r="D39" i="89"/>
  <c r="D218" i="89" s="1"/>
  <c r="C218" i="89" s="1"/>
  <c r="D39" i="88"/>
  <c r="D218" i="88" s="1"/>
  <c r="C218" i="88" s="1"/>
  <c r="D44" i="88"/>
  <c r="D40" i="88"/>
  <c r="D43" i="88"/>
  <c r="D42" i="88"/>
  <c r="D41" i="88"/>
  <c r="D55" i="87"/>
  <c r="D51" i="87"/>
  <c r="D220" i="87" s="1"/>
  <c r="C220" i="87" s="1"/>
  <c r="D53" i="87"/>
  <c r="D54" i="87"/>
  <c r="D56" i="87"/>
  <c r="D52" i="87"/>
  <c r="D29" i="88"/>
  <c r="D28" i="88"/>
  <c r="D27" i="88"/>
  <c r="D216" i="88" s="1"/>
  <c r="C216" i="88" s="1"/>
  <c r="D32" i="88"/>
  <c r="D31" i="88"/>
  <c r="D30" i="88"/>
  <c r="D32" i="90"/>
  <c r="D31" i="90"/>
  <c r="D30" i="90"/>
  <c r="D29" i="90"/>
  <c r="D28" i="90"/>
  <c r="D27" i="90"/>
  <c r="D216" i="90" s="1"/>
  <c r="C216" i="90" s="1"/>
  <c r="D30" i="87"/>
  <c r="D31" i="87"/>
  <c r="D32" i="87"/>
  <c r="D29" i="87"/>
  <c r="D28" i="87"/>
  <c r="D27" i="87"/>
  <c r="D216" i="87" s="1"/>
  <c r="C216" i="87" s="1"/>
  <c r="D28" i="91"/>
  <c r="D29" i="91"/>
  <c r="D27" i="91"/>
  <c r="D219" i="91" s="1"/>
  <c r="C219" i="91" s="1"/>
  <c r="D32" i="91"/>
  <c r="D31" i="91"/>
  <c r="D30" i="91"/>
  <c r="D32" i="89"/>
  <c r="D31" i="89"/>
  <c r="D30" i="89"/>
  <c r="D29" i="89"/>
  <c r="D28" i="89"/>
  <c r="D27" i="89"/>
  <c r="D216" i="89" s="1"/>
  <c r="C216" i="89" s="1"/>
  <c r="D26" i="90"/>
  <c r="D25" i="90"/>
  <c r="D24" i="90"/>
  <c r="D23" i="90"/>
  <c r="D22" i="90"/>
  <c r="D21" i="90"/>
  <c r="D215" i="90" s="1"/>
  <c r="C215" i="90" s="1"/>
  <c r="D25" i="88"/>
  <c r="D22" i="88"/>
  <c r="D23" i="88"/>
  <c r="D21" i="88"/>
  <c r="D215" i="88" s="1"/>
  <c r="C215" i="88" s="1"/>
  <c r="D26" i="88"/>
  <c r="D24" i="88"/>
  <c r="D22" i="91"/>
  <c r="D23" i="91"/>
  <c r="D21" i="91"/>
  <c r="D218" i="91" s="1"/>
  <c r="C218" i="91" s="1"/>
  <c r="D26" i="91"/>
  <c r="D24" i="91"/>
  <c r="D25" i="91"/>
  <c r="D26" i="87"/>
  <c r="D25" i="87"/>
  <c r="D22" i="87"/>
  <c r="D24" i="87"/>
  <c r="D21" i="87"/>
  <c r="D215" i="87" s="1"/>
  <c r="C215" i="87" s="1"/>
  <c r="D23" i="87"/>
  <c r="D21" i="89"/>
  <c r="D215" i="89" s="1"/>
  <c r="C215" i="89" s="1"/>
  <c r="D26" i="89"/>
  <c r="D25" i="89"/>
  <c r="D24" i="89"/>
  <c r="D23" i="89"/>
  <c r="D22" i="89"/>
  <c r="D16" i="91"/>
  <c r="D15" i="91"/>
  <c r="D217" i="91" s="1"/>
  <c r="C217" i="91" s="1"/>
  <c r="D19" i="91"/>
  <c r="D20" i="91"/>
  <c r="D17" i="91"/>
  <c r="D18" i="91"/>
  <c r="D20" i="90"/>
  <c r="D19" i="90"/>
  <c r="D18" i="90"/>
  <c r="D17" i="90"/>
  <c r="D16" i="90"/>
  <c r="D15" i="90"/>
  <c r="D214" i="90" s="1"/>
  <c r="C214" i="90" s="1"/>
  <c r="D20" i="89"/>
  <c r="D19" i="89"/>
  <c r="D18" i="89"/>
  <c r="D17" i="89"/>
  <c r="D16" i="89"/>
  <c r="D15" i="89"/>
  <c r="D214" i="89" s="1"/>
  <c r="C214" i="89" s="1"/>
  <c r="D15" i="88"/>
  <c r="D214" i="88" s="1"/>
  <c r="C214" i="88" s="1"/>
  <c r="D16" i="88"/>
  <c r="D20" i="88"/>
  <c r="D19" i="88"/>
  <c r="D17" i="88"/>
  <c r="D18" i="88"/>
  <c r="D15" i="87"/>
  <c r="D214" i="87" s="1"/>
  <c r="C214" i="87" s="1"/>
  <c r="D19" i="87"/>
  <c r="D18" i="87"/>
  <c r="D17" i="87"/>
  <c r="D16" i="87"/>
  <c r="D20" i="87"/>
  <c r="T18" i="73"/>
  <c r="D241" i="91" l="1"/>
  <c r="C241" i="91" s="1"/>
  <c r="D260" i="91"/>
  <c r="C260" i="91" s="1"/>
  <c r="D250" i="91"/>
  <c r="C250" i="91" s="1"/>
  <c r="D237" i="91"/>
  <c r="C237" i="91" s="1"/>
  <c r="D246" i="91"/>
  <c r="C246" i="91" s="1"/>
  <c r="D254" i="91"/>
  <c r="C254" i="91" s="1"/>
  <c r="D265" i="91"/>
  <c r="C265" i="91" s="1"/>
  <c r="D261" i="91"/>
  <c r="C261" i="91" s="1"/>
  <c r="D244" i="91"/>
  <c r="C244" i="91" s="1"/>
  <c r="D256" i="91"/>
  <c r="C256" i="91" s="1"/>
  <c r="D242" i="91"/>
  <c r="C242" i="91" s="1"/>
  <c r="D239" i="91"/>
  <c r="C239" i="91" s="1"/>
  <c r="D234" i="91"/>
  <c r="C234" i="91" s="1"/>
  <c r="D249" i="91"/>
  <c r="C249" i="91" s="1"/>
  <c r="D240" i="91"/>
  <c r="C240" i="91" s="1"/>
  <c r="D255" i="91"/>
  <c r="C255" i="91" s="1"/>
  <c r="D247" i="91"/>
  <c r="C247" i="91" s="1"/>
  <c r="D235" i="91"/>
  <c r="C235" i="91" s="1"/>
  <c r="D264" i="91"/>
  <c r="C264" i="91" s="1"/>
  <c r="D263" i="91"/>
  <c r="C263" i="91" s="1"/>
  <c r="D248" i="91"/>
  <c r="C248" i="91" s="1"/>
  <c r="D262" i="91"/>
  <c r="C262" i="91" s="1"/>
  <c r="D236" i="91"/>
  <c r="C236" i="91" s="1"/>
  <c r="D259" i="91"/>
  <c r="C259" i="91" s="1"/>
  <c r="D252" i="91"/>
  <c r="C252" i="91" s="1"/>
  <c r="D251" i="91"/>
  <c r="C251" i="91" s="1"/>
  <c r="D245" i="91"/>
  <c r="C245" i="91" s="1"/>
  <c r="D253" i="91"/>
  <c r="C253" i="91" s="1"/>
  <c r="D258" i="91"/>
  <c r="C258" i="91" s="1"/>
  <c r="D238" i="91"/>
  <c r="C238" i="91" s="1"/>
  <c r="D243" i="91"/>
  <c r="C243" i="91" s="1"/>
  <c r="D257" i="91"/>
  <c r="C257" i="91" s="1"/>
  <c r="F128" i="79"/>
  <c r="W121" i="79" s="1"/>
  <c r="F127" i="79"/>
  <c r="V121" i="79" s="1"/>
  <c r="D127" i="79"/>
  <c r="V119" i="79" s="1"/>
  <c r="C127" i="79"/>
  <c r="V118" i="79" s="1"/>
  <c r="F125" i="79"/>
  <c r="F126" i="79" s="1"/>
  <c r="E125" i="79"/>
  <c r="E126" i="79" s="1"/>
  <c r="D125" i="79"/>
  <c r="D126" i="79" s="1"/>
  <c r="C126" i="79"/>
  <c r="AD121" i="79"/>
  <c r="AC121" i="79"/>
  <c r="AB121" i="79"/>
  <c r="AA121" i="79"/>
  <c r="Z121" i="79"/>
  <c r="U121" i="79"/>
  <c r="T121" i="79"/>
  <c r="P121" i="79"/>
  <c r="O121" i="79"/>
  <c r="R121" i="79" s="1"/>
  <c r="AD120" i="79"/>
  <c r="AC120" i="79"/>
  <c r="AB120" i="79"/>
  <c r="AA120" i="79"/>
  <c r="Z120" i="79"/>
  <c r="U120" i="79"/>
  <c r="T120" i="79"/>
  <c r="P120" i="79"/>
  <c r="O120" i="79"/>
  <c r="R120" i="79" s="1"/>
  <c r="AD119" i="79"/>
  <c r="AC119" i="79"/>
  <c r="AB119" i="79"/>
  <c r="AA119" i="79"/>
  <c r="Z119" i="79"/>
  <c r="T119" i="79"/>
  <c r="P119" i="79"/>
  <c r="O119" i="79"/>
  <c r="R119" i="79" s="1"/>
  <c r="AD118" i="79"/>
  <c r="AC118" i="79"/>
  <c r="AB118" i="79"/>
  <c r="AA118" i="79"/>
  <c r="Z118" i="79"/>
  <c r="T118" i="79"/>
  <c r="P118" i="79"/>
  <c r="O118" i="79"/>
  <c r="R118" i="79" s="1"/>
  <c r="D128" i="79"/>
  <c r="W119" i="79" s="1"/>
  <c r="P113" i="79"/>
  <c r="E128" i="79"/>
  <c r="W120" i="79" s="1"/>
  <c r="E127" i="79"/>
  <c r="V120" i="79" s="1"/>
  <c r="B81" i="79"/>
  <c r="F48" i="79"/>
  <c r="V42" i="79" s="1"/>
  <c r="E48" i="79"/>
  <c r="V41" i="79" s="1"/>
  <c r="D48" i="79"/>
  <c r="V40" i="79" s="1"/>
  <c r="C48" i="79"/>
  <c r="V39" i="79" s="1"/>
  <c r="F46" i="79"/>
  <c r="F47" i="79" s="1"/>
  <c r="E46" i="79"/>
  <c r="U41" i="79" s="1"/>
  <c r="D46" i="79"/>
  <c r="U40" i="79" s="1"/>
  <c r="C46" i="79"/>
  <c r="U39" i="79" s="1"/>
  <c r="AD42" i="79"/>
  <c r="AC42" i="79"/>
  <c r="AB42" i="79"/>
  <c r="AA42" i="79"/>
  <c r="Z42" i="79"/>
  <c r="T42" i="79"/>
  <c r="P42" i="79"/>
  <c r="AD41" i="79"/>
  <c r="AC41" i="79"/>
  <c r="AB41" i="79"/>
  <c r="AA41" i="79"/>
  <c r="Z41" i="79"/>
  <c r="T41" i="79"/>
  <c r="P41" i="79"/>
  <c r="O41" i="79"/>
  <c r="R41" i="79" s="1"/>
  <c r="AD40" i="79"/>
  <c r="AC40" i="79"/>
  <c r="AB40" i="79"/>
  <c r="AA40" i="79"/>
  <c r="Z40" i="79"/>
  <c r="T40" i="79"/>
  <c r="P40" i="79"/>
  <c r="O40" i="79"/>
  <c r="R40" i="79" s="1"/>
  <c r="AD39" i="79"/>
  <c r="AC39" i="79"/>
  <c r="AB39" i="79"/>
  <c r="AA39" i="79"/>
  <c r="Z39" i="79"/>
  <c r="T39" i="79"/>
  <c r="P39" i="79"/>
  <c r="F49" i="79"/>
  <c r="W42" i="79" s="1"/>
  <c r="D49" i="79"/>
  <c r="W40" i="79" s="1"/>
  <c r="P34" i="79"/>
  <c r="E49" i="79"/>
  <c r="W41" i="79" s="1"/>
  <c r="O42" i="79"/>
  <c r="R42" i="79" s="1"/>
  <c r="O39" i="79"/>
  <c r="R39" i="79" s="1"/>
  <c r="B2" i="79"/>
  <c r="C16" i="73"/>
  <c r="C47" i="73" s="1"/>
  <c r="A13" i="73"/>
  <c r="A12" i="73"/>
  <c r="A11" i="73" s="1"/>
  <c r="A14" i="73"/>
  <c r="K119" i="73"/>
  <c r="J119" i="73"/>
  <c r="I119" i="73"/>
  <c r="H119" i="73"/>
  <c r="G119" i="73"/>
  <c r="G129" i="73" s="1"/>
  <c r="F119" i="73"/>
  <c r="F129" i="73" s="1"/>
  <c r="V125" i="73" s="1"/>
  <c r="E119" i="73"/>
  <c r="E129" i="73" s="1"/>
  <c r="V124" i="73" s="1"/>
  <c r="D119" i="73"/>
  <c r="D129" i="73" s="1"/>
  <c r="V123" i="73" s="1"/>
  <c r="C119" i="73"/>
  <c r="C129" i="73" s="1"/>
  <c r="V122" i="73" s="1"/>
  <c r="P94" i="73"/>
  <c r="P99" i="73"/>
  <c r="P98" i="73" s="1"/>
  <c r="P97" i="73" s="1"/>
  <c r="Q99" i="73"/>
  <c r="Q98" i="73" s="1"/>
  <c r="R99" i="73"/>
  <c r="R98" i="73" s="1"/>
  <c r="S99" i="73"/>
  <c r="S98" i="73" s="1"/>
  <c r="T99" i="73"/>
  <c r="T98" i="73" s="1"/>
  <c r="G130" i="73"/>
  <c r="F130" i="73"/>
  <c r="E130" i="73"/>
  <c r="W124" i="73" s="1"/>
  <c r="D130" i="73"/>
  <c r="W123" i="73" s="1"/>
  <c r="C130" i="73"/>
  <c r="W122" i="73" s="1"/>
  <c r="G127" i="73"/>
  <c r="F127" i="73"/>
  <c r="F128" i="73" s="1"/>
  <c r="E127" i="73"/>
  <c r="U124" i="73" s="1"/>
  <c r="D127" i="73"/>
  <c r="D128" i="73" s="1"/>
  <c r="C127" i="73"/>
  <c r="C128" i="73" s="1"/>
  <c r="AD126" i="73"/>
  <c r="AC126" i="73"/>
  <c r="AB126" i="73"/>
  <c r="AA126" i="73"/>
  <c r="Z126" i="73"/>
  <c r="W126" i="73"/>
  <c r="V126" i="73"/>
  <c r="T126" i="73"/>
  <c r="P126" i="73"/>
  <c r="O126" i="73"/>
  <c r="R126" i="73" s="1"/>
  <c r="AD125" i="73"/>
  <c r="AC125" i="73"/>
  <c r="AB125" i="73"/>
  <c r="AA125" i="73"/>
  <c r="Z125" i="73"/>
  <c r="W125" i="73"/>
  <c r="T125" i="73"/>
  <c r="P125" i="73"/>
  <c r="O125" i="73"/>
  <c r="R125" i="73" s="1"/>
  <c r="AD124" i="73"/>
  <c r="AC124" i="73"/>
  <c r="AB124" i="73"/>
  <c r="AA124" i="73"/>
  <c r="Z124" i="73"/>
  <c r="T124" i="73"/>
  <c r="P124" i="73"/>
  <c r="O124" i="73"/>
  <c r="R124" i="73" s="1"/>
  <c r="AD123" i="73"/>
  <c r="AC123" i="73"/>
  <c r="AB123" i="73"/>
  <c r="AA123" i="73"/>
  <c r="Z123" i="73"/>
  <c r="T123" i="73"/>
  <c r="P123" i="73"/>
  <c r="O123" i="73"/>
  <c r="R123" i="73" s="1"/>
  <c r="AD122" i="73"/>
  <c r="AC122" i="73"/>
  <c r="AB122" i="73"/>
  <c r="AA122" i="73"/>
  <c r="Z122" i="73"/>
  <c r="P122" i="73"/>
  <c r="Q122" i="73" s="1"/>
  <c r="O122" i="73"/>
  <c r="R122" i="73" s="1"/>
  <c r="P117" i="73"/>
  <c r="P116" i="73"/>
  <c r="P104" i="73"/>
  <c r="P103" i="73"/>
  <c r="T122" i="73"/>
  <c r="S17" i="73"/>
  <c r="D50" i="73"/>
  <c r="E50" i="73"/>
  <c r="F50" i="73"/>
  <c r="G50" i="73"/>
  <c r="C50" i="73"/>
  <c r="T13" i="73"/>
  <c r="T12" i="73" s="1"/>
  <c r="Q13" i="73"/>
  <c r="Q12" i="73" s="1"/>
  <c r="R13" i="73"/>
  <c r="R12" i="73" s="1"/>
  <c r="S13" i="73"/>
  <c r="S12" i="73" s="1"/>
  <c r="D47" i="73"/>
  <c r="E47" i="73"/>
  <c r="F47" i="73"/>
  <c r="G47" i="73"/>
  <c r="L182" i="93"/>
  <c r="Y170" i="88"/>
  <c r="Y175" i="94"/>
  <c r="N168" i="89"/>
  <c r="X174" i="92"/>
  <c r="Q181" i="89"/>
  <c r="Q173" i="91"/>
  <c r="Y174" i="93"/>
  <c r="L180" i="89"/>
  <c r="Z177" i="92"/>
  <c r="Y177" i="94"/>
  <c r="N171" i="93"/>
  <c r="L173" i="93"/>
  <c r="AA180" i="93"/>
  <c r="O175" i="89"/>
  <c r="L178" i="90"/>
  <c r="Z173" i="92"/>
  <c r="Y175" i="90"/>
  <c r="Y176" i="87"/>
  <c r="L179" i="87"/>
  <c r="X177" i="92"/>
  <c r="AA176" i="90"/>
  <c r="Y173" i="91"/>
  <c r="Z170" i="90"/>
  <c r="P170" i="89"/>
  <c r="AB172" i="88"/>
  <c r="Q173" i="93"/>
  <c r="AB170" i="87"/>
  <c r="AB170" i="88"/>
  <c r="AB171" i="89"/>
  <c r="P174" i="91"/>
  <c r="P176" i="88"/>
  <c r="AA172" i="90"/>
  <c r="O174" i="89"/>
  <c r="AA171" i="91"/>
  <c r="Z177" i="91"/>
  <c r="AB180" i="88"/>
  <c r="P178" i="88"/>
  <c r="Y168" i="90"/>
  <c r="Y172" i="87"/>
  <c r="X180" i="88"/>
  <c r="L177" i="94"/>
  <c r="P172" i="90"/>
  <c r="Y171" i="90"/>
  <c r="AB180" i="94"/>
  <c r="Z169" i="90"/>
  <c r="AA175" i="87"/>
  <c r="L170" i="90"/>
  <c r="L181" i="93"/>
  <c r="Q178" i="91"/>
  <c r="P182" i="88"/>
  <c r="Y174" i="87"/>
  <c r="Q175" i="87"/>
  <c r="P168" i="89"/>
  <c r="AB174" i="89"/>
  <c r="AB172" i="94"/>
  <c r="AB171" i="87"/>
  <c r="AA172" i="93"/>
  <c r="AB171" i="94"/>
  <c r="P181" i="94"/>
  <c r="AA169" i="90"/>
  <c r="X172" i="90"/>
  <c r="N177" i="94"/>
  <c r="AB173" i="92"/>
  <c r="X168" i="89"/>
  <c r="AA172" i="92"/>
  <c r="Q185" i="91"/>
  <c r="Z180" i="88"/>
  <c r="X168" i="88"/>
  <c r="P175" i="91"/>
  <c r="X180" i="87"/>
  <c r="P179" i="89"/>
  <c r="AA176" i="94"/>
  <c r="AB178" i="91"/>
  <c r="L182" i="94"/>
  <c r="AB169" i="94"/>
  <c r="Y171" i="91"/>
  <c r="Z171" i="90"/>
  <c r="P179" i="90"/>
  <c r="L176" i="88"/>
  <c r="N171" i="94"/>
  <c r="AB174" i="92"/>
  <c r="AB169" i="92"/>
  <c r="O171" i="93"/>
  <c r="P169" i="90"/>
  <c r="X176" i="94"/>
  <c r="AA174" i="87"/>
  <c r="X170" i="89"/>
  <c r="Z168" i="92"/>
  <c r="AB174" i="90"/>
  <c r="X183" i="91"/>
  <c r="P170" i="87"/>
  <c r="AA171" i="94"/>
  <c r="P175" i="89"/>
  <c r="P171" i="91"/>
  <c r="X174" i="91"/>
  <c r="P176" i="89"/>
  <c r="P173" i="92"/>
  <c r="X175" i="94"/>
  <c r="N180" i="88"/>
  <c r="P176" i="93"/>
  <c r="L182" i="92"/>
  <c r="Y177" i="89"/>
  <c r="AB176" i="87"/>
  <c r="Q170" i="93"/>
  <c r="Y173" i="88"/>
  <c r="X175" i="93"/>
  <c r="Z174" i="88"/>
  <c r="X177" i="90"/>
  <c r="O174" i="88"/>
  <c r="N168" i="87"/>
  <c r="P169" i="92"/>
  <c r="O177" i="93"/>
  <c r="P169" i="88"/>
  <c r="Y175" i="87"/>
  <c r="P179" i="88"/>
  <c r="Q175" i="90"/>
  <c r="X169" i="87"/>
  <c r="L176" i="87"/>
  <c r="Y168" i="92"/>
  <c r="AB170" i="89"/>
  <c r="X171" i="87"/>
  <c r="Q181" i="87"/>
  <c r="Z175" i="92"/>
  <c r="AB168" i="87"/>
  <c r="O179" i="93"/>
  <c r="L170" i="94"/>
  <c r="P177" i="91"/>
  <c r="Z176" i="87"/>
  <c r="AA169" i="89"/>
  <c r="AA170" i="89"/>
  <c r="AB173" i="91"/>
  <c r="AA172" i="89"/>
  <c r="O175" i="92"/>
  <c r="Y177" i="87"/>
  <c r="AA177" i="91"/>
  <c r="X175" i="92"/>
  <c r="AA174" i="92"/>
  <c r="P170" i="88"/>
  <c r="L171" i="92"/>
  <c r="L173" i="89"/>
  <c r="AA170" i="90"/>
  <c r="Y168" i="94"/>
  <c r="N171" i="90"/>
  <c r="N177" i="90"/>
  <c r="O168" i="87"/>
  <c r="O179" i="87"/>
  <c r="P171" i="93"/>
  <c r="X171" i="90"/>
  <c r="AB175" i="90"/>
  <c r="AA175" i="94"/>
  <c r="P177" i="88"/>
  <c r="AB180" i="87"/>
  <c r="Y177" i="91"/>
  <c r="Q175" i="91"/>
  <c r="AB175" i="89"/>
  <c r="O179" i="92"/>
  <c r="Z172" i="87"/>
  <c r="Y180" i="91"/>
  <c r="P181" i="88"/>
  <c r="N174" i="88"/>
  <c r="Q178" i="87"/>
  <c r="P169" i="87"/>
  <c r="Y168" i="87"/>
  <c r="Q176" i="87"/>
  <c r="AB180" i="90"/>
  <c r="X170" i="94"/>
  <c r="Q179" i="87"/>
  <c r="Q178" i="94"/>
  <c r="AA171" i="92"/>
  <c r="AB173" i="94"/>
  <c r="Q175" i="94"/>
  <c r="AA174" i="93"/>
  <c r="O168" i="92"/>
  <c r="Q182" i="90"/>
  <c r="Y174" i="91"/>
  <c r="Q173" i="87"/>
  <c r="X172" i="92"/>
  <c r="L169" i="88"/>
  <c r="P181" i="91"/>
  <c r="L178" i="94"/>
  <c r="P172" i="89"/>
  <c r="O171" i="92"/>
  <c r="Y171" i="87"/>
  <c r="AB176" i="91"/>
  <c r="O169" i="94"/>
  <c r="L171" i="93"/>
  <c r="Z178" i="91"/>
  <c r="P170" i="93"/>
  <c r="P176" i="92"/>
  <c r="P176" i="91"/>
  <c r="P171" i="88"/>
  <c r="AB175" i="93"/>
  <c r="Q172" i="90"/>
  <c r="Z168" i="90"/>
  <c r="AB174" i="93"/>
  <c r="Q170" i="87"/>
  <c r="N174" i="90"/>
  <c r="Q169" i="90"/>
  <c r="Z177" i="93"/>
  <c r="AB173" i="89"/>
  <c r="AA173" i="93"/>
  <c r="X175" i="89"/>
  <c r="AA172" i="94"/>
  <c r="Q172" i="88"/>
  <c r="AB171" i="88"/>
  <c r="P182" i="93"/>
  <c r="Z176" i="93"/>
  <c r="X174" i="88"/>
  <c r="Y180" i="90"/>
  <c r="Z180" i="94"/>
  <c r="Q179" i="94"/>
  <c r="AA176" i="87"/>
  <c r="Z170" i="94"/>
  <c r="Q170" i="88"/>
  <c r="P182" i="91"/>
  <c r="Z172" i="88"/>
  <c r="X169" i="88"/>
  <c r="AA168" i="92"/>
  <c r="P173" i="91"/>
  <c r="P179" i="93"/>
  <c r="O168" i="90"/>
  <c r="Z173" i="93"/>
  <c r="N168" i="93"/>
  <c r="X173" i="91"/>
  <c r="L168" i="88"/>
  <c r="Z168" i="87"/>
  <c r="Y176" i="93"/>
  <c r="AA168" i="93"/>
  <c r="L172" i="88"/>
  <c r="L181" i="90"/>
  <c r="Y175" i="92"/>
  <c r="P173" i="93"/>
  <c r="O182" i="94"/>
  <c r="P171" i="92"/>
  <c r="AB176" i="89"/>
  <c r="AB169" i="88"/>
  <c r="L170" i="88"/>
  <c r="AB169" i="90"/>
  <c r="Y173" i="92"/>
  <c r="P174" i="88"/>
  <c r="AA171" i="90"/>
  <c r="Y180" i="88"/>
  <c r="AB168" i="89"/>
  <c r="O172" i="92"/>
  <c r="P172" i="93"/>
  <c r="Y176" i="94"/>
  <c r="P178" i="91"/>
  <c r="P180" i="87"/>
  <c r="Q182" i="91"/>
  <c r="Z176" i="90"/>
  <c r="Q173" i="90"/>
  <c r="L169" i="87"/>
  <c r="Z176" i="88"/>
  <c r="O172" i="93"/>
  <c r="Z170" i="92"/>
  <c r="Q172" i="93"/>
  <c r="Q179" i="91"/>
  <c r="N183" i="91"/>
  <c r="AA177" i="89"/>
  <c r="X180" i="91"/>
  <c r="O174" i="92"/>
  <c r="Z170" i="87"/>
  <c r="X176" i="90"/>
  <c r="P173" i="87"/>
  <c r="L169" i="89"/>
  <c r="L168" i="92"/>
  <c r="L182" i="87"/>
  <c r="Z175" i="90"/>
  <c r="Q169" i="94"/>
  <c r="X175" i="88"/>
  <c r="Y169" i="87"/>
  <c r="Y174" i="88"/>
  <c r="AB177" i="89"/>
  <c r="P179" i="92"/>
  <c r="Z170" i="89"/>
  <c r="O175" i="87"/>
  <c r="Z172" i="93"/>
  <c r="L168" i="87"/>
  <c r="O179" i="94"/>
  <c r="N174" i="94"/>
  <c r="Q176" i="93"/>
  <c r="AA173" i="94"/>
  <c r="Y172" i="90"/>
  <c r="P179" i="91"/>
  <c r="N177" i="88"/>
  <c r="L179" i="92"/>
  <c r="AB177" i="94"/>
  <c r="AB169" i="93"/>
  <c r="P168" i="94"/>
  <c r="X174" i="87"/>
  <c r="L175" i="87"/>
  <c r="AA174" i="89"/>
  <c r="X177" i="91"/>
  <c r="X173" i="88"/>
  <c r="L174" i="88"/>
  <c r="X170" i="90"/>
  <c r="AA168" i="87"/>
  <c r="AB173" i="93"/>
  <c r="P176" i="94"/>
  <c r="P181" i="89"/>
  <c r="L181" i="89"/>
  <c r="Y172" i="92"/>
  <c r="Q179" i="93"/>
  <c r="Z180" i="90"/>
  <c r="AA168" i="88"/>
  <c r="Y173" i="93"/>
  <c r="X172" i="91"/>
  <c r="O177" i="87"/>
  <c r="X176" i="93"/>
  <c r="N177" i="91"/>
  <c r="Y170" i="87"/>
  <c r="Q182" i="89"/>
  <c r="O182" i="92"/>
  <c r="O175" i="88"/>
  <c r="L174" i="92"/>
  <c r="X180" i="90"/>
  <c r="P180" i="89"/>
  <c r="AB168" i="92"/>
  <c r="X177" i="94"/>
  <c r="L175" i="94"/>
  <c r="AB173" i="87"/>
  <c r="AB176" i="93"/>
  <c r="P184" i="91"/>
  <c r="P181" i="90"/>
  <c r="Z174" i="94"/>
  <c r="N168" i="92"/>
  <c r="X171" i="92"/>
  <c r="X174" i="89"/>
  <c r="Y169" i="93"/>
  <c r="AA170" i="87"/>
  <c r="AB174" i="94"/>
  <c r="Q182" i="94"/>
  <c r="Y176" i="92"/>
  <c r="Z173" i="89"/>
  <c r="Q170" i="89"/>
  <c r="AA176" i="91"/>
  <c r="X170" i="87"/>
  <c r="AB180" i="89"/>
  <c r="Y177" i="90"/>
  <c r="AB171" i="90"/>
  <c r="N177" i="92"/>
  <c r="O177" i="92"/>
  <c r="Z172" i="92"/>
  <c r="P168" i="87"/>
  <c r="Y180" i="89"/>
  <c r="O171" i="88"/>
  <c r="X169" i="94"/>
  <c r="X177" i="88"/>
  <c r="AA170" i="88"/>
  <c r="Q176" i="88"/>
  <c r="Q181" i="91"/>
  <c r="AA177" i="92"/>
  <c r="X173" i="92"/>
  <c r="Q178" i="89"/>
  <c r="P181" i="93"/>
  <c r="Y180" i="93"/>
  <c r="Y174" i="89"/>
  <c r="AB172" i="93"/>
  <c r="Y169" i="94"/>
  <c r="L175" i="89"/>
  <c r="Y176" i="91"/>
  <c r="P178" i="87"/>
  <c r="AB175" i="92"/>
  <c r="L173" i="87"/>
  <c r="P177" i="89"/>
  <c r="L180" i="92"/>
  <c r="Z171" i="91"/>
  <c r="AA174" i="90"/>
  <c r="Z175" i="91"/>
  <c r="AA177" i="93"/>
  <c r="P171" i="90"/>
  <c r="P182" i="90"/>
  <c r="L169" i="90"/>
  <c r="Z173" i="88"/>
  <c r="Z173" i="87"/>
  <c r="O174" i="90"/>
  <c r="Q176" i="92"/>
  <c r="AB177" i="91"/>
  <c r="O168" i="94"/>
  <c r="AA168" i="89"/>
  <c r="AB177" i="87"/>
  <c r="Y176" i="90"/>
  <c r="P177" i="87"/>
  <c r="Z168" i="89"/>
  <c r="AA176" i="92"/>
  <c r="AA172" i="88"/>
  <c r="L169" i="93"/>
  <c r="P172" i="92"/>
  <c r="O177" i="94"/>
  <c r="AA180" i="94"/>
  <c r="O174" i="94"/>
  <c r="AA180" i="87"/>
  <c r="X172" i="89"/>
  <c r="L171" i="94"/>
  <c r="AA176" i="88"/>
  <c r="Z174" i="93"/>
  <c r="O182" i="93"/>
  <c r="AA171" i="88"/>
  <c r="P175" i="92"/>
  <c r="L171" i="90"/>
  <c r="P173" i="89"/>
  <c r="AA174" i="94"/>
  <c r="AA168" i="94"/>
  <c r="L174" i="90"/>
  <c r="Y177" i="92"/>
  <c r="P174" i="92"/>
  <c r="O180" i="90"/>
  <c r="L178" i="87"/>
  <c r="X170" i="92"/>
  <c r="Z171" i="93"/>
  <c r="L177" i="87"/>
  <c r="Y170" i="89"/>
  <c r="L174" i="93"/>
  <c r="X169" i="93"/>
  <c r="X173" i="94"/>
  <c r="AB168" i="93"/>
  <c r="P173" i="94"/>
  <c r="P176" i="90"/>
  <c r="P174" i="93"/>
  <c r="Q179" i="89"/>
  <c r="L172" i="90"/>
  <c r="Q176" i="89"/>
  <c r="Z174" i="89"/>
  <c r="L177" i="93"/>
  <c r="Y178" i="91"/>
  <c r="O175" i="93"/>
  <c r="X174" i="90"/>
  <c r="Y168" i="89"/>
  <c r="AA171" i="87"/>
  <c r="L176" i="89"/>
  <c r="Z179" i="91"/>
  <c r="AA173" i="91"/>
  <c r="P185" i="91"/>
  <c r="X173" i="89"/>
  <c r="P170" i="92"/>
  <c r="N177" i="89"/>
  <c r="Z180" i="87"/>
  <c r="L180" i="87"/>
  <c r="Z177" i="88"/>
  <c r="Q181" i="88"/>
  <c r="O172" i="89"/>
  <c r="P170" i="90"/>
  <c r="P178" i="93"/>
  <c r="P174" i="90"/>
  <c r="Q178" i="88"/>
  <c r="O179" i="90"/>
  <c r="O182" i="87"/>
  <c r="L168" i="90"/>
  <c r="Q172" i="87"/>
  <c r="L175" i="93"/>
  <c r="O179" i="89"/>
  <c r="P169" i="94"/>
  <c r="X170" i="88"/>
  <c r="Y177" i="88"/>
  <c r="Q176" i="94"/>
  <c r="X180" i="93"/>
  <c r="AB174" i="91"/>
  <c r="O174" i="87"/>
  <c r="X172" i="94"/>
  <c r="Q175" i="89"/>
  <c r="L180" i="94"/>
  <c r="N180" i="87"/>
  <c r="O180" i="89"/>
  <c r="Y169" i="89"/>
  <c r="AB175" i="88"/>
  <c r="X175" i="91"/>
  <c r="O171" i="87"/>
  <c r="AA178" i="91"/>
  <c r="O169" i="92"/>
  <c r="P177" i="90"/>
  <c r="N180" i="90"/>
  <c r="O180" i="87"/>
  <c r="AB172" i="89"/>
  <c r="Y175" i="89"/>
  <c r="X171" i="89"/>
  <c r="AB176" i="90"/>
  <c r="AA171" i="89"/>
  <c r="X168" i="87"/>
  <c r="Y170" i="90"/>
  <c r="AA180" i="92"/>
  <c r="X174" i="93"/>
  <c r="Y171" i="92"/>
  <c r="O172" i="88"/>
  <c r="L172" i="93"/>
  <c r="AB170" i="90"/>
  <c r="X173" i="90"/>
  <c r="X176" i="91"/>
  <c r="AA177" i="87"/>
  <c r="Y176" i="89"/>
  <c r="AA177" i="94"/>
  <c r="AB177" i="90"/>
  <c r="Z172" i="94"/>
  <c r="P180" i="92"/>
  <c r="N180" i="92"/>
  <c r="O182" i="89"/>
  <c r="P175" i="93"/>
  <c r="Y168" i="88"/>
  <c r="Q170" i="94"/>
  <c r="N177" i="87"/>
  <c r="L168" i="89"/>
  <c r="L175" i="90"/>
  <c r="AB177" i="93"/>
  <c r="N168" i="90"/>
  <c r="X171" i="91"/>
  <c r="Q178" i="93"/>
  <c r="Q172" i="91"/>
  <c r="Y172" i="94"/>
  <c r="AA172" i="87"/>
  <c r="X175" i="87"/>
  <c r="AA168" i="90"/>
  <c r="L180" i="93"/>
  <c r="AB168" i="90"/>
  <c r="Y169" i="90"/>
  <c r="Z176" i="92"/>
  <c r="AA180" i="91"/>
  <c r="P176" i="87"/>
  <c r="Z174" i="87"/>
  <c r="AB183" i="91"/>
  <c r="N180" i="93"/>
  <c r="Z171" i="94"/>
  <c r="X171" i="94"/>
  <c r="Y170" i="94"/>
  <c r="L173" i="94"/>
  <c r="L177" i="92"/>
  <c r="Y170" i="92"/>
  <c r="Z173" i="90"/>
  <c r="AB170" i="93"/>
  <c r="X180" i="89"/>
  <c r="Y173" i="90"/>
  <c r="L176" i="90"/>
  <c r="Z177" i="94"/>
  <c r="X168" i="90"/>
  <c r="Z171" i="92"/>
  <c r="P183" i="91"/>
  <c r="Z175" i="94"/>
  <c r="Y180" i="92"/>
  <c r="Q181" i="93"/>
  <c r="O168" i="88"/>
  <c r="P178" i="90"/>
  <c r="Y169" i="92"/>
  <c r="P168" i="90"/>
  <c r="O169" i="93"/>
  <c r="Y173" i="89"/>
  <c r="Q182" i="88"/>
  <c r="Y175" i="91"/>
  <c r="P182" i="92"/>
  <c r="N174" i="91"/>
  <c r="AB172" i="87"/>
  <c r="O180" i="92"/>
  <c r="L181" i="87"/>
  <c r="X177" i="93"/>
  <c r="L169" i="92"/>
  <c r="Z171" i="87"/>
  <c r="O179" i="88"/>
  <c r="L176" i="92"/>
  <c r="O175" i="94"/>
  <c r="P177" i="93"/>
  <c r="AA183" i="91"/>
  <c r="L173" i="92"/>
  <c r="L170" i="89"/>
  <c r="Q176" i="90"/>
  <c r="Z173" i="91"/>
  <c r="Z176" i="91"/>
  <c r="L180" i="88"/>
  <c r="L174" i="89"/>
  <c r="AA174" i="88"/>
  <c r="AB177" i="92"/>
  <c r="L179" i="88"/>
  <c r="Q179" i="90"/>
  <c r="AA171" i="93"/>
  <c r="N174" i="89"/>
  <c r="Y168" i="93"/>
  <c r="X172" i="87"/>
  <c r="AA173" i="92"/>
  <c r="AA169" i="88"/>
  <c r="P181" i="87"/>
  <c r="AA169" i="87"/>
  <c r="X170" i="93"/>
  <c r="Q173" i="89"/>
  <c r="AA175" i="89"/>
  <c r="X168" i="92"/>
  <c r="Q182" i="87"/>
  <c r="Q173" i="92"/>
  <c r="Y170" i="93"/>
  <c r="Z168" i="88"/>
  <c r="L172" i="92"/>
  <c r="Z168" i="93"/>
  <c r="L170" i="87"/>
  <c r="Y172" i="89"/>
  <c r="P171" i="94"/>
  <c r="N171" i="91"/>
  <c r="X174" i="94"/>
  <c r="Z177" i="87"/>
  <c r="O174" i="93"/>
  <c r="AB168" i="94"/>
  <c r="AB176" i="94"/>
  <c r="Y180" i="87"/>
  <c r="N177" i="93"/>
  <c r="P175" i="88"/>
  <c r="Q179" i="88"/>
  <c r="N168" i="94"/>
  <c r="Z180" i="92"/>
  <c r="Y180" i="94"/>
  <c r="P173" i="88"/>
  <c r="Y177" i="93"/>
  <c r="AB172" i="92"/>
  <c r="X173" i="87"/>
  <c r="L178" i="88"/>
  <c r="Y169" i="88"/>
  <c r="O177" i="89"/>
  <c r="P168" i="93"/>
  <c r="X175" i="90"/>
  <c r="Y173" i="94"/>
  <c r="AB171" i="91"/>
  <c r="P180" i="94"/>
  <c r="AA173" i="87"/>
  <c r="L176" i="93"/>
  <c r="L180" i="90"/>
  <c r="Z169" i="94"/>
  <c r="Z175" i="87"/>
  <c r="Q179" i="92"/>
  <c r="N171" i="88"/>
  <c r="L178" i="92"/>
  <c r="Y183" i="91"/>
  <c r="Z177" i="90"/>
  <c r="X171" i="93"/>
  <c r="P174" i="87"/>
  <c r="Z180" i="89"/>
  <c r="Z169" i="88"/>
  <c r="AA169" i="93"/>
  <c r="N171" i="89"/>
  <c r="AB180" i="92"/>
  <c r="P171" i="89"/>
  <c r="L175" i="88"/>
  <c r="L173" i="88"/>
  <c r="O171" i="90"/>
  <c r="P178" i="89"/>
  <c r="O168" i="93"/>
  <c r="O172" i="90"/>
  <c r="AB174" i="87"/>
  <c r="Z175" i="89"/>
  <c r="Q172" i="94"/>
  <c r="Q181" i="92"/>
  <c r="AA170" i="92"/>
  <c r="O169" i="89"/>
  <c r="O171" i="94"/>
  <c r="O171" i="89"/>
  <c r="Z169" i="89"/>
  <c r="Z168" i="94"/>
  <c r="N180" i="91"/>
  <c r="Y172" i="91"/>
  <c r="L172" i="87"/>
  <c r="O180" i="94"/>
  <c r="Z174" i="90"/>
  <c r="Q175" i="93"/>
  <c r="P177" i="94"/>
  <c r="P182" i="87"/>
  <c r="P172" i="91"/>
  <c r="L176" i="94"/>
  <c r="X171" i="88"/>
  <c r="N174" i="87"/>
  <c r="AB180" i="91"/>
  <c r="Z169" i="93"/>
  <c r="Y171" i="89"/>
  <c r="P180" i="93"/>
  <c r="X177" i="89"/>
  <c r="Z172" i="90"/>
  <c r="AA169" i="92"/>
  <c r="AB176" i="88"/>
  <c r="Q181" i="94"/>
  <c r="X177" i="87"/>
  <c r="AA173" i="89"/>
  <c r="O177" i="90"/>
  <c r="AA176" i="93"/>
  <c r="L178" i="89"/>
  <c r="X179" i="91"/>
  <c r="L182" i="90"/>
  <c r="O168" i="89"/>
  <c r="AA170" i="93"/>
  <c r="AA175" i="92"/>
  <c r="Z171" i="89"/>
  <c r="Q172" i="92"/>
  <c r="P178" i="94"/>
  <c r="P174" i="89"/>
  <c r="X176" i="89"/>
  <c r="P175" i="90"/>
  <c r="AA180" i="90"/>
  <c r="AA174" i="91"/>
  <c r="AB170" i="92"/>
  <c r="P180" i="90"/>
  <c r="X176" i="88"/>
  <c r="O175" i="90"/>
  <c r="AB171" i="93"/>
  <c r="Z169" i="92"/>
  <c r="P175" i="87"/>
  <c r="X178" i="91"/>
  <c r="P182" i="94"/>
  <c r="Z173" i="94"/>
  <c r="AA175" i="90"/>
  <c r="P179" i="94"/>
  <c r="N174" i="92"/>
  <c r="L171" i="87"/>
  <c r="AA173" i="90"/>
  <c r="AB173" i="88"/>
  <c r="AA177" i="88"/>
  <c r="Z174" i="92"/>
  <c r="Q169" i="92"/>
  <c r="P168" i="88"/>
  <c r="Y173" i="87"/>
  <c r="AB173" i="90"/>
  <c r="O177" i="88"/>
  <c r="L168" i="94"/>
  <c r="P178" i="92"/>
  <c r="Y175" i="88"/>
  <c r="O172" i="94"/>
  <c r="Z183" i="91"/>
  <c r="AA179" i="91"/>
  <c r="Q182" i="93"/>
  <c r="P169" i="89"/>
  <c r="Z176" i="89"/>
  <c r="L171" i="89"/>
  <c r="P172" i="88"/>
  <c r="L172" i="89"/>
  <c r="L181" i="92"/>
  <c r="P179" i="87"/>
  <c r="L168" i="93"/>
  <c r="Z170" i="93"/>
  <c r="Q178" i="90"/>
  <c r="Y171" i="94"/>
  <c r="Y172" i="93"/>
  <c r="Z175" i="93"/>
  <c r="Y176" i="88"/>
  <c r="Z175" i="88"/>
  <c r="Z180" i="91"/>
  <c r="Q169" i="87"/>
  <c r="AA175" i="93"/>
  <c r="X169" i="89"/>
  <c r="AA173" i="88"/>
  <c r="L179" i="90"/>
  <c r="L172" i="94"/>
  <c r="L177" i="90"/>
  <c r="Z170" i="88"/>
  <c r="AB170" i="94"/>
  <c r="N171" i="92"/>
  <c r="AA177" i="90"/>
  <c r="AB172" i="91"/>
  <c r="P181" i="92"/>
  <c r="P182" i="89"/>
  <c r="AA176" i="89"/>
  <c r="L179" i="89"/>
  <c r="X172" i="93"/>
  <c r="L177" i="88"/>
  <c r="L177" i="89"/>
  <c r="P172" i="94"/>
  <c r="AB172" i="90"/>
  <c r="AA175" i="88"/>
  <c r="Q170" i="90"/>
  <c r="Q169" i="88"/>
  <c r="Q176" i="91"/>
  <c r="Q170" i="92"/>
  <c r="N180" i="89"/>
  <c r="Z176" i="94"/>
  <c r="Y171" i="88"/>
  <c r="Q178" i="92"/>
  <c r="L181" i="88"/>
  <c r="Q184" i="91"/>
  <c r="N171" i="87"/>
  <c r="AB179" i="91"/>
  <c r="P180" i="91"/>
  <c r="AB171" i="92"/>
  <c r="Z174" i="91"/>
  <c r="Q169" i="89"/>
  <c r="Q181" i="90"/>
  <c r="P171" i="87"/>
  <c r="Q173" i="94"/>
  <c r="AB174" i="88"/>
  <c r="AB177" i="88"/>
  <c r="AB169" i="89"/>
  <c r="Y174" i="92"/>
  <c r="AA169" i="94"/>
  <c r="X176" i="87"/>
  <c r="Z177" i="89"/>
  <c r="AB168" i="88"/>
  <c r="L182" i="88"/>
  <c r="L175" i="92"/>
  <c r="AB180" i="93"/>
  <c r="Q175" i="88"/>
  <c r="Z171" i="88"/>
  <c r="P168" i="92"/>
  <c r="L181" i="94"/>
  <c r="Y175" i="93"/>
  <c r="Q173" i="88"/>
  <c r="O180" i="88"/>
  <c r="L170" i="93"/>
  <c r="N174" i="93"/>
  <c r="X168" i="93"/>
  <c r="AA180" i="88"/>
  <c r="L170" i="92"/>
  <c r="AB169" i="87"/>
  <c r="O182" i="90"/>
  <c r="O169" i="87"/>
  <c r="AA170" i="94"/>
  <c r="L182" i="89"/>
  <c r="L169" i="94"/>
  <c r="P174" i="94"/>
  <c r="L178" i="93"/>
  <c r="P172" i="87"/>
  <c r="P180" i="88"/>
  <c r="Q175" i="92"/>
  <c r="L173" i="90"/>
  <c r="O169" i="88"/>
  <c r="Y172" i="88"/>
  <c r="X173" i="93"/>
  <c r="Y174" i="94"/>
  <c r="P170" i="94"/>
  <c r="AA180" i="89"/>
  <c r="O172" i="87"/>
  <c r="L174" i="87"/>
  <c r="O182" i="88"/>
  <c r="N180" i="94"/>
  <c r="X176" i="92"/>
  <c r="Z169" i="87"/>
  <c r="AA172" i="91"/>
  <c r="O180" i="93"/>
  <c r="AB175" i="94"/>
  <c r="AB175" i="87"/>
  <c r="P169" i="93"/>
  <c r="X180" i="92"/>
  <c r="L179" i="94"/>
  <c r="X169" i="92"/>
  <c r="X168" i="94"/>
  <c r="Q169" i="93"/>
  <c r="AB175" i="91"/>
  <c r="Y171" i="93"/>
  <c r="Q172" i="89"/>
  <c r="X172" i="88"/>
  <c r="X169" i="90"/>
  <c r="O169" i="90"/>
  <c r="X180" i="94"/>
  <c r="N168" i="88"/>
  <c r="Q182" i="92"/>
  <c r="Z172" i="89"/>
  <c r="AA175" i="91"/>
  <c r="Y174" i="90"/>
  <c r="Y179" i="91"/>
  <c r="L179" i="93"/>
  <c r="L171" i="88"/>
  <c r="Z180" i="93"/>
  <c r="P177" i="92"/>
  <c r="Q89" i="91" l="1"/>
  <c r="V178" i="92"/>
  <c r="V179" i="94"/>
  <c r="V181" i="94"/>
  <c r="V178" i="93"/>
  <c r="V178" i="94"/>
  <c r="V179" i="92"/>
  <c r="V179" i="93"/>
  <c r="V177" i="94"/>
  <c r="V177" i="92"/>
  <c r="V180" i="94"/>
  <c r="V181" i="93"/>
  <c r="V181" i="92"/>
  <c r="V180" i="92"/>
  <c r="V182" i="94"/>
  <c r="V182" i="93"/>
  <c r="V180" i="93"/>
  <c r="V177" i="93"/>
  <c r="V182" i="92"/>
  <c r="V185" i="91"/>
  <c r="V179" i="90"/>
  <c r="V179" i="89"/>
  <c r="V180" i="91"/>
  <c r="V180" i="90"/>
  <c r="V181" i="88"/>
  <c r="V178" i="90"/>
  <c r="V180" i="88"/>
  <c r="V182" i="91"/>
  <c r="V177" i="89"/>
  <c r="V178" i="87"/>
  <c r="V182" i="90"/>
  <c r="V181" i="90"/>
  <c r="V182" i="88"/>
  <c r="V181" i="91"/>
  <c r="V184" i="91"/>
  <c r="V179" i="88"/>
  <c r="V178" i="89"/>
  <c r="V180" i="89"/>
  <c r="V182" i="89"/>
  <c r="V182" i="87"/>
  <c r="V177" i="87"/>
  <c r="V181" i="87"/>
  <c r="V183" i="91"/>
  <c r="V178" i="88"/>
  <c r="V181" i="89"/>
  <c r="V177" i="88"/>
  <c r="V180" i="87"/>
  <c r="V179" i="87"/>
  <c r="V177" i="90"/>
  <c r="V172" i="94"/>
  <c r="V175" i="93"/>
  <c r="V168" i="93"/>
  <c r="V174" i="92"/>
  <c r="V171" i="94"/>
  <c r="V176" i="93"/>
  <c r="V171" i="92"/>
  <c r="V169" i="93"/>
  <c r="V174" i="93"/>
  <c r="V176" i="94"/>
  <c r="V168" i="94"/>
  <c r="V175" i="94"/>
  <c r="V173" i="93"/>
  <c r="V176" i="92"/>
  <c r="V170" i="92"/>
  <c r="V172" i="92"/>
  <c r="V170" i="94"/>
  <c r="V168" i="92"/>
  <c r="V175" i="92"/>
  <c r="V171" i="93"/>
  <c r="V169" i="92"/>
  <c r="V170" i="93"/>
  <c r="V172" i="93"/>
  <c r="V173" i="94"/>
  <c r="V169" i="94"/>
  <c r="V173" i="92"/>
  <c r="V170" i="88"/>
  <c r="V169" i="88"/>
  <c r="V172" i="90"/>
  <c r="V173" i="89"/>
  <c r="V174" i="87"/>
  <c r="V171" i="88"/>
  <c r="V169" i="89"/>
  <c r="V174" i="91"/>
  <c r="V173" i="88"/>
  <c r="V175" i="89"/>
  <c r="V176" i="91"/>
  <c r="V174" i="90"/>
  <c r="V178" i="91"/>
  <c r="V171" i="89"/>
  <c r="V176" i="89"/>
  <c r="V168" i="90"/>
  <c r="V172" i="91"/>
  <c r="V179" i="91"/>
  <c r="V169" i="90"/>
  <c r="V172" i="89"/>
  <c r="V173" i="90"/>
  <c r="V174" i="89"/>
  <c r="V177" i="91"/>
  <c r="V168" i="88"/>
  <c r="V173" i="91"/>
  <c r="V175" i="90"/>
  <c r="V170" i="89"/>
  <c r="V175" i="91"/>
  <c r="V171" i="91"/>
  <c r="V168" i="89"/>
  <c r="V175" i="88"/>
  <c r="V176" i="90"/>
  <c r="V173" i="87"/>
  <c r="V172" i="88"/>
  <c r="V176" i="88"/>
  <c r="V170" i="87"/>
  <c r="V169" i="87"/>
  <c r="V176" i="87"/>
  <c r="V171" i="87"/>
  <c r="V175" i="87"/>
  <c r="V171" i="90"/>
  <c r="V170" i="90"/>
  <c r="V168" i="87"/>
  <c r="V172" i="87"/>
  <c r="V174" i="88"/>
  <c r="Q118" i="79"/>
  <c r="D47" i="79"/>
  <c r="U119" i="79"/>
  <c r="Q39" i="79"/>
  <c r="X39" i="73"/>
  <c r="X40" i="73"/>
  <c r="X38" i="73"/>
  <c r="T17" i="73"/>
  <c r="V17" i="73"/>
  <c r="C47" i="79"/>
  <c r="E47" i="79"/>
  <c r="U42" i="79"/>
  <c r="U123" i="73"/>
  <c r="P102" i="73"/>
  <c r="U122" i="73"/>
  <c r="U125" i="73"/>
  <c r="E128" i="73"/>
  <c r="U126" i="73"/>
  <c r="P8" i="73"/>
  <c r="P13" i="73"/>
  <c r="AB176" i="92"/>
  <c r="P175" i="94"/>
  <c r="L174" i="94"/>
  <c r="P173" i="90"/>
  <c r="Z172" i="91"/>
  <c r="Q90" i="91" l="1"/>
  <c r="Q94" i="91" s="1"/>
  <c r="Q98" i="91" s="1"/>
  <c r="Q93" i="91"/>
  <c r="Q97" i="91" s="1"/>
  <c r="V174" i="94"/>
  <c r="O176" i="93"/>
  <c r="O178" i="88"/>
  <c r="O173" i="92"/>
  <c r="O178" i="87"/>
  <c r="O178" i="90"/>
  <c r="O181" i="93"/>
  <c r="O173" i="88"/>
  <c r="O181" i="92"/>
  <c r="O178" i="89"/>
  <c r="O170" i="92"/>
  <c r="O178" i="93"/>
  <c r="O176" i="89"/>
  <c r="O170" i="89"/>
  <c r="O170" i="74"/>
  <c r="O176" i="92"/>
  <c r="O170" i="94"/>
  <c r="O181" i="88"/>
  <c r="O176" i="94"/>
  <c r="O176" i="90"/>
  <c r="O173" i="87"/>
  <c r="O173" i="94"/>
  <c r="O173" i="93"/>
  <c r="O181" i="90"/>
  <c r="O173" i="90"/>
  <c r="O176" i="87"/>
  <c r="O181" i="87"/>
  <c r="O181" i="94"/>
  <c r="O173" i="89"/>
  <c r="O178" i="94"/>
  <c r="O170" i="93"/>
  <c r="O170" i="87"/>
  <c r="O181" i="89"/>
  <c r="O176" i="88"/>
  <c r="O178" i="92"/>
  <c r="O170" i="88"/>
  <c r="Y44" i="73" l="1"/>
  <c r="Y38" i="73"/>
  <c r="AG46" i="73" s="1"/>
  <c r="Y49" i="73"/>
  <c r="Y40" i="73"/>
  <c r="Y47" i="73"/>
  <c r="Y39" i="73"/>
  <c r="P112" i="79"/>
  <c r="C128" i="79"/>
  <c r="W118" i="79" s="1"/>
  <c r="C49" i="79"/>
  <c r="W39" i="79" s="1"/>
  <c r="P33" i="79"/>
  <c r="P16" i="73"/>
  <c r="P12" i="73"/>
  <c r="P11" i="73" s="1"/>
  <c r="Q177" i="88"/>
  <c r="Q168" i="92"/>
  <c r="Q183" i="91"/>
  <c r="Q180" i="91"/>
  <c r="Q168" i="88"/>
  <c r="Q180" i="94"/>
  <c r="Q177" i="94"/>
  <c r="Q171" i="90"/>
  <c r="Q180" i="93"/>
  <c r="Q168" i="90"/>
  <c r="Q174" i="88"/>
  <c r="Q174" i="94"/>
  <c r="Q177" i="91"/>
  <c r="O170" i="90"/>
  <c r="Q177" i="93"/>
  <c r="Q171" i="94"/>
  <c r="Q180" i="89"/>
  <c r="Q171" i="88"/>
  <c r="Q171" i="93"/>
  <c r="Q168" i="93"/>
  <c r="Q177" i="92"/>
  <c r="Q180" i="92"/>
  <c r="Q168" i="87"/>
  <c r="Q171" i="89"/>
  <c r="Q177" i="87"/>
  <c r="Q177" i="90"/>
  <c r="Q174" i="91"/>
  <c r="Q168" i="89"/>
  <c r="Q174" i="92"/>
  <c r="Q180" i="88"/>
  <c r="Q174" i="93"/>
  <c r="Q171" i="92"/>
  <c r="Q168" i="94"/>
  <c r="Q180" i="87"/>
  <c r="Q174" i="89"/>
  <c r="Q171" i="91"/>
  <c r="Q174" i="87"/>
  <c r="Q177" i="89"/>
  <c r="Q87" i="91" l="1"/>
  <c r="Q91" i="91" s="1"/>
  <c r="Q95" i="91" s="1"/>
  <c r="E278" i="74"/>
  <c r="Q180" i="90"/>
  <c r="Q174" i="90"/>
  <c r="Q171" i="87"/>
  <c r="K39" i="73" l="1"/>
  <c r="J39" i="73"/>
  <c r="I39" i="73"/>
  <c r="H39" i="73"/>
  <c r="G39" i="73"/>
  <c r="G49" i="73" s="1"/>
  <c r="F39" i="73"/>
  <c r="F49" i="73" s="1"/>
  <c r="E39" i="73"/>
  <c r="E49" i="73" s="1"/>
  <c r="D39" i="73"/>
  <c r="D49" i="73" s="1"/>
  <c r="C39" i="73"/>
  <c r="C49" i="73" l="1"/>
  <c r="U17" i="73"/>
  <c r="F192" i="63" l="1"/>
  <c r="E192" i="63"/>
  <c r="V185" i="63" s="1"/>
  <c r="D192" i="63"/>
  <c r="C192" i="63"/>
  <c r="V183" i="63" s="1"/>
  <c r="F190" i="63"/>
  <c r="F191" i="63" s="1"/>
  <c r="E190" i="63"/>
  <c r="E191" i="63" s="1"/>
  <c r="D190" i="63"/>
  <c r="D191" i="63" s="1"/>
  <c r="C190" i="63"/>
  <c r="C191" i="63" s="1"/>
  <c r="AD186" i="63"/>
  <c r="AC186" i="63"/>
  <c r="AB186" i="63"/>
  <c r="AA186" i="63"/>
  <c r="Z186" i="63"/>
  <c r="V186" i="63"/>
  <c r="U186" i="63"/>
  <c r="T186" i="63"/>
  <c r="P186" i="63"/>
  <c r="AD185" i="63"/>
  <c r="AC185" i="63"/>
  <c r="AB185" i="63"/>
  <c r="AA185" i="63"/>
  <c r="Z185" i="63"/>
  <c r="T185" i="63"/>
  <c r="P185" i="63"/>
  <c r="AD184" i="63"/>
  <c r="AC184" i="63"/>
  <c r="AB184" i="63"/>
  <c r="AA184" i="63"/>
  <c r="Z184" i="63"/>
  <c r="V184" i="63"/>
  <c r="T184" i="63"/>
  <c r="P184" i="63"/>
  <c r="AD183" i="63"/>
  <c r="AC183" i="63"/>
  <c r="AB183" i="63"/>
  <c r="AA183" i="63"/>
  <c r="Z183" i="63"/>
  <c r="T183" i="63"/>
  <c r="P183" i="63"/>
  <c r="Q183" i="63" s="1"/>
  <c r="F183" i="63"/>
  <c r="E183" i="63"/>
  <c r="D183" i="63"/>
  <c r="C183" i="63"/>
  <c r="E179" i="63"/>
  <c r="F178" i="63"/>
  <c r="F177" i="63" s="1"/>
  <c r="E178" i="63"/>
  <c r="D178" i="63"/>
  <c r="C178" i="63"/>
  <c r="P178" i="63" s="1"/>
  <c r="D177" i="63"/>
  <c r="D193" i="63" s="1"/>
  <c r="W184" i="63" s="1"/>
  <c r="C177" i="63"/>
  <c r="C193" i="63" s="1"/>
  <c r="W183" i="63" s="1"/>
  <c r="AR163" i="63"/>
  <c r="AP163" i="63"/>
  <c r="AN163" i="63"/>
  <c r="AL163" i="63"/>
  <c r="AJ163" i="63"/>
  <c r="AC163" i="63"/>
  <c r="AA163" i="63"/>
  <c r="Y163" i="63"/>
  <c r="W163" i="63"/>
  <c r="U163" i="63"/>
  <c r="AR158" i="63"/>
  <c r="AP158" i="63"/>
  <c r="AN158" i="63"/>
  <c r="AL158" i="63"/>
  <c r="AJ158" i="63"/>
  <c r="C156" i="63"/>
  <c r="O183" i="63" s="1"/>
  <c r="R183" i="63" s="1"/>
  <c r="P155" i="63"/>
  <c r="AE155" i="63" s="1"/>
  <c r="H155" i="63"/>
  <c r="H156" i="63" s="1"/>
  <c r="G155" i="63"/>
  <c r="G156" i="63" s="1"/>
  <c r="D155" i="63"/>
  <c r="D156" i="63" s="1"/>
  <c r="O184" i="63" s="1"/>
  <c r="R184" i="63" s="1"/>
  <c r="F120" i="63"/>
  <c r="V114" i="63" s="1"/>
  <c r="E120" i="63"/>
  <c r="V113" i="63" s="1"/>
  <c r="D120" i="63"/>
  <c r="V112" i="63" s="1"/>
  <c r="C120" i="63"/>
  <c r="V111" i="63" s="1"/>
  <c r="F118" i="63"/>
  <c r="F119" i="63" s="1"/>
  <c r="E118" i="63"/>
  <c r="E119" i="63" s="1"/>
  <c r="D118" i="63"/>
  <c r="D119" i="63" s="1"/>
  <c r="C118" i="63"/>
  <c r="C119" i="63" s="1"/>
  <c r="AD114" i="63"/>
  <c r="AC114" i="63"/>
  <c r="AB114" i="63"/>
  <c r="AA114" i="63"/>
  <c r="Z114" i="63"/>
  <c r="T114" i="63"/>
  <c r="P114" i="63"/>
  <c r="AD113" i="63"/>
  <c r="AC113" i="63"/>
  <c r="AB113" i="63"/>
  <c r="AA113" i="63"/>
  <c r="Z113" i="63"/>
  <c r="T113" i="63"/>
  <c r="P113" i="63"/>
  <c r="O113" i="63"/>
  <c r="R113" i="63" s="1"/>
  <c r="AD112" i="63"/>
  <c r="AC112" i="63"/>
  <c r="AB112" i="63"/>
  <c r="AA112" i="63"/>
  <c r="Z112" i="63"/>
  <c r="T112" i="63"/>
  <c r="P112" i="63"/>
  <c r="AD111" i="63"/>
  <c r="AC111" i="63"/>
  <c r="AB111" i="63"/>
  <c r="AA111" i="63"/>
  <c r="Z111" i="63"/>
  <c r="T111" i="63"/>
  <c r="P111" i="63"/>
  <c r="Q111" i="63" s="1"/>
  <c r="F111" i="63"/>
  <c r="E111" i="63"/>
  <c r="D111" i="63"/>
  <c r="C111" i="63"/>
  <c r="E107" i="63"/>
  <c r="F106" i="63"/>
  <c r="F105" i="63" s="1"/>
  <c r="E106" i="63"/>
  <c r="D106" i="63"/>
  <c r="C106" i="63"/>
  <c r="P106" i="63" s="1"/>
  <c r="D105" i="63"/>
  <c r="D121" i="63" s="1"/>
  <c r="W112" i="63" s="1"/>
  <c r="C105" i="63"/>
  <c r="C121" i="63" s="1"/>
  <c r="W111" i="63" s="1"/>
  <c r="AR91" i="63"/>
  <c r="AP91" i="63"/>
  <c r="AN91" i="63"/>
  <c r="AL91" i="63"/>
  <c r="AJ91" i="63"/>
  <c r="AC91" i="63"/>
  <c r="AA91" i="63"/>
  <c r="Y91" i="63"/>
  <c r="W91" i="63"/>
  <c r="U91" i="63"/>
  <c r="AC86" i="63"/>
  <c r="AR86" i="63" s="1"/>
  <c r="AA86" i="63"/>
  <c r="AP86" i="63" s="1"/>
  <c r="Y86" i="63"/>
  <c r="AN86" i="63" s="1"/>
  <c r="W86" i="63"/>
  <c r="AL86" i="63" s="1"/>
  <c r="U86" i="63"/>
  <c r="AJ86" i="63" s="1"/>
  <c r="F84" i="63"/>
  <c r="O114" i="63" s="1"/>
  <c r="R114" i="63" s="1"/>
  <c r="E84" i="63"/>
  <c r="D84" i="63"/>
  <c r="O112" i="63" s="1"/>
  <c r="R112" i="63" s="1"/>
  <c r="C84" i="63"/>
  <c r="O111" i="63" s="1"/>
  <c r="R111" i="63" s="1"/>
  <c r="P83" i="63"/>
  <c r="AE83" i="63" s="1"/>
  <c r="J83" i="63"/>
  <c r="J84" i="63" s="1"/>
  <c r="I83" i="63"/>
  <c r="I84" i="63" s="1"/>
  <c r="H83" i="63"/>
  <c r="H84" i="63" s="1"/>
  <c r="G83" i="63"/>
  <c r="G84" i="63" s="1"/>
  <c r="O179" i="81"/>
  <c r="O172" i="84"/>
  <c r="Q176" i="84"/>
  <c r="X168" i="83"/>
  <c r="P181" i="84"/>
  <c r="AA177" i="85"/>
  <c r="Y175" i="83"/>
  <c r="AB171" i="81"/>
  <c r="Y174" i="84"/>
  <c r="P178" i="81"/>
  <c r="Z169" i="81"/>
  <c r="Z174" i="84"/>
  <c r="P176" i="82"/>
  <c r="O171" i="84"/>
  <c r="X170" i="85"/>
  <c r="Q176" i="81"/>
  <c r="L180" i="82"/>
  <c r="P174" i="82"/>
  <c r="AB169" i="81"/>
  <c r="AA172" i="74"/>
  <c r="AB176" i="74"/>
  <c r="AB176" i="83"/>
  <c r="L173" i="83"/>
  <c r="N177" i="84"/>
  <c r="Y174" i="74"/>
  <c r="P169" i="85"/>
  <c r="L181" i="82"/>
  <c r="O171" i="82"/>
  <c r="Q170" i="84"/>
  <c r="P169" i="81"/>
  <c r="L178" i="81"/>
  <c r="L172" i="84"/>
  <c r="O182" i="74"/>
  <c r="Q178" i="85"/>
  <c r="P174" i="84"/>
  <c r="O175" i="84"/>
  <c r="P182" i="84"/>
  <c r="L181" i="74"/>
  <c r="P170" i="81"/>
  <c r="P179" i="85"/>
  <c r="Q171" i="85"/>
  <c r="P170" i="83"/>
  <c r="AA169" i="74"/>
  <c r="Y170" i="83"/>
  <c r="P175" i="81"/>
  <c r="Q172" i="85"/>
  <c r="AA174" i="85"/>
  <c r="X177" i="84"/>
  <c r="AB175" i="85"/>
  <c r="Q173" i="82"/>
  <c r="O182" i="85"/>
  <c r="L174" i="84"/>
  <c r="AA174" i="81"/>
  <c r="P170" i="84"/>
  <c r="O180" i="83"/>
  <c r="Z168" i="74"/>
  <c r="N180" i="82"/>
  <c r="AB169" i="85"/>
  <c r="AA169" i="84"/>
  <c r="Q178" i="74"/>
  <c r="P181" i="74"/>
  <c r="Y174" i="82"/>
  <c r="AB174" i="85"/>
  <c r="X173" i="82"/>
  <c r="AB173" i="85"/>
  <c r="O169" i="74"/>
  <c r="Y173" i="84"/>
  <c r="O177" i="85"/>
  <c r="L168" i="74"/>
  <c r="AA180" i="83"/>
  <c r="AA170" i="84"/>
  <c r="Y171" i="85"/>
  <c r="P176" i="81"/>
  <c r="O182" i="84"/>
  <c r="O168" i="83"/>
  <c r="P180" i="84"/>
  <c r="Q171" i="81"/>
  <c r="AA172" i="83"/>
  <c r="P170" i="82"/>
  <c r="P180" i="82"/>
  <c r="AB168" i="81"/>
  <c r="Q174" i="83"/>
  <c r="X168" i="74"/>
  <c r="Q173" i="85"/>
  <c r="O181" i="85"/>
  <c r="Q182" i="84"/>
  <c r="AA172" i="82"/>
  <c r="P177" i="81"/>
  <c r="X175" i="83"/>
  <c r="P176" i="85"/>
  <c r="O176" i="84"/>
  <c r="P173" i="74"/>
  <c r="Z172" i="85"/>
  <c r="O174" i="82"/>
  <c r="L170" i="81"/>
  <c r="L168" i="83"/>
  <c r="P173" i="84"/>
  <c r="L178" i="82"/>
  <c r="AA180" i="81"/>
  <c r="Q180" i="74"/>
  <c r="Y170" i="74"/>
  <c r="Z177" i="83"/>
  <c r="AB177" i="85"/>
  <c r="O182" i="83"/>
  <c r="P168" i="85"/>
  <c r="Z169" i="84"/>
  <c r="Y169" i="81"/>
  <c r="Q169" i="85"/>
  <c r="Q175" i="84"/>
  <c r="AA169" i="83"/>
  <c r="Z176" i="82"/>
  <c r="O168" i="74"/>
  <c r="P168" i="74"/>
  <c r="Q182" i="74"/>
  <c r="AB170" i="84"/>
  <c r="AB174" i="84"/>
  <c r="X173" i="85"/>
  <c r="Q173" i="81"/>
  <c r="X170" i="83"/>
  <c r="P179" i="83"/>
  <c r="Q176" i="83"/>
  <c r="O178" i="81"/>
  <c r="AA173" i="74"/>
  <c r="Y180" i="81"/>
  <c r="P181" i="82"/>
  <c r="AB171" i="82"/>
  <c r="Q176" i="74"/>
  <c r="Y171" i="83"/>
  <c r="Q170" i="74"/>
  <c r="AA180" i="85"/>
  <c r="AA177" i="81"/>
  <c r="P178" i="82"/>
  <c r="AA174" i="82"/>
  <c r="N180" i="81"/>
  <c r="N177" i="81"/>
  <c r="Z168" i="83"/>
  <c r="Q179" i="84"/>
  <c r="L178" i="83"/>
  <c r="AA168" i="83"/>
  <c r="X176" i="74"/>
  <c r="P178" i="83"/>
  <c r="AA173" i="83"/>
  <c r="N168" i="84"/>
  <c r="X177" i="82"/>
  <c r="O178" i="85"/>
  <c r="X168" i="82"/>
  <c r="Q168" i="84"/>
  <c r="Q173" i="84"/>
  <c r="N168" i="82"/>
  <c r="X180" i="84"/>
  <c r="O178" i="74"/>
  <c r="X176" i="82"/>
  <c r="AB175" i="82"/>
  <c r="Y171" i="81"/>
  <c r="O179" i="74"/>
  <c r="Y177" i="83"/>
  <c r="P177" i="83"/>
  <c r="O173" i="83"/>
  <c r="AB170" i="85"/>
  <c r="Q179" i="83"/>
  <c r="O169" i="83"/>
  <c r="P178" i="84"/>
  <c r="AA172" i="84"/>
  <c r="O175" i="83"/>
  <c r="Q170" i="83"/>
  <c r="Q177" i="83"/>
  <c r="O177" i="83"/>
  <c r="X171" i="82"/>
  <c r="X169" i="74"/>
  <c r="X175" i="74"/>
  <c r="X180" i="74"/>
  <c r="L168" i="82"/>
  <c r="L179" i="74"/>
  <c r="X177" i="81"/>
  <c r="L180" i="84"/>
  <c r="Z175" i="83"/>
  <c r="AA175" i="84"/>
  <c r="P175" i="74"/>
  <c r="AA171" i="83"/>
  <c r="X170" i="82"/>
  <c r="L171" i="81"/>
  <c r="AB172" i="84"/>
  <c r="O170" i="85"/>
  <c r="P175" i="85"/>
  <c r="O180" i="85"/>
  <c r="P176" i="83"/>
  <c r="AB170" i="82"/>
  <c r="P173" i="82"/>
  <c r="AB180" i="82"/>
  <c r="Y169" i="82"/>
  <c r="O172" i="82"/>
  <c r="X171" i="85"/>
  <c r="Q179" i="74"/>
  <c r="Q172" i="84"/>
  <c r="P174" i="81"/>
  <c r="Q175" i="81"/>
  <c r="P179" i="74"/>
  <c r="N174" i="74"/>
  <c r="O176" i="74"/>
  <c r="Z172" i="83"/>
  <c r="L172" i="83"/>
  <c r="P178" i="85"/>
  <c r="O174" i="81"/>
  <c r="P172" i="81"/>
  <c r="P181" i="81"/>
  <c r="Z177" i="74"/>
  <c r="Z168" i="81"/>
  <c r="O177" i="81"/>
  <c r="O179" i="82"/>
  <c r="Y172" i="84"/>
  <c r="X175" i="85"/>
  <c r="N174" i="85"/>
  <c r="X176" i="81"/>
  <c r="Q168" i="83"/>
  <c r="Q181" i="81"/>
  <c r="AA169" i="85"/>
  <c r="N174" i="84"/>
  <c r="L172" i="74"/>
  <c r="X172" i="83"/>
  <c r="Q180" i="84"/>
  <c r="AA174" i="83"/>
  <c r="N177" i="74"/>
  <c r="L177" i="82"/>
  <c r="AA176" i="84"/>
  <c r="O176" i="85"/>
  <c r="Q169" i="83"/>
  <c r="P172" i="84"/>
  <c r="AB175" i="84"/>
  <c r="X170" i="74"/>
  <c r="O173" i="74"/>
  <c r="P182" i="83"/>
  <c r="Y174" i="81"/>
  <c r="L176" i="84"/>
  <c r="Z180" i="74"/>
  <c r="P169" i="74"/>
  <c r="L180" i="83"/>
  <c r="Y173" i="85"/>
  <c r="AB168" i="74"/>
  <c r="Y168" i="82"/>
  <c r="O171" i="85"/>
  <c r="X168" i="84"/>
  <c r="Z170" i="84"/>
  <c r="Q178" i="83"/>
  <c r="Y180" i="84"/>
  <c r="O172" i="74"/>
  <c r="X168" i="85"/>
  <c r="Q174" i="84"/>
  <c r="Y176" i="84"/>
  <c r="AB170" i="83"/>
  <c r="L171" i="74"/>
  <c r="L169" i="81"/>
  <c r="Q182" i="85"/>
  <c r="P171" i="84"/>
  <c r="O170" i="83"/>
  <c r="P178" i="74"/>
  <c r="Y180" i="82"/>
  <c r="AA172" i="81"/>
  <c r="L175" i="82"/>
  <c r="X170" i="81"/>
  <c r="Q171" i="74"/>
  <c r="AA180" i="84"/>
  <c r="O173" i="81"/>
  <c r="L168" i="81"/>
  <c r="Y180" i="85"/>
  <c r="AB172" i="82"/>
  <c r="Z170" i="82"/>
  <c r="L172" i="82"/>
  <c r="L175" i="85"/>
  <c r="P169" i="84"/>
  <c r="O179" i="83"/>
  <c r="L173" i="85"/>
  <c r="AB177" i="83"/>
  <c r="O169" i="82"/>
  <c r="Y180" i="83"/>
  <c r="L179" i="84"/>
  <c r="Y168" i="85"/>
  <c r="P173" i="81"/>
  <c r="P168" i="81"/>
  <c r="Q180" i="81"/>
  <c r="AB176" i="81"/>
  <c r="P177" i="84"/>
  <c r="AB176" i="82"/>
  <c r="X168" i="81"/>
  <c r="P177" i="82"/>
  <c r="O175" i="85"/>
  <c r="Z170" i="81"/>
  <c r="L182" i="82"/>
  <c r="O168" i="82"/>
  <c r="Z170" i="74"/>
  <c r="AA175" i="82"/>
  <c r="AB171" i="74"/>
  <c r="L169" i="83"/>
  <c r="Q172" i="81"/>
  <c r="O175" i="74"/>
  <c r="X177" i="85"/>
  <c r="AB170" i="74"/>
  <c r="P174" i="83"/>
  <c r="P171" i="82"/>
  <c r="L176" i="81"/>
  <c r="L171" i="83"/>
  <c r="L180" i="81"/>
  <c r="O176" i="82"/>
  <c r="Y173" i="74"/>
  <c r="L176" i="74"/>
  <c r="AA169" i="82"/>
  <c r="L182" i="83"/>
  <c r="Y172" i="82"/>
  <c r="O177" i="74"/>
  <c r="Q168" i="74"/>
  <c r="AB180" i="74"/>
  <c r="Z180" i="85"/>
  <c r="Q181" i="84"/>
  <c r="O181" i="81"/>
  <c r="X174" i="81"/>
  <c r="AB168" i="85"/>
  <c r="X171" i="83"/>
  <c r="Y176" i="82"/>
  <c r="Q177" i="85"/>
  <c r="O174" i="84"/>
  <c r="AB176" i="84"/>
  <c r="AA168" i="81"/>
  <c r="O174" i="74"/>
  <c r="L176" i="85"/>
  <c r="X174" i="74"/>
  <c r="AB168" i="82"/>
  <c r="L177" i="83"/>
  <c r="AA171" i="84"/>
  <c r="L182" i="84"/>
  <c r="AA168" i="85"/>
  <c r="O180" i="81"/>
  <c r="AA176" i="85"/>
  <c r="Z180" i="81"/>
  <c r="AB173" i="84"/>
  <c r="Z174" i="74"/>
  <c r="X169" i="84"/>
  <c r="X172" i="81"/>
  <c r="Z180" i="82"/>
  <c r="AA170" i="81"/>
  <c r="AB169" i="84"/>
  <c r="L173" i="82"/>
  <c r="AA173" i="82"/>
  <c r="P172" i="85"/>
  <c r="L175" i="84"/>
  <c r="AB171" i="84"/>
  <c r="L175" i="74"/>
  <c r="AB173" i="82"/>
  <c r="Q181" i="74"/>
  <c r="AA180" i="82"/>
  <c r="AA177" i="82"/>
  <c r="Q172" i="83"/>
  <c r="P182" i="74"/>
  <c r="AA176" i="82"/>
  <c r="AB180" i="85"/>
  <c r="N180" i="83"/>
  <c r="Q174" i="82"/>
  <c r="Y176" i="85"/>
  <c r="Y176" i="81"/>
  <c r="X175" i="81"/>
  <c r="N180" i="84"/>
  <c r="Z174" i="85"/>
  <c r="Z169" i="74"/>
  <c r="Z172" i="74"/>
  <c r="P171" i="85"/>
  <c r="N177" i="85"/>
  <c r="X169" i="81"/>
  <c r="Q178" i="82"/>
  <c r="P181" i="83"/>
  <c r="X176" i="85"/>
  <c r="AA170" i="82"/>
  <c r="L171" i="82"/>
  <c r="L173" i="84"/>
  <c r="Q170" i="85"/>
  <c r="Q176" i="82"/>
  <c r="AA176" i="74"/>
  <c r="X180" i="81"/>
  <c r="N177" i="83"/>
  <c r="Z168" i="84"/>
  <c r="X176" i="83"/>
  <c r="Z177" i="85"/>
  <c r="L180" i="85"/>
  <c r="O173" i="82"/>
  <c r="X174" i="84"/>
  <c r="Q178" i="81"/>
  <c r="N171" i="83"/>
  <c r="P177" i="74"/>
  <c r="O175" i="82"/>
  <c r="O181" i="83"/>
  <c r="Y176" i="74"/>
  <c r="O179" i="84"/>
  <c r="Y172" i="74"/>
  <c r="Y177" i="81"/>
  <c r="Z171" i="84"/>
  <c r="Z169" i="82"/>
  <c r="Q168" i="81"/>
  <c r="AA177" i="84"/>
  <c r="X170" i="84"/>
  <c r="AA175" i="85"/>
  <c r="N168" i="81"/>
  <c r="L174" i="85"/>
  <c r="Q181" i="83"/>
  <c r="P181" i="85"/>
  <c r="P177" i="85"/>
  <c r="P175" i="82"/>
  <c r="L182" i="85"/>
  <c r="Q179" i="85"/>
  <c r="P172" i="82"/>
  <c r="P172" i="83"/>
  <c r="AA177" i="74"/>
  <c r="X177" i="83"/>
  <c r="X169" i="82"/>
  <c r="Y175" i="85"/>
  <c r="Q177" i="74"/>
  <c r="Y170" i="85"/>
  <c r="N174" i="81"/>
  <c r="Z168" i="82"/>
  <c r="P168" i="84"/>
  <c r="O169" i="81"/>
  <c r="AB169" i="74"/>
  <c r="Z180" i="83"/>
  <c r="AB169" i="83"/>
  <c r="Z170" i="85"/>
  <c r="Z172" i="82"/>
  <c r="L172" i="81"/>
  <c r="Z176" i="83"/>
  <c r="X173" i="81"/>
  <c r="L174" i="74"/>
  <c r="Q176" i="85"/>
  <c r="AB172" i="74"/>
  <c r="P175" i="83"/>
  <c r="L173" i="81"/>
  <c r="Y169" i="83"/>
  <c r="Y174" i="83"/>
  <c r="O169" i="84"/>
  <c r="Z177" i="81"/>
  <c r="X173" i="74"/>
  <c r="AB174" i="83"/>
  <c r="Y172" i="81"/>
  <c r="O176" i="81"/>
  <c r="Y177" i="84"/>
  <c r="AB177" i="74"/>
  <c r="Y176" i="83"/>
  <c r="X171" i="74"/>
  <c r="Z176" i="74"/>
  <c r="AB177" i="81"/>
  <c r="Z174" i="83"/>
  <c r="O181" i="82"/>
  <c r="P174" i="85"/>
  <c r="X171" i="81"/>
  <c r="X171" i="84"/>
  <c r="Q173" i="83"/>
  <c r="Z180" i="84"/>
  <c r="L177" i="81"/>
  <c r="Q169" i="81"/>
  <c r="L181" i="83"/>
  <c r="O178" i="82"/>
  <c r="Q169" i="84"/>
  <c r="Q182" i="81"/>
  <c r="Q170" i="81"/>
  <c r="X174" i="83"/>
  <c r="AA177" i="83"/>
  <c r="L174" i="81"/>
  <c r="AB172" i="85"/>
  <c r="O171" i="83"/>
  <c r="X169" i="85"/>
  <c r="AB168" i="84"/>
  <c r="Q179" i="82"/>
  <c r="X180" i="82"/>
  <c r="Y168" i="81"/>
  <c r="AA176" i="83"/>
  <c r="Q174" i="85"/>
  <c r="P180" i="85"/>
  <c r="AB177" i="82"/>
  <c r="Y168" i="84"/>
  <c r="O168" i="81"/>
  <c r="Y170" i="81"/>
  <c r="P182" i="81"/>
  <c r="X175" i="84"/>
  <c r="X177" i="74"/>
  <c r="Q175" i="83"/>
  <c r="O176" i="83"/>
  <c r="L170" i="74"/>
  <c r="Y171" i="74"/>
  <c r="O178" i="83"/>
  <c r="L169" i="85"/>
  <c r="Y168" i="83"/>
  <c r="Z171" i="85"/>
  <c r="O178" i="84"/>
  <c r="O171" i="74"/>
  <c r="AA170" i="85"/>
  <c r="Z177" i="82"/>
  <c r="L179" i="81"/>
  <c r="AB175" i="81"/>
  <c r="L169" i="74"/>
  <c r="AA168" i="84"/>
  <c r="Y169" i="85"/>
  <c r="L182" i="74"/>
  <c r="O171" i="81"/>
  <c r="O172" i="85"/>
  <c r="O179" i="85"/>
  <c r="AA171" i="74"/>
  <c r="Z168" i="85"/>
  <c r="Z173" i="82"/>
  <c r="L178" i="84"/>
  <c r="O169" i="85"/>
  <c r="L168" i="85"/>
  <c r="AA174" i="74"/>
  <c r="N171" i="82"/>
  <c r="O170" i="81"/>
  <c r="Q175" i="74"/>
  <c r="L170" i="85"/>
  <c r="Z174" i="81"/>
  <c r="N171" i="85"/>
  <c r="AB176" i="85"/>
  <c r="Z173" i="74"/>
  <c r="N168" i="74"/>
  <c r="Q172" i="74"/>
  <c r="AB177" i="84"/>
  <c r="AB180" i="81"/>
  <c r="X172" i="85"/>
  <c r="L177" i="84"/>
  <c r="Q168" i="85"/>
  <c r="N168" i="83"/>
  <c r="L179" i="82"/>
  <c r="O170" i="84"/>
  <c r="AA175" i="83"/>
  <c r="L173" i="74"/>
  <c r="Q171" i="84"/>
  <c r="Q171" i="82"/>
  <c r="Y175" i="84"/>
  <c r="O180" i="74"/>
  <c r="AB180" i="83"/>
  <c r="AA170" i="83"/>
  <c r="P168" i="83"/>
  <c r="Q170" i="82"/>
  <c r="AA171" i="85"/>
  <c r="Z171" i="82"/>
  <c r="L170" i="82"/>
  <c r="Q182" i="82"/>
  <c r="L175" i="81"/>
  <c r="O182" i="81"/>
  <c r="X173" i="83"/>
  <c r="AA175" i="74"/>
  <c r="Z177" i="84"/>
  <c r="Q175" i="82"/>
  <c r="Z176" i="84"/>
  <c r="AB172" i="83"/>
  <c r="Z170" i="83"/>
  <c r="L181" i="84"/>
  <c r="AA172" i="85"/>
  <c r="AB175" i="74"/>
  <c r="O172" i="81"/>
  <c r="P179" i="82"/>
  <c r="Y173" i="82"/>
  <c r="P176" i="74"/>
  <c r="Y177" i="74"/>
  <c r="AA171" i="82"/>
  <c r="Q181" i="82"/>
  <c r="P180" i="83"/>
  <c r="Q182" i="83"/>
  <c r="AA168" i="82"/>
  <c r="Q180" i="85"/>
  <c r="AB171" i="83"/>
  <c r="P173" i="83"/>
  <c r="Z171" i="83"/>
  <c r="O168" i="85"/>
  <c r="AB170" i="81"/>
  <c r="AB174" i="81"/>
  <c r="L181" i="81"/>
  <c r="O180" i="82"/>
  <c r="Z172" i="81"/>
  <c r="L174" i="83"/>
  <c r="L177" i="74"/>
  <c r="Q180" i="82"/>
  <c r="O181" i="84"/>
  <c r="L174" i="82"/>
  <c r="X172" i="74"/>
  <c r="O181" i="74"/>
  <c r="X172" i="84"/>
  <c r="AB171" i="85"/>
  <c r="AB173" i="74"/>
  <c r="L178" i="85"/>
  <c r="L171" i="84"/>
  <c r="AB173" i="83"/>
  <c r="N180" i="74"/>
  <c r="Z173" i="81"/>
  <c r="X176" i="84"/>
  <c r="AB180" i="84"/>
  <c r="P171" i="74"/>
  <c r="AB173" i="81"/>
  <c r="AB175" i="83"/>
  <c r="Z171" i="81"/>
  <c r="P171" i="83"/>
  <c r="Y177" i="85"/>
  <c r="L176" i="82"/>
  <c r="P179" i="84"/>
  <c r="Z175" i="85"/>
  <c r="P170" i="85"/>
  <c r="N174" i="82"/>
  <c r="L179" i="83"/>
  <c r="AB172" i="81"/>
  <c r="Y177" i="82"/>
  <c r="O173" i="84"/>
  <c r="Q168" i="82"/>
  <c r="L178" i="74"/>
  <c r="L170" i="83"/>
  <c r="X180" i="85"/>
  <c r="L180" i="74"/>
  <c r="L175" i="83"/>
  <c r="Y171" i="82"/>
  <c r="O173" i="85"/>
  <c r="L176" i="83"/>
  <c r="Y173" i="83"/>
  <c r="Y169" i="84"/>
  <c r="Q171" i="83"/>
  <c r="O172" i="83"/>
  <c r="Q177" i="82"/>
  <c r="Z174" i="82"/>
  <c r="O174" i="85"/>
  <c r="L177" i="85"/>
  <c r="O182" i="82"/>
  <c r="Z173" i="84"/>
  <c r="Y168" i="74"/>
  <c r="Y173" i="81"/>
  <c r="N171" i="74"/>
  <c r="N177" i="82"/>
  <c r="L169" i="82"/>
  <c r="Z176" i="85"/>
  <c r="Q180" i="83"/>
  <c r="Q169" i="82"/>
  <c r="P180" i="81"/>
  <c r="P169" i="82"/>
  <c r="AA176" i="81"/>
  <c r="AA180" i="74"/>
  <c r="AA173" i="84"/>
  <c r="P174" i="74"/>
  <c r="Z171" i="74"/>
  <c r="Q178" i="84"/>
  <c r="P173" i="85"/>
  <c r="N168" i="85"/>
  <c r="Z175" i="84"/>
  <c r="Y175" i="81"/>
  <c r="Q169" i="74"/>
  <c r="P176" i="84"/>
  <c r="O175" i="81"/>
  <c r="Q181" i="85"/>
  <c r="X174" i="82"/>
  <c r="X172" i="82"/>
  <c r="P175" i="84"/>
  <c r="P168" i="82"/>
  <c r="Z175" i="82"/>
  <c r="P172" i="74"/>
  <c r="N171" i="84"/>
  <c r="X174" i="85"/>
  <c r="Q175" i="85"/>
  <c r="L171" i="85"/>
  <c r="AA175" i="81"/>
  <c r="X169" i="83"/>
  <c r="O177" i="84"/>
  <c r="Y170" i="82"/>
  <c r="Z175" i="81"/>
  <c r="X175" i="82"/>
  <c r="Q172" i="82"/>
  <c r="O177" i="82"/>
  <c r="Y172" i="83"/>
  <c r="AB169" i="82"/>
  <c r="P170" i="74"/>
  <c r="Q179" i="81"/>
  <c r="Y180" i="74"/>
  <c r="P182" i="85"/>
  <c r="Z175" i="74"/>
  <c r="Y174" i="85"/>
  <c r="O174" i="83"/>
  <c r="Y172" i="85"/>
  <c r="L179" i="85"/>
  <c r="Z173" i="83"/>
  <c r="AA171" i="81"/>
  <c r="Y175" i="82"/>
  <c r="Z172" i="84"/>
  <c r="AA170" i="74"/>
  <c r="Q174" i="81"/>
  <c r="AA173" i="85"/>
  <c r="Z176" i="81"/>
  <c r="Y175" i="74"/>
  <c r="N174" i="83"/>
  <c r="AA174" i="84"/>
  <c r="L172" i="85"/>
  <c r="Y170" i="84"/>
  <c r="N171" i="81"/>
  <c r="AA173" i="81"/>
  <c r="AA168" i="74"/>
  <c r="P171" i="81"/>
  <c r="O180" i="84"/>
  <c r="AA169" i="81"/>
  <c r="AB174" i="74"/>
  <c r="Z173" i="85"/>
  <c r="L181" i="85"/>
  <c r="L182" i="81"/>
  <c r="O170" i="82"/>
  <c r="N180" i="85"/>
  <c r="P169" i="83"/>
  <c r="X180" i="83"/>
  <c r="X173" i="84"/>
  <c r="Y171" i="84"/>
  <c r="Z169" i="83"/>
  <c r="Z169" i="85"/>
  <c r="AB174" i="82"/>
  <c r="P180" i="74"/>
  <c r="Y169" i="74"/>
  <c r="P179" i="81"/>
  <c r="Q177" i="81"/>
  <c r="O168" i="84"/>
  <c r="P182" i="82"/>
  <c r="Q173" i="74"/>
  <c r="U112" i="63" l="1"/>
  <c r="U184" i="63"/>
  <c r="U114" i="63"/>
  <c r="D169" i="82"/>
  <c r="D168" i="82"/>
  <c r="D257" i="82" s="1"/>
  <c r="C257" i="82" s="1"/>
  <c r="D170" i="82"/>
  <c r="D179" i="85"/>
  <c r="D178" i="85"/>
  <c r="D177" i="85"/>
  <c r="D260" i="85" s="1"/>
  <c r="C260" i="85" s="1"/>
  <c r="D179" i="81"/>
  <c r="D178" i="81"/>
  <c r="D177" i="81"/>
  <c r="D260" i="81" s="1"/>
  <c r="C260" i="81" s="1"/>
  <c r="D180" i="83"/>
  <c r="D261" i="83" s="1"/>
  <c r="C261" i="83" s="1"/>
  <c r="D181" i="83"/>
  <c r="D182" i="83"/>
  <c r="D168" i="83"/>
  <c r="D257" i="83" s="1"/>
  <c r="C257" i="83" s="1"/>
  <c r="D170" i="83"/>
  <c r="D169" i="83"/>
  <c r="D167" i="82"/>
  <c r="D166" i="82"/>
  <c r="D165" i="82"/>
  <c r="D256" i="82" s="1"/>
  <c r="C256" i="82" s="1"/>
  <c r="D167" i="83"/>
  <c r="D166" i="83"/>
  <c r="D165" i="83"/>
  <c r="D256" i="83" s="1"/>
  <c r="C256" i="83" s="1"/>
  <c r="D173" i="83"/>
  <c r="D172" i="83"/>
  <c r="D171" i="83"/>
  <c r="D258" i="83" s="1"/>
  <c r="C258" i="83" s="1"/>
  <c r="D176" i="82"/>
  <c r="D175" i="82"/>
  <c r="D174" i="82"/>
  <c r="D259" i="82" s="1"/>
  <c r="C259" i="82" s="1"/>
  <c r="D174" i="81"/>
  <c r="D259" i="81" s="1"/>
  <c r="C259" i="81" s="1"/>
  <c r="D176" i="81"/>
  <c r="D175" i="81"/>
  <c r="D171" i="85"/>
  <c r="D258" i="85" s="1"/>
  <c r="C258" i="85" s="1"/>
  <c r="D172" i="85"/>
  <c r="D173" i="85"/>
  <c r="D165" i="81"/>
  <c r="D256" i="81" s="1"/>
  <c r="C256" i="81" s="1"/>
  <c r="D167" i="81"/>
  <c r="D166" i="81"/>
  <c r="D171" i="81"/>
  <c r="D258" i="81" s="1"/>
  <c r="C258" i="81" s="1"/>
  <c r="D173" i="81"/>
  <c r="D172" i="81"/>
  <c r="D180" i="81"/>
  <c r="D261" i="81" s="1"/>
  <c r="C261" i="81" s="1"/>
  <c r="D181" i="81"/>
  <c r="D182" i="81"/>
  <c r="D175" i="85"/>
  <c r="D174" i="85"/>
  <c r="D259" i="85" s="1"/>
  <c r="C259" i="85" s="1"/>
  <c r="D176" i="85"/>
  <c r="D166" i="84"/>
  <c r="D165" i="84"/>
  <c r="D256" i="84" s="1"/>
  <c r="C256" i="84" s="1"/>
  <c r="D167" i="84"/>
  <c r="D172" i="84"/>
  <c r="D171" i="84"/>
  <c r="D258" i="84" s="1"/>
  <c r="C258" i="84" s="1"/>
  <c r="D173" i="84"/>
  <c r="D168" i="85"/>
  <c r="D257" i="85" s="1"/>
  <c r="C257" i="85" s="1"/>
  <c r="D169" i="85"/>
  <c r="D170" i="85"/>
  <c r="D179" i="82"/>
  <c r="D178" i="82"/>
  <c r="D177" i="82"/>
  <c r="D260" i="82" s="1"/>
  <c r="C260" i="82" s="1"/>
  <c r="D182" i="82"/>
  <c r="D181" i="82"/>
  <c r="D180" i="82"/>
  <c r="D261" i="82" s="1"/>
  <c r="C261" i="82" s="1"/>
  <c r="D174" i="84"/>
  <c r="D259" i="84" s="1"/>
  <c r="C259" i="84" s="1"/>
  <c r="D176" i="84"/>
  <c r="D175" i="84"/>
  <c r="D176" i="83"/>
  <c r="D174" i="83"/>
  <c r="D259" i="83" s="1"/>
  <c r="C259" i="83" s="1"/>
  <c r="D175" i="83"/>
  <c r="D169" i="84"/>
  <c r="D168" i="84"/>
  <c r="D257" i="84" s="1"/>
  <c r="C257" i="84" s="1"/>
  <c r="D170" i="84"/>
  <c r="D173" i="82"/>
  <c r="D172" i="82"/>
  <c r="D171" i="82"/>
  <c r="D258" i="82" s="1"/>
  <c r="C258" i="82" s="1"/>
  <c r="D178" i="84"/>
  <c r="D179" i="84"/>
  <c r="D177" i="84"/>
  <c r="D260" i="84" s="1"/>
  <c r="C260" i="84" s="1"/>
  <c r="D170" i="81"/>
  <c r="D169" i="81"/>
  <c r="D168" i="81"/>
  <c r="D257" i="81" s="1"/>
  <c r="C257" i="81" s="1"/>
  <c r="D181" i="84"/>
  <c r="D180" i="84"/>
  <c r="D261" i="84" s="1"/>
  <c r="C261" i="84" s="1"/>
  <c r="D182" i="84"/>
  <c r="D182" i="85"/>
  <c r="D181" i="85"/>
  <c r="D180" i="85"/>
  <c r="D261" i="85" s="1"/>
  <c r="C261" i="85" s="1"/>
  <c r="D167" i="85"/>
  <c r="D165" i="85"/>
  <c r="D256" i="85" s="1"/>
  <c r="C256" i="85" s="1"/>
  <c r="D166" i="85"/>
  <c r="D179" i="83"/>
  <c r="D178" i="83"/>
  <c r="D177" i="83"/>
  <c r="D260" i="83" s="1"/>
  <c r="C260" i="83" s="1"/>
  <c r="D155" i="81"/>
  <c r="D153" i="81"/>
  <c r="D252" i="81" s="1"/>
  <c r="C252" i="81" s="1"/>
  <c r="D154" i="81"/>
  <c r="D163" i="84"/>
  <c r="D162" i="84"/>
  <c r="D255" i="84" s="1"/>
  <c r="C255" i="84" s="1"/>
  <c r="D164" i="84"/>
  <c r="D153" i="83"/>
  <c r="D252" i="83" s="1"/>
  <c r="C252" i="83" s="1"/>
  <c r="D154" i="83"/>
  <c r="D155" i="83"/>
  <c r="D149" i="81"/>
  <c r="D147" i="81"/>
  <c r="D250" i="81" s="1"/>
  <c r="C250" i="81" s="1"/>
  <c r="D148" i="81"/>
  <c r="D159" i="83"/>
  <c r="D254" i="83" s="1"/>
  <c r="C254" i="83" s="1"/>
  <c r="D161" i="83"/>
  <c r="D160" i="83"/>
  <c r="D164" i="81"/>
  <c r="D163" i="81"/>
  <c r="D162" i="81"/>
  <c r="D255" i="81" s="1"/>
  <c r="C255" i="81" s="1"/>
  <c r="D158" i="83"/>
  <c r="D157" i="83"/>
  <c r="D156" i="83"/>
  <c r="D253" i="83" s="1"/>
  <c r="C253" i="83" s="1"/>
  <c r="D157" i="84"/>
  <c r="D156" i="84"/>
  <c r="D253" i="84" s="1"/>
  <c r="C253" i="84" s="1"/>
  <c r="D158" i="84"/>
  <c r="D155" i="84"/>
  <c r="D154" i="84"/>
  <c r="D153" i="84"/>
  <c r="D252" i="84" s="1"/>
  <c r="C252" i="84" s="1"/>
  <c r="D154" i="85"/>
  <c r="D155" i="85"/>
  <c r="D153" i="85"/>
  <c r="D252" i="85" s="1"/>
  <c r="C252" i="85" s="1"/>
  <c r="D161" i="84"/>
  <c r="D160" i="84"/>
  <c r="D159" i="84"/>
  <c r="D254" i="84" s="1"/>
  <c r="C254" i="84" s="1"/>
  <c r="D161" i="81"/>
  <c r="D159" i="81"/>
  <c r="D254" i="81" s="1"/>
  <c r="C254" i="81" s="1"/>
  <c r="D160" i="81"/>
  <c r="D160" i="82"/>
  <c r="D161" i="82"/>
  <c r="D159" i="82"/>
  <c r="D254" i="82" s="1"/>
  <c r="C254" i="82" s="1"/>
  <c r="D152" i="81"/>
  <c r="D151" i="81"/>
  <c r="D150" i="81"/>
  <c r="D251" i="81" s="1"/>
  <c r="C251" i="81" s="1"/>
  <c r="D162" i="85"/>
  <c r="D255" i="85" s="1"/>
  <c r="C255" i="85" s="1"/>
  <c r="D164" i="85"/>
  <c r="D163" i="85"/>
  <c r="D164" i="83"/>
  <c r="D163" i="83"/>
  <c r="D162" i="83"/>
  <c r="D255" i="83" s="1"/>
  <c r="C255" i="83" s="1"/>
  <c r="D150" i="85"/>
  <c r="D251" i="85" s="1"/>
  <c r="C251" i="85" s="1"/>
  <c r="D151" i="85"/>
  <c r="D152" i="85"/>
  <c r="D164" i="82"/>
  <c r="D163" i="82"/>
  <c r="D162" i="82"/>
  <c r="D255" i="82" s="1"/>
  <c r="C255" i="82" s="1"/>
  <c r="D158" i="82"/>
  <c r="D157" i="82"/>
  <c r="D156" i="82"/>
  <c r="D253" i="82" s="1"/>
  <c r="C253" i="82" s="1"/>
  <c r="D149" i="83"/>
  <c r="D147" i="83"/>
  <c r="D250" i="83" s="1"/>
  <c r="C250" i="83" s="1"/>
  <c r="D148" i="83"/>
  <c r="D149" i="82"/>
  <c r="D148" i="82"/>
  <c r="D147" i="82"/>
  <c r="D250" i="82" s="1"/>
  <c r="C250" i="82" s="1"/>
  <c r="D151" i="84"/>
  <c r="D150" i="84"/>
  <c r="D251" i="84" s="1"/>
  <c r="C251" i="84" s="1"/>
  <c r="D152" i="84"/>
  <c r="D152" i="83"/>
  <c r="D151" i="83"/>
  <c r="D150" i="83"/>
  <c r="D251" i="83" s="1"/>
  <c r="C251" i="83" s="1"/>
  <c r="D148" i="84"/>
  <c r="D149" i="84"/>
  <c r="D147" i="84"/>
  <c r="D250" i="84" s="1"/>
  <c r="C250" i="84" s="1"/>
  <c r="D157" i="85"/>
  <c r="D158" i="85"/>
  <c r="D156" i="85"/>
  <c r="D253" i="85" s="1"/>
  <c r="C253" i="85" s="1"/>
  <c r="D160" i="85"/>
  <c r="D161" i="85"/>
  <c r="D159" i="85"/>
  <c r="D254" i="85" s="1"/>
  <c r="C254" i="85" s="1"/>
  <c r="D158" i="81"/>
  <c r="D157" i="81"/>
  <c r="D156" i="81"/>
  <c r="D253" i="81" s="1"/>
  <c r="C253" i="81" s="1"/>
  <c r="D152" i="82"/>
  <c r="D151" i="82"/>
  <c r="D150" i="82"/>
  <c r="D251" i="82" s="1"/>
  <c r="C251" i="82" s="1"/>
  <c r="D148" i="85"/>
  <c r="D149" i="85"/>
  <c r="D147" i="85"/>
  <c r="D250" i="85" s="1"/>
  <c r="C250" i="85" s="1"/>
  <c r="D153" i="82"/>
  <c r="D252" i="82" s="1"/>
  <c r="C252" i="82" s="1"/>
  <c r="D155" i="82"/>
  <c r="D154" i="82"/>
  <c r="D128" i="83"/>
  <c r="D127" i="83"/>
  <c r="D126" i="83"/>
  <c r="D243" i="83" s="1"/>
  <c r="C243" i="83" s="1"/>
  <c r="D137" i="83"/>
  <c r="D136" i="83"/>
  <c r="D135" i="83"/>
  <c r="D246" i="83" s="1"/>
  <c r="C246" i="83" s="1"/>
  <c r="D146" i="82"/>
  <c r="D145" i="82"/>
  <c r="D144" i="82"/>
  <c r="D249" i="82" s="1"/>
  <c r="C249" i="82" s="1"/>
  <c r="D145" i="84"/>
  <c r="D144" i="84"/>
  <c r="D249" i="84" s="1"/>
  <c r="C249" i="84" s="1"/>
  <c r="D146" i="84"/>
  <c r="D131" i="81"/>
  <c r="D130" i="81"/>
  <c r="D129" i="81"/>
  <c r="D244" i="81" s="1"/>
  <c r="C244" i="81" s="1"/>
  <c r="D137" i="82"/>
  <c r="D136" i="82"/>
  <c r="D135" i="82"/>
  <c r="D246" i="82" s="1"/>
  <c r="C246" i="82" s="1"/>
  <c r="D139" i="85"/>
  <c r="D140" i="85"/>
  <c r="D138" i="85"/>
  <c r="D247" i="85" s="1"/>
  <c r="C247" i="85" s="1"/>
  <c r="D137" i="84"/>
  <c r="D136" i="84"/>
  <c r="D135" i="84"/>
  <c r="D246" i="84" s="1"/>
  <c r="C246" i="84" s="1"/>
  <c r="D134" i="81"/>
  <c r="D133" i="81"/>
  <c r="D132" i="81"/>
  <c r="D245" i="81" s="1"/>
  <c r="C245" i="81" s="1"/>
  <c r="D137" i="85"/>
  <c r="D136" i="85"/>
  <c r="D135" i="85"/>
  <c r="D246" i="85" s="1"/>
  <c r="C246" i="85" s="1"/>
  <c r="D128" i="81"/>
  <c r="D127" i="81"/>
  <c r="D126" i="81"/>
  <c r="D243" i="81" s="1"/>
  <c r="C243" i="81" s="1"/>
  <c r="D130" i="82"/>
  <c r="D129" i="82"/>
  <c r="D244" i="82" s="1"/>
  <c r="C244" i="82" s="1"/>
  <c r="D131" i="82"/>
  <c r="D133" i="84"/>
  <c r="D132" i="84"/>
  <c r="D245" i="84" s="1"/>
  <c r="C245" i="84" s="1"/>
  <c r="D134" i="84"/>
  <c r="D131" i="84"/>
  <c r="D130" i="84"/>
  <c r="D129" i="84"/>
  <c r="D244" i="84" s="1"/>
  <c r="C244" i="84" s="1"/>
  <c r="D128" i="85"/>
  <c r="D127" i="85"/>
  <c r="D126" i="85"/>
  <c r="D243" i="85" s="1"/>
  <c r="C243" i="85" s="1"/>
  <c r="D128" i="82"/>
  <c r="D127" i="82"/>
  <c r="D126" i="82"/>
  <c r="D243" i="82" s="1"/>
  <c r="C243" i="82" s="1"/>
  <c r="D141" i="81"/>
  <c r="D248" i="81" s="1"/>
  <c r="C248" i="81" s="1"/>
  <c r="D143" i="81"/>
  <c r="D142" i="81"/>
  <c r="D131" i="83"/>
  <c r="D130" i="83"/>
  <c r="D129" i="83"/>
  <c r="D244" i="83" s="1"/>
  <c r="C244" i="83" s="1"/>
  <c r="D140" i="81"/>
  <c r="D139" i="81"/>
  <c r="D138" i="81"/>
  <c r="D247" i="81" s="1"/>
  <c r="C247" i="81" s="1"/>
  <c r="D143" i="83"/>
  <c r="D142" i="83"/>
  <c r="D141" i="83"/>
  <c r="D248" i="83" s="1"/>
  <c r="C248" i="83" s="1"/>
  <c r="D146" i="83"/>
  <c r="D145" i="83"/>
  <c r="D144" i="83"/>
  <c r="D249" i="83" s="1"/>
  <c r="C249" i="83" s="1"/>
  <c r="D143" i="85"/>
  <c r="D142" i="85"/>
  <c r="D141" i="85"/>
  <c r="D248" i="85" s="1"/>
  <c r="C248" i="85" s="1"/>
  <c r="D123" i="83"/>
  <c r="D242" i="83" s="1"/>
  <c r="C242" i="83" s="1"/>
  <c r="D124" i="83"/>
  <c r="D125" i="83"/>
  <c r="D140" i="83"/>
  <c r="D139" i="83"/>
  <c r="D138" i="83"/>
  <c r="D247" i="83" s="1"/>
  <c r="C247" i="83" s="1"/>
  <c r="D140" i="82"/>
  <c r="D139" i="82"/>
  <c r="D138" i="82"/>
  <c r="D247" i="82" s="1"/>
  <c r="C247" i="82" s="1"/>
  <c r="D125" i="82"/>
  <c r="D123" i="82"/>
  <c r="D242" i="82" s="1"/>
  <c r="C242" i="82" s="1"/>
  <c r="D124" i="82"/>
  <c r="D124" i="81"/>
  <c r="D125" i="81"/>
  <c r="D123" i="81"/>
  <c r="D242" i="81" s="1"/>
  <c r="C242" i="81" s="1"/>
  <c r="D134" i="82"/>
  <c r="D133" i="82"/>
  <c r="D132" i="82"/>
  <c r="D245" i="82" s="1"/>
  <c r="C245" i="82" s="1"/>
  <c r="D127" i="84"/>
  <c r="D128" i="84"/>
  <c r="D126" i="84"/>
  <c r="D243" i="84" s="1"/>
  <c r="C243" i="84" s="1"/>
  <c r="D144" i="85"/>
  <c r="D249" i="85" s="1"/>
  <c r="C249" i="85" s="1"/>
  <c r="D145" i="85"/>
  <c r="D146" i="85"/>
  <c r="D131" i="85"/>
  <c r="D130" i="85"/>
  <c r="D129" i="85"/>
  <c r="D244" i="85" s="1"/>
  <c r="C244" i="85" s="1"/>
  <c r="D125" i="85"/>
  <c r="D124" i="85"/>
  <c r="D123" i="85"/>
  <c r="D242" i="85" s="1"/>
  <c r="C242" i="85" s="1"/>
  <c r="D125" i="84"/>
  <c r="D124" i="84"/>
  <c r="D123" i="84"/>
  <c r="D242" i="84" s="1"/>
  <c r="C242" i="84" s="1"/>
  <c r="D143" i="84"/>
  <c r="D142" i="84"/>
  <c r="D141" i="84"/>
  <c r="D248" i="84" s="1"/>
  <c r="C248" i="84" s="1"/>
  <c r="D135" i="81"/>
  <c r="D246" i="81" s="1"/>
  <c r="C246" i="81" s="1"/>
  <c r="D137" i="81"/>
  <c r="D136" i="81"/>
  <c r="D143" i="82"/>
  <c r="D141" i="82"/>
  <c r="D248" i="82" s="1"/>
  <c r="C248" i="82" s="1"/>
  <c r="D142" i="82"/>
  <c r="D139" i="84"/>
  <c r="D138" i="84"/>
  <c r="D247" i="84" s="1"/>
  <c r="C247" i="84" s="1"/>
  <c r="D140" i="84"/>
  <c r="D132" i="85"/>
  <c r="D245" i="85" s="1"/>
  <c r="C245" i="85" s="1"/>
  <c r="D134" i="85"/>
  <c r="D133" i="85"/>
  <c r="D146" i="81"/>
  <c r="D145" i="81"/>
  <c r="D144" i="81"/>
  <c r="D249" i="81" s="1"/>
  <c r="C249" i="81" s="1"/>
  <c r="D134" i="83"/>
  <c r="D133" i="83"/>
  <c r="D132" i="83"/>
  <c r="D245" i="83" s="1"/>
  <c r="C245" i="83" s="1"/>
  <c r="D118" i="81"/>
  <c r="D118" i="82"/>
  <c r="D118" i="84"/>
  <c r="D118" i="83"/>
  <c r="D118" i="85"/>
  <c r="D117" i="81"/>
  <c r="D240" i="81" s="1"/>
  <c r="C240" i="81" s="1"/>
  <c r="D117" i="82"/>
  <c r="D240" i="82" s="1"/>
  <c r="C240" i="82" s="1"/>
  <c r="D117" i="84"/>
  <c r="D240" i="84" s="1"/>
  <c r="C240" i="84" s="1"/>
  <c r="D117" i="83"/>
  <c r="D240" i="83" s="1"/>
  <c r="C240" i="83" s="1"/>
  <c r="D117" i="85"/>
  <c r="D240" i="85" s="1"/>
  <c r="C240" i="85" s="1"/>
  <c r="D116" i="85"/>
  <c r="D116" i="84"/>
  <c r="D116" i="81"/>
  <c r="D116" i="83"/>
  <c r="D116" i="82"/>
  <c r="D114" i="85"/>
  <c r="D239" i="85" s="1"/>
  <c r="C239" i="85" s="1"/>
  <c r="D114" i="84"/>
  <c r="D239" i="84" s="1"/>
  <c r="C239" i="84" s="1"/>
  <c r="D114" i="81"/>
  <c r="D239" i="81" s="1"/>
  <c r="C239" i="81" s="1"/>
  <c r="D114" i="83"/>
  <c r="D239" i="83" s="1"/>
  <c r="C239" i="83" s="1"/>
  <c r="D114" i="82"/>
  <c r="D239" i="82" s="1"/>
  <c r="C239" i="82" s="1"/>
  <c r="D122" i="82"/>
  <c r="D121" i="82"/>
  <c r="D120" i="82"/>
  <c r="D241" i="82" s="1"/>
  <c r="C241" i="82" s="1"/>
  <c r="D121" i="84"/>
  <c r="D120" i="84"/>
  <c r="D241" i="84" s="1"/>
  <c r="C241" i="84" s="1"/>
  <c r="D122" i="84"/>
  <c r="D122" i="83"/>
  <c r="D121" i="83"/>
  <c r="D120" i="83"/>
  <c r="D241" i="83" s="1"/>
  <c r="C241" i="83" s="1"/>
  <c r="D121" i="85"/>
  <c r="D122" i="85"/>
  <c r="D120" i="85"/>
  <c r="D241" i="85" s="1"/>
  <c r="C241" i="85" s="1"/>
  <c r="D120" i="81"/>
  <c r="D241" i="81" s="1"/>
  <c r="C241" i="81" s="1"/>
  <c r="D121" i="81"/>
  <c r="D122" i="81"/>
  <c r="D119" i="81"/>
  <c r="D119" i="82"/>
  <c r="D115" i="85"/>
  <c r="D119" i="84"/>
  <c r="D115" i="84"/>
  <c r="D119" i="83"/>
  <c r="D115" i="81"/>
  <c r="D119" i="85"/>
  <c r="D115" i="83"/>
  <c r="D115" i="82"/>
  <c r="D113" i="82"/>
  <c r="D112" i="82"/>
  <c r="D111" i="82"/>
  <c r="D238" i="82" s="1"/>
  <c r="C238" i="82" s="1"/>
  <c r="D107" i="81"/>
  <c r="D106" i="81"/>
  <c r="D105" i="81"/>
  <c r="D236" i="81" s="1"/>
  <c r="C236" i="81" s="1"/>
  <c r="D107" i="83"/>
  <c r="D106" i="83"/>
  <c r="D105" i="83"/>
  <c r="D236" i="83" s="1"/>
  <c r="C236" i="83" s="1"/>
  <c r="D106" i="84"/>
  <c r="D105" i="84"/>
  <c r="D236" i="84" s="1"/>
  <c r="C236" i="84" s="1"/>
  <c r="D107" i="84"/>
  <c r="D112" i="84"/>
  <c r="D111" i="84"/>
  <c r="D238" i="84" s="1"/>
  <c r="C238" i="84" s="1"/>
  <c r="D113" i="84"/>
  <c r="D107" i="82"/>
  <c r="D106" i="82"/>
  <c r="D105" i="82"/>
  <c r="D236" i="82" s="1"/>
  <c r="C236" i="82" s="1"/>
  <c r="D109" i="83"/>
  <c r="D108" i="83"/>
  <c r="D237" i="83" s="1"/>
  <c r="C237" i="83" s="1"/>
  <c r="D110" i="83"/>
  <c r="D109" i="84"/>
  <c r="D110" i="84"/>
  <c r="D108" i="84"/>
  <c r="D237" i="84" s="1"/>
  <c r="C237" i="84" s="1"/>
  <c r="D108" i="85"/>
  <c r="D237" i="85" s="1"/>
  <c r="C237" i="85" s="1"/>
  <c r="D109" i="85"/>
  <c r="D110" i="85"/>
  <c r="D111" i="85"/>
  <c r="D238" i="85" s="1"/>
  <c r="C238" i="85" s="1"/>
  <c r="D113" i="85"/>
  <c r="D112" i="85"/>
  <c r="D113" i="81"/>
  <c r="D112" i="81"/>
  <c r="D111" i="81"/>
  <c r="D238" i="81" s="1"/>
  <c r="C238" i="81" s="1"/>
  <c r="D108" i="81"/>
  <c r="D237" i="81" s="1"/>
  <c r="C237" i="81" s="1"/>
  <c r="D110" i="81"/>
  <c r="D109" i="81"/>
  <c r="D113" i="83"/>
  <c r="D112" i="83"/>
  <c r="D111" i="83"/>
  <c r="D238" i="83" s="1"/>
  <c r="C238" i="83" s="1"/>
  <c r="D105" i="85"/>
  <c r="D236" i="85" s="1"/>
  <c r="C236" i="85" s="1"/>
  <c r="D107" i="85"/>
  <c r="D106" i="85"/>
  <c r="D109" i="82"/>
  <c r="D108" i="82"/>
  <c r="D237" i="82" s="1"/>
  <c r="C237" i="82" s="1"/>
  <c r="D110" i="82"/>
  <c r="D101" i="83"/>
  <c r="D100" i="83"/>
  <c r="D99" i="83"/>
  <c r="D234" i="83" s="1"/>
  <c r="C234" i="83" s="1"/>
  <c r="D99" i="84"/>
  <c r="D234" i="84" s="1"/>
  <c r="C234" i="84" s="1"/>
  <c r="D100" i="84"/>
  <c r="D101" i="84"/>
  <c r="D101" i="81"/>
  <c r="D99" i="81"/>
  <c r="D234" i="81" s="1"/>
  <c r="C234" i="81" s="1"/>
  <c r="D100" i="81"/>
  <c r="D100" i="85"/>
  <c r="D99" i="85"/>
  <c r="D234" i="85" s="1"/>
  <c r="C234" i="85" s="1"/>
  <c r="D101" i="85"/>
  <c r="D102" i="82"/>
  <c r="D235" i="82" s="1"/>
  <c r="C235" i="82" s="1"/>
  <c r="D104" i="82"/>
  <c r="D103" i="82"/>
  <c r="D103" i="84"/>
  <c r="D104" i="84"/>
  <c r="D102" i="84"/>
  <c r="D235" i="84" s="1"/>
  <c r="C235" i="84" s="1"/>
  <c r="D102" i="81"/>
  <c r="D235" i="81" s="1"/>
  <c r="C235" i="81" s="1"/>
  <c r="D103" i="81"/>
  <c r="D104" i="81"/>
  <c r="D104" i="83"/>
  <c r="D103" i="83"/>
  <c r="D102" i="83"/>
  <c r="D235" i="83" s="1"/>
  <c r="C235" i="83" s="1"/>
  <c r="D101" i="82"/>
  <c r="D100" i="82"/>
  <c r="D99" i="82"/>
  <c r="D234" i="82" s="1"/>
  <c r="C234" i="82" s="1"/>
  <c r="D102" i="85"/>
  <c r="D235" i="85" s="1"/>
  <c r="C235" i="85" s="1"/>
  <c r="D103" i="85"/>
  <c r="D104" i="85"/>
  <c r="D98" i="82"/>
  <c r="D97" i="82"/>
  <c r="D96" i="82"/>
  <c r="D233" i="82" s="1"/>
  <c r="C233" i="82" s="1"/>
  <c r="D97" i="81"/>
  <c r="D98" i="81"/>
  <c r="D96" i="81"/>
  <c r="D233" i="81" s="1"/>
  <c r="C233" i="81" s="1"/>
  <c r="D97" i="84"/>
  <c r="D96" i="84"/>
  <c r="D233" i="84" s="1"/>
  <c r="C233" i="84" s="1"/>
  <c r="D98" i="84"/>
  <c r="D96" i="85"/>
  <c r="D233" i="85" s="1"/>
  <c r="C233" i="85" s="1"/>
  <c r="D98" i="85"/>
  <c r="D97" i="85"/>
  <c r="D98" i="83"/>
  <c r="D97" i="83"/>
  <c r="D96" i="83"/>
  <c r="D233" i="83" s="1"/>
  <c r="C233" i="83" s="1"/>
  <c r="D94" i="81"/>
  <c r="D93" i="81"/>
  <c r="D232" i="81" s="1"/>
  <c r="C232" i="81" s="1"/>
  <c r="D95" i="81"/>
  <c r="D95" i="83"/>
  <c r="D94" i="83"/>
  <c r="D93" i="83"/>
  <c r="D232" i="83" s="1"/>
  <c r="C232" i="83" s="1"/>
  <c r="D95" i="82"/>
  <c r="D94" i="82"/>
  <c r="D93" i="82"/>
  <c r="D232" i="82" s="1"/>
  <c r="C232" i="82" s="1"/>
  <c r="D94" i="85"/>
  <c r="D93" i="85"/>
  <c r="D232" i="85" s="1"/>
  <c r="C232" i="85" s="1"/>
  <c r="D95" i="85"/>
  <c r="D94" i="84"/>
  <c r="D93" i="84"/>
  <c r="D232" i="84" s="1"/>
  <c r="C232" i="84" s="1"/>
  <c r="D95" i="84"/>
  <c r="D92" i="83"/>
  <c r="D91" i="83"/>
  <c r="D90" i="83"/>
  <c r="D231" i="83" s="1"/>
  <c r="C231" i="83" s="1"/>
  <c r="D92" i="85"/>
  <c r="D90" i="85"/>
  <c r="D231" i="85" s="1"/>
  <c r="C231" i="85" s="1"/>
  <c r="D91" i="85"/>
  <c r="D92" i="82"/>
  <c r="D91" i="82"/>
  <c r="D90" i="82"/>
  <c r="D231" i="82" s="1"/>
  <c r="C231" i="82" s="1"/>
  <c r="D91" i="84"/>
  <c r="D90" i="84"/>
  <c r="D231" i="84" s="1"/>
  <c r="C231" i="84" s="1"/>
  <c r="D92" i="84"/>
  <c r="D91" i="81"/>
  <c r="D92" i="81"/>
  <c r="D90" i="81"/>
  <c r="D231" i="81" s="1"/>
  <c r="C231" i="81" s="1"/>
  <c r="D88" i="84"/>
  <c r="D87" i="84"/>
  <c r="D230" i="84" s="1"/>
  <c r="C230" i="84" s="1"/>
  <c r="D89" i="84"/>
  <c r="D89" i="82"/>
  <c r="D88" i="82"/>
  <c r="D87" i="82"/>
  <c r="D230" i="82" s="1"/>
  <c r="C230" i="82" s="1"/>
  <c r="D87" i="85"/>
  <c r="D230" i="85" s="1"/>
  <c r="C230" i="85" s="1"/>
  <c r="D88" i="85"/>
  <c r="D89" i="85"/>
  <c r="D87" i="81"/>
  <c r="D230" i="81" s="1"/>
  <c r="C230" i="81" s="1"/>
  <c r="D88" i="81"/>
  <c r="D89" i="81"/>
  <c r="D89" i="83"/>
  <c r="D88" i="83"/>
  <c r="D87" i="83"/>
  <c r="D230" i="83" s="1"/>
  <c r="C230" i="83" s="1"/>
  <c r="D85" i="84"/>
  <c r="D84" i="84"/>
  <c r="D229" i="84" s="1"/>
  <c r="C229" i="84" s="1"/>
  <c r="D86" i="84"/>
  <c r="D84" i="81"/>
  <c r="D229" i="81" s="1"/>
  <c r="C229" i="81" s="1"/>
  <c r="D86" i="81"/>
  <c r="D85" i="81"/>
  <c r="D86" i="83"/>
  <c r="D85" i="83"/>
  <c r="D84" i="83"/>
  <c r="D229" i="83" s="1"/>
  <c r="C229" i="83" s="1"/>
  <c r="D85" i="85"/>
  <c r="D86" i="85"/>
  <c r="D84" i="85"/>
  <c r="D229" i="85" s="1"/>
  <c r="C229" i="85" s="1"/>
  <c r="D86" i="82"/>
  <c r="D85" i="82"/>
  <c r="D84" i="82"/>
  <c r="D229" i="82" s="1"/>
  <c r="C229" i="82" s="1"/>
  <c r="D83" i="83"/>
  <c r="D82" i="83"/>
  <c r="D81" i="83"/>
  <c r="D228" i="83" s="1"/>
  <c r="C228" i="83" s="1"/>
  <c r="D82" i="84"/>
  <c r="D81" i="84"/>
  <c r="D228" i="84" s="1"/>
  <c r="C228" i="84" s="1"/>
  <c r="D83" i="84"/>
  <c r="D81" i="82"/>
  <c r="D228" i="82" s="1"/>
  <c r="C228" i="82" s="1"/>
  <c r="D83" i="82"/>
  <c r="D82" i="82"/>
  <c r="D83" i="85"/>
  <c r="D81" i="85"/>
  <c r="D228" i="85" s="1"/>
  <c r="C228" i="85" s="1"/>
  <c r="D82" i="85"/>
  <c r="D83" i="81"/>
  <c r="D81" i="81"/>
  <c r="D228" i="81" s="1"/>
  <c r="C228" i="81" s="1"/>
  <c r="D82" i="81"/>
  <c r="D80" i="85"/>
  <c r="D79" i="85"/>
  <c r="D78" i="85"/>
  <c r="D227" i="85" s="1"/>
  <c r="C227" i="85" s="1"/>
  <c r="D79" i="84"/>
  <c r="D78" i="84"/>
  <c r="D227" i="84" s="1"/>
  <c r="C227" i="84" s="1"/>
  <c r="D80" i="84"/>
  <c r="D78" i="81"/>
  <c r="D227" i="81" s="1"/>
  <c r="C227" i="81" s="1"/>
  <c r="D79" i="81"/>
  <c r="D80" i="81"/>
  <c r="D80" i="83"/>
  <c r="D79" i="83"/>
  <c r="D78" i="83"/>
  <c r="D227" i="83" s="1"/>
  <c r="C227" i="83" s="1"/>
  <c r="D80" i="82"/>
  <c r="D79" i="82"/>
  <c r="D78" i="82"/>
  <c r="D227" i="82" s="1"/>
  <c r="C227" i="82" s="1"/>
  <c r="D73" i="81"/>
  <c r="D72" i="81"/>
  <c r="D225" i="81" s="1"/>
  <c r="C225" i="81" s="1"/>
  <c r="D74" i="81"/>
  <c r="D73" i="84"/>
  <c r="D72" i="84"/>
  <c r="D225" i="84" s="1"/>
  <c r="C225" i="84" s="1"/>
  <c r="D74" i="84"/>
  <c r="D77" i="83"/>
  <c r="D76" i="83"/>
  <c r="D75" i="83"/>
  <c r="D226" i="83" s="1"/>
  <c r="C226" i="83" s="1"/>
  <c r="D77" i="85"/>
  <c r="D75" i="85"/>
  <c r="D226" i="85" s="1"/>
  <c r="C226" i="85" s="1"/>
  <c r="D76" i="85"/>
  <c r="D76" i="84"/>
  <c r="D75" i="84"/>
  <c r="D226" i="84" s="1"/>
  <c r="C226" i="84" s="1"/>
  <c r="D77" i="84"/>
  <c r="D77" i="82"/>
  <c r="D76" i="82"/>
  <c r="D75" i="82"/>
  <c r="D226" i="82" s="1"/>
  <c r="C226" i="82" s="1"/>
  <c r="D73" i="82"/>
  <c r="D72" i="82"/>
  <c r="D225" i="82" s="1"/>
  <c r="C225" i="82" s="1"/>
  <c r="D74" i="82"/>
  <c r="D73" i="85"/>
  <c r="D72" i="85"/>
  <c r="D225" i="85" s="1"/>
  <c r="C225" i="85" s="1"/>
  <c r="D74" i="85"/>
  <c r="D73" i="83"/>
  <c r="D72" i="83"/>
  <c r="D225" i="83" s="1"/>
  <c r="C225" i="83" s="1"/>
  <c r="D74" i="83"/>
  <c r="D75" i="81"/>
  <c r="D226" i="81" s="1"/>
  <c r="C226" i="81" s="1"/>
  <c r="D77" i="81"/>
  <c r="D76" i="81"/>
  <c r="D70" i="84"/>
  <c r="D69" i="84"/>
  <c r="D224" i="84" s="1"/>
  <c r="C224" i="84" s="1"/>
  <c r="D71" i="84"/>
  <c r="D69" i="81"/>
  <c r="D224" i="81" s="1"/>
  <c r="C224" i="81" s="1"/>
  <c r="D70" i="81"/>
  <c r="D71" i="81"/>
  <c r="D70" i="85"/>
  <c r="D69" i="85"/>
  <c r="D224" i="85" s="1"/>
  <c r="C224" i="85" s="1"/>
  <c r="D71" i="85"/>
  <c r="D71" i="83"/>
  <c r="D70" i="83"/>
  <c r="D69" i="83"/>
  <c r="D224" i="83" s="1"/>
  <c r="C224" i="83" s="1"/>
  <c r="D71" i="82"/>
  <c r="D70" i="82"/>
  <c r="D69" i="82"/>
  <c r="D224" i="82" s="1"/>
  <c r="C224" i="82" s="1"/>
  <c r="D68" i="85"/>
  <c r="D68" i="83"/>
  <c r="D68" i="82"/>
  <c r="D68" i="84"/>
  <c r="D68" i="81"/>
  <c r="D66" i="85"/>
  <c r="D223" i="85" s="1"/>
  <c r="C223" i="85" s="1"/>
  <c r="D66" i="83"/>
  <c r="D223" i="83" s="1"/>
  <c r="C223" i="83" s="1"/>
  <c r="D66" i="82"/>
  <c r="D223" i="82" s="1"/>
  <c r="C223" i="82" s="1"/>
  <c r="D66" i="84"/>
  <c r="D223" i="84" s="1"/>
  <c r="C223" i="84" s="1"/>
  <c r="D66" i="81"/>
  <c r="D223" i="81" s="1"/>
  <c r="C223" i="81" s="1"/>
  <c r="D67" i="85"/>
  <c r="D67" i="83"/>
  <c r="D67" i="82"/>
  <c r="D67" i="84"/>
  <c r="D67" i="81"/>
  <c r="D65" i="85"/>
  <c r="D64" i="85"/>
  <c r="D63" i="85"/>
  <c r="D222" i="85" s="1"/>
  <c r="C222" i="85" s="1"/>
  <c r="D60" i="84"/>
  <c r="D59" i="84"/>
  <c r="D58" i="84"/>
  <c r="D57" i="84"/>
  <c r="D221" i="84" s="1"/>
  <c r="C221" i="84" s="1"/>
  <c r="D61" i="84"/>
  <c r="D62" i="84"/>
  <c r="D62" i="83"/>
  <c r="D61" i="83"/>
  <c r="D60" i="83"/>
  <c r="D59" i="83"/>
  <c r="D58" i="83"/>
  <c r="D57" i="83"/>
  <c r="D221" i="83" s="1"/>
  <c r="C221" i="83" s="1"/>
  <c r="D57" i="81"/>
  <c r="D221" i="81" s="1"/>
  <c r="C221" i="81" s="1"/>
  <c r="D62" i="81"/>
  <c r="D58" i="81"/>
  <c r="D60" i="81"/>
  <c r="D61" i="81"/>
  <c r="D59" i="81"/>
  <c r="D65" i="83"/>
  <c r="D64" i="83"/>
  <c r="D63" i="83"/>
  <c r="D222" i="83" s="1"/>
  <c r="C222" i="83" s="1"/>
  <c r="D65" i="81"/>
  <c r="D63" i="81"/>
  <c r="D222" i="81" s="1"/>
  <c r="C222" i="81" s="1"/>
  <c r="D64" i="81"/>
  <c r="D65" i="82"/>
  <c r="D64" i="82"/>
  <c r="D63" i="82"/>
  <c r="D222" i="82" s="1"/>
  <c r="C222" i="82" s="1"/>
  <c r="D57" i="82"/>
  <c r="D221" i="82" s="1"/>
  <c r="C221" i="82" s="1"/>
  <c r="D58" i="82"/>
  <c r="D60" i="82"/>
  <c r="D62" i="82"/>
  <c r="D61" i="82"/>
  <c r="D59" i="82"/>
  <c r="D65" i="84"/>
  <c r="D64" i="84"/>
  <c r="D63" i="84"/>
  <c r="D222" i="84" s="1"/>
  <c r="C222" i="84" s="1"/>
  <c r="D61" i="85"/>
  <c r="D57" i="85"/>
  <c r="D221" i="85" s="1"/>
  <c r="C221" i="85" s="1"/>
  <c r="D60" i="85"/>
  <c r="D62" i="85"/>
  <c r="D59" i="85"/>
  <c r="D58" i="85"/>
  <c r="D53" i="82"/>
  <c r="D51" i="82"/>
  <c r="D220" i="82" s="1"/>
  <c r="C220" i="82" s="1"/>
  <c r="D52" i="82"/>
  <c r="D56" i="82"/>
  <c r="D55" i="82"/>
  <c r="D54" i="82"/>
  <c r="D42" i="84"/>
  <c r="D41" i="84"/>
  <c r="D40" i="84"/>
  <c r="D39" i="84"/>
  <c r="D218" i="84" s="1"/>
  <c r="C218" i="84" s="1"/>
  <c r="D43" i="84"/>
  <c r="D44" i="84"/>
  <c r="D56" i="85"/>
  <c r="D55" i="85"/>
  <c r="D51" i="85"/>
  <c r="D220" i="85" s="1"/>
  <c r="C220" i="85" s="1"/>
  <c r="D52" i="85"/>
  <c r="D53" i="85"/>
  <c r="D54" i="85"/>
  <c r="D40" i="82"/>
  <c r="D42" i="82"/>
  <c r="D43" i="82"/>
  <c r="D41" i="82"/>
  <c r="D39" i="82"/>
  <c r="D218" i="82" s="1"/>
  <c r="C218" i="82" s="1"/>
  <c r="D44" i="82"/>
  <c r="D56" i="83"/>
  <c r="D55" i="83"/>
  <c r="D54" i="83"/>
  <c r="D53" i="83"/>
  <c r="D52" i="83"/>
  <c r="D51" i="83"/>
  <c r="D220" i="83" s="1"/>
  <c r="C220" i="83" s="1"/>
  <c r="D44" i="83"/>
  <c r="D43" i="83"/>
  <c r="D42" i="83"/>
  <c r="D41" i="83"/>
  <c r="D40" i="83"/>
  <c r="D39" i="83"/>
  <c r="D218" i="83" s="1"/>
  <c r="C218" i="83" s="1"/>
  <c r="D42" i="85"/>
  <c r="D40" i="85"/>
  <c r="D43" i="85"/>
  <c r="D39" i="85"/>
  <c r="D218" i="85" s="1"/>
  <c r="C218" i="85" s="1"/>
  <c r="D41" i="85"/>
  <c r="D44" i="85"/>
  <c r="D54" i="84"/>
  <c r="D53" i="84"/>
  <c r="D52" i="84"/>
  <c r="D51" i="84"/>
  <c r="D220" i="84" s="1"/>
  <c r="C220" i="84" s="1"/>
  <c r="D55" i="84"/>
  <c r="D56" i="84"/>
  <c r="D41" i="81"/>
  <c r="D39" i="81"/>
  <c r="D218" i="81" s="1"/>
  <c r="C218" i="81" s="1"/>
  <c r="D44" i="81"/>
  <c r="D43" i="81"/>
  <c r="D40" i="81"/>
  <c r="D42" i="81"/>
  <c r="D55" i="81"/>
  <c r="D52" i="81"/>
  <c r="D56" i="81"/>
  <c r="D51" i="81"/>
  <c r="D220" i="81" s="1"/>
  <c r="C220" i="81" s="1"/>
  <c r="D53" i="81"/>
  <c r="D54" i="81"/>
  <c r="D27" i="81"/>
  <c r="D216" i="81" s="1"/>
  <c r="C216" i="81" s="1"/>
  <c r="D32" i="81"/>
  <c r="D28" i="81"/>
  <c r="D30" i="81"/>
  <c r="D29" i="81"/>
  <c r="D31" i="81"/>
  <c r="D28" i="85"/>
  <c r="D30" i="85"/>
  <c r="D31" i="85"/>
  <c r="D32" i="85"/>
  <c r="D27" i="85"/>
  <c r="D216" i="85" s="1"/>
  <c r="C216" i="85" s="1"/>
  <c r="D29" i="85"/>
  <c r="D30" i="84"/>
  <c r="D29" i="84"/>
  <c r="D28" i="84"/>
  <c r="D27" i="84"/>
  <c r="D216" i="84" s="1"/>
  <c r="C216" i="84" s="1"/>
  <c r="D31" i="84"/>
  <c r="D32" i="84"/>
  <c r="D32" i="83"/>
  <c r="D31" i="83"/>
  <c r="D30" i="83"/>
  <c r="D29" i="83"/>
  <c r="D28" i="83"/>
  <c r="D27" i="83"/>
  <c r="D216" i="83" s="1"/>
  <c r="C216" i="83" s="1"/>
  <c r="D31" i="82"/>
  <c r="D29" i="82"/>
  <c r="D28" i="82"/>
  <c r="D32" i="82"/>
  <c r="D30" i="82"/>
  <c r="D27" i="82"/>
  <c r="D216" i="82" s="1"/>
  <c r="C216" i="82" s="1"/>
  <c r="D21" i="83"/>
  <c r="D215" i="83" s="1"/>
  <c r="C215" i="83" s="1"/>
  <c r="D23" i="83"/>
  <c r="D22" i="83"/>
  <c r="D26" i="83"/>
  <c r="D24" i="83"/>
  <c r="D25" i="83"/>
  <c r="D24" i="82"/>
  <c r="D25" i="82"/>
  <c r="D23" i="82"/>
  <c r="D26" i="82"/>
  <c r="D21" i="82"/>
  <c r="D215" i="82" s="1"/>
  <c r="C215" i="82" s="1"/>
  <c r="D22" i="82"/>
  <c r="D25" i="81"/>
  <c r="D23" i="81"/>
  <c r="D21" i="81"/>
  <c r="D215" i="81" s="1"/>
  <c r="C215" i="81" s="1"/>
  <c r="D24" i="81"/>
  <c r="D22" i="81"/>
  <c r="D26" i="81"/>
  <c r="D24" i="84"/>
  <c r="D23" i="84"/>
  <c r="D22" i="84"/>
  <c r="D21" i="84"/>
  <c r="D215" i="84" s="1"/>
  <c r="C215" i="84" s="1"/>
  <c r="D26" i="84"/>
  <c r="D25" i="84"/>
  <c r="D24" i="85"/>
  <c r="D26" i="85"/>
  <c r="D23" i="85"/>
  <c r="D25" i="85"/>
  <c r="D21" i="85"/>
  <c r="D215" i="85" s="1"/>
  <c r="C215" i="85" s="1"/>
  <c r="D22" i="85"/>
  <c r="D20" i="83"/>
  <c r="D19" i="83"/>
  <c r="D18" i="83"/>
  <c r="D17" i="83"/>
  <c r="D16" i="83"/>
  <c r="D15" i="83"/>
  <c r="D214" i="83" s="1"/>
  <c r="C214" i="83" s="1"/>
  <c r="D16" i="82"/>
  <c r="D17" i="82"/>
  <c r="D15" i="82"/>
  <c r="D214" i="82" s="1"/>
  <c r="C214" i="82" s="1"/>
  <c r="D18" i="82"/>
  <c r="D20" i="82"/>
  <c r="D19" i="82"/>
  <c r="D16" i="85"/>
  <c r="D15" i="85"/>
  <c r="D214" i="85" s="1"/>
  <c r="C214" i="85" s="1"/>
  <c r="D19" i="85"/>
  <c r="D20" i="85"/>
  <c r="D18" i="85"/>
  <c r="D17" i="85"/>
  <c r="D18" i="84"/>
  <c r="D17" i="84"/>
  <c r="D19" i="84"/>
  <c r="D15" i="84"/>
  <c r="D214" i="84" s="1"/>
  <c r="C214" i="84" s="1"/>
  <c r="D20" i="84"/>
  <c r="D18" i="81"/>
  <c r="D15" i="81"/>
  <c r="D214" i="81" s="1"/>
  <c r="C214" i="81" s="1"/>
  <c r="D19" i="81"/>
  <c r="D20" i="81"/>
  <c r="D17" i="81"/>
  <c r="D16" i="81"/>
  <c r="V169" i="81"/>
  <c r="V180" i="81"/>
  <c r="V177" i="84"/>
  <c r="V169" i="74"/>
  <c r="V179" i="82"/>
  <c r="V174" i="84"/>
  <c r="V178" i="83"/>
  <c r="V176" i="81"/>
  <c r="V168" i="82"/>
  <c r="V169" i="85"/>
  <c r="V181" i="74"/>
  <c r="V181" i="83"/>
  <c r="V170" i="82"/>
  <c r="V180" i="84"/>
  <c r="V179" i="81"/>
  <c r="V174" i="82"/>
  <c r="V177" i="82"/>
  <c r="V169" i="83"/>
  <c r="V176" i="74"/>
  <c r="V175" i="83"/>
  <c r="V180" i="82"/>
  <c r="V173" i="81"/>
  <c r="V168" i="74"/>
  <c r="V177" i="85"/>
  <c r="V171" i="81"/>
  <c r="V179" i="74"/>
  <c r="V182" i="81"/>
  <c r="V182" i="74"/>
  <c r="V172" i="84"/>
  <c r="V175" i="84"/>
  <c r="V173" i="82"/>
  <c r="V174" i="74"/>
  <c r="V181" i="81"/>
  <c r="V178" i="81"/>
  <c r="V168" i="83"/>
  <c r="V181" i="84"/>
  <c r="V176" i="82"/>
  <c r="V180" i="74"/>
  <c r="V181" i="82"/>
  <c r="V177" i="81"/>
  <c r="V170" i="83"/>
  <c r="V180" i="83"/>
  <c r="V172" i="74"/>
  <c r="V173" i="74"/>
  <c r="V177" i="83"/>
  <c r="V170" i="74"/>
  <c r="V170" i="85"/>
  <c r="V175" i="82"/>
  <c r="V179" i="84"/>
  <c r="V173" i="83"/>
  <c r="V177" i="74"/>
  <c r="V182" i="83"/>
  <c r="V171" i="74"/>
  <c r="V172" i="85"/>
  <c r="V173" i="85"/>
  <c r="V178" i="85"/>
  <c r="V178" i="84"/>
  <c r="V172" i="82"/>
  <c r="V174" i="85"/>
  <c r="V176" i="85"/>
  <c r="V168" i="81"/>
  <c r="V179" i="83"/>
  <c r="V173" i="84"/>
  <c r="V174" i="83"/>
  <c r="V174" i="81"/>
  <c r="V170" i="84"/>
  <c r="V168" i="84"/>
  <c r="V172" i="81"/>
  <c r="V181" i="85"/>
  <c r="V172" i="83"/>
  <c r="V178" i="74"/>
  <c r="V171" i="84"/>
  <c r="V182" i="82"/>
  <c r="V169" i="82"/>
  <c r="V179" i="85"/>
  <c r="V176" i="84"/>
  <c r="V170" i="81"/>
  <c r="V178" i="82"/>
  <c r="V168" i="85"/>
  <c r="V171" i="85"/>
  <c r="V180" i="85"/>
  <c r="V169" i="84"/>
  <c r="V176" i="83"/>
  <c r="V175" i="85"/>
  <c r="V175" i="81"/>
  <c r="V171" i="83"/>
  <c r="V175" i="74"/>
  <c r="V182" i="85"/>
  <c r="V171" i="82"/>
  <c r="V182" i="84"/>
  <c r="F193" i="63"/>
  <c r="W186" i="63" s="1"/>
  <c r="E177" i="63"/>
  <c r="E193" i="63" s="1"/>
  <c r="W185" i="63" s="1"/>
  <c r="E155" i="63"/>
  <c r="P177" i="63"/>
  <c r="U183" i="63"/>
  <c r="U185" i="63"/>
  <c r="F121" i="63"/>
  <c r="W114" i="63" s="1"/>
  <c r="E105" i="63"/>
  <c r="E121" i="63" s="1"/>
  <c r="W113" i="63" s="1"/>
  <c r="P105" i="63"/>
  <c r="U111" i="63"/>
  <c r="U113" i="63"/>
  <c r="P11" i="56"/>
  <c r="P90" i="55"/>
  <c r="Q174" i="74"/>
  <c r="Q177" i="84"/>
  <c r="AB168" i="83"/>
  <c r="I148" i="74" l="1"/>
  <c r="I93" i="74"/>
  <c r="I133" i="74"/>
  <c r="I65" i="74"/>
  <c r="I78" i="74"/>
  <c r="I86" i="74"/>
  <c r="I94" i="74"/>
  <c r="I102" i="74"/>
  <c r="I110" i="74"/>
  <c r="I118" i="74"/>
  <c r="I126" i="74"/>
  <c r="I134" i="74"/>
  <c r="I142" i="74"/>
  <c r="I150" i="74"/>
  <c r="I158" i="74"/>
  <c r="I166" i="74"/>
  <c r="I64" i="74"/>
  <c r="I72" i="74"/>
  <c r="I80" i="74"/>
  <c r="I96" i="74"/>
  <c r="I112" i="74"/>
  <c r="I128" i="74"/>
  <c r="I144" i="74"/>
  <c r="I160" i="74"/>
  <c r="I98" i="74"/>
  <c r="I130" i="74"/>
  <c r="I146" i="74"/>
  <c r="I68" i="74"/>
  <c r="I91" i="74"/>
  <c r="I115" i="74"/>
  <c r="I139" i="74"/>
  <c r="I67" i="74"/>
  <c r="I76" i="74"/>
  <c r="I84" i="74"/>
  <c r="I92" i="74"/>
  <c r="I108" i="74"/>
  <c r="I124" i="74"/>
  <c r="I140" i="74"/>
  <c r="I66" i="74"/>
  <c r="I77" i="74"/>
  <c r="I101" i="74"/>
  <c r="I109" i="74"/>
  <c r="I141" i="74"/>
  <c r="I149" i="74"/>
  <c r="I71" i="74"/>
  <c r="I79" i="74"/>
  <c r="I87" i="74"/>
  <c r="I95" i="74"/>
  <c r="I103" i="74"/>
  <c r="I111" i="74"/>
  <c r="I119" i="74"/>
  <c r="I127" i="74"/>
  <c r="I135" i="74"/>
  <c r="I143" i="74"/>
  <c r="I151" i="74"/>
  <c r="I159" i="74"/>
  <c r="I167" i="74"/>
  <c r="I63" i="74"/>
  <c r="I88" i="74"/>
  <c r="I104" i="74"/>
  <c r="I120" i="74"/>
  <c r="I136" i="74"/>
  <c r="I152" i="74"/>
  <c r="I70" i="74"/>
  <c r="I114" i="74"/>
  <c r="I162" i="74"/>
  <c r="I83" i="74"/>
  <c r="I99" i="74"/>
  <c r="I123" i="74"/>
  <c r="I147" i="74"/>
  <c r="I163" i="74"/>
  <c r="I100" i="74"/>
  <c r="I164" i="74"/>
  <c r="I85" i="74"/>
  <c r="I125" i="74"/>
  <c r="I165" i="74"/>
  <c r="I75" i="74"/>
  <c r="I117" i="74"/>
  <c r="I73" i="74"/>
  <c r="I81" i="74"/>
  <c r="I89" i="74"/>
  <c r="I97" i="74"/>
  <c r="I105" i="74"/>
  <c r="I113" i="74"/>
  <c r="I121" i="74"/>
  <c r="I129" i="74"/>
  <c r="I137" i="74"/>
  <c r="I145" i="74"/>
  <c r="I153" i="74"/>
  <c r="I161" i="74"/>
  <c r="I69" i="74"/>
  <c r="G62" i="74"/>
  <c r="I74" i="74"/>
  <c r="I82" i="74"/>
  <c r="I90" i="74"/>
  <c r="I106" i="74"/>
  <c r="I122" i="74"/>
  <c r="I138" i="74"/>
  <c r="I154" i="74"/>
  <c r="G60" i="74"/>
  <c r="I107" i="74"/>
  <c r="I131" i="74"/>
  <c r="I155" i="74"/>
  <c r="G58" i="74"/>
  <c r="I116" i="74"/>
  <c r="I132" i="74"/>
  <c r="I156" i="74"/>
  <c r="I157" i="74"/>
  <c r="G54" i="74"/>
  <c r="G38" i="74"/>
  <c r="G22" i="74"/>
  <c r="G52" i="74"/>
  <c r="G36" i="74"/>
  <c r="G20" i="74"/>
  <c r="G44" i="74"/>
  <c r="G56" i="74"/>
  <c r="G24" i="74"/>
  <c r="G50" i="74"/>
  <c r="G34" i="74"/>
  <c r="G18" i="74"/>
  <c r="G32" i="74"/>
  <c r="G16" i="74"/>
  <c r="G46" i="74"/>
  <c r="G28" i="74"/>
  <c r="G42" i="74"/>
  <c r="G40" i="74"/>
  <c r="G48" i="74"/>
  <c r="G30" i="74"/>
  <c r="G26" i="74"/>
  <c r="G12" i="74"/>
  <c r="G14" i="74"/>
  <c r="G10" i="74"/>
  <c r="F155" i="63"/>
  <c r="E156" i="63"/>
  <c r="O185" i="63" s="1"/>
  <c r="R185" i="63" s="1"/>
  <c r="J155" i="63" l="1"/>
  <c r="J156" i="63" s="1"/>
  <c r="I155" i="63"/>
  <c r="I156" i="63" s="1"/>
  <c r="F156" i="63"/>
  <c r="O186" i="63" s="1"/>
  <c r="R186" i="63" s="1"/>
  <c r="S2" i="74" l="1"/>
  <c r="H35" i="74" l="1"/>
  <c r="H49" i="74"/>
  <c r="H25" i="74"/>
  <c r="H37" i="74"/>
  <c r="H59" i="74"/>
  <c r="H47" i="74"/>
  <c r="H23" i="74"/>
  <c r="H61" i="74"/>
  <c r="H13" i="74"/>
  <c r="H11" i="74"/>
  <c r="H123" i="74"/>
  <c r="H138" i="74"/>
  <c r="H165" i="74"/>
  <c r="H150" i="74"/>
  <c r="H156" i="74"/>
  <c r="H144" i="74"/>
  <c r="H129" i="74"/>
  <c r="H162" i="74"/>
  <c r="H120" i="74"/>
  <c r="H135" i="74"/>
  <c r="H114" i="74"/>
  <c r="H72" i="74"/>
  <c r="H87" i="74"/>
  <c r="H63" i="74"/>
  <c r="H117" i="74"/>
  <c r="H108" i="74"/>
  <c r="H102" i="74"/>
  <c r="H90" i="74"/>
  <c r="H96" i="74"/>
  <c r="H75" i="74"/>
  <c r="H81" i="74"/>
  <c r="H69" i="74"/>
  <c r="H66" i="74"/>
  <c r="H33" i="74"/>
  <c r="H57" i="74"/>
  <c r="H9" i="74"/>
  <c r="H21" i="74"/>
  <c r="H45" i="74"/>
  <c r="T114" i="74"/>
  <c r="T144" i="74"/>
  <c r="T75" i="74"/>
  <c r="T21" i="74"/>
  <c r="T57" i="74"/>
  <c r="T129" i="74"/>
  <c r="T150" i="74"/>
  <c r="T96" i="74"/>
  <c r="T9" i="74"/>
  <c r="T123" i="74"/>
  <c r="T162" i="74"/>
  <c r="T81" i="74"/>
  <c r="T90" i="74"/>
  <c r="T87" i="74"/>
  <c r="T72" i="74"/>
  <c r="T120" i="74"/>
  <c r="T102" i="74"/>
  <c r="T135" i="74"/>
  <c r="T63" i="74"/>
  <c r="T33" i="74"/>
  <c r="T69" i="74"/>
  <c r="T108" i="74"/>
  <c r="T117" i="74"/>
  <c r="T165" i="74"/>
  <c r="T45" i="74"/>
  <c r="T156" i="74"/>
  <c r="T138" i="74"/>
  <c r="T66" i="74"/>
  <c r="E138" i="74" l="1"/>
  <c r="E156" i="74"/>
  <c r="E144" i="74"/>
  <c r="E150" i="74"/>
  <c r="D167" i="74"/>
  <c r="D166" i="74"/>
  <c r="D164" i="74"/>
  <c r="D163" i="74"/>
  <c r="D118" i="74"/>
  <c r="D117" i="74"/>
  <c r="D116" i="74"/>
  <c r="D114" i="74"/>
  <c r="D119" i="74"/>
  <c r="D115" i="74"/>
  <c r="D69" i="74"/>
  <c r="D71" i="74"/>
  <c r="D70" i="74"/>
  <c r="D68" i="74"/>
  <c r="D66" i="74"/>
  <c r="D67" i="74"/>
  <c r="D64" i="74"/>
  <c r="D63" i="74"/>
  <c r="D65" i="74"/>
  <c r="E129" i="74"/>
  <c r="E96" i="74"/>
  <c r="E162" i="74"/>
  <c r="D162" i="74" s="1"/>
  <c r="E165" i="74"/>
  <c r="D165" i="74" s="1"/>
  <c r="E135" i="74"/>
  <c r="E120" i="74"/>
  <c r="E123" i="74"/>
  <c r="E90" i="74"/>
  <c r="E117" i="74"/>
  <c r="E57" i="74"/>
  <c r="E102" i="74"/>
  <c r="E63" i="74"/>
  <c r="E66" i="74"/>
  <c r="E87" i="74"/>
  <c r="E108" i="74"/>
  <c r="E69" i="74"/>
  <c r="E72" i="74"/>
  <c r="E33" i="74"/>
  <c r="E81" i="74"/>
  <c r="E114" i="74"/>
  <c r="E45" i="74"/>
  <c r="E75" i="74"/>
  <c r="E21" i="74"/>
  <c r="D256" i="74" l="1"/>
  <c r="C256" i="74" s="1"/>
  <c r="D240" i="74"/>
  <c r="C240" i="74" s="1"/>
  <c r="D255" i="74"/>
  <c r="C255" i="74" s="1"/>
  <c r="D239" i="74"/>
  <c r="C239" i="74" s="1"/>
  <c r="D224" i="74"/>
  <c r="C224" i="74" s="1"/>
  <c r="D222" i="74"/>
  <c r="C222" i="74" s="1"/>
  <c r="D223" i="74"/>
  <c r="C223" i="74" s="1"/>
  <c r="R4" i="63"/>
  <c r="X4" i="63" a="1"/>
  <c r="X4" i="63" s="1"/>
  <c r="D177" i="74" l="1"/>
  <c r="D260" i="74" s="1"/>
  <c r="C260" i="74" s="1"/>
  <c r="D179" i="74"/>
  <c r="D178" i="74"/>
  <c r="D173" i="74"/>
  <c r="D171" i="74"/>
  <c r="D258" i="74" s="1"/>
  <c r="C258" i="74" s="1"/>
  <c r="D172" i="74"/>
  <c r="D182" i="74"/>
  <c r="D181" i="74"/>
  <c r="D180" i="74"/>
  <c r="D261" i="74" s="1"/>
  <c r="C261" i="74" s="1"/>
  <c r="D176" i="74"/>
  <c r="D174" i="74"/>
  <c r="D259" i="74" s="1"/>
  <c r="C259" i="74" s="1"/>
  <c r="D175" i="74"/>
  <c r="D158" i="74"/>
  <c r="D157" i="74"/>
  <c r="D156" i="74"/>
  <c r="D253" i="74" s="1"/>
  <c r="C253" i="74" s="1"/>
  <c r="D150" i="74"/>
  <c r="D251" i="74" s="1"/>
  <c r="C251" i="74" s="1"/>
  <c r="D152" i="74"/>
  <c r="D151" i="74"/>
  <c r="D140" i="74"/>
  <c r="D139" i="74"/>
  <c r="D138" i="74"/>
  <c r="D247" i="74" s="1"/>
  <c r="C247" i="74" s="1"/>
  <c r="D146" i="74"/>
  <c r="D145" i="74"/>
  <c r="D144" i="74"/>
  <c r="D249" i="74" s="1"/>
  <c r="C249" i="74" s="1"/>
  <c r="D124" i="74"/>
  <c r="D123" i="74"/>
  <c r="D242" i="74" s="1"/>
  <c r="C242" i="74" s="1"/>
  <c r="D125" i="74"/>
  <c r="D130" i="74"/>
  <c r="D131" i="74"/>
  <c r="D129" i="74"/>
  <c r="D244" i="74" s="1"/>
  <c r="C244" i="74" s="1"/>
  <c r="D136" i="74"/>
  <c r="D137" i="74"/>
  <c r="D135" i="74"/>
  <c r="D246" i="74" s="1"/>
  <c r="C246" i="74" s="1"/>
  <c r="D122" i="74"/>
  <c r="D120" i="74"/>
  <c r="D241" i="74" s="1"/>
  <c r="C241" i="74" s="1"/>
  <c r="D121" i="74"/>
  <c r="D109" i="74"/>
  <c r="D110" i="74"/>
  <c r="D108" i="74"/>
  <c r="D237" i="74" s="1"/>
  <c r="C237" i="74" s="1"/>
  <c r="D102" i="74"/>
  <c r="D235" i="74" s="1"/>
  <c r="C235" i="74" s="1"/>
  <c r="D103" i="74"/>
  <c r="D104" i="74"/>
  <c r="D98" i="74"/>
  <c r="D96" i="74"/>
  <c r="D233" i="74" s="1"/>
  <c r="C233" i="74" s="1"/>
  <c r="D97" i="74"/>
  <c r="D92" i="74"/>
  <c r="D90" i="74"/>
  <c r="D231" i="74" s="1"/>
  <c r="C231" i="74" s="1"/>
  <c r="D91" i="74"/>
  <c r="D89" i="74"/>
  <c r="D88" i="74"/>
  <c r="D87" i="74"/>
  <c r="D230" i="74" s="1"/>
  <c r="C230" i="74" s="1"/>
  <c r="D82" i="74"/>
  <c r="D81" i="74"/>
  <c r="D228" i="74" s="1"/>
  <c r="C228" i="74" s="1"/>
  <c r="D83" i="74"/>
  <c r="D76" i="74"/>
  <c r="D77" i="74"/>
  <c r="D75" i="74"/>
  <c r="D226" i="74" s="1"/>
  <c r="C226" i="74" s="1"/>
  <c r="D74" i="74"/>
  <c r="D73" i="74"/>
  <c r="D72" i="74"/>
  <c r="D225" i="74" s="1"/>
  <c r="C225" i="74" s="1"/>
  <c r="D58" i="74"/>
  <c r="D57" i="74"/>
  <c r="D221" i="74" s="1"/>
  <c r="C221" i="74" s="1"/>
  <c r="D61" i="74"/>
  <c r="D62" i="74"/>
  <c r="D59" i="74"/>
  <c r="D60" i="74"/>
  <c r="D25" i="74"/>
  <c r="D26" i="74"/>
  <c r="D23" i="74"/>
  <c r="D21" i="74"/>
  <c r="D215" i="74" s="1"/>
  <c r="C215" i="74" s="1"/>
  <c r="D22" i="74"/>
  <c r="D24" i="74"/>
  <c r="C46" i="63"/>
  <c r="D46" i="63"/>
  <c r="E46" i="63"/>
  <c r="F46" i="63"/>
  <c r="E277" i="74" l="1"/>
  <c r="D277" i="74"/>
  <c r="AB6" i="74" s="1"/>
  <c r="E276" i="74"/>
  <c r="D276" i="74"/>
  <c r="AA6" i="74" s="1"/>
  <c r="E275" i="74"/>
  <c r="D275" i="74"/>
  <c r="Z6" i="74" s="1"/>
  <c r="E274" i="74"/>
  <c r="D274" i="74"/>
  <c r="Y6" i="74" s="1"/>
  <c r="E273" i="74"/>
  <c r="D273" i="74"/>
  <c r="X6" i="74" s="1"/>
  <c r="P188" i="74"/>
  <c r="L188" i="74"/>
  <c r="P187" i="74"/>
  <c r="H202" i="74"/>
  <c r="H198" i="74"/>
  <c r="E198" i="74" s="1"/>
  <c r="H190" i="74"/>
  <c r="E190" i="74" l="1"/>
  <c r="D190" i="74" s="1"/>
  <c r="D265" i="74" s="1"/>
  <c r="C265" i="74" s="1"/>
  <c r="H55" i="74"/>
  <c r="H31" i="74"/>
  <c r="H43" i="74"/>
  <c r="H53" i="74"/>
  <c r="H29" i="74"/>
  <c r="H19" i="74"/>
  <c r="H41" i="74"/>
  <c r="H17" i="74"/>
  <c r="H141" i="74"/>
  <c r="H153" i="74"/>
  <c r="H132" i="74"/>
  <c r="H159" i="74"/>
  <c r="H147" i="74"/>
  <c r="H126" i="74"/>
  <c r="H105" i="74"/>
  <c r="H111" i="74"/>
  <c r="H93" i="74"/>
  <c r="H99" i="74"/>
  <c r="H84" i="74"/>
  <c r="H78" i="74"/>
  <c r="H39" i="74"/>
  <c r="H15" i="74"/>
  <c r="H51" i="74"/>
  <c r="H27" i="74"/>
  <c r="H194" i="74"/>
  <c r="E194" i="74" s="1"/>
  <c r="E202" i="74"/>
  <c r="E9" i="74"/>
  <c r="H187" i="74"/>
  <c r="H188" i="74"/>
  <c r="D198" i="74"/>
  <c r="D267" i="74" s="1"/>
  <c r="C267" i="74" s="1"/>
  <c r="T105" i="74"/>
  <c r="T141" i="74"/>
  <c r="T84" i="74"/>
  <c r="T111" i="74"/>
  <c r="T147" i="74"/>
  <c r="T159" i="74"/>
  <c r="T126" i="74"/>
  <c r="T132" i="74"/>
  <c r="T51" i="74"/>
  <c r="T39" i="74"/>
  <c r="T27" i="74"/>
  <c r="T99" i="74"/>
  <c r="T15" i="74"/>
  <c r="T93" i="74"/>
  <c r="T78" i="74"/>
  <c r="T153" i="74"/>
  <c r="D148" i="74" l="1"/>
  <c r="D149" i="74"/>
  <c r="D161" i="74"/>
  <c r="D160" i="74"/>
  <c r="D155" i="74"/>
  <c r="D154" i="74"/>
  <c r="D134" i="74"/>
  <c r="D133" i="74"/>
  <c r="D128" i="74"/>
  <c r="D127" i="74"/>
  <c r="D143" i="74"/>
  <c r="D142" i="74"/>
  <c r="D107" i="74"/>
  <c r="D106" i="74"/>
  <c r="D112" i="74"/>
  <c r="D113" i="74"/>
  <c r="D100" i="74"/>
  <c r="D101" i="74"/>
  <c r="D94" i="74"/>
  <c r="D95" i="74"/>
  <c r="D85" i="74"/>
  <c r="D86" i="74"/>
  <c r="D79" i="74"/>
  <c r="D80" i="74"/>
  <c r="D56" i="74"/>
  <c r="D54" i="74"/>
  <c r="D52" i="74"/>
  <c r="D55" i="74"/>
  <c r="D53" i="74"/>
  <c r="D43" i="74"/>
  <c r="D44" i="74"/>
  <c r="D41" i="74"/>
  <c r="D40" i="74"/>
  <c r="D42" i="74"/>
  <c r="D32" i="74"/>
  <c r="D30" i="74"/>
  <c r="D28" i="74"/>
  <c r="D29" i="74"/>
  <c r="D31" i="74"/>
  <c r="D16" i="74"/>
  <c r="D17" i="74"/>
  <c r="D19" i="74"/>
  <c r="D18" i="74"/>
  <c r="D20" i="74"/>
  <c r="E126" i="74"/>
  <c r="D126" i="74" s="1"/>
  <c r="E147" i="74"/>
  <c r="D147" i="74" s="1"/>
  <c r="E159" i="74"/>
  <c r="D159" i="74" s="1"/>
  <c r="E132" i="74"/>
  <c r="D132" i="74" s="1"/>
  <c r="E153" i="74"/>
  <c r="D153" i="74" s="1"/>
  <c r="E141" i="74"/>
  <c r="D141" i="74" s="1"/>
  <c r="E51" i="74"/>
  <c r="D51" i="74" s="1"/>
  <c r="E105" i="74"/>
  <c r="D105" i="74" s="1"/>
  <c r="E111" i="74"/>
  <c r="D111" i="74" s="1"/>
  <c r="E15" i="74"/>
  <c r="D15" i="74" s="1"/>
  <c r="E27" i="74"/>
  <c r="D27" i="74" s="1"/>
  <c r="E39" i="74"/>
  <c r="D39" i="74" s="1"/>
  <c r="E78" i="74"/>
  <c r="D78" i="74" s="1"/>
  <c r="E84" i="74"/>
  <c r="D84" i="74" s="1"/>
  <c r="E99" i="74"/>
  <c r="D99" i="74" s="1"/>
  <c r="E93" i="74"/>
  <c r="D93" i="74" s="1"/>
  <c r="D194" i="74"/>
  <c r="D266" i="74" s="1"/>
  <c r="C266" i="74" s="1"/>
  <c r="D202" i="74"/>
  <c r="D268" i="74" s="1"/>
  <c r="C268" i="74" s="1"/>
  <c r="E188" i="74"/>
  <c r="E187" i="74"/>
  <c r="D254" i="74" l="1"/>
  <c r="C254" i="74" s="1"/>
  <c r="D252" i="74"/>
  <c r="C252" i="74" s="1"/>
  <c r="D250" i="74"/>
  <c r="C250" i="74" s="1"/>
  <c r="D243" i="74"/>
  <c r="C243" i="74" s="1"/>
  <c r="D245" i="74"/>
  <c r="C245" i="74" s="1"/>
  <c r="D248" i="74"/>
  <c r="C248" i="74" s="1"/>
  <c r="D238" i="74"/>
  <c r="C238" i="74" s="1"/>
  <c r="D236" i="74"/>
  <c r="C236" i="74" s="1"/>
  <c r="D229" i="74"/>
  <c r="C229" i="74" s="1"/>
  <c r="D234" i="74"/>
  <c r="C234" i="74" s="1"/>
  <c r="D232" i="74"/>
  <c r="C232" i="74" s="1"/>
  <c r="D227" i="74"/>
  <c r="C227" i="74" s="1"/>
  <c r="D220" i="74"/>
  <c r="C220" i="74" s="1"/>
  <c r="D218" i="74"/>
  <c r="C218" i="74" s="1"/>
  <c r="D216" i="74"/>
  <c r="C216" i="74" s="1"/>
  <c r="D214" i="74"/>
  <c r="C214" i="74" s="1"/>
  <c r="D187" i="74"/>
  <c r="D263" i="74" s="1"/>
  <c r="C263" i="74" s="1"/>
  <c r="D188" i="74"/>
  <c r="D264" i="74" s="1"/>
  <c r="C264" i="74" s="1"/>
  <c r="F289" i="73" l="1"/>
  <c r="V286" i="73" s="1"/>
  <c r="D289" i="73"/>
  <c r="V284" i="73" s="1"/>
  <c r="C289" i="73"/>
  <c r="V283" i="73" s="1"/>
  <c r="AD286" i="73"/>
  <c r="AC286" i="73"/>
  <c r="AB286" i="73"/>
  <c r="AA286" i="73"/>
  <c r="Z286" i="73"/>
  <c r="T286" i="73"/>
  <c r="P286" i="73"/>
  <c r="O286" i="73"/>
  <c r="R286" i="73" s="1"/>
  <c r="AD285" i="73"/>
  <c r="AC285" i="73"/>
  <c r="AB285" i="73"/>
  <c r="AA285" i="73"/>
  <c r="Z285" i="73"/>
  <c r="T285" i="73"/>
  <c r="P285" i="73"/>
  <c r="O285" i="73"/>
  <c r="R285" i="73" s="1"/>
  <c r="AD284" i="73"/>
  <c r="AC284" i="73"/>
  <c r="AB284" i="73"/>
  <c r="AA284" i="73"/>
  <c r="Z284" i="73"/>
  <c r="T284" i="73"/>
  <c r="P284" i="73"/>
  <c r="O284" i="73"/>
  <c r="R284" i="73" s="1"/>
  <c r="AD283" i="73"/>
  <c r="AC283" i="73"/>
  <c r="AB283" i="73"/>
  <c r="AA283" i="73"/>
  <c r="Z283" i="73"/>
  <c r="T283" i="73"/>
  <c r="P283" i="73"/>
  <c r="Q283" i="73" s="1"/>
  <c r="O283" i="73"/>
  <c r="R283" i="73" s="1"/>
  <c r="F275" i="73"/>
  <c r="F274" i="73" s="1"/>
  <c r="F290" i="73" s="1"/>
  <c r="W286" i="73" s="1"/>
  <c r="E275" i="73"/>
  <c r="E274" i="73" s="1"/>
  <c r="E290" i="73" s="1"/>
  <c r="W285" i="73" s="1"/>
  <c r="D275" i="73"/>
  <c r="D274" i="73" s="1"/>
  <c r="D290" i="73" s="1"/>
  <c r="W284" i="73" s="1"/>
  <c r="C275" i="73"/>
  <c r="C274" i="73" s="1"/>
  <c r="E273" i="73"/>
  <c r="E289" i="73" s="1"/>
  <c r="V285" i="73" s="1"/>
  <c r="F272" i="73"/>
  <c r="E272" i="73"/>
  <c r="D272" i="73"/>
  <c r="C272" i="73"/>
  <c r="F270" i="73"/>
  <c r="F287" i="73" s="1"/>
  <c r="E270" i="73"/>
  <c r="E287" i="73" s="1"/>
  <c r="D270" i="73"/>
  <c r="D287" i="73" s="1"/>
  <c r="C270" i="73"/>
  <c r="C287" i="73" s="1"/>
  <c r="C288" i="73" s="1"/>
  <c r="AR255" i="73"/>
  <c r="AP255" i="73"/>
  <c r="AN255" i="73"/>
  <c r="AL255" i="73"/>
  <c r="AJ258" i="73"/>
  <c r="P255" i="73"/>
  <c r="AE255" i="73" s="1"/>
  <c r="F210" i="73"/>
  <c r="V207" i="73" s="1"/>
  <c r="D210" i="73"/>
  <c r="V205" i="73" s="1"/>
  <c r="C210" i="73"/>
  <c r="V204" i="73" s="1"/>
  <c r="AD207" i="73"/>
  <c r="AC207" i="73"/>
  <c r="AB207" i="73"/>
  <c r="AA207" i="73"/>
  <c r="Z207" i="73"/>
  <c r="T207" i="73"/>
  <c r="P207" i="73"/>
  <c r="AD206" i="73"/>
  <c r="AC206" i="73"/>
  <c r="AB206" i="73"/>
  <c r="AA206" i="73"/>
  <c r="Z206" i="73"/>
  <c r="T206" i="73"/>
  <c r="P206" i="73"/>
  <c r="AD205" i="73"/>
  <c r="AC205" i="73"/>
  <c r="AB205" i="73"/>
  <c r="AA205" i="73"/>
  <c r="Z205" i="73"/>
  <c r="T205" i="73"/>
  <c r="P205" i="73"/>
  <c r="AD204" i="73"/>
  <c r="AC204" i="73"/>
  <c r="AB204" i="73"/>
  <c r="AA204" i="73"/>
  <c r="Z204" i="73"/>
  <c r="T204" i="73"/>
  <c r="P204" i="73"/>
  <c r="Q204" i="73" s="1"/>
  <c r="F196" i="73"/>
  <c r="F195" i="73" s="1"/>
  <c r="F211" i="73" s="1"/>
  <c r="W207" i="73" s="1"/>
  <c r="E196" i="73"/>
  <c r="E195" i="73" s="1"/>
  <c r="E211" i="73" s="1"/>
  <c r="W206" i="73" s="1"/>
  <c r="D196" i="73"/>
  <c r="D195" i="73" s="1"/>
  <c r="D211" i="73" s="1"/>
  <c r="W205" i="73" s="1"/>
  <c r="C196" i="73"/>
  <c r="P199" i="73" s="1"/>
  <c r="E194" i="73"/>
  <c r="E210" i="73" s="1"/>
  <c r="V206" i="73" s="1"/>
  <c r="F193" i="73"/>
  <c r="E193" i="73"/>
  <c r="D193" i="73"/>
  <c r="C193" i="73"/>
  <c r="F191" i="73"/>
  <c r="F208" i="73" s="1"/>
  <c r="U207" i="73" s="1"/>
  <c r="D191" i="73"/>
  <c r="D208" i="73" s="1"/>
  <c r="U205" i="73" s="1"/>
  <c r="C191" i="73"/>
  <c r="C208" i="73" s="1"/>
  <c r="AR176" i="73"/>
  <c r="AP176" i="73"/>
  <c r="AN176" i="73"/>
  <c r="AL176" i="73"/>
  <c r="AJ179" i="73"/>
  <c r="F174" i="73"/>
  <c r="O207" i="73" s="1"/>
  <c r="R207" i="73" s="1"/>
  <c r="E174" i="73"/>
  <c r="O206" i="73" s="1"/>
  <c r="R206" i="73" s="1"/>
  <c r="D174" i="73"/>
  <c r="O205" i="73" s="1"/>
  <c r="R205" i="73" s="1"/>
  <c r="C174" i="73"/>
  <c r="O204" i="73" s="1"/>
  <c r="R204" i="73" s="1"/>
  <c r="P176" i="73"/>
  <c r="AE176" i="73" s="1"/>
  <c r="J173" i="73"/>
  <c r="J174" i="73" s="1"/>
  <c r="I173" i="73"/>
  <c r="I174" i="73" s="1"/>
  <c r="H173" i="73"/>
  <c r="H174" i="73" s="1"/>
  <c r="G173" i="73"/>
  <c r="G174" i="73" s="1"/>
  <c r="B82" i="73"/>
  <c r="D48" i="73"/>
  <c r="C48" i="73"/>
  <c r="B2" i="73"/>
  <c r="D288" i="73" l="1"/>
  <c r="U284" i="73"/>
  <c r="C195" i="73"/>
  <c r="E191" i="73"/>
  <c r="E208" i="73" s="1"/>
  <c r="E209" i="73" s="1"/>
  <c r="P278" i="73"/>
  <c r="C290" i="73"/>
  <c r="W283" i="73" s="1"/>
  <c r="P277" i="73"/>
  <c r="C209" i="73"/>
  <c r="U204" i="73"/>
  <c r="E48" i="73"/>
  <c r="E288" i="73"/>
  <c r="U285" i="73"/>
  <c r="F288" i="73"/>
  <c r="U286" i="73"/>
  <c r="F48" i="73"/>
  <c r="D209" i="73"/>
  <c r="F209" i="73"/>
  <c r="U283" i="73"/>
  <c r="AR254" i="72"/>
  <c r="AP254" i="72"/>
  <c r="AN254" i="72"/>
  <c r="AL254" i="72"/>
  <c r="AJ254" i="72"/>
  <c r="F274" i="72"/>
  <c r="F273" i="72" s="1"/>
  <c r="F289" i="72" s="1"/>
  <c r="W282" i="72" s="1"/>
  <c r="E274" i="72"/>
  <c r="E273" i="72" s="1"/>
  <c r="E289" i="72" s="1"/>
  <c r="W281" i="72" s="1"/>
  <c r="D274" i="72"/>
  <c r="D273" i="72" s="1"/>
  <c r="D289" i="72" s="1"/>
  <c r="W280" i="72" s="1"/>
  <c r="C274" i="72"/>
  <c r="C273" i="72" s="1"/>
  <c r="C289" i="72" s="1"/>
  <c r="W279" i="72" s="1"/>
  <c r="E272" i="72"/>
  <c r="E288" i="72" s="1"/>
  <c r="V281" i="72" s="1"/>
  <c r="F271" i="72"/>
  <c r="E271" i="72"/>
  <c r="D271" i="72"/>
  <c r="C271" i="72"/>
  <c r="F269" i="72"/>
  <c r="E269" i="72"/>
  <c r="D269" i="72"/>
  <c r="D286" i="72" s="1"/>
  <c r="C269" i="72"/>
  <c r="F288" i="72"/>
  <c r="D288" i="72"/>
  <c r="V280" i="72" s="1"/>
  <c r="C288" i="72"/>
  <c r="V279" i="72" s="1"/>
  <c r="AD282" i="72"/>
  <c r="AC282" i="72"/>
  <c r="AB282" i="72"/>
  <c r="AA282" i="72"/>
  <c r="Z282" i="72"/>
  <c r="V282" i="72"/>
  <c r="T282" i="72"/>
  <c r="P282" i="72"/>
  <c r="AD281" i="72"/>
  <c r="AC281" i="72"/>
  <c r="AB281" i="72"/>
  <c r="AA281" i="72"/>
  <c r="Z281" i="72"/>
  <c r="T281" i="72"/>
  <c r="P281" i="72"/>
  <c r="AD280" i="72"/>
  <c r="AC280" i="72"/>
  <c r="AB280" i="72"/>
  <c r="AA280" i="72"/>
  <c r="Z280" i="72"/>
  <c r="T280" i="72"/>
  <c r="P280" i="72"/>
  <c r="AD279" i="72"/>
  <c r="AC279" i="72"/>
  <c r="AB279" i="72"/>
  <c r="AA279" i="72"/>
  <c r="Z279" i="72"/>
  <c r="T279" i="72"/>
  <c r="P279" i="72"/>
  <c r="E286" i="72"/>
  <c r="C286" i="72"/>
  <c r="C287" i="72" s="1"/>
  <c r="O282" i="72"/>
  <c r="R282" i="72" s="1"/>
  <c r="O281" i="72"/>
  <c r="R281" i="72" s="1"/>
  <c r="O280" i="72"/>
  <c r="R280" i="72" s="1"/>
  <c r="O279" i="72"/>
  <c r="R279" i="72" s="1"/>
  <c r="P251" i="72"/>
  <c r="AE251" i="72" s="1"/>
  <c r="AR175" i="72"/>
  <c r="AP175" i="72"/>
  <c r="AN175" i="72"/>
  <c r="AL175" i="72"/>
  <c r="AJ175" i="72"/>
  <c r="F195" i="72"/>
  <c r="F194" i="72" s="1"/>
  <c r="W203" i="72" s="1"/>
  <c r="E195" i="72"/>
  <c r="E194" i="72" s="1"/>
  <c r="E210" i="72" s="1"/>
  <c r="W202" i="72" s="1"/>
  <c r="D195" i="72"/>
  <c r="D194" i="72" s="1"/>
  <c r="D210" i="72" s="1"/>
  <c r="W201" i="72" s="1"/>
  <c r="C195" i="72"/>
  <c r="C194" i="72"/>
  <c r="E193" i="72"/>
  <c r="E209" i="72" s="1"/>
  <c r="V202" i="72" s="1"/>
  <c r="F192" i="72"/>
  <c r="E192" i="72"/>
  <c r="D192" i="72"/>
  <c r="C192" i="72"/>
  <c r="F190" i="72"/>
  <c r="E190" i="72" s="1"/>
  <c r="E207" i="72" s="1"/>
  <c r="D190" i="72"/>
  <c r="C190" i="72"/>
  <c r="F173" i="72"/>
  <c r="O203" i="72" s="1"/>
  <c r="R203" i="72" s="1"/>
  <c r="E173" i="72"/>
  <c r="D173" i="72"/>
  <c r="O201" i="72" s="1"/>
  <c r="R201" i="72" s="1"/>
  <c r="C173" i="72"/>
  <c r="O200" i="72" s="1"/>
  <c r="R200" i="72" s="1"/>
  <c r="J172" i="72"/>
  <c r="J173" i="72" s="1"/>
  <c r="I172" i="72"/>
  <c r="I173" i="72" s="1"/>
  <c r="H172" i="72"/>
  <c r="H173" i="72" s="1"/>
  <c r="G172" i="72"/>
  <c r="G173" i="72" s="1"/>
  <c r="D209" i="72"/>
  <c r="V201" i="72" s="1"/>
  <c r="C209" i="72"/>
  <c r="V200" i="72" s="1"/>
  <c r="F208" i="72"/>
  <c r="D207" i="72"/>
  <c r="D208" i="72" s="1"/>
  <c r="C207" i="72"/>
  <c r="C208" i="72" s="1"/>
  <c r="AD203" i="72"/>
  <c r="AC203" i="72"/>
  <c r="AB203" i="72"/>
  <c r="AA203" i="72"/>
  <c r="Z203" i="72"/>
  <c r="T203" i="72"/>
  <c r="P203" i="72"/>
  <c r="AD202" i="72"/>
  <c r="AC202" i="72"/>
  <c r="AB202" i="72"/>
  <c r="AA202" i="72"/>
  <c r="Z202" i="72"/>
  <c r="T202" i="72"/>
  <c r="P202" i="72"/>
  <c r="O202" i="72"/>
  <c r="R202" i="72" s="1"/>
  <c r="AD201" i="72"/>
  <c r="AC201" i="72"/>
  <c r="AB201" i="72"/>
  <c r="AA201" i="72"/>
  <c r="Z201" i="72"/>
  <c r="T201" i="72"/>
  <c r="P201" i="72"/>
  <c r="AD200" i="72"/>
  <c r="AC200" i="72"/>
  <c r="AB200" i="72"/>
  <c r="AA200" i="72"/>
  <c r="Z200" i="72"/>
  <c r="T200" i="72"/>
  <c r="P200" i="72"/>
  <c r="P195" i="72"/>
  <c r="C210" i="72"/>
  <c r="W200" i="72" s="1"/>
  <c r="P172" i="72"/>
  <c r="AE172" i="72" s="1"/>
  <c r="F113" i="72"/>
  <c r="F112" i="72" s="1"/>
  <c r="F128" i="72" s="1"/>
  <c r="W121" i="72" s="1"/>
  <c r="E113" i="72"/>
  <c r="E112" i="72" s="1"/>
  <c r="E128" i="72" s="1"/>
  <c r="W120" i="72" s="1"/>
  <c r="D113" i="72"/>
  <c r="D112" i="72" s="1"/>
  <c r="D128" i="72" s="1"/>
  <c r="W119" i="72" s="1"/>
  <c r="C113" i="72"/>
  <c r="C112" i="72" s="1"/>
  <c r="P112" i="72" s="1"/>
  <c r="E111" i="72"/>
  <c r="E127" i="72" s="1"/>
  <c r="V120" i="72" s="1"/>
  <c r="F110" i="72"/>
  <c r="E110" i="72"/>
  <c r="D110" i="72"/>
  <c r="C110" i="72"/>
  <c r="F34" i="72"/>
  <c r="E34" i="72"/>
  <c r="D34" i="72"/>
  <c r="D33" i="72" s="1"/>
  <c r="D49" i="72" s="1"/>
  <c r="W40" i="72" s="1"/>
  <c r="C34" i="72"/>
  <c r="P34" i="72" s="1"/>
  <c r="F33" i="72"/>
  <c r="F49" i="72" s="1"/>
  <c r="W42" i="72" s="1"/>
  <c r="E33" i="72"/>
  <c r="E49" i="72" s="1"/>
  <c r="W41" i="72" s="1"/>
  <c r="E32" i="72"/>
  <c r="F31" i="72"/>
  <c r="E31" i="72"/>
  <c r="D31" i="72"/>
  <c r="C31" i="72"/>
  <c r="E29" i="72"/>
  <c r="F12" i="72"/>
  <c r="O42" i="72" s="1"/>
  <c r="R42" i="72" s="1"/>
  <c r="E12" i="72"/>
  <c r="O41" i="72" s="1"/>
  <c r="R41" i="72" s="1"/>
  <c r="D12" i="72"/>
  <c r="C12" i="72"/>
  <c r="O39" i="72" s="1"/>
  <c r="R39" i="72" s="1"/>
  <c r="J11" i="72"/>
  <c r="J12" i="72" s="1"/>
  <c r="I11" i="72"/>
  <c r="I12" i="72" s="1"/>
  <c r="H11" i="72"/>
  <c r="H12" i="72" s="1"/>
  <c r="G11" i="72"/>
  <c r="G12" i="72" s="1"/>
  <c r="F127" i="72"/>
  <c r="V121" i="72" s="1"/>
  <c r="D127" i="72"/>
  <c r="C127" i="72"/>
  <c r="V118" i="72" s="1"/>
  <c r="F125" i="72"/>
  <c r="F126" i="72" s="1"/>
  <c r="E125" i="72"/>
  <c r="E126" i="72" s="1"/>
  <c r="D125" i="72"/>
  <c r="D126" i="72" s="1"/>
  <c r="C125" i="72"/>
  <c r="C126" i="72" s="1"/>
  <c r="AD121" i="72"/>
  <c r="AC121" i="72"/>
  <c r="AB121" i="72"/>
  <c r="AA121" i="72"/>
  <c r="Z121" i="72"/>
  <c r="T121" i="72"/>
  <c r="P121" i="72"/>
  <c r="O121" i="72"/>
  <c r="R121" i="72" s="1"/>
  <c r="AD120" i="72"/>
  <c r="AC120" i="72"/>
  <c r="AB120" i="72"/>
  <c r="AA120" i="72"/>
  <c r="Z120" i="72"/>
  <c r="T120" i="72"/>
  <c r="P120" i="72"/>
  <c r="O120" i="72"/>
  <c r="R120" i="72" s="1"/>
  <c r="AD119" i="72"/>
  <c r="AC119" i="72"/>
  <c r="AB119" i="72"/>
  <c r="AA119" i="72"/>
  <c r="Z119" i="72"/>
  <c r="V119" i="72"/>
  <c r="T119" i="72"/>
  <c r="P119" i="72"/>
  <c r="O119" i="72"/>
  <c r="R119" i="72" s="1"/>
  <c r="AD118" i="72"/>
  <c r="AC118" i="72"/>
  <c r="AB118" i="72"/>
  <c r="AA118" i="72"/>
  <c r="Z118" i="72"/>
  <c r="T118" i="72"/>
  <c r="P118" i="72"/>
  <c r="O118" i="72"/>
  <c r="R118" i="72" s="1"/>
  <c r="P113" i="72"/>
  <c r="P90" i="72"/>
  <c r="AE90" i="72" s="1"/>
  <c r="B81" i="72"/>
  <c r="F48" i="72"/>
  <c r="V42" i="72" s="1"/>
  <c r="E48" i="72"/>
  <c r="V41" i="72" s="1"/>
  <c r="D48" i="72"/>
  <c r="V40" i="72" s="1"/>
  <c r="C48" i="72"/>
  <c r="V39" i="72" s="1"/>
  <c r="U42" i="72"/>
  <c r="E47" i="72"/>
  <c r="D46" i="72"/>
  <c r="D47" i="72" s="1"/>
  <c r="U39" i="72"/>
  <c r="AD42" i="72"/>
  <c r="AC42" i="72"/>
  <c r="AB42" i="72"/>
  <c r="AA42" i="72"/>
  <c r="Z42" i="72"/>
  <c r="T42" i="72"/>
  <c r="P42" i="72"/>
  <c r="AD41" i="72"/>
  <c r="AC41" i="72"/>
  <c r="AB41" i="72"/>
  <c r="AA41" i="72"/>
  <c r="Z41" i="72"/>
  <c r="T41" i="72"/>
  <c r="P41" i="72"/>
  <c r="AD40" i="72"/>
  <c r="AC40" i="72"/>
  <c r="AB40" i="72"/>
  <c r="AA40" i="72"/>
  <c r="Z40" i="72"/>
  <c r="T40" i="72"/>
  <c r="R40" i="72"/>
  <c r="P40" i="72"/>
  <c r="O40" i="72"/>
  <c r="AD39" i="72"/>
  <c r="AC39" i="72"/>
  <c r="AB39" i="72"/>
  <c r="AA39" i="72"/>
  <c r="Z39" i="72"/>
  <c r="T39" i="72"/>
  <c r="P39" i="72"/>
  <c r="P11" i="72"/>
  <c r="AF11" i="72" s="1"/>
  <c r="B2" i="72"/>
  <c r="B81" i="71"/>
  <c r="AH97" i="71"/>
  <c r="AH96" i="71"/>
  <c r="AH95" i="71"/>
  <c r="AH94" i="71"/>
  <c r="AR93" i="71"/>
  <c r="AQ93" i="71"/>
  <c r="AP93" i="71"/>
  <c r="AO93" i="71"/>
  <c r="AN93" i="71"/>
  <c r="AM93" i="71"/>
  <c r="AL93" i="71"/>
  <c r="AK93" i="71"/>
  <c r="AJ93" i="71"/>
  <c r="AI93" i="71"/>
  <c r="AH93" i="71"/>
  <c r="AH91" i="71"/>
  <c r="AR90" i="71"/>
  <c r="AQ90" i="71"/>
  <c r="AP90" i="71"/>
  <c r="AO90" i="71"/>
  <c r="AN90" i="71"/>
  <c r="AM90" i="71"/>
  <c r="AL90" i="71"/>
  <c r="AK90" i="71"/>
  <c r="AJ90" i="71"/>
  <c r="AI90" i="71"/>
  <c r="AH90" i="71"/>
  <c r="AD121" i="71"/>
  <c r="AC121" i="71"/>
  <c r="AB121" i="71"/>
  <c r="AA121" i="71"/>
  <c r="Z121" i="71"/>
  <c r="V121" i="71"/>
  <c r="U121" i="71"/>
  <c r="T121" i="71"/>
  <c r="P121" i="71"/>
  <c r="O121" i="71"/>
  <c r="R121" i="71" s="1"/>
  <c r="AD120" i="71"/>
  <c r="AC120" i="71"/>
  <c r="AB120" i="71"/>
  <c r="AA120" i="71"/>
  <c r="Z120" i="71"/>
  <c r="T120" i="71"/>
  <c r="R120" i="71"/>
  <c r="P120" i="71"/>
  <c r="O120" i="71"/>
  <c r="AD119" i="71"/>
  <c r="AC119" i="71"/>
  <c r="AB119" i="71"/>
  <c r="AA119" i="71"/>
  <c r="Z119" i="71"/>
  <c r="V119" i="71"/>
  <c r="U119" i="71"/>
  <c r="T119" i="71"/>
  <c r="P119" i="71"/>
  <c r="O119" i="71"/>
  <c r="R119" i="71" s="1"/>
  <c r="AD118" i="71"/>
  <c r="AC118" i="71"/>
  <c r="AB118" i="71"/>
  <c r="AA118" i="71"/>
  <c r="Z118" i="71"/>
  <c r="V118" i="71"/>
  <c r="U118" i="71"/>
  <c r="T118" i="71"/>
  <c r="R118" i="71"/>
  <c r="P118" i="71"/>
  <c r="O118" i="71"/>
  <c r="P90" i="71"/>
  <c r="AE90" i="71" s="1"/>
  <c r="F127" i="71"/>
  <c r="E127" i="71"/>
  <c r="V120" i="71" s="1"/>
  <c r="D127" i="71"/>
  <c r="C127" i="71"/>
  <c r="D126" i="71"/>
  <c r="F125" i="71"/>
  <c r="F126" i="71" s="1"/>
  <c r="E125" i="71"/>
  <c r="E126" i="71" s="1"/>
  <c r="D125" i="71"/>
  <c r="C125" i="71"/>
  <c r="C126" i="71" s="1"/>
  <c r="F118" i="71"/>
  <c r="E118" i="71"/>
  <c r="D118" i="71"/>
  <c r="C118" i="71"/>
  <c r="F113" i="71"/>
  <c r="E113" i="71"/>
  <c r="E112" i="71" s="1"/>
  <c r="E128" i="71" s="1"/>
  <c r="W120" i="71" s="1"/>
  <c r="D113" i="71"/>
  <c r="C113" i="71"/>
  <c r="C112" i="71" s="1"/>
  <c r="P112" i="71" s="1"/>
  <c r="F112" i="71"/>
  <c r="F128" i="71" s="1"/>
  <c r="W121" i="71" s="1"/>
  <c r="D112" i="71"/>
  <c r="D128" i="71" s="1"/>
  <c r="W119" i="71" s="1"/>
  <c r="AI18" i="71"/>
  <c r="AI17" i="71"/>
  <c r="AI16" i="71"/>
  <c r="AI15" i="71"/>
  <c r="AS14" i="71"/>
  <c r="AR14" i="71"/>
  <c r="AQ14" i="71"/>
  <c r="AP14" i="71"/>
  <c r="AO14" i="71"/>
  <c r="AN14" i="71"/>
  <c r="AM14" i="71"/>
  <c r="AL14" i="71"/>
  <c r="AK14" i="71"/>
  <c r="AJ14" i="71"/>
  <c r="AI14" i="71"/>
  <c r="AI13" i="71"/>
  <c r="AI12" i="71"/>
  <c r="AS11" i="71"/>
  <c r="AR11" i="71"/>
  <c r="AQ11" i="71"/>
  <c r="AP11" i="71"/>
  <c r="AO11" i="71"/>
  <c r="AN11" i="71"/>
  <c r="AM11" i="71"/>
  <c r="AL11" i="71"/>
  <c r="AK11" i="71"/>
  <c r="AJ11" i="71"/>
  <c r="AI11" i="71"/>
  <c r="F34" i="71"/>
  <c r="F33" i="71" s="1"/>
  <c r="F49" i="71" s="1"/>
  <c r="W42" i="71" s="1"/>
  <c r="E34" i="71"/>
  <c r="E33" i="71" s="1"/>
  <c r="E49" i="71" s="1"/>
  <c r="W41" i="71" s="1"/>
  <c r="D34" i="71"/>
  <c r="D33" i="71" s="1"/>
  <c r="D49" i="71" s="1"/>
  <c r="W40" i="71" s="1"/>
  <c r="C34" i="71"/>
  <c r="C33" i="71"/>
  <c r="P251" i="56"/>
  <c r="P172" i="56"/>
  <c r="F48" i="71"/>
  <c r="V42" i="71" s="1"/>
  <c r="E48" i="71"/>
  <c r="V41" i="71" s="1"/>
  <c r="D48" i="71"/>
  <c r="V40" i="71" s="1"/>
  <c r="C48" i="71"/>
  <c r="V39" i="71" s="1"/>
  <c r="F46" i="71"/>
  <c r="F47" i="71" s="1"/>
  <c r="E46" i="71"/>
  <c r="E47" i="71" s="1"/>
  <c r="D46" i="71"/>
  <c r="D47" i="71" s="1"/>
  <c r="C46" i="71"/>
  <c r="C47" i="71" s="1"/>
  <c r="AD42" i="71"/>
  <c r="AC42" i="71"/>
  <c r="AB42" i="71"/>
  <c r="AA42" i="71"/>
  <c r="Z42" i="71"/>
  <c r="T42" i="71"/>
  <c r="P42" i="71"/>
  <c r="O42" i="71"/>
  <c r="R42" i="71" s="1"/>
  <c r="AD41" i="71"/>
  <c r="AC41" i="71"/>
  <c r="AB41" i="71"/>
  <c r="AA41" i="71"/>
  <c r="Z41" i="71"/>
  <c r="T41" i="71"/>
  <c r="P41" i="71"/>
  <c r="O41" i="71"/>
  <c r="R41" i="71" s="1"/>
  <c r="AD40" i="71"/>
  <c r="AC40" i="71"/>
  <c r="AB40" i="71"/>
  <c r="AA40" i="71"/>
  <c r="Z40" i="71"/>
  <c r="T40" i="71"/>
  <c r="P40" i="71"/>
  <c r="O40" i="71"/>
  <c r="R40" i="71" s="1"/>
  <c r="AD39" i="71"/>
  <c r="AC39" i="71"/>
  <c r="AB39" i="71"/>
  <c r="AA39" i="71"/>
  <c r="Z39" i="71"/>
  <c r="T39" i="71"/>
  <c r="P39" i="71"/>
  <c r="O39" i="71"/>
  <c r="R39" i="71" s="1"/>
  <c r="P34" i="71"/>
  <c r="P11" i="71"/>
  <c r="AF11" i="71" s="1"/>
  <c r="B2" i="71"/>
  <c r="F34" i="70"/>
  <c r="F33" i="70" s="1"/>
  <c r="F49" i="70" s="1"/>
  <c r="W42" i="70" s="1"/>
  <c r="E34" i="70"/>
  <c r="D34" i="70"/>
  <c r="C34" i="70"/>
  <c r="E33" i="70"/>
  <c r="E49" i="70" s="1"/>
  <c r="W41" i="70" s="1"/>
  <c r="D33" i="70"/>
  <c r="D49" i="70" s="1"/>
  <c r="W40" i="70" s="1"/>
  <c r="C33" i="70"/>
  <c r="C49" i="70" s="1"/>
  <c r="W39" i="70" s="1"/>
  <c r="F48" i="70"/>
  <c r="V42" i="70" s="1"/>
  <c r="E48" i="70"/>
  <c r="V41" i="70" s="1"/>
  <c r="D48" i="70"/>
  <c r="V40" i="70" s="1"/>
  <c r="C48" i="70"/>
  <c r="V39" i="70" s="1"/>
  <c r="F46" i="70"/>
  <c r="F47" i="70" s="1"/>
  <c r="E46" i="70"/>
  <c r="E47" i="70" s="1"/>
  <c r="D46" i="70"/>
  <c r="D47" i="70" s="1"/>
  <c r="C46" i="70"/>
  <c r="C47" i="70" s="1"/>
  <c r="AD42" i="70"/>
  <c r="AC42" i="70"/>
  <c r="AB42" i="70"/>
  <c r="AA42" i="70"/>
  <c r="Z42" i="70"/>
  <c r="T42" i="70"/>
  <c r="R42" i="70"/>
  <c r="P42" i="70"/>
  <c r="O42" i="70"/>
  <c r="AD41" i="70"/>
  <c r="AC41" i="70"/>
  <c r="AB41" i="70"/>
  <c r="AA41" i="70"/>
  <c r="Z41" i="70"/>
  <c r="T41" i="70"/>
  <c r="P41" i="70"/>
  <c r="O41" i="70"/>
  <c r="R41" i="70" s="1"/>
  <c r="AD40" i="70"/>
  <c r="AC40" i="70"/>
  <c r="AB40" i="70"/>
  <c r="AA40" i="70"/>
  <c r="Z40" i="70"/>
  <c r="T40" i="70"/>
  <c r="P40" i="70"/>
  <c r="O40" i="70"/>
  <c r="R40" i="70" s="1"/>
  <c r="AD39" i="70"/>
  <c r="AC39" i="70"/>
  <c r="AB39" i="70"/>
  <c r="AA39" i="70"/>
  <c r="Z39" i="70"/>
  <c r="T39" i="70"/>
  <c r="P39" i="70"/>
  <c r="O39" i="70"/>
  <c r="R39" i="70" s="1"/>
  <c r="P34" i="70"/>
  <c r="P11" i="70"/>
  <c r="AF11" i="70" s="1"/>
  <c r="B2" i="70"/>
  <c r="F34" i="69"/>
  <c r="F33" i="69" s="1"/>
  <c r="F49" i="69" s="1"/>
  <c r="W42" i="69" s="1"/>
  <c r="E34" i="69"/>
  <c r="D34" i="69"/>
  <c r="D33" i="69" s="1"/>
  <c r="D49" i="69" s="1"/>
  <c r="W40" i="69" s="1"/>
  <c r="C34" i="69"/>
  <c r="E33" i="69"/>
  <c r="E49" i="69" s="1"/>
  <c r="W41" i="69" s="1"/>
  <c r="C33" i="69"/>
  <c r="C49" i="69" s="1"/>
  <c r="W39" i="69" s="1"/>
  <c r="F48" i="69"/>
  <c r="E48" i="69"/>
  <c r="V41" i="69" s="1"/>
  <c r="D48" i="69"/>
  <c r="C48" i="69"/>
  <c r="V39" i="69" s="1"/>
  <c r="F47" i="69"/>
  <c r="F46" i="69"/>
  <c r="E46" i="69"/>
  <c r="U41" i="69" s="1"/>
  <c r="D46" i="69"/>
  <c r="D47" i="69" s="1"/>
  <c r="C46" i="69"/>
  <c r="C47" i="69" s="1"/>
  <c r="AD42" i="69"/>
  <c r="AC42" i="69"/>
  <c r="AB42" i="69"/>
  <c r="AA42" i="69"/>
  <c r="Z42" i="69"/>
  <c r="V42" i="69"/>
  <c r="U42" i="69"/>
  <c r="T42" i="69"/>
  <c r="R42" i="69"/>
  <c r="P42" i="69"/>
  <c r="O42" i="69"/>
  <c r="AD41" i="69"/>
  <c r="AC41" i="69"/>
  <c r="AB41" i="69"/>
  <c r="AA41" i="69"/>
  <c r="Z41" i="69"/>
  <c r="T41" i="69"/>
  <c r="P41" i="69"/>
  <c r="O41" i="69"/>
  <c r="R41" i="69" s="1"/>
  <c r="AD40" i="69"/>
  <c r="AC40" i="69"/>
  <c r="AB40" i="69"/>
  <c r="AA40" i="69"/>
  <c r="Z40" i="69"/>
  <c r="V40" i="69"/>
  <c r="U40" i="69"/>
  <c r="T40" i="69"/>
  <c r="P40" i="69"/>
  <c r="O40" i="69"/>
  <c r="R40" i="69" s="1"/>
  <c r="AD39" i="69"/>
  <c r="AC39" i="69"/>
  <c r="AB39" i="69"/>
  <c r="AA39" i="69"/>
  <c r="Z39" i="69"/>
  <c r="T39" i="69"/>
  <c r="P39" i="69"/>
  <c r="O39" i="69"/>
  <c r="R39" i="69" s="1"/>
  <c r="P34" i="69"/>
  <c r="P11" i="69"/>
  <c r="AF11" i="69" s="1"/>
  <c r="B2" i="69"/>
  <c r="AS14" i="68"/>
  <c r="AQ14" i="68"/>
  <c r="AO14" i="68"/>
  <c r="AM14" i="68"/>
  <c r="AK14" i="68"/>
  <c r="F34" i="68"/>
  <c r="E34" i="68"/>
  <c r="D34" i="68"/>
  <c r="C34" i="68"/>
  <c r="P34" i="68" s="1"/>
  <c r="F33" i="68"/>
  <c r="F49" i="68" s="1"/>
  <c r="W42" i="68" s="1"/>
  <c r="E33" i="68"/>
  <c r="E49" i="68" s="1"/>
  <c r="W41" i="68" s="1"/>
  <c r="D33" i="68"/>
  <c r="D49" i="68" s="1"/>
  <c r="W40" i="68" s="1"/>
  <c r="C33" i="68"/>
  <c r="F48" i="68"/>
  <c r="V42" i="68" s="1"/>
  <c r="E48" i="68"/>
  <c r="V41" i="68" s="1"/>
  <c r="D48" i="68"/>
  <c r="C48" i="68"/>
  <c r="V39" i="68" s="1"/>
  <c r="F47" i="68"/>
  <c r="F46" i="68"/>
  <c r="U42" i="68" s="1"/>
  <c r="E46" i="68"/>
  <c r="E47" i="68" s="1"/>
  <c r="D46" i="68"/>
  <c r="D47" i="68" s="1"/>
  <c r="C46" i="68"/>
  <c r="C47" i="68" s="1"/>
  <c r="AD42" i="68"/>
  <c r="AC42" i="68"/>
  <c r="AB42" i="68"/>
  <c r="AA42" i="68"/>
  <c r="Z42" i="68"/>
  <c r="T42" i="68"/>
  <c r="P42" i="68"/>
  <c r="O42" i="68"/>
  <c r="R42" i="68" s="1"/>
  <c r="AD41" i="68"/>
  <c r="AC41" i="68"/>
  <c r="AB41" i="68"/>
  <c r="AA41" i="68"/>
  <c r="Z41" i="68"/>
  <c r="T41" i="68"/>
  <c r="P41" i="68"/>
  <c r="O41" i="68"/>
  <c r="R41" i="68" s="1"/>
  <c r="AD40" i="68"/>
  <c r="AC40" i="68"/>
  <c r="AB40" i="68"/>
  <c r="AA40" i="68"/>
  <c r="Z40" i="68"/>
  <c r="V40" i="68"/>
  <c r="U40" i="68"/>
  <c r="T40" i="68"/>
  <c r="P40" i="68"/>
  <c r="O40" i="68"/>
  <c r="R40" i="68" s="1"/>
  <c r="AD39" i="68"/>
  <c r="AC39" i="68"/>
  <c r="AB39" i="68"/>
  <c r="AA39" i="68"/>
  <c r="Z39" i="68"/>
  <c r="T39" i="68"/>
  <c r="P39" i="68"/>
  <c r="O39" i="68"/>
  <c r="R39" i="68" s="1"/>
  <c r="P11" i="68"/>
  <c r="AF11" i="68" s="1"/>
  <c r="B2" i="68"/>
  <c r="O40" i="62"/>
  <c r="AR86" i="62"/>
  <c r="AP86" i="62"/>
  <c r="AN86" i="62"/>
  <c r="AL86" i="62"/>
  <c r="AJ86" i="62"/>
  <c r="F106" i="62"/>
  <c r="E106" i="62"/>
  <c r="E105" i="62" s="1"/>
  <c r="E121" i="62" s="1"/>
  <c r="W113" i="62" s="1"/>
  <c r="D106" i="62"/>
  <c r="D105" i="62" s="1"/>
  <c r="D121" i="62" s="1"/>
  <c r="W112" i="62" s="1"/>
  <c r="C106" i="62"/>
  <c r="C105" i="62" s="1"/>
  <c r="F105" i="62"/>
  <c r="F121" i="62" s="1"/>
  <c r="W114" i="62" s="1"/>
  <c r="F101" i="62"/>
  <c r="F118" i="62" s="1"/>
  <c r="E101" i="62"/>
  <c r="E111" i="62" s="1"/>
  <c r="D101" i="62"/>
  <c r="D111" i="62" s="1"/>
  <c r="C101" i="62"/>
  <c r="C111" i="62" s="1"/>
  <c r="F84" i="62"/>
  <c r="O114" i="62" s="1"/>
  <c r="R114" i="62" s="1"/>
  <c r="E84" i="62"/>
  <c r="D84" i="62"/>
  <c r="C84" i="62"/>
  <c r="O111" i="62" s="1"/>
  <c r="R111" i="62" s="1"/>
  <c r="J83" i="62"/>
  <c r="J84" i="62" s="1"/>
  <c r="I83" i="62"/>
  <c r="I84" i="62" s="1"/>
  <c r="H83" i="62"/>
  <c r="H84" i="62" s="1"/>
  <c r="G83" i="62"/>
  <c r="G84" i="62" s="1"/>
  <c r="F120" i="62"/>
  <c r="V114" i="62" s="1"/>
  <c r="E120" i="62"/>
  <c r="V113" i="62" s="1"/>
  <c r="D120" i="62"/>
  <c r="V112" i="62" s="1"/>
  <c r="C120" i="62"/>
  <c r="V111" i="62" s="1"/>
  <c r="D118" i="62"/>
  <c r="D119" i="62" s="1"/>
  <c r="AD114" i="62"/>
  <c r="AC114" i="62"/>
  <c r="AB114" i="62"/>
  <c r="AA114" i="62"/>
  <c r="Z114" i="62"/>
  <c r="T114" i="62"/>
  <c r="P114" i="62"/>
  <c r="AD113" i="62"/>
  <c r="AC113" i="62"/>
  <c r="AB113" i="62"/>
  <c r="AA113" i="62"/>
  <c r="Z113" i="62"/>
  <c r="T113" i="62"/>
  <c r="P113" i="62"/>
  <c r="AD112" i="62"/>
  <c r="AC112" i="62"/>
  <c r="AB112" i="62"/>
  <c r="AA112" i="62"/>
  <c r="Z112" i="62"/>
  <c r="T112" i="62"/>
  <c r="P112" i="62"/>
  <c r="AD111" i="62"/>
  <c r="AC111" i="62"/>
  <c r="AB111" i="62"/>
  <c r="AA111" i="62"/>
  <c r="Z111" i="62"/>
  <c r="T111" i="62"/>
  <c r="P111" i="62"/>
  <c r="Q111" i="62" s="1"/>
  <c r="P83" i="62"/>
  <c r="AE83" i="62" s="1"/>
  <c r="O113" i="62"/>
  <c r="R113" i="62" s="1"/>
  <c r="AQ14" i="62"/>
  <c r="AC14" i="62"/>
  <c r="Y14" i="62"/>
  <c r="W14" i="62"/>
  <c r="U14" i="62"/>
  <c r="F39" i="62"/>
  <c r="E39" i="62"/>
  <c r="D39" i="62"/>
  <c r="C39" i="62"/>
  <c r="F34" i="62"/>
  <c r="E34" i="62"/>
  <c r="E33" i="62" s="1"/>
  <c r="D34" i="62"/>
  <c r="D33" i="62" s="1"/>
  <c r="D49" i="62" s="1"/>
  <c r="W40" i="62" s="1"/>
  <c r="C34" i="62"/>
  <c r="P34" i="62" s="1"/>
  <c r="F33" i="62"/>
  <c r="C12" i="62"/>
  <c r="O39" i="62" s="1"/>
  <c r="R39" i="62" s="1"/>
  <c r="I11" i="62"/>
  <c r="I12" i="62" s="1"/>
  <c r="H11" i="62"/>
  <c r="H12" i="62" s="1"/>
  <c r="G11" i="62"/>
  <c r="G12" i="62" s="1"/>
  <c r="F11" i="62"/>
  <c r="F12" i="62" s="1"/>
  <c r="O42" i="62" s="1"/>
  <c r="E11" i="62"/>
  <c r="E12" i="62" s="1"/>
  <c r="O41" i="62" s="1"/>
  <c r="D11" i="62"/>
  <c r="D12" i="62" s="1"/>
  <c r="AI18" i="64"/>
  <c r="AI17" i="64"/>
  <c r="AI16" i="64"/>
  <c r="AI15" i="64"/>
  <c r="AS14" i="64"/>
  <c r="AQ14" i="64"/>
  <c r="AO14" i="64"/>
  <c r="AM14" i="64"/>
  <c r="AK14" i="64"/>
  <c r="AI14" i="64"/>
  <c r="AI13" i="64"/>
  <c r="AI12" i="64"/>
  <c r="AI11" i="64"/>
  <c r="C66" i="64"/>
  <c r="F34" i="64"/>
  <c r="F33" i="64" s="1"/>
  <c r="E34" i="64"/>
  <c r="E33" i="64" s="1"/>
  <c r="D34" i="64"/>
  <c r="D33" i="64" s="1"/>
  <c r="D49" i="64" s="1"/>
  <c r="W40" i="64" s="1"/>
  <c r="C34" i="64"/>
  <c r="C33" i="64"/>
  <c r="C49" i="64" s="1"/>
  <c r="W39" i="64" s="1"/>
  <c r="AI18" i="65"/>
  <c r="AI17" i="65"/>
  <c r="AI16" i="65"/>
  <c r="AI15" i="65"/>
  <c r="AS14" i="65"/>
  <c r="AQ14" i="65"/>
  <c r="AO14" i="65"/>
  <c r="AM14" i="65"/>
  <c r="AK14" i="65"/>
  <c r="AI14" i="65"/>
  <c r="AI13" i="65"/>
  <c r="AI12" i="65"/>
  <c r="AI11" i="65"/>
  <c r="F45" i="65"/>
  <c r="E45" i="65"/>
  <c r="D45" i="65"/>
  <c r="C45" i="65"/>
  <c r="F34" i="65"/>
  <c r="F33" i="65" s="1"/>
  <c r="F49" i="65" s="1"/>
  <c r="W42" i="65" s="1"/>
  <c r="E34" i="65"/>
  <c r="D34" i="65"/>
  <c r="D33" i="65" s="1"/>
  <c r="D49" i="65" s="1"/>
  <c r="W40" i="65" s="1"/>
  <c r="C34" i="65"/>
  <c r="C33" i="65" s="1"/>
  <c r="C49" i="65" s="1"/>
  <c r="W39" i="65" s="1"/>
  <c r="E33" i="65"/>
  <c r="AS19" i="66"/>
  <c r="AQ19" i="66"/>
  <c r="AO19" i="66"/>
  <c r="AM19" i="66"/>
  <c r="AK19" i="66"/>
  <c r="AC19" i="66"/>
  <c r="AA19" i="66"/>
  <c r="Y19" i="66"/>
  <c r="W19" i="66"/>
  <c r="U19" i="66"/>
  <c r="F34" i="66"/>
  <c r="F33" i="66" s="1"/>
  <c r="F49" i="66" s="1"/>
  <c r="W42" i="66" s="1"/>
  <c r="E34" i="66"/>
  <c r="D34" i="66"/>
  <c r="D33" i="66" s="1"/>
  <c r="C34" i="66"/>
  <c r="C33" i="66" s="1"/>
  <c r="C49" i="66" s="1"/>
  <c r="W39" i="66" s="1"/>
  <c r="E33" i="66"/>
  <c r="J12" i="66"/>
  <c r="I12" i="66"/>
  <c r="H12" i="66"/>
  <c r="G12" i="66"/>
  <c r="F12" i="66"/>
  <c r="E12" i="66"/>
  <c r="D12" i="66"/>
  <c r="C12" i="66"/>
  <c r="O39" i="66" s="1"/>
  <c r="R39" i="66" s="1"/>
  <c r="F48" i="66"/>
  <c r="E48" i="66"/>
  <c r="V41" i="66" s="1"/>
  <c r="D48" i="66"/>
  <c r="C48" i="66"/>
  <c r="F47" i="66"/>
  <c r="F46" i="66"/>
  <c r="E46" i="66"/>
  <c r="E47" i="66" s="1"/>
  <c r="D46" i="66"/>
  <c r="D47" i="66" s="1"/>
  <c r="C46" i="66"/>
  <c r="C47" i="66" s="1"/>
  <c r="AD42" i="66"/>
  <c r="AC42" i="66"/>
  <c r="AB42" i="66"/>
  <c r="AA42" i="66"/>
  <c r="Z42" i="66"/>
  <c r="V42" i="66"/>
  <c r="U42" i="66"/>
  <c r="T42" i="66"/>
  <c r="P42" i="66"/>
  <c r="AD41" i="66"/>
  <c r="AC41" i="66"/>
  <c r="AB41" i="66"/>
  <c r="AA41" i="66"/>
  <c r="Z41" i="66"/>
  <c r="T41" i="66"/>
  <c r="P41" i="66"/>
  <c r="AD40" i="66"/>
  <c r="AC40" i="66"/>
  <c r="AB40" i="66"/>
  <c r="AA40" i="66"/>
  <c r="Z40" i="66"/>
  <c r="V40" i="66"/>
  <c r="T40" i="66"/>
  <c r="P40" i="66"/>
  <c r="AD39" i="66"/>
  <c r="AC39" i="66"/>
  <c r="AB39" i="66"/>
  <c r="AA39" i="66"/>
  <c r="Z39" i="66"/>
  <c r="V39" i="66"/>
  <c r="U39" i="66"/>
  <c r="T39" i="66"/>
  <c r="P39" i="66"/>
  <c r="P34" i="66"/>
  <c r="P11" i="66"/>
  <c r="AF11" i="66" s="1"/>
  <c r="B2" i="66"/>
  <c r="F48" i="65"/>
  <c r="V42" i="65" s="1"/>
  <c r="E48" i="65"/>
  <c r="V41" i="65" s="1"/>
  <c r="D48" i="65"/>
  <c r="C48" i="65"/>
  <c r="F46" i="65"/>
  <c r="F47" i="65" s="1"/>
  <c r="E46" i="65"/>
  <c r="E47" i="65" s="1"/>
  <c r="D46" i="65"/>
  <c r="D47" i="65" s="1"/>
  <c r="C46" i="65"/>
  <c r="C47" i="65" s="1"/>
  <c r="AD42" i="65"/>
  <c r="AC42" i="65"/>
  <c r="AB42" i="65"/>
  <c r="AA42" i="65"/>
  <c r="Z42" i="65"/>
  <c r="T42" i="65"/>
  <c r="P42" i="65"/>
  <c r="AD41" i="65"/>
  <c r="AC41" i="65"/>
  <c r="AB41" i="65"/>
  <c r="AA41" i="65"/>
  <c r="Z41" i="65"/>
  <c r="T41" i="65"/>
  <c r="P41" i="65"/>
  <c r="AD40" i="65"/>
  <c r="AC40" i="65"/>
  <c r="AB40" i="65"/>
  <c r="AA40" i="65"/>
  <c r="Z40" i="65"/>
  <c r="V40" i="65"/>
  <c r="U40" i="65"/>
  <c r="T40" i="65"/>
  <c r="P40" i="65"/>
  <c r="AD39" i="65"/>
  <c r="AC39" i="65"/>
  <c r="AB39" i="65"/>
  <c r="AA39" i="65"/>
  <c r="V39" i="65"/>
  <c r="U39" i="65"/>
  <c r="T39" i="65"/>
  <c r="P39" i="65"/>
  <c r="O39" i="65"/>
  <c r="R39" i="65" s="1"/>
  <c r="E49" i="65"/>
  <c r="W41" i="65" s="1"/>
  <c r="O42" i="65"/>
  <c r="R42" i="65" s="1"/>
  <c r="O41" i="65"/>
  <c r="R41" i="65" s="1"/>
  <c r="O40" i="65"/>
  <c r="R40" i="65" s="1"/>
  <c r="P11" i="65"/>
  <c r="AF11" i="65" s="1"/>
  <c r="B2" i="65"/>
  <c r="F48" i="64"/>
  <c r="V42" i="64" s="1"/>
  <c r="E48" i="64"/>
  <c r="V41" i="64" s="1"/>
  <c r="D48" i="64"/>
  <c r="V40" i="64" s="1"/>
  <c r="C48" i="64"/>
  <c r="V39" i="64" s="1"/>
  <c r="F46" i="64"/>
  <c r="U42" i="64" s="1"/>
  <c r="E46" i="64"/>
  <c r="E47" i="64" s="1"/>
  <c r="D46" i="64"/>
  <c r="D47" i="64" s="1"/>
  <c r="C46" i="64"/>
  <c r="C47" i="64" s="1"/>
  <c r="AD42" i="64"/>
  <c r="AC42" i="64"/>
  <c r="AB42" i="64"/>
  <c r="AA42" i="64"/>
  <c r="Z42" i="64"/>
  <c r="T42" i="64"/>
  <c r="P42" i="64"/>
  <c r="AD41" i="64"/>
  <c r="AC41" i="64"/>
  <c r="AB41" i="64"/>
  <c r="AA41" i="64"/>
  <c r="Z41" i="64"/>
  <c r="U41" i="64"/>
  <c r="T41" i="64"/>
  <c r="P41" i="64"/>
  <c r="AD40" i="64"/>
  <c r="AC40" i="64"/>
  <c r="AB40" i="64"/>
  <c r="AA40" i="64"/>
  <c r="Z40" i="64"/>
  <c r="U40" i="64"/>
  <c r="T40" i="64"/>
  <c r="P40" i="64"/>
  <c r="AD39" i="64"/>
  <c r="AC39" i="64"/>
  <c r="AB39" i="64"/>
  <c r="AA39" i="64"/>
  <c r="Z39" i="64"/>
  <c r="U39" i="64"/>
  <c r="T39" i="64"/>
  <c r="P39" i="64"/>
  <c r="P34" i="64"/>
  <c r="O39" i="64"/>
  <c r="R39" i="64" s="1"/>
  <c r="P11" i="64"/>
  <c r="AF11" i="64" s="1"/>
  <c r="B2" i="64"/>
  <c r="F48" i="63"/>
  <c r="V42" i="63" s="1"/>
  <c r="E48" i="63"/>
  <c r="V41" i="63" s="1"/>
  <c r="D48" i="63"/>
  <c r="C48" i="63"/>
  <c r="V39" i="63" s="1"/>
  <c r="D47" i="63"/>
  <c r="F47" i="63"/>
  <c r="E47" i="63"/>
  <c r="C47" i="63"/>
  <c r="AD42" i="63"/>
  <c r="AC42" i="63"/>
  <c r="AB42" i="63"/>
  <c r="AA42" i="63"/>
  <c r="Z42" i="63"/>
  <c r="U42" i="63"/>
  <c r="T42" i="63"/>
  <c r="P42" i="63"/>
  <c r="AD41" i="63"/>
  <c r="AC41" i="63"/>
  <c r="AB41" i="63"/>
  <c r="AA41" i="63"/>
  <c r="Z41" i="63"/>
  <c r="T41" i="63"/>
  <c r="P41" i="63"/>
  <c r="AD40" i="63"/>
  <c r="AC40" i="63"/>
  <c r="AB40" i="63"/>
  <c r="AA40" i="63"/>
  <c r="Z40" i="63"/>
  <c r="V40" i="63"/>
  <c r="U40" i="63"/>
  <c r="T40" i="63"/>
  <c r="P40" i="63"/>
  <c r="AD39" i="63"/>
  <c r="AC39" i="63"/>
  <c r="AB39" i="63"/>
  <c r="AA39" i="63"/>
  <c r="Z39" i="63"/>
  <c r="T39" i="63"/>
  <c r="P39" i="63"/>
  <c r="F39" i="63"/>
  <c r="E39" i="63"/>
  <c r="D39" i="63"/>
  <c r="C39" i="63"/>
  <c r="E35" i="63"/>
  <c r="F34" i="63"/>
  <c r="F33" i="63" s="1"/>
  <c r="E34" i="63"/>
  <c r="D34" i="63"/>
  <c r="D33" i="63" s="1"/>
  <c r="D49" i="63" s="1"/>
  <c r="W40" i="63" s="1"/>
  <c r="C34" i="63"/>
  <c r="P34" i="63" s="1"/>
  <c r="AC14" i="63"/>
  <c r="AA14" i="63"/>
  <c r="Y14" i="63"/>
  <c r="W14" i="63"/>
  <c r="U14" i="63"/>
  <c r="F12" i="63"/>
  <c r="E12" i="63"/>
  <c r="D12" i="63"/>
  <c r="C12" i="63"/>
  <c r="AF11" i="63"/>
  <c r="P11" i="63"/>
  <c r="J11" i="63"/>
  <c r="J12" i="63" s="1"/>
  <c r="I11" i="63"/>
  <c r="I12" i="63" s="1"/>
  <c r="H11" i="63"/>
  <c r="H12" i="63" s="1"/>
  <c r="G11" i="63"/>
  <c r="G12" i="63" s="1"/>
  <c r="B2" i="63"/>
  <c r="F48" i="62"/>
  <c r="V42" i="62" s="1"/>
  <c r="E48" i="62"/>
  <c r="V41" i="62" s="1"/>
  <c r="D48" i="62"/>
  <c r="V40" i="62" s="1"/>
  <c r="C48" i="62"/>
  <c r="V39" i="62" s="1"/>
  <c r="F46" i="62"/>
  <c r="F47" i="62" s="1"/>
  <c r="E46" i="62"/>
  <c r="E47" i="62" s="1"/>
  <c r="D46" i="62"/>
  <c r="D47" i="62" s="1"/>
  <c r="C46" i="62"/>
  <c r="C47" i="62" s="1"/>
  <c r="AD42" i="62"/>
  <c r="AC42" i="62"/>
  <c r="AB42" i="62"/>
  <c r="AA42" i="62"/>
  <c r="Z42" i="62"/>
  <c r="T42" i="62"/>
  <c r="P42" i="62"/>
  <c r="AD41" i="62"/>
  <c r="AC41" i="62"/>
  <c r="AB41" i="62"/>
  <c r="AA41" i="62"/>
  <c r="Z41" i="62"/>
  <c r="T41" i="62"/>
  <c r="P41" i="62"/>
  <c r="AD40" i="62"/>
  <c r="AC40" i="62"/>
  <c r="AB40" i="62"/>
  <c r="AA40" i="62"/>
  <c r="Z40" i="62"/>
  <c r="T40" i="62"/>
  <c r="P40" i="62"/>
  <c r="AD39" i="62"/>
  <c r="AC39" i="62"/>
  <c r="AB39" i="62"/>
  <c r="AA39" i="62"/>
  <c r="Z39" i="62"/>
  <c r="T39" i="62"/>
  <c r="P39" i="62"/>
  <c r="P11" i="62"/>
  <c r="AF11" i="62" s="1"/>
  <c r="B2" i="62"/>
  <c r="O121" i="55"/>
  <c r="O120" i="55"/>
  <c r="O119" i="55"/>
  <c r="O118" i="55"/>
  <c r="O42" i="55"/>
  <c r="R42" i="55" s="1"/>
  <c r="O41" i="55"/>
  <c r="R41" i="55" s="1"/>
  <c r="O40" i="55"/>
  <c r="R40" i="55" s="1"/>
  <c r="O39" i="55"/>
  <c r="O42" i="57"/>
  <c r="R42" i="57" s="1"/>
  <c r="O41" i="57"/>
  <c r="R41" i="57" s="1"/>
  <c r="O40" i="57"/>
  <c r="R40" i="57" s="1"/>
  <c r="O39" i="57"/>
  <c r="R39" i="57" s="1"/>
  <c r="O348" i="56"/>
  <c r="O347" i="56"/>
  <c r="R347" i="56" s="1"/>
  <c r="O346" i="56"/>
  <c r="R346" i="56" s="1"/>
  <c r="O345" i="56"/>
  <c r="R345" i="56" s="1"/>
  <c r="F49" i="57"/>
  <c r="W42" i="57" s="1"/>
  <c r="F46" i="57"/>
  <c r="F47" i="57" s="1"/>
  <c r="E46" i="57"/>
  <c r="E47" i="57" s="1"/>
  <c r="D46" i="57"/>
  <c r="D47" i="57" s="1"/>
  <c r="C46" i="57"/>
  <c r="C47" i="57" s="1"/>
  <c r="AD42" i="57"/>
  <c r="AC42" i="57"/>
  <c r="AB42" i="57"/>
  <c r="AA42" i="57"/>
  <c r="Z42" i="57"/>
  <c r="T42" i="57"/>
  <c r="P42" i="57"/>
  <c r="AD41" i="57"/>
  <c r="AC41" i="57"/>
  <c r="AB41" i="57"/>
  <c r="AA41" i="57"/>
  <c r="Z41" i="57"/>
  <c r="T41" i="57"/>
  <c r="P41" i="57"/>
  <c r="AD40" i="57"/>
  <c r="AC40" i="57"/>
  <c r="AB40" i="57"/>
  <c r="AA40" i="57"/>
  <c r="Z40" i="57"/>
  <c r="U40" i="57"/>
  <c r="T40" i="57"/>
  <c r="P40" i="57"/>
  <c r="AD39" i="57"/>
  <c r="AC39" i="57"/>
  <c r="AB39" i="57"/>
  <c r="AA39" i="57"/>
  <c r="Z39" i="57"/>
  <c r="T39" i="57"/>
  <c r="P39" i="57"/>
  <c r="P34" i="57"/>
  <c r="F33" i="57"/>
  <c r="E33" i="57"/>
  <c r="E49" i="57" s="1"/>
  <c r="W41" i="57" s="1"/>
  <c r="D33" i="57"/>
  <c r="D49" i="57" s="1"/>
  <c r="W40" i="57" s="1"/>
  <c r="C33" i="57"/>
  <c r="C49" i="57" s="1"/>
  <c r="W39" i="57" s="1"/>
  <c r="F32" i="57"/>
  <c r="F48" i="57" s="1"/>
  <c r="V42" i="57" s="1"/>
  <c r="E32" i="57"/>
  <c r="E48" i="57" s="1"/>
  <c r="V41" i="57" s="1"/>
  <c r="D32" i="57"/>
  <c r="D48" i="57" s="1"/>
  <c r="V40" i="57" s="1"/>
  <c r="C32" i="57"/>
  <c r="C48" i="57" s="1"/>
  <c r="V39" i="57" s="1"/>
  <c r="P11" i="57"/>
  <c r="AF11" i="57" s="1"/>
  <c r="F352" i="56"/>
  <c r="U348" i="56" s="1"/>
  <c r="E352" i="56"/>
  <c r="U347" i="56" s="1"/>
  <c r="D352" i="56"/>
  <c r="U346" i="56" s="1"/>
  <c r="C352" i="56"/>
  <c r="C353" i="56" s="1"/>
  <c r="AD348" i="56"/>
  <c r="AC348" i="56"/>
  <c r="AB348" i="56"/>
  <c r="AA348" i="56"/>
  <c r="Z348" i="56"/>
  <c r="T348" i="56"/>
  <c r="R348" i="56"/>
  <c r="P348" i="56"/>
  <c r="AD347" i="56"/>
  <c r="AC347" i="56"/>
  <c r="AB347" i="56"/>
  <c r="AA347" i="56"/>
  <c r="Z347" i="56"/>
  <c r="T347" i="56"/>
  <c r="P347" i="56"/>
  <c r="AD346" i="56"/>
  <c r="AC346" i="56"/>
  <c r="AB346" i="56"/>
  <c r="AA346" i="56"/>
  <c r="Z346" i="56"/>
  <c r="T346" i="56"/>
  <c r="P346" i="56"/>
  <c r="AD345" i="56"/>
  <c r="AC345" i="56"/>
  <c r="AB345" i="56"/>
  <c r="AA345" i="56"/>
  <c r="Z345" i="56"/>
  <c r="T345" i="56"/>
  <c r="P345" i="56"/>
  <c r="F340" i="56"/>
  <c r="F339" i="56" s="1"/>
  <c r="F355" i="56" s="1"/>
  <c r="W348" i="56" s="1"/>
  <c r="E340" i="56"/>
  <c r="D340" i="56"/>
  <c r="D339" i="56" s="1"/>
  <c r="D355" i="56" s="1"/>
  <c r="W346" i="56" s="1"/>
  <c r="C340" i="56"/>
  <c r="P340" i="56" s="1"/>
  <c r="E339" i="56"/>
  <c r="E355" i="56" s="1"/>
  <c r="W347" i="56" s="1"/>
  <c r="F338" i="56"/>
  <c r="F354" i="56" s="1"/>
  <c r="V348" i="56" s="1"/>
  <c r="E338" i="56"/>
  <c r="E354" i="56" s="1"/>
  <c r="V347" i="56" s="1"/>
  <c r="D338" i="56"/>
  <c r="D354" i="56" s="1"/>
  <c r="V346" i="56" s="1"/>
  <c r="C338" i="56"/>
  <c r="C354" i="56" s="1"/>
  <c r="V345" i="56" s="1"/>
  <c r="V331" i="56"/>
  <c r="U331" i="56"/>
  <c r="T331" i="56"/>
  <c r="AH317" i="56"/>
  <c r="P317" i="56"/>
  <c r="AE317" i="56" s="1"/>
  <c r="AD282" i="56"/>
  <c r="AC282" i="56"/>
  <c r="AB282" i="56"/>
  <c r="AA282" i="56"/>
  <c r="Z282" i="56"/>
  <c r="T282" i="56"/>
  <c r="P282" i="56"/>
  <c r="AD281" i="56"/>
  <c r="AC281" i="56"/>
  <c r="AB281" i="56"/>
  <c r="AA281" i="56"/>
  <c r="Z281" i="56"/>
  <c r="T281" i="56"/>
  <c r="P281" i="56"/>
  <c r="AD280" i="56"/>
  <c r="AC280" i="56"/>
  <c r="AB280" i="56"/>
  <c r="AA280" i="56"/>
  <c r="Z280" i="56"/>
  <c r="T280" i="56"/>
  <c r="P280" i="56"/>
  <c r="AD279" i="56"/>
  <c r="AC279" i="56"/>
  <c r="AB279" i="56"/>
  <c r="AA279" i="56"/>
  <c r="Z279" i="56"/>
  <c r="T279" i="56"/>
  <c r="P279" i="56"/>
  <c r="F274" i="56"/>
  <c r="E274" i="56"/>
  <c r="D274" i="56"/>
  <c r="C274" i="56"/>
  <c r="F273" i="56"/>
  <c r="F289" i="56" s="1"/>
  <c r="W282" i="56" s="1"/>
  <c r="E273" i="56"/>
  <c r="E289" i="56" s="1"/>
  <c r="W281" i="56" s="1"/>
  <c r="D273" i="56"/>
  <c r="C273" i="56"/>
  <c r="C289" i="56" s="1"/>
  <c r="W279" i="56" s="1"/>
  <c r="F272" i="56"/>
  <c r="F288" i="56" s="1"/>
  <c r="V282" i="56" s="1"/>
  <c r="E272" i="56"/>
  <c r="E288" i="56" s="1"/>
  <c r="V281" i="56" s="1"/>
  <c r="D272" i="56"/>
  <c r="D288" i="56" s="1"/>
  <c r="V280" i="56" s="1"/>
  <c r="C272" i="56"/>
  <c r="C288" i="56" s="1"/>
  <c r="V279" i="56" s="1"/>
  <c r="F271" i="56"/>
  <c r="E271" i="56"/>
  <c r="D271" i="56"/>
  <c r="C271" i="56"/>
  <c r="F269" i="56"/>
  <c r="F286" i="56" s="1"/>
  <c r="U282" i="56" s="1"/>
  <c r="E269" i="56"/>
  <c r="E286" i="56" s="1"/>
  <c r="U281" i="56" s="1"/>
  <c r="D269" i="56"/>
  <c r="D286" i="56" s="1"/>
  <c r="C269" i="56"/>
  <c r="C286" i="56" s="1"/>
  <c r="V265" i="56"/>
  <c r="U265" i="56"/>
  <c r="T265" i="56"/>
  <c r="AR254" i="56"/>
  <c r="AP254" i="56"/>
  <c r="AN254" i="56"/>
  <c r="AL254" i="56"/>
  <c r="AJ254" i="56"/>
  <c r="J252" i="56"/>
  <c r="I252" i="56"/>
  <c r="H252" i="56"/>
  <c r="G252" i="56"/>
  <c r="F252" i="56"/>
  <c r="O282" i="56" s="1"/>
  <c r="E252" i="56"/>
  <c r="O281" i="56" s="1"/>
  <c r="D252" i="56"/>
  <c r="O280" i="56" s="1"/>
  <c r="C252" i="56"/>
  <c r="O279" i="56" s="1"/>
  <c r="AE251" i="56"/>
  <c r="C207" i="56"/>
  <c r="C208" i="56" s="1"/>
  <c r="AD203" i="56"/>
  <c r="AC203" i="56"/>
  <c r="AB203" i="56"/>
  <c r="AA203" i="56"/>
  <c r="Z203" i="56"/>
  <c r="T203" i="56"/>
  <c r="P203" i="56"/>
  <c r="AD202" i="56"/>
  <c r="AC202" i="56"/>
  <c r="AB202" i="56"/>
  <c r="AA202" i="56"/>
  <c r="Z202" i="56"/>
  <c r="T202" i="56"/>
  <c r="P202" i="56"/>
  <c r="AD201" i="56"/>
  <c r="AC201" i="56"/>
  <c r="AB201" i="56"/>
  <c r="AA201" i="56"/>
  <c r="Z201" i="56"/>
  <c r="T201" i="56"/>
  <c r="P201" i="56"/>
  <c r="AD200" i="56"/>
  <c r="AC200" i="56"/>
  <c r="AB200" i="56"/>
  <c r="AA200" i="56"/>
  <c r="Z200" i="56"/>
  <c r="T200" i="56"/>
  <c r="P200" i="56"/>
  <c r="F195" i="56"/>
  <c r="E195" i="56"/>
  <c r="D195" i="56"/>
  <c r="C195" i="56"/>
  <c r="P195" i="56" s="1"/>
  <c r="F194" i="56"/>
  <c r="F210" i="56" s="1"/>
  <c r="W203" i="56" s="1"/>
  <c r="E194" i="56"/>
  <c r="E210" i="56" s="1"/>
  <c r="W202" i="56" s="1"/>
  <c r="D194" i="56"/>
  <c r="D210" i="56" s="1"/>
  <c r="W201" i="56" s="1"/>
  <c r="C194" i="56"/>
  <c r="P194" i="56" s="1"/>
  <c r="F193" i="56"/>
  <c r="F209" i="56" s="1"/>
  <c r="V203" i="56" s="1"/>
  <c r="E193" i="56"/>
  <c r="E209" i="56" s="1"/>
  <c r="V202" i="56" s="1"/>
  <c r="D193" i="56"/>
  <c r="D209" i="56" s="1"/>
  <c r="V201" i="56" s="1"/>
  <c r="C193" i="56"/>
  <c r="C209" i="56" s="1"/>
  <c r="V200" i="56" s="1"/>
  <c r="F192" i="56"/>
  <c r="E192" i="56"/>
  <c r="D192" i="56"/>
  <c r="C192" i="56"/>
  <c r="F190" i="56"/>
  <c r="F207" i="56" s="1"/>
  <c r="E190" i="56"/>
  <c r="E207" i="56" s="1"/>
  <c r="D190" i="56"/>
  <c r="D207" i="56" s="1"/>
  <c r="D208" i="56" s="1"/>
  <c r="C190" i="56"/>
  <c r="V186" i="56"/>
  <c r="U186" i="56"/>
  <c r="T186" i="56"/>
  <c r="AR175" i="56"/>
  <c r="AP175" i="56"/>
  <c r="AN175" i="56"/>
  <c r="AL175" i="56"/>
  <c r="AJ175" i="56"/>
  <c r="J173" i="56"/>
  <c r="I173" i="56"/>
  <c r="H173" i="56"/>
  <c r="G173" i="56"/>
  <c r="C173" i="56"/>
  <c r="O200" i="56" s="1"/>
  <c r="AE172" i="56"/>
  <c r="D172" i="56"/>
  <c r="E172" i="56" s="1"/>
  <c r="E173" i="56" s="1"/>
  <c r="O202" i="56" s="1"/>
  <c r="F125" i="56"/>
  <c r="F126" i="56" s="1"/>
  <c r="E125" i="56"/>
  <c r="E126" i="56" s="1"/>
  <c r="D125" i="56"/>
  <c r="D126" i="56" s="1"/>
  <c r="C125" i="56"/>
  <c r="C126" i="56" s="1"/>
  <c r="AD121" i="56"/>
  <c r="AC121" i="56"/>
  <c r="AB121" i="56"/>
  <c r="AA121" i="56"/>
  <c r="Z121" i="56"/>
  <c r="U121" i="56"/>
  <c r="T121" i="56"/>
  <c r="P121" i="56"/>
  <c r="AD120" i="56"/>
  <c r="AC120" i="56"/>
  <c r="AB120" i="56"/>
  <c r="AA120" i="56"/>
  <c r="Z120" i="56"/>
  <c r="T120" i="56"/>
  <c r="P120" i="56"/>
  <c r="AD119" i="56"/>
  <c r="AC119" i="56"/>
  <c r="AB119" i="56"/>
  <c r="AA119" i="56"/>
  <c r="Z119" i="56"/>
  <c r="U119" i="56"/>
  <c r="T119" i="56"/>
  <c r="P119" i="56"/>
  <c r="AD118" i="56"/>
  <c r="AC118" i="56"/>
  <c r="AB118" i="56"/>
  <c r="AA118" i="56"/>
  <c r="Z118" i="56"/>
  <c r="T118" i="56"/>
  <c r="P118" i="56"/>
  <c r="F113" i="56"/>
  <c r="E113" i="56"/>
  <c r="D113" i="56"/>
  <c r="C113" i="56"/>
  <c r="P113" i="56" s="1"/>
  <c r="F112" i="56"/>
  <c r="F128" i="56" s="1"/>
  <c r="W121" i="56" s="1"/>
  <c r="E112" i="56"/>
  <c r="E128" i="56" s="1"/>
  <c r="W120" i="56" s="1"/>
  <c r="D112" i="56"/>
  <c r="D128" i="56" s="1"/>
  <c r="W119" i="56" s="1"/>
  <c r="C112" i="56"/>
  <c r="P112" i="56" s="1"/>
  <c r="F111" i="56"/>
  <c r="F127" i="56" s="1"/>
  <c r="V121" i="56" s="1"/>
  <c r="E111" i="56"/>
  <c r="E127" i="56" s="1"/>
  <c r="V120" i="56" s="1"/>
  <c r="D111" i="56"/>
  <c r="D127" i="56" s="1"/>
  <c r="V119" i="56" s="1"/>
  <c r="C111" i="56"/>
  <c r="C127" i="56" s="1"/>
  <c r="V118" i="56" s="1"/>
  <c r="F110" i="56"/>
  <c r="E110" i="56"/>
  <c r="D110" i="56"/>
  <c r="C110" i="56"/>
  <c r="V104" i="56"/>
  <c r="U104" i="56"/>
  <c r="T104" i="56"/>
  <c r="J91" i="56"/>
  <c r="I91" i="56"/>
  <c r="H91" i="56"/>
  <c r="G91" i="56"/>
  <c r="F91" i="56"/>
  <c r="O121" i="56" s="1"/>
  <c r="E91" i="56"/>
  <c r="O120" i="56" s="1"/>
  <c r="D91" i="56"/>
  <c r="O119" i="56" s="1"/>
  <c r="C91" i="56"/>
  <c r="O118" i="56" s="1"/>
  <c r="P90" i="56"/>
  <c r="AE90" i="56" s="1"/>
  <c r="AD42" i="56"/>
  <c r="AC42" i="56"/>
  <c r="AB42" i="56"/>
  <c r="AA42" i="56"/>
  <c r="Z42" i="56"/>
  <c r="T42" i="56"/>
  <c r="P42" i="56"/>
  <c r="AD41" i="56"/>
  <c r="AC41" i="56"/>
  <c r="AB41" i="56"/>
  <c r="AA41" i="56"/>
  <c r="Z41" i="56"/>
  <c r="T41" i="56"/>
  <c r="P41" i="56"/>
  <c r="AD40" i="56"/>
  <c r="AC40" i="56"/>
  <c r="AB40" i="56"/>
  <c r="AA40" i="56"/>
  <c r="Z40" i="56"/>
  <c r="T40" i="56"/>
  <c r="P40" i="56"/>
  <c r="AD39" i="56"/>
  <c r="AC39" i="56"/>
  <c r="AB39" i="56"/>
  <c r="AA39" i="56"/>
  <c r="Z39" i="56"/>
  <c r="T39" i="56"/>
  <c r="P39" i="56"/>
  <c r="F34" i="56"/>
  <c r="E34" i="56"/>
  <c r="D34" i="56"/>
  <c r="C34" i="56"/>
  <c r="P34" i="56" s="1"/>
  <c r="F33" i="56"/>
  <c r="F35" i="56" s="1"/>
  <c r="E33" i="56"/>
  <c r="D33" i="56"/>
  <c r="D49" i="56" s="1"/>
  <c r="W40" i="56" s="1"/>
  <c r="C33" i="56"/>
  <c r="C49" i="56" s="1"/>
  <c r="W39" i="56" s="1"/>
  <c r="F32" i="56"/>
  <c r="F48" i="56" s="1"/>
  <c r="V42" i="56" s="1"/>
  <c r="E32" i="56"/>
  <c r="E48" i="56" s="1"/>
  <c r="V41" i="56" s="1"/>
  <c r="D32" i="56"/>
  <c r="D48" i="56" s="1"/>
  <c r="V40" i="56" s="1"/>
  <c r="C32" i="56"/>
  <c r="C48" i="56" s="1"/>
  <c r="V39" i="56" s="1"/>
  <c r="F31" i="56"/>
  <c r="E31" i="56"/>
  <c r="D31" i="56"/>
  <c r="C31" i="56"/>
  <c r="F29" i="56"/>
  <c r="F46" i="56" s="1"/>
  <c r="U42" i="56" s="1"/>
  <c r="E29" i="56"/>
  <c r="E46" i="56" s="1"/>
  <c r="D29" i="56"/>
  <c r="D46" i="56" s="1"/>
  <c r="C29" i="56"/>
  <c r="C46" i="56" s="1"/>
  <c r="V25" i="56"/>
  <c r="U25" i="56"/>
  <c r="T25" i="56"/>
  <c r="J12" i="56"/>
  <c r="I12" i="56"/>
  <c r="H12" i="56"/>
  <c r="G12" i="56"/>
  <c r="D12" i="56"/>
  <c r="O40" i="56" s="1"/>
  <c r="C12" i="56"/>
  <c r="O39" i="56" s="1"/>
  <c r="AF11" i="56"/>
  <c r="D11" i="56"/>
  <c r="F11" i="56" s="1"/>
  <c r="F12" i="56" s="1"/>
  <c r="O42" i="56" s="1"/>
  <c r="J10" i="56"/>
  <c r="I10" i="56"/>
  <c r="H10" i="56"/>
  <c r="G10" i="56"/>
  <c r="F10" i="56"/>
  <c r="E10" i="56"/>
  <c r="D10" i="56"/>
  <c r="C10" i="56"/>
  <c r="E128" i="55"/>
  <c r="W120" i="55" s="1"/>
  <c r="F127" i="55"/>
  <c r="V121" i="55" s="1"/>
  <c r="E127" i="55"/>
  <c r="D127" i="55"/>
  <c r="D126" i="55"/>
  <c r="F125" i="55"/>
  <c r="F126" i="55" s="1"/>
  <c r="E125" i="55"/>
  <c r="U120" i="55" s="1"/>
  <c r="D125" i="55"/>
  <c r="C125" i="55"/>
  <c r="C126" i="55" s="1"/>
  <c r="AD121" i="55"/>
  <c r="AC121" i="55"/>
  <c r="AB121" i="55"/>
  <c r="AA121" i="55"/>
  <c r="Z121" i="55"/>
  <c r="T121" i="55"/>
  <c r="R121" i="55"/>
  <c r="P121" i="55"/>
  <c r="AD120" i="55"/>
  <c r="AC120" i="55"/>
  <c r="AB120" i="55"/>
  <c r="AA120" i="55"/>
  <c r="Z120" i="55"/>
  <c r="V120" i="55"/>
  <c r="T120" i="55"/>
  <c r="P120" i="55"/>
  <c r="R120" i="55"/>
  <c r="AD119" i="55"/>
  <c r="AC119" i="55"/>
  <c r="AB119" i="55"/>
  <c r="AA119" i="55"/>
  <c r="Z119" i="55"/>
  <c r="V119" i="55"/>
  <c r="U119" i="55"/>
  <c r="T119" i="55"/>
  <c r="R119" i="55"/>
  <c r="P119" i="55"/>
  <c r="AD118" i="55"/>
  <c r="AC118" i="55"/>
  <c r="AB118" i="55"/>
  <c r="AA118" i="55"/>
  <c r="Z118" i="55"/>
  <c r="T118" i="55"/>
  <c r="P118" i="55"/>
  <c r="R118" i="55"/>
  <c r="P113" i="55"/>
  <c r="F112" i="55"/>
  <c r="F128" i="55" s="1"/>
  <c r="W121" i="55" s="1"/>
  <c r="E112" i="55"/>
  <c r="D112" i="55"/>
  <c r="D128" i="55" s="1"/>
  <c r="W119" i="55" s="1"/>
  <c r="C112" i="55"/>
  <c r="C128" i="55" s="1"/>
  <c r="W118" i="55" s="1"/>
  <c r="C111" i="55"/>
  <c r="C127" i="55" s="1"/>
  <c r="V118" i="55" s="1"/>
  <c r="AE90" i="55"/>
  <c r="F49" i="55"/>
  <c r="W42" i="55" s="1"/>
  <c r="F48" i="55"/>
  <c r="V42" i="55" s="1"/>
  <c r="E48" i="55"/>
  <c r="V41" i="55" s="1"/>
  <c r="D48" i="55"/>
  <c r="V40" i="55" s="1"/>
  <c r="V39" i="55"/>
  <c r="F46" i="55"/>
  <c r="F47" i="55" s="1"/>
  <c r="E46" i="55"/>
  <c r="E47" i="55" s="1"/>
  <c r="D46" i="55"/>
  <c r="D47" i="55" s="1"/>
  <c r="AD42" i="55"/>
  <c r="AC42" i="55"/>
  <c r="AB42" i="55"/>
  <c r="AA42" i="55"/>
  <c r="Z42" i="55"/>
  <c r="U42" i="55"/>
  <c r="T42" i="55"/>
  <c r="P42" i="55"/>
  <c r="AD41" i="55"/>
  <c r="AC41" i="55"/>
  <c r="AB41" i="55"/>
  <c r="AA41" i="55"/>
  <c r="Z41" i="55"/>
  <c r="T41" i="55"/>
  <c r="P41" i="55"/>
  <c r="AD40" i="55"/>
  <c r="AC40" i="55"/>
  <c r="AB40" i="55"/>
  <c r="AA40" i="55"/>
  <c r="Z40" i="55"/>
  <c r="U40" i="55"/>
  <c r="T40" i="55"/>
  <c r="P40" i="55"/>
  <c r="AD39" i="55"/>
  <c r="AC39" i="55"/>
  <c r="AB39" i="55"/>
  <c r="AA39" i="55"/>
  <c r="Z39" i="55"/>
  <c r="T39" i="55"/>
  <c r="P39" i="55"/>
  <c r="R39" i="55"/>
  <c r="P34" i="55"/>
  <c r="F33" i="55"/>
  <c r="E33" i="55"/>
  <c r="E49" i="55" s="1"/>
  <c r="W41" i="55" s="1"/>
  <c r="D33" i="55"/>
  <c r="D49" i="55" s="1"/>
  <c r="W40" i="55" s="1"/>
  <c r="C33" i="55"/>
  <c r="C49" i="55" s="1"/>
  <c r="W39" i="55" s="1"/>
  <c r="V25" i="55"/>
  <c r="U25" i="55"/>
  <c r="T25" i="55"/>
  <c r="P11" i="55"/>
  <c r="AF11" i="55" s="1"/>
  <c r="D50" i="90" l="1"/>
  <c r="D49" i="90"/>
  <c r="D48" i="90"/>
  <c r="D47" i="90"/>
  <c r="D46" i="90"/>
  <c r="D45" i="90"/>
  <c r="D38" i="90"/>
  <c r="D37" i="90"/>
  <c r="D36" i="90"/>
  <c r="D35" i="90"/>
  <c r="D34" i="90"/>
  <c r="D33" i="90"/>
  <c r="D217" i="90" s="1"/>
  <c r="D47" i="82"/>
  <c r="D45" i="82"/>
  <c r="D219" i="82" s="1"/>
  <c r="D48" i="82"/>
  <c r="D50" i="82"/>
  <c r="D46" i="82"/>
  <c r="D49" i="82"/>
  <c r="D33" i="82"/>
  <c r="D217" i="82" s="1"/>
  <c r="D35" i="82"/>
  <c r="D34" i="82"/>
  <c r="D36" i="82"/>
  <c r="D37" i="82"/>
  <c r="D38" i="82"/>
  <c r="D45" i="93"/>
  <c r="D219" i="93" s="1"/>
  <c r="D47" i="93"/>
  <c r="D49" i="93"/>
  <c r="D48" i="93"/>
  <c r="D46" i="93"/>
  <c r="D50" i="93"/>
  <c r="D38" i="93"/>
  <c r="D36" i="93"/>
  <c r="D33" i="93"/>
  <c r="D217" i="93" s="1"/>
  <c r="D34" i="93"/>
  <c r="D35" i="93"/>
  <c r="D37" i="93"/>
  <c r="D50" i="94"/>
  <c r="D49" i="94"/>
  <c r="D48" i="94"/>
  <c r="D47" i="94"/>
  <c r="D46" i="94"/>
  <c r="D45" i="94"/>
  <c r="D219" i="94" s="1"/>
  <c r="D35" i="94"/>
  <c r="D34" i="94"/>
  <c r="D38" i="94"/>
  <c r="D33" i="94"/>
  <c r="D217" i="94" s="1"/>
  <c r="D36" i="94"/>
  <c r="D37" i="94"/>
  <c r="D46" i="91"/>
  <c r="D45" i="91"/>
  <c r="D222" i="91" s="1"/>
  <c r="D48" i="91"/>
  <c r="D49" i="91"/>
  <c r="D50" i="91"/>
  <c r="D47" i="91"/>
  <c r="D34" i="91"/>
  <c r="D33" i="91"/>
  <c r="D220" i="91" s="1"/>
  <c r="D37" i="91"/>
  <c r="D35" i="91"/>
  <c r="D36" i="91"/>
  <c r="D38" i="91"/>
  <c r="D48" i="88"/>
  <c r="D47" i="88"/>
  <c r="D46" i="88"/>
  <c r="D45" i="88"/>
  <c r="D219" i="88" s="1"/>
  <c r="D50" i="88"/>
  <c r="D49" i="88"/>
  <c r="D38" i="88"/>
  <c r="D35" i="88"/>
  <c r="D37" i="88"/>
  <c r="D36" i="88"/>
  <c r="D34" i="88"/>
  <c r="D33" i="88"/>
  <c r="D217" i="88" s="1"/>
  <c r="D46" i="89"/>
  <c r="D49" i="89"/>
  <c r="D45" i="89"/>
  <c r="D219" i="89" s="1"/>
  <c r="D48" i="89"/>
  <c r="D47" i="89"/>
  <c r="D50" i="89"/>
  <c r="D36" i="89"/>
  <c r="D35" i="89"/>
  <c r="D34" i="89"/>
  <c r="D33" i="89"/>
  <c r="D217" i="89" s="1"/>
  <c r="D37" i="89"/>
  <c r="D38" i="89"/>
  <c r="D45" i="74"/>
  <c r="D219" i="74" s="1"/>
  <c r="D48" i="74"/>
  <c r="D49" i="74"/>
  <c r="D47" i="74"/>
  <c r="D46" i="74"/>
  <c r="D50" i="74"/>
  <c r="D37" i="74"/>
  <c r="D33" i="74"/>
  <c r="D217" i="74" s="1"/>
  <c r="D35" i="74"/>
  <c r="D34" i="74"/>
  <c r="D38" i="74"/>
  <c r="D36" i="74"/>
  <c r="D46" i="87"/>
  <c r="D49" i="87"/>
  <c r="D45" i="87"/>
  <c r="D219" i="87" s="1"/>
  <c r="D50" i="87"/>
  <c r="D48" i="87"/>
  <c r="D47" i="87"/>
  <c r="D37" i="87"/>
  <c r="D38" i="87"/>
  <c r="D36" i="87"/>
  <c r="D33" i="87"/>
  <c r="D217" i="87" s="1"/>
  <c r="D35" i="87"/>
  <c r="D34" i="87"/>
  <c r="D38" i="81"/>
  <c r="D33" i="81"/>
  <c r="D217" i="81" s="1"/>
  <c r="D37" i="81"/>
  <c r="D34" i="81"/>
  <c r="D35" i="81"/>
  <c r="D36" i="81"/>
  <c r="D45" i="81"/>
  <c r="D219" i="81" s="1"/>
  <c r="D49" i="81"/>
  <c r="D47" i="81"/>
  <c r="D48" i="81"/>
  <c r="D50" i="81"/>
  <c r="D46" i="81"/>
  <c r="D50" i="84"/>
  <c r="D48" i="84"/>
  <c r="D47" i="84"/>
  <c r="D46" i="84"/>
  <c r="D45" i="84"/>
  <c r="D219" i="84" s="1"/>
  <c r="D49" i="84"/>
  <c r="D34" i="84"/>
  <c r="D33" i="84"/>
  <c r="D217" i="84" s="1"/>
  <c r="D37" i="84"/>
  <c r="D38" i="84"/>
  <c r="D36" i="84"/>
  <c r="D35" i="84"/>
  <c r="D48" i="92"/>
  <c r="D50" i="92"/>
  <c r="D45" i="92"/>
  <c r="D219" i="92" s="1"/>
  <c r="D49" i="92"/>
  <c r="D47" i="92"/>
  <c r="D46" i="92"/>
  <c r="D37" i="92"/>
  <c r="D38" i="92"/>
  <c r="D34" i="92"/>
  <c r="D35" i="92"/>
  <c r="D36" i="92"/>
  <c r="D33" i="92"/>
  <c r="D217" i="92" s="1"/>
  <c r="D46" i="83"/>
  <c r="D45" i="83"/>
  <c r="D219" i="83" s="1"/>
  <c r="D49" i="83"/>
  <c r="D48" i="83"/>
  <c r="D50" i="83"/>
  <c r="D47" i="83"/>
  <c r="D38" i="83"/>
  <c r="D37" i="83"/>
  <c r="D36" i="83"/>
  <c r="D35" i="83"/>
  <c r="D34" i="83"/>
  <c r="D33" i="83"/>
  <c r="D217" i="83" s="1"/>
  <c r="D45" i="85"/>
  <c r="D219" i="85" s="1"/>
  <c r="D49" i="85"/>
  <c r="D47" i="85"/>
  <c r="D50" i="85"/>
  <c r="D48" i="85"/>
  <c r="D46" i="85"/>
  <c r="D33" i="85"/>
  <c r="D217" i="85" s="1"/>
  <c r="D35" i="85"/>
  <c r="D37" i="85"/>
  <c r="D38" i="85"/>
  <c r="D36" i="85"/>
  <c r="D34" i="85"/>
  <c r="D11" i="90"/>
  <c r="D9" i="90"/>
  <c r="D12" i="90"/>
  <c r="D13" i="90"/>
  <c r="D14" i="90"/>
  <c r="D10" i="90"/>
  <c r="D11" i="82"/>
  <c r="D12" i="82"/>
  <c r="D13" i="82"/>
  <c r="D14" i="82"/>
  <c r="D10" i="82"/>
  <c r="D9" i="82"/>
  <c r="D14" i="93"/>
  <c r="D10" i="93"/>
  <c r="D9" i="93"/>
  <c r="D11" i="93"/>
  <c r="D12" i="93"/>
  <c r="D13" i="93"/>
  <c r="D14" i="94"/>
  <c r="D10" i="94"/>
  <c r="D9" i="94"/>
  <c r="D11" i="94"/>
  <c r="D12" i="94"/>
  <c r="D13" i="94"/>
  <c r="D11" i="91"/>
  <c r="D12" i="91"/>
  <c r="D9" i="91"/>
  <c r="D13" i="91"/>
  <c r="D10" i="91"/>
  <c r="D14" i="91"/>
  <c r="D12" i="88"/>
  <c r="D13" i="88"/>
  <c r="D14" i="88"/>
  <c r="D9" i="88"/>
  <c r="D10" i="88"/>
  <c r="D11" i="88"/>
  <c r="D9" i="89"/>
  <c r="D12" i="89"/>
  <c r="D13" i="89"/>
  <c r="D14" i="89"/>
  <c r="D10" i="89"/>
  <c r="D11" i="89"/>
  <c r="D11" i="74"/>
  <c r="D12" i="74"/>
  <c r="D13" i="74"/>
  <c r="D14" i="74"/>
  <c r="D10" i="74"/>
  <c r="D9" i="74"/>
  <c r="D12" i="87"/>
  <c r="D13" i="87"/>
  <c r="D14" i="87"/>
  <c r="D9" i="87"/>
  <c r="D10" i="87"/>
  <c r="D11" i="87"/>
  <c r="D9" i="81"/>
  <c r="D11" i="81"/>
  <c r="D12" i="81"/>
  <c r="D13" i="81"/>
  <c r="D14" i="81"/>
  <c r="D10" i="81"/>
  <c r="D9" i="84"/>
  <c r="D11" i="84"/>
  <c r="D12" i="84"/>
  <c r="D13" i="84"/>
  <c r="D14" i="84"/>
  <c r="D10" i="84"/>
  <c r="D13" i="92"/>
  <c r="D14" i="92"/>
  <c r="D10" i="92"/>
  <c r="D9" i="92"/>
  <c r="D12" i="92"/>
  <c r="D11" i="92"/>
  <c r="D11" i="83"/>
  <c r="D12" i="83"/>
  <c r="D13" i="83"/>
  <c r="D14" i="83"/>
  <c r="D10" i="83"/>
  <c r="D9" i="83"/>
  <c r="D11" i="85"/>
  <c r="D12" i="85"/>
  <c r="D13" i="85"/>
  <c r="D14" i="85"/>
  <c r="D10" i="85"/>
  <c r="D9" i="85"/>
  <c r="Q39" i="71"/>
  <c r="Q39" i="63"/>
  <c r="C47" i="72"/>
  <c r="Q39" i="70"/>
  <c r="P273" i="56"/>
  <c r="D353" i="56"/>
  <c r="P112" i="55"/>
  <c r="C275" i="56"/>
  <c r="F353" i="56"/>
  <c r="O39" i="63"/>
  <c r="R39" i="63" s="1"/>
  <c r="R40" i="63"/>
  <c r="O40" i="63"/>
  <c r="R41" i="63"/>
  <c r="O41" i="63"/>
  <c r="Q118" i="55"/>
  <c r="O42" i="63"/>
  <c r="R42" i="63" s="1"/>
  <c r="U40" i="62"/>
  <c r="Q39" i="65"/>
  <c r="U121" i="55"/>
  <c r="U42" i="62"/>
  <c r="Q118" i="71"/>
  <c r="E114" i="56"/>
  <c r="U40" i="71"/>
  <c r="Q118" i="72"/>
  <c r="P274" i="72"/>
  <c r="AM14" i="63"/>
  <c r="Q279" i="72"/>
  <c r="Y33" i="73"/>
  <c r="Y28" i="73"/>
  <c r="AO14" i="63"/>
  <c r="U42" i="57"/>
  <c r="AQ14" i="63"/>
  <c r="AK14" i="62"/>
  <c r="P33" i="57"/>
  <c r="AM14" i="62"/>
  <c r="AK14" i="63"/>
  <c r="Q39" i="55"/>
  <c r="Q39" i="62"/>
  <c r="AS14" i="63"/>
  <c r="Q39" i="64"/>
  <c r="AS14" i="62"/>
  <c r="Q39" i="68"/>
  <c r="Q39" i="57"/>
  <c r="C33" i="63"/>
  <c r="C49" i="63" s="1"/>
  <c r="W39" i="63" s="1"/>
  <c r="AO14" i="62"/>
  <c r="C128" i="71"/>
  <c r="W118" i="71" s="1"/>
  <c r="Q39" i="72"/>
  <c r="Q200" i="72"/>
  <c r="E126" i="55"/>
  <c r="F111" i="62"/>
  <c r="Q39" i="69"/>
  <c r="P113" i="71"/>
  <c r="U120" i="71"/>
  <c r="Q345" i="56"/>
  <c r="Q39" i="66"/>
  <c r="U206" i="73"/>
  <c r="C211" i="73"/>
  <c r="W204" i="73" s="1"/>
  <c r="P198" i="73"/>
  <c r="P33" i="56"/>
  <c r="C339" i="56"/>
  <c r="C355" i="56" s="1"/>
  <c r="W345" i="56" s="1"/>
  <c r="E353" i="56"/>
  <c r="E196" i="56"/>
  <c r="E275" i="56"/>
  <c r="E11" i="56"/>
  <c r="E12" i="56" s="1"/>
  <c r="O41" i="56" s="1"/>
  <c r="Q118" i="56"/>
  <c r="C35" i="56"/>
  <c r="Q279" i="56"/>
  <c r="E35" i="56"/>
  <c r="D35" i="56"/>
  <c r="F114" i="56"/>
  <c r="Q200" i="56"/>
  <c r="Q39" i="56"/>
  <c r="C33" i="72"/>
  <c r="C49" i="72" s="1"/>
  <c r="W39" i="72" s="1"/>
  <c r="D287" i="72"/>
  <c r="U280" i="72"/>
  <c r="E287" i="72"/>
  <c r="U281" i="72"/>
  <c r="P273" i="72"/>
  <c r="F286" i="72"/>
  <c r="U279" i="72"/>
  <c r="U202" i="72"/>
  <c r="E208" i="72"/>
  <c r="U201" i="72"/>
  <c r="P194" i="72"/>
  <c r="U200" i="72"/>
  <c r="U119" i="72"/>
  <c r="U121" i="72"/>
  <c r="U41" i="72"/>
  <c r="F47" i="72"/>
  <c r="U118" i="72"/>
  <c r="U120" i="72"/>
  <c r="C128" i="72"/>
  <c r="W118" i="72" s="1"/>
  <c r="D275" i="56"/>
  <c r="P274" i="56"/>
  <c r="R282" i="56"/>
  <c r="U201" i="56"/>
  <c r="F196" i="56"/>
  <c r="U42" i="71"/>
  <c r="U39" i="71"/>
  <c r="U41" i="71"/>
  <c r="U42" i="70"/>
  <c r="U40" i="70"/>
  <c r="U41" i="70"/>
  <c r="P33" i="70"/>
  <c r="U39" i="70"/>
  <c r="E47" i="69"/>
  <c r="P33" i="69"/>
  <c r="U39" i="69"/>
  <c r="U39" i="68"/>
  <c r="U41" i="68"/>
  <c r="F119" i="62"/>
  <c r="U114" i="62"/>
  <c r="U112" i="62"/>
  <c r="C118" i="62"/>
  <c r="C119" i="62" s="1"/>
  <c r="E118" i="62"/>
  <c r="U41" i="62" s="1"/>
  <c r="P106" i="62"/>
  <c r="O112" i="62"/>
  <c r="R112" i="62" s="1"/>
  <c r="J11" i="62"/>
  <c r="J12" i="62" s="1"/>
  <c r="C33" i="62"/>
  <c r="C49" i="62" s="1"/>
  <c r="W39" i="62" s="1"/>
  <c r="F47" i="64"/>
  <c r="P34" i="65"/>
  <c r="D49" i="66"/>
  <c r="W40" i="66" s="1"/>
  <c r="E49" i="66"/>
  <c r="W41" i="66" s="1"/>
  <c r="U41" i="66"/>
  <c r="P33" i="66"/>
  <c r="U40" i="66"/>
  <c r="O40" i="66"/>
  <c r="R40" i="66" s="1"/>
  <c r="U42" i="65"/>
  <c r="P33" i="65"/>
  <c r="U41" i="65"/>
  <c r="F49" i="64"/>
  <c r="W42" i="64" s="1"/>
  <c r="E49" i="64"/>
  <c r="W41" i="64" s="1"/>
  <c r="P33" i="64"/>
  <c r="O40" i="64"/>
  <c r="R40" i="64" s="1"/>
  <c r="F49" i="63"/>
  <c r="W42" i="63" s="1"/>
  <c r="E33" i="63"/>
  <c r="E49" i="63" s="1"/>
  <c r="W41" i="63" s="1"/>
  <c r="U39" i="63"/>
  <c r="U41" i="63"/>
  <c r="F49" i="62"/>
  <c r="W42" i="62" s="1"/>
  <c r="E49" i="62"/>
  <c r="W41" i="62" s="1"/>
  <c r="R40" i="62"/>
  <c r="R120" i="56"/>
  <c r="R39" i="56"/>
  <c r="X22" i="73" s="1"/>
  <c r="Y22" i="73" s="1"/>
  <c r="AG30" i="73" s="1"/>
  <c r="U39" i="57"/>
  <c r="U41" i="57"/>
  <c r="U39" i="56"/>
  <c r="C47" i="56"/>
  <c r="U41" i="56"/>
  <c r="E47" i="56"/>
  <c r="E208" i="56"/>
  <c r="U202" i="56"/>
  <c r="U280" i="56"/>
  <c r="D287" i="56"/>
  <c r="D47" i="56"/>
  <c r="U40" i="56"/>
  <c r="C287" i="56"/>
  <c r="U279" i="56"/>
  <c r="U203" i="56"/>
  <c r="F208" i="56"/>
  <c r="R42" i="56"/>
  <c r="X24" i="73" s="1"/>
  <c r="Y24" i="73" s="1"/>
  <c r="R40" i="56"/>
  <c r="X23" i="73" s="1"/>
  <c r="Y23" i="73" s="1"/>
  <c r="D289" i="56"/>
  <c r="W280" i="56" s="1"/>
  <c r="F47" i="56"/>
  <c r="F49" i="56"/>
  <c r="W42" i="56" s="1"/>
  <c r="C114" i="56"/>
  <c r="C196" i="56"/>
  <c r="F275" i="56"/>
  <c r="E287" i="56"/>
  <c r="U118" i="56"/>
  <c r="U120" i="56"/>
  <c r="C128" i="56"/>
  <c r="W118" i="56" s="1"/>
  <c r="D196" i="56"/>
  <c r="U200" i="56"/>
  <c r="C210" i="56"/>
  <c r="W200" i="56" s="1"/>
  <c r="R279" i="56"/>
  <c r="F287" i="56"/>
  <c r="E49" i="56"/>
  <c r="W41" i="56" s="1"/>
  <c r="F172" i="56"/>
  <c r="F173" i="56" s="1"/>
  <c r="O203" i="56" s="1"/>
  <c r="D114" i="56"/>
  <c r="R121" i="56"/>
  <c r="R281" i="56"/>
  <c r="R41" i="56"/>
  <c r="R119" i="56"/>
  <c r="D173" i="56"/>
  <c r="O201" i="56" s="1"/>
  <c r="U345" i="56"/>
  <c r="R118" i="56"/>
  <c r="R280" i="56"/>
  <c r="C47" i="55"/>
  <c r="P33" i="55"/>
  <c r="U41" i="55"/>
  <c r="U118" i="55"/>
  <c r="E215" i="92" l="1"/>
  <c r="E214" i="92"/>
  <c r="E216" i="92"/>
  <c r="D213" i="92"/>
  <c r="E268" i="92"/>
  <c r="E249" i="92"/>
  <c r="E264" i="92"/>
  <c r="E260" i="92"/>
  <c r="E243" i="92"/>
  <c r="E232" i="92"/>
  <c r="E242" i="92"/>
  <c r="E226" i="92"/>
  <c r="E221" i="92"/>
  <c r="E266" i="92"/>
  <c r="E244" i="92"/>
  <c r="E236" i="92"/>
  <c r="E239" i="92"/>
  <c r="E240" i="92"/>
  <c r="E241" i="92"/>
  <c r="E222" i="92"/>
  <c r="E228" i="92"/>
  <c r="E233" i="92"/>
  <c r="E223" i="92"/>
  <c r="E259" i="92"/>
  <c r="E224" i="92"/>
  <c r="E234" i="92"/>
  <c r="E250" i="92"/>
  <c r="E257" i="92"/>
  <c r="E262" i="92"/>
  <c r="E256" i="92"/>
  <c r="E225" i="92"/>
  <c r="E258" i="92"/>
  <c r="E238" i="92"/>
  <c r="E247" i="92"/>
  <c r="E263" i="92"/>
  <c r="E255" i="92"/>
  <c r="E248" i="92"/>
  <c r="E254" i="92"/>
  <c r="E227" i="92"/>
  <c r="E229" i="92"/>
  <c r="E253" i="92"/>
  <c r="E237" i="92"/>
  <c r="E245" i="92"/>
  <c r="E218" i="92"/>
  <c r="E235" i="92"/>
  <c r="E230" i="92"/>
  <c r="E267" i="92"/>
  <c r="E261" i="92"/>
  <c r="E246" i="92"/>
  <c r="E220" i="92"/>
  <c r="E231" i="92"/>
  <c r="E252" i="92"/>
  <c r="E265" i="92"/>
  <c r="E251" i="92"/>
  <c r="C220" i="91"/>
  <c r="E220" i="91"/>
  <c r="E215" i="89"/>
  <c r="E216" i="89"/>
  <c r="D213" i="89"/>
  <c r="E214" i="89"/>
  <c r="E262" i="89"/>
  <c r="E265" i="89"/>
  <c r="E228" i="89"/>
  <c r="E226" i="89"/>
  <c r="E267" i="89"/>
  <c r="E252" i="89"/>
  <c r="E259" i="89"/>
  <c r="E222" i="89"/>
  <c r="E233" i="89"/>
  <c r="E249" i="89"/>
  <c r="E253" i="89"/>
  <c r="E258" i="89"/>
  <c r="E220" i="89"/>
  <c r="E260" i="89"/>
  <c r="E257" i="89"/>
  <c r="E218" i="89"/>
  <c r="E254" i="89"/>
  <c r="E223" i="89"/>
  <c r="E230" i="89"/>
  <c r="E263" i="89"/>
  <c r="E224" i="89"/>
  <c r="E250" i="89"/>
  <c r="E244" i="89"/>
  <c r="E242" i="89"/>
  <c r="E238" i="89"/>
  <c r="E247" i="89"/>
  <c r="E221" i="89"/>
  <c r="E266" i="89"/>
  <c r="E264" i="89"/>
  <c r="E240" i="89"/>
  <c r="E241" i="89"/>
  <c r="E239" i="89"/>
  <c r="E227" i="89"/>
  <c r="E246" i="89"/>
  <c r="E243" i="89"/>
  <c r="E229" i="89"/>
  <c r="E232" i="89"/>
  <c r="E236" i="89"/>
  <c r="E231" i="89"/>
  <c r="E251" i="89"/>
  <c r="E237" i="89"/>
  <c r="E235" i="89"/>
  <c r="E234" i="89"/>
  <c r="E268" i="89"/>
  <c r="E255" i="89"/>
  <c r="E261" i="89"/>
  <c r="E245" i="89"/>
  <c r="E256" i="89"/>
  <c r="E225" i="89"/>
  <c r="E248" i="89"/>
  <c r="E215" i="82"/>
  <c r="D213" i="82"/>
  <c r="E216" i="82"/>
  <c r="E214" i="82"/>
  <c r="E222" i="82"/>
  <c r="E234" i="82"/>
  <c r="E242" i="82"/>
  <c r="E252" i="82"/>
  <c r="E231" i="82"/>
  <c r="E226" i="82"/>
  <c r="E259" i="82"/>
  <c r="E264" i="82"/>
  <c r="E268" i="82"/>
  <c r="E235" i="82"/>
  <c r="E224" i="82"/>
  <c r="E251" i="82"/>
  <c r="E253" i="82"/>
  <c r="E262" i="82"/>
  <c r="E220" i="82"/>
  <c r="E225" i="82"/>
  <c r="E244" i="82"/>
  <c r="E218" i="82"/>
  <c r="E238" i="82"/>
  <c r="E232" i="82"/>
  <c r="E245" i="82"/>
  <c r="E230" i="82"/>
  <c r="E249" i="82"/>
  <c r="E247" i="82"/>
  <c r="E243" i="82"/>
  <c r="E241" i="82"/>
  <c r="E265" i="82"/>
  <c r="E255" i="82"/>
  <c r="E266" i="82"/>
  <c r="E236" i="82"/>
  <c r="E257" i="82"/>
  <c r="E263" i="82"/>
  <c r="E233" i="82"/>
  <c r="E223" i="82"/>
  <c r="E240" i="82"/>
  <c r="E267" i="82"/>
  <c r="E248" i="82"/>
  <c r="E261" i="82"/>
  <c r="E237" i="82"/>
  <c r="E221" i="82"/>
  <c r="E227" i="82"/>
  <c r="E229" i="82"/>
  <c r="E239" i="82"/>
  <c r="E254" i="82"/>
  <c r="E228" i="82"/>
  <c r="E258" i="82"/>
  <c r="E260" i="82"/>
  <c r="E250" i="82"/>
  <c r="E256" i="82"/>
  <c r="E246" i="82"/>
  <c r="C217" i="81"/>
  <c r="E217" i="81"/>
  <c r="C217" i="89"/>
  <c r="E217" i="89"/>
  <c r="C219" i="93"/>
  <c r="E219" i="93"/>
  <c r="C217" i="87"/>
  <c r="E217" i="87"/>
  <c r="C222" i="91"/>
  <c r="E222" i="91"/>
  <c r="Y31" i="73"/>
  <c r="E216" i="88"/>
  <c r="E214" i="88"/>
  <c r="D213" i="88"/>
  <c r="E215" i="88"/>
  <c r="E253" i="88"/>
  <c r="E262" i="88"/>
  <c r="E242" i="88"/>
  <c r="E254" i="88"/>
  <c r="E267" i="88"/>
  <c r="E233" i="88"/>
  <c r="E236" i="88"/>
  <c r="E221" i="88"/>
  <c r="E224" i="88"/>
  <c r="E264" i="88"/>
  <c r="E268" i="88"/>
  <c r="E249" i="88"/>
  <c r="E220" i="88"/>
  <c r="E232" i="88"/>
  <c r="E261" i="88"/>
  <c r="E240" i="88"/>
  <c r="E266" i="88"/>
  <c r="E250" i="88"/>
  <c r="E222" i="88"/>
  <c r="E247" i="88"/>
  <c r="E223" i="88"/>
  <c r="E225" i="88"/>
  <c r="E256" i="88"/>
  <c r="E218" i="88"/>
  <c r="E255" i="88"/>
  <c r="E263" i="88"/>
  <c r="E237" i="88"/>
  <c r="E228" i="88"/>
  <c r="E248" i="88"/>
  <c r="E239" i="88"/>
  <c r="E231" i="88"/>
  <c r="E226" i="88"/>
  <c r="E238" i="88"/>
  <c r="E259" i="88"/>
  <c r="E252" i="88"/>
  <c r="E230" i="88"/>
  <c r="E245" i="88"/>
  <c r="E265" i="88"/>
  <c r="E229" i="88"/>
  <c r="E241" i="88"/>
  <c r="E251" i="88"/>
  <c r="E234" i="88"/>
  <c r="E243" i="88"/>
  <c r="E244" i="88"/>
  <c r="E257" i="88"/>
  <c r="E227" i="88"/>
  <c r="E260" i="88"/>
  <c r="E235" i="88"/>
  <c r="E258" i="88"/>
  <c r="E246" i="88"/>
  <c r="D213" i="84"/>
  <c r="E215" i="84"/>
  <c r="E214" i="84"/>
  <c r="E216" i="84"/>
  <c r="E250" i="84"/>
  <c r="E239" i="84"/>
  <c r="E236" i="84"/>
  <c r="E243" i="84"/>
  <c r="E231" i="84"/>
  <c r="E224" i="84"/>
  <c r="E225" i="84"/>
  <c r="E245" i="84"/>
  <c r="E226" i="84"/>
  <c r="E267" i="84"/>
  <c r="E235" i="84"/>
  <c r="E264" i="84"/>
  <c r="E237" i="84"/>
  <c r="E232" i="84"/>
  <c r="E262" i="84"/>
  <c r="E255" i="84"/>
  <c r="E244" i="84"/>
  <c r="E265" i="84"/>
  <c r="E261" i="84"/>
  <c r="E256" i="84"/>
  <c r="E257" i="84"/>
  <c r="E242" i="84"/>
  <c r="E241" i="84"/>
  <c r="E238" i="84"/>
  <c r="E253" i="84"/>
  <c r="E229" i="84"/>
  <c r="E268" i="84"/>
  <c r="E252" i="84"/>
  <c r="E227" i="84"/>
  <c r="E234" i="84"/>
  <c r="E218" i="84"/>
  <c r="E220" i="84"/>
  <c r="E221" i="84"/>
  <c r="E233" i="84"/>
  <c r="E249" i="84"/>
  <c r="E247" i="84"/>
  <c r="E259" i="84"/>
  <c r="E254" i="84"/>
  <c r="E240" i="84"/>
  <c r="E266" i="84"/>
  <c r="E228" i="84"/>
  <c r="E258" i="84"/>
  <c r="E251" i="84"/>
  <c r="E230" i="84"/>
  <c r="E223" i="84"/>
  <c r="E260" i="84"/>
  <c r="E263" i="84"/>
  <c r="E222" i="84"/>
  <c r="E248" i="84"/>
  <c r="E246" i="84"/>
  <c r="C219" i="89"/>
  <c r="E219" i="89"/>
  <c r="C217" i="82"/>
  <c r="E217" i="82"/>
  <c r="C217" i="94"/>
  <c r="E217" i="94"/>
  <c r="C219" i="85"/>
  <c r="E219" i="85"/>
  <c r="E215" i="90"/>
  <c r="E214" i="90"/>
  <c r="E222" i="90"/>
  <c r="E216" i="90"/>
  <c r="D213" i="90"/>
  <c r="E245" i="90"/>
  <c r="E256" i="90"/>
  <c r="E240" i="90"/>
  <c r="E237" i="90"/>
  <c r="E253" i="90"/>
  <c r="E262" i="90"/>
  <c r="E231" i="90"/>
  <c r="E265" i="90"/>
  <c r="E250" i="90"/>
  <c r="E259" i="90"/>
  <c r="E223" i="90"/>
  <c r="E234" i="90"/>
  <c r="E242" i="90"/>
  <c r="E228" i="90"/>
  <c r="E252" i="90"/>
  <c r="E267" i="90"/>
  <c r="E236" i="90"/>
  <c r="E218" i="90"/>
  <c r="E232" i="90"/>
  <c r="E224" i="90"/>
  <c r="E257" i="90"/>
  <c r="E260" i="90"/>
  <c r="E268" i="90"/>
  <c r="E229" i="90"/>
  <c r="E264" i="90"/>
  <c r="E255" i="90"/>
  <c r="E246" i="90"/>
  <c r="E239" i="90"/>
  <c r="E254" i="90"/>
  <c r="E233" i="90"/>
  <c r="E238" i="90"/>
  <c r="E225" i="90"/>
  <c r="E243" i="90"/>
  <c r="E244" i="90"/>
  <c r="E230" i="90"/>
  <c r="E227" i="90"/>
  <c r="E241" i="90"/>
  <c r="E221" i="90"/>
  <c r="E226" i="90"/>
  <c r="E220" i="90"/>
  <c r="E247" i="90"/>
  <c r="E251" i="90"/>
  <c r="E261" i="90"/>
  <c r="E248" i="90"/>
  <c r="E249" i="90"/>
  <c r="E263" i="90"/>
  <c r="E258" i="90"/>
  <c r="E266" i="90"/>
  <c r="C217" i="83"/>
  <c r="E217" i="83"/>
  <c r="C217" i="84"/>
  <c r="E217" i="84"/>
  <c r="C217" i="88"/>
  <c r="E217" i="88"/>
  <c r="C219" i="87"/>
  <c r="E219" i="87"/>
  <c r="U111" i="62"/>
  <c r="E214" i="85"/>
  <c r="D213" i="85"/>
  <c r="E216" i="85"/>
  <c r="E215" i="85"/>
  <c r="E231" i="85"/>
  <c r="E250" i="85"/>
  <c r="E268" i="85"/>
  <c r="E257" i="85"/>
  <c r="E226" i="85"/>
  <c r="E246" i="85"/>
  <c r="E238" i="85"/>
  <c r="E227" i="85"/>
  <c r="E220" i="85"/>
  <c r="E247" i="85"/>
  <c r="E265" i="85"/>
  <c r="E242" i="85"/>
  <c r="E248" i="85"/>
  <c r="E251" i="85"/>
  <c r="E253" i="85"/>
  <c r="E236" i="85"/>
  <c r="E232" i="85"/>
  <c r="E221" i="85"/>
  <c r="E228" i="85"/>
  <c r="E235" i="85"/>
  <c r="E225" i="85"/>
  <c r="E263" i="85"/>
  <c r="E237" i="85"/>
  <c r="E255" i="85"/>
  <c r="E266" i="85"/>
  <c r="E218" i="85"/>
  <c r="E258" i="85"/>
  <c r="E249" i="85"/>
  <c r="E223" i="85"/>
  <c r="E234" i="85"/>
  <c r="E224" i="85"/>
  <c r="E230" i="85"/>
  <c r="E240" i="85"/>
  <c r="E229" i="85"/>
  <c r="E244" i="85"/>
  <c r="E233" i="85"/>
  <c r="E254" i="85"/>
  <c r="E239" i="85"/>
  <c r="E222" i="85"/>
  <c r="E241" i="85"/>
  <c r="E261" i="85"/>
  <c r="E252" i="85"/>
  <c r="E262" i="85"/>
  <c r="E243" i="85"/>
  <c r="E264" i="85"/>
  <c r="E245" i="85"/>
  <c r="E267" i="85"/>
  <c r="E259" i="85"/>
  <c r="E260" i="85"/>
  <c r="E256" i="85"/>
  <c r="C219" i="94"/>
  <c r="E219" i="94"/>
  <c r="C219" i="82"/>
  <c r="E219" i="82"/>
  <c r="P33" i="72"/>
  <c r="E214" i="81"/>
  <c r="E216" i="81"/>
  <c r="E215" i="81"/>
  <c r="D213" i="81"/>
  <c r="E234" i="81"/>
  <c r="E264" i="81"/>
  <c r="E220" i="81"/>
  <c r="E251" i="81"/>
  <c r="E243" i="81"/>
  <c r="E260" i="81"/>
  <c r="E221" i="81"/>
  <c r="E248" i="81"/>
  <c r="E229" i="81"/>
  <c r="E227" i="81"/>
  <c r="E222" i="81"/>
  <c r="E258" i="81"/>
  <c r="E231" i="81"/>
  <c r="E257" i="81"/>
  <c r="E228" i="81"/>
  <c r="E246" i="81"/>
  <c r="E259" i="81"/>
  <c r="E223" i="81"/>
  <c r="E218" i="81"/>
  <c r="E225" i="81"/>
  <c r="E265" i="81"/>
  <c r="E255" i="81"/>
  <c r="E262" i="81"/>
  <c r="E266" i="81"/>
  <c r="E256" i="81"/>
  <c r="E245" i="81"/>
  <c r="E261" i="81"/>
  <c r="E267" i="81"/>
  <c r="E247" i="81"/>
  <c r="E268" i="81"/>
  <c r="E240" i="81"/>
  <c r="E250" i="81"/>
  <c r="E226" i="81"/>
  <c r="E238" i="81"/>
  <c r="E230" i="81"/>
  <c r="E232" i="81"/>
  <c r="E254" i="81"/>
  <c r="E233" i="81"/>
  <c r="E244" i="81"/>
  <c r="E263" i="81"/>
  <c r="E249" i="81"/>
  <c r="E237" i="81"/>
  <c r="E253" i="81"/>
  <c r="E242" i="81"/>
  <c r="E235" i="81"/>
  <c r="E252" i="81"/>
  <c r="E241" i="81"/>
  <c r="E239" i="81"/>
  <c r="E224" i="81"/>
  <c r="E236" i="81"/>
  <c r="E219" i="91"/>
  <c r="E218" i="91"/>
  <c r="E217" i="91"/>
  <c r="E225" i="91"/>
  <c r="D216" i="91"/>
  <c r="E263" i="91"/>
  <c r="E247" i="91"/>
  <c r="E257" i="91"/>
  <c r="E271" i="91"/>
  <c r="E251" i="91"/>
  <c r="E270" i="91"/>
  <c r="E243" i="91"/>
  <c r="E261" i="91"/>
  <c r="E260" i="91"/>
  <c r="E233" i="91"/>
  <c r="E264" i="91"/>
  <c r="E244" i="91"/>
  <c r="E254" i="91"/>
  <c r="E252" i="91"/>
  <c r="E242" i="91"/>
  <c r="E269" i="91"/>
  <c r="E229" i="91"/>
  <c r="E239" i="91"/>
  <c r="E235" i="91"/>
  <c r="E226" i="91"/>
  <c r="E240" i="91"/>
  <c r="E248" i="91"/>
  <c r="E258" i="91"/>
  <c r="E236" i="91"/>
  <c r="E259" i="91"/>
  <c r="E232" i="91"/>
  <c r="E255" i="91"/>
  <c r="E241" i="91"/>
  <c r="E224" i="91"/>
  <c r="E256" i="91"/>
  <c r="E262" i="91"/>
  <c r="E250" i="91"/>
  <c r="E231" i="91"/>
  <c r="E253" i="91"/>
  <c r="E245" i="91"/>
  <c r="E265" i="91"/>
  <c r="E230" i="91"/>
  <c r="E267" i="91"/>
  <c r="E268" i="91"/>
  <c r="E223" i="91"/>
  <c r="E221" i="91"/>
  <c r="E246" i="91"/>
  <c r="E249" i="91"/>
  <c r="E238" i="91"/>
  <c r="E266" i="91"/>
  <c r="E228" i="91"/>
  <c r="E234" i="91"/>
  <c r="E237" i="91"/>
  <c r="E227" i="91"/>
  <c r="C219" i="84"/>
  <c r="E219" i="84"/>
  <c r="C219" i="92"/>
  <c r="E219" i="92"/>
  <c r="C217" i="90"/>
  <c r="E217" i="90"/>
  <c r="C217" i="85"/>
  <c r="E217" i="85"/>
  <c r="P339" i="56"/>
  <c r="E214" i="87"/>
  <c r="E216" i="87"/>
  <c r="D213" i="87"/>
  <c r="E215" i="87"/>
  <c r="E255" i="87"/>
  <c r="E263" i="87"/>
  <c r="E233" i="87"/>
  <c r="E237" i="87"/>
  <c r="E268" i="87"/>
  <c r="E264" i="87"/>
  <c r="E259" i="87"/>
  <c r="E243" i="87"/>
  <c r="E230" i="87"/>
  <c r="E221" i="87"/>
  <c r="E248" i="87"/>
  <c r="E239" i="87"/>
  <c r="E246" i="87"/>
  <c r="E253" i="87"/>
  <c r="E250" i="87"/>
  <c r="E232" i="87"/>
  <c r="E251" i="87"/>
  <c r="E247" i="87"/>
  <c r="E242" i="87"/>
  <c r="E262" i="87"/>
  <c r="E260" i="87"/>
  <c r="E224" i="87"/>
  <c r="E254" i="87"/>
  <c r="E225" i="87"/>
  <c r="E220" i="87"/>
  <c r="E240" i="87"/>
  <c r="E267" i="87"/>
  <c r="E266" i="87"/>
  <c r="E223" i="87"/>
  <c r="E236" i="87"/>
  <c r="E234" i="87"/>
  <c r="E265" i="87"/>
  <c r="E258" i="87"/>
  <c r="E229" i="87"/>
  <c r="E218" i="87"/>
  <c r="E256" i="87"/>
  <c r="E244" i="87"/>
  <c r="E235" i="87"/>
  <c r="E245" i="87"/>
  <c r="E222" i="87"/>
  <c r="E249" i="87"/>
  <c r="E241" i="87"/>
  <c r="E226" i="87"/>
  <c r="E261" i="87"/>
  <c r="E227" i="87"/>
  <c r="E257" i="87"/>
  <c r="E228" i="87"/>
  <c r="E252" i="87"/>
  <c r="E231" i="87"/>
  <c r="E238" i="87"/>
  <c r="E215" i="83"/>
  <c r="E216" i="83"/>
  <c r="D213" i="83"/>
  <c r="E214" i="83"/>
  <c r="E233" i="83"/>
  <c r="E259" i="83"/>
  <c r="E265" i="83"/>
  <c r="E268" i="83"/>
  <c r="E249" i="83"/>
  <c r="E226" i="83"/>
  <c r="E237" i="83"/>
  <c r="E218" i="83"/>
  <c r="E229" i="83"/>
  <c r="E248" i="83"/>
  <c r="E255" i="83"/>
  <c r="E253" i="83"/>
  <c r="E241" i="83"/>
  <c r="E235" i="83"/>
  <c r="E247" i="83"/>
  <c r="E267" i="83"/>
  <c r="E251" i="83"/>
  <c r="E238" i="83"/>
  <c r="E227" i="83"/>
  <c r="E231" i="83"/>
  <c r="E246" i="83"/>
  <c r="E250" i="83"/>
  <c r="E223" i="83"/>
  <c r="E242" i="83"/>
  <c r="E263" i="83"/>
  <c r="E224" i="83"/>
  <c r="E257" i="83"/>
  <c r="E266" i="83"/>
  <c r="E230" i="83"/>
  <c r="E228" i="83"/>
  <c r="E252" i="83"/>
  <c r="E236" i="83"/>
  <c r="E221" i="83"/>
  <c r="E260" i="83"/>
  <c r="E220" i="83"/>
  <c r="E256" i="83"/>
  <c r="E244" i="83"/>
  <c r="E264" i="83"/>
  <c r="E258" i="83"/>
  <c r="E243" i="83"/>
  <c r="E225" i="83"/>
  <c r="E245" i="83"/>
  <c r="E254" i="83"/>
  <c r="E239" i="83"/>
  <c r="E261" i="83"/>
  <c r="E234" i="83"/>
  <c r="E232" i="83"/>
  <c r="E222" i="83"/>
  <c r="E240" i="83"/>
  <c r="E262" i="83"/>
  <c r="C217" i="74"/>
  <c r="E217" i="74"/>
  <c r="C219" i="88"/>
  <c r="E219" i="88"/>
  <c r="D213" i="94"/>
  <c r="E216" i="94"/>
  <c r="E214" i="94"/>
  <c r="E215" i="94"/>
  <c r="E268" i="94"/>
  <c r="E229" i="94"/>
  <c r="E240" i="94"/>
  <c r="E255" i="94"/>
  <c r="E233" i="94"/>
  <c r="E244" i="94"/>
  <c r="E237" i="94"/>
  <c r="E264" i="94"/>
  <c r="E241" i="94"/>
  <c r="E254" i="94"/>
  <c r="E222" i="94"/>
  <c r="E265" i="94"/>
  <c r="E257" i="94"/>
  <c r="E263" i="94"/>
  <c r="E232" i="94"/>
  <c r="E224" i="94"/>
  <c r="E262" i="94"/>
  <c r="E223" i="94"/>
  <c r="E221" i="94"/>
  <c r="E253" i="94"/>
  <c r="E230" i="94"/>
  <c r="E234" i="94"/>
  <c r="E256" i="94"/>
  <c r="E261" i="94"/>
  <c r="E250" i="94"/>
  <c r="E228" i="94"/>
  <c r="E239" i="94"/>
  <c r="E225" i="94"/>
  <c r="E243" i="94"/>
  <c r="E246" i="94"/>
  <c r="E236" i="94"/>
  <c r="E220" i="94"/>
  <c r="E259" i="94"/>
  <c r="E258" i="94"/>
  <c r="E249" i="94"/>
  <c r="E227" i="94"/>
  <c r="E247" i="94"/>
  <c r="E266" i="94"/>
  <c r="E267" i="94"/>
  <c r="E260" i="94"/>
  <c r="E218" i="94"/>
  <c r="E252" i="94"/>
  <c r="E245" i="94"/>
  <c r="E238" i="94"/>
  <c r="E242" i="94"/>
  <c r="E226" i="94"/>
  <c r="E248" i="94"/>
  <c r="E231" i="94"/>
  <c r="E251" i="94"/>
  <c r="E235" i="94"/>
  <c r="P33" i="63"/>
  <c r="D213" i="74"/>
  <c r="E257" i="74"/>
  <c r="E260" i="74"/>
  <c r="E258" i="74"/>
  <c r="E262" i="74"/>
  <c r="E241" i="74"/>
  <c r="E261" i="74"/>
  <c r="E259" i="74"/>
  <c r="E263" i="74"/>
  <c r="E227" i="74"/>
  <c r="E264" i="74"/>
  <c r="E244" i="74"/>
  <c r="E236" i="74"/>
  <c r="E243" i="74"/>
  <c r="E230" i="74"/>
  <c r="E246" i="74"/>
  <c r="E247" i="74"/>
  <c r="E250" i="74"/>
  <c r="E249" i="74"/>
  <c r="E254" i="74"/>
  <c r="E239" i="74"/>
  <c r="E218" i="74"/>
  <c r="E233" i="74"/>
  <c r="E214" i="74"/>
  <c r="E216" i="74"/>
  <c r="E228" i="74"/>
  <c r="E226" i="74"/>
  <c r="E232" i="74"/>
  <c r="E237" i="74"/>
  <c r="E221" i="74"/>
  <c r="E267" i="74"/>
  <c r="E215" i="74"/>
  <c r="E223" i="74"/>
  <c r="E225" i="74"/>
  <c r="E229" i="74"/>
  <c r="E245" i="74"/>
  <c r="E231" i="74"/>
  <c r="E242" i="74"/>
  <c r="E240" i="74"/>
  <c r="E266" i="74"/>
  <c r="E248" i="74"/>
  <c r="E251" i="74"/>
  <c r="E234" i="74"/>
  <c r="E265" i="74"/>
  <c r="E235" i="74"/>
  <c r="E256" i="74"/>
  <c r="E252" i="74"/>
  <c r="E255" i="74"/>
  <c r="E222" i="74"/>
  <c r="E253" i="74"/>
  <c r="E224" i="74"/>
  <c r="E238" i="74"/>
  <c r="E220" i="74"/>
  <c r="E268" i="74"/>
  <c r="C219" i="83"/>
  <c r="E219" i="83"/>
  <c r="E235" i="90"/>
  <c r="D219" i="90"/>
  <c r="C217" i="93"/>
  <c r="E217" i="93"/>
  <c r="C217" i="92"/>
  <c r="E217" i="92"/>
  <c r="C219" i="81"/>
  <c r="E219" i="81"/>
  <c r="U39" i="62"/>
  <c r="E215" i="93"/>
  <c r="E222" i="93"/>
  <c r="E216" i="93"/>
  <c r="D213" i="93"/>
  <c r="E214" i="93"/>
  <c r="E237" i="93"/>
  <c r="E230" i="93"/>
  <c r="E252" i="93"/>
  <c r="E220" i="93"/>
  <c r="E265" i="93"/>
  <c r="E218" i="93"/>
  <c r="E256" i="93"/>
  <c r="E223" i="93"/>
  <c r="E226" i="93"/>
  <c r="E246" i="93"/>
  <c r="E233" i="93"/>
  <c r="E244" i="93"/>
  <c r="E245" i="93"/>
  <c r="E243" i="93"/>
  <c r="E249" i="93"/>
  <c r="E241" i="93"/>
  <c r="E239" i="93"/>
  <c r="E258" i="93"/>
  <c r="E263" i="93"/>
  <c r="E225" i="93"/>
  <c r="E248" i="93"/>
  <c r="E254" i="93"/>
  <c r="E224" i="93"/>
  <c r="E261" i="93"/>
  <c r="E253" i="93"/>
  <c r="E250" i="93"/>
  <c r="E232" i="93"/>
  <c r="E227" i="93"/>
  <c r="E228" i="93"/>
  <c r="E255" i="93"/>
  <c r="E247" i="93"/>
  <c r="E240" i="93"/>
  <c r="E229" i="93"/>
  <c r="E260" i="93"/>
  <c r="E235" i="93"/>
  <c r="E234" i="93"/>
  <c r="E266" i="93"/>
  <c r="E238" i="93"/>
  <c r="E262" i="93"/>
  <c r="E268" i="93"/>
  <c r="E257" i="93"/>
  <c r="E267" i="93"/>
  <c r="E259" i="93"/>
  <c r="E264" i="93"/>
  <c r="E221" i="93"/>
  <c r="E231" i="93"/>
  <c r="E242" i="93"/>
  <c r="E251" i="93"/>
  <c r="E236" i="93"/>
  <c r="C219" i="74"/>
  <c r="E219" i="74"/>
  <c r="F287" i="72"/>
  <c r="U282" i="72"/>
  <c r="C49" i="71"/>
  <c r="W39" i="71" s="1"/>
  <c r="P33" i="71"/>
  <c r="C49" i="68"/>
  <c r="W39" i="68" s="1"/>
  <c r="P33" i="68"/>
  <c r="E119" i="62"/>
  <c r="U113" i="62"/>
  <c r="P105" i="62"/>
  <c r="C121" i="62"/>
  <c r="W111" i="62" s="1"/>
  <c r="P33" i="62"/>
  <c r="O41" i="66"/>
  <c r="R41" i="66" s="1"/>
  <c r="O41" i="64"/>
  <c r="R41" i="64" s="1"/>
  <c r="R41" i="62"/>
  <c r="R202" i="56"/>
  <c r="R200" i="56"/>
  <c r="R203" i="56"/>
  <c r="R201" i="56"/>
  <c r="V90" i="91" l="1"/>
  <c r="V95" i="91"/>
  <c r="V98" i="91"/>
  <c r="V87" i="91"/>
  <c r="V93" i="91"/>
  <c r="V91" i="91"/>
  <c r="V94" i="91"/>
  <c r="V89" i="91"/>
  <c r="V97" i="91"/>
  <c r="C213" i="84"/>
  <c r="E213" i="84"/>
  <c r="C213" i="89"/>
  <c r="E213" i="89"/>
  <c r="E213" i="92"/>
  <c r="C213" i="92"/>
  <c r="E213" i="87"/>
  <c r="C213" i="87"/>
  <c r="E213" i="82"/>
  <c r="C213" i="82"/>
  <c r="C219" i="90"/>
  <c r="E219" i="90"/>
  <c r="E213" i="94"/>
  <c r="C213" i="94"/>
  <c r="C213" i="83"/>
  <c r="E213" i="83"/>
  <c r="C213" i="74"/>
  <c r="E213" i="74"/>
  <c r="E213" i="81"/>
  <c r="C213" i="81"/>
  <c r="E216" i="91"/>
  <c r="C216" i="91"/>
  <c r="C213" i="85"/>
  <c r="E213" i="85"/>
  <c r="C213" i="90"/>
  <c r="E213" i="90"/>
  <c r="C213" i="88"/>
  <c r="E213" i="88"/>
  <c r="E213" i="93"/>
  <c r="C213" i="93"/>
  <c r="O42" i="66"/>
  <c r="R42" i="66" s="1"/>
  <c r="O42" i="64"/>
  <c r="R42" i="64" s="1"/>
  <c r="R42" i="62"/>
  <c r="C92" i="45" l="1"/>
  <c r="M92" i="45"/>
  <c r="B92" i="45" s="1"/>
  <c r="N92" i="45"/>
  <c r="B93" i="45"/>
  <c r="C93" i="45"/>
  <c r="M93" i="45"/>
  <c r="N93" i="45"/>
  <c r="B94" i="45"/>
  <c r="C94" i="45"/>
  <c r="M94" i="45"/>
  <c r="N94" i="45"/>
  <c r="C95" i="45"/>
  <c r="M95" i="45"/>
  <c r="B95" i="45" s="1"/>
  <c r="N95" i="45"/>
  <c r="B96" i="45"/>
  <c r="C96" i="45"/>
  <c r="M96" i="45"/>
  <c r="N96" i="45"/>
  <c r="B97" i="45"/>
  <c r="C97" i="45"/>
  <c r="M97" i="45"/>
  <c r="N97" i="45"/>
  <c r="C98" i="45"/>
  <c r="M98" i="45"/>
  <c r="B98" i="45" s="1"/>
  <c r="N98" i="45"/>
  <c r="B99" i="45"/>
  <c r="C99" i="45"/>
  <c r="M99" i="45"/>
  <c r="N99" i="45"/>
  <c r="B100" i="45"/>
  <c r="C100" i="45"/>
  <c r="M100" i="45"/>
  <c r="N100" i="45"/>
  <c r="C101" i="45"/>
  <c r="M101" i="45"/>
  <c r="B101" i="45" s="1"/>
  <c r="N101" i="45"/>
  <c r="B102" i="45"/>
  <c r="C102" i="45"/>
  <c r="M102" i="45"/>
  <c r="N102" i="45"/>
  <c r="B103" i="45"/>
  <c r="C103" i="45"/>
  <c r="M103" i="45"/>
  <c r="N103" i="45"/>
  <c r="C104" i="45"/>
  <c r="M104" i="45"/>
  <c r="B104" i="45" s="1"/>
  <c r="N104" i="45"/>
  <c r="B105" i="45"/>
  <c r="C105" i="45"/>
  <c r="M105" i="45"/>
  <c r="N105" i="45"/>
  <c r="C106" i="45"/>
  <c r="M106" i="45"/>
  <c r="B106" i="45" s="1"/>
  <c r="N106" i="45"/>
  <c r="C107" i="45"/>
  <c r="M107" i="45"/>
  <c r="B107" i="45" s="1"/>
  <c r="N107" i="45"/>
  <c r="B108" i="45"/>
  <c r="C108" i="45"/>
  <c r="M108" i="45"/>
  <c r="N108" i="45"/>
  <c r="C109" i="45"/>
  <c r="M109" i="45"/>
  <c r="B109" i="45" s="1"/>
  <c r="N109" i="45"/>
  <c r="C110" i="45"/>
  <c r="M110" i="45"/>
  <c r="B110" i="45" s="1"/>
  <c r="N110" i="45"/>
  <c r="B111" i="45"/>
  <c r="C111" i="45"/>
  <c r="M111" i="45"/>
  <c r="N111" i="45"/>
  <c r="C112" i="45"/>
  <c r="M112" i="45"/>
  <c r="B112" i="45" s="1"/>
  <c r="N112" i="45"/>
  <c r="C113" i="45"/>
  <c r="M113" i="45"/>
  <c r="B113" i="45" s="1"/>
  <c r="N113" i="45"/>
  <c r="B114" i="45"/>
  <c r="C114" i="45"/>
  <c r="M114" i="45"/>
  <c r="N114" i="45"/>
  <c r="C115" i="45"/>
  <c r="M115" i="45"/>
  <c r="B115" i="45" s="1"/>
  <c r="N115" i="45"/>
  <c r="C116" i="45"/>
  <c r="M116" i="45"/>
  <c r="B116" i="45" s="1"/>
  <c r="N116" i="45"/>
  <c r="B117" i="45"/>
  <c r="C117" i="45"/>
  <c r="M117" i="45"/>
  <c r="N117" i="45"/>
  <c r="C118" i="45"/>
  <c r="M118" i="45"/>
  <c r="B118" i="45" s="1"/>
  <c r="N118" i="45"/>
  <c r="C119" i="45"/>
  <c r="M119" i="45"/>
  <c r="B119" i="45" s="1"/>
  <c r="N119" i="45"/>
  <c r="C120" i="45"/>
  <c r="M120" i="45"/>
  <c r="B120" i="45" s="1"/>
  <c r="N120" i="45"/>
  <c r="C121" i="45"/>
  <c r="M121" i="45"/>
  <c r="B121" i="45" s="1"/>
  <c r="N121" i="45"/>
  <c r="N15" i="45" l="1"/>
  <c r="N8" i="45"/>
  <c r="B16" i="45"/>
  <c r="M16" i="45" s="1"/>
  <c r="C16" i="45"/>
  <c r="B37" i="45"/>
  <c r="M37" i="45" s="1"/>
  <c r="W16" i="45"/>
  <c r="W23" i="45" s="1"/>
  <c r="W30" i="45" s="1"/>
  <c r="W37" i="45" s="1"/>
  <c r="C37" i="45" s="1"/>
  <c r="X16" i="45"/>
  <c r="X23" i="45" s="1"/>
  <c r="X30" i="45" s="1"/>
  <c r="X37" i="45" s="1"/>
  <c r="W17" i="45"/>
  <c r="C17" i="45" s="1"/>
  <c r="X17" i="45"/>
  <c r="W18" i="45"/>
  <c r="B18" i="45" s="1"/>
  <c r="M18" i="45" s="1"/>
  <c r="X18" i="45"/>
  <c r="W19" i="45"/>
  <c r="C19" i="45" s="1"/>
  <c r="X19" i="45"/>
  <c r="W20" i="45"/>
  <c r="B20" i="45" s="1"/>
  <c r="M20" i="45" s="1"/>
  <c r="X20" i="45"/>
  <c r="X27" i="45" s="1"/>
  <c r="X34" i="45" s="1"/>
  <c r="X41" i="45" s="1"/>
  <c r="W21" i="45"/>
  <c r="W28" i="45" s="1"/>
  <c r="X21" i="45"/>
  <c r="X28" i="45" s="1"/>
  <c r="X35" i="45" s="1"/>
  <c r="X42" i="45" s="1"/>
  <c r="X24" i="45"/>
  <c r="X31" i="45" s="1"/>
  <c r="X38" i="45" s="1"/>
  <c r="W25" i="45"/>
  <c r="W32" i="45" s="1"/>
  <c r="W39" i="45" s="1"/>
  <c r="B39" i="45" s="1"/>
  <c r="M39" i="45" s="1"/>
  <c r="X25" i="45"/>
  <c r="X32" i="45" s="1"/>
  <c r="X39" i="45" s="1"/>
  <c r="X26" i="45"/>
  <c r="X33" i="45" s="1"/>
  <c r="X40" i="45" s="1"/>
  <c r="X15" i="45"/>
  <c r="X22" i="45" s="1"/>
  <c r="W15" i="45"/>
  <c r="W22" i="45" s="1"/>
  <c r="B9" i="45"/>
  <c r="M9" i="45" s="1"/>
  <c r="C9" i="45"/>
  <c r="B10" i="45"/>
  <c r="M10" i="45" s="1"/>
  <c r="C10" i="45"/>
  <c r="B11" i="45"/>
  <c r="M11" i="45" s="1"/>
  <c r="C11" i="45"/>
  <c r="B12" i="45"/>
  <c r="M12" i="45" s="1"/>
  <c r="C12" i="45"/>
  <c r="B13" i="45"/>
  <c r="M13" i="45" s="1"/>
  <c r="C13" i="45"/>
  <c r="B14" i="45"/>
  <c r="M14" i="45" s="1"/>
  <c r="C14" i="45"/>
  <c r="B8" i="45"/>
  <c r="M8" i="45" s="1"/>
  <c r="C8" i="45"/>
  <c r="V161" i="91" l="1"/>
  <c r="V100" i="91"/>
  <c r="V147" i="91"/>
  <c r="V158" i="91"/>
  <c r="V162" i="91"/>
  <c r="V155" i="91"/>
  <c r="V156" i="91"/>
  <c r="V146" i="91"/>
  <c r="V143" i="91"/>
  <c r="V150" i="91"/>
  <c r="V153" i="91"/>
  <c r="V159" i="91"/>
  <c r="V104" i="91"/>
  <c r="V154" i="91"/>
  <c r="V152" i="91"/>
  <c r="V148" i="91"/>
  <c r="V141" i="91"/>
  <c r="V142" i="91"/>
  <c r="V157" i="91"/>
  <c r="V160" i="91"/>
  <c r="V145" i="91"/>
  <c r="V99" i="91"/>
  <c r="V164" i="91"/>
  <c r="V139" i="91"/>
  <c r="V151" i="91"/>
  <c r="V138" i="91"/>
  <c r="V144" i="91"/>
  <c r="V140" i="91"/>
  <c r="V103" i="91"/>
  <c r="V149" i="91"/>
  <c r="V101" i="91"/>
  <c r="V102" i="91"/>
  <c r="V165" i="91"/>
  <c r="V167" i="91"/>
  <c r="V107" i="91"/>
  <c r="V105" i="91"/>
  <c r="V166" i="91"/>
  <c r="V108" i="91"/>
  <c r="V168" i="91"/>
  <c r="V109" i="91"/>
  <c r="V169" i="91"/>
  <c r="V163" i="91"/>
  <c r="V110" i="91"/>
  <c r="V106" i="91"/>
  <c r="B25" i="45"/>
  <c r="M25" i="45" s="1"/>
  <c r="W27" i="45"/>
  <c r="W34" i="45" s="1"/>
  <c r="B23" i="45"/>
  <c r="M23" i="45" s="1"/>
  <c r="B19" i="45"/>
  <c r="M19" i="45" s="1"/>
  <c r="W26" i="45"/>
  <c r="W33" i="45" s="1"/>
  <c r="W40" i="45" s="1"/>
  <c r="B17" i="45"/>
  <c r="M17" i="45" s="1"/>
  <c r="W35" i="45"/>
  <c r="B28" i="45"/>
  <c r="M28" i="45" s="1"/>
  <c r="C28" i="45"/>
  <c r="N22" i="45"/>
  <c r="X29" i="45"/>
  <c r="W29" i="45"/>
  <c r="C22" i="45"/>
  <c r="B22" i="45"/>
  <c r="M22" i="45" s="1"/>
  <c r="X48" i="45"/>
  <c r="X62" i="45"/>
  <c r="N62" i="45" s="1"/>
  <c r="X47" i="45"/>
  <c r="X61" i="45"/>
  <c r="N61" i="45" s="1"/>
  <c r="C39" i="45"/>
  <c r="C33" i="45"/>
  <c r="C27" i="45"/>
  <c r="C21" i="45"/>
  <c r="C15" i="45"/>
  <c r="W47" i="45"/>
  <c r="W61" i="45"/>
  <c r="B33" i="45"/>
  <c r="M33" i="45" s="1"/>
  <c r="B27" i="45"/>
  <c r="M27" i="45" s="1"/>
  <c r="B21" i="45"/>
  <c r="M21" i="45" s="1"/>
  <c r="B15" i="45"/>
  <c r="M15" i="45" s="1"/>
  <c r="B34" i="45"/>
  <c r="M34" i="45" s="1"/>
  <c r="X46" i="45"/>
  <c r="X60" i="45"/>
  <c r="N60" i="45" s="1"/>
  <c r="C32" i="45"/>
  <c r="C26" i="45"/>
  <c r="C20" i="45"/>
  <c r="W46" i="45"/>
  <c r="W60" i="45"/>
  <c r="B32" i="45"/>
  <c r="M32" i="45" s="1"/>
  <c r="B26" i="45"/>
  <c r="M26" i="45" s="1"/>
  <c r="X45" i="45"/>
  <c r="X59" i="45"/>
  <c r="N59" i="45" s="1"/>
  <c r="C25" i="45"/>
  <c r="W24" i="45"/>
  <c r="X44" i="45"/>
  <c r="X58" i="45"/>
  <c r="N58" i="45" s="1"/>
  <c r="C30" i="45"/>
  <c r="C18" i="45"/>
  <c r="W44" i="45"/>
  <c r="W58" i="45"/>
  <c r="B30" i="45"/>
  <c r="M30" i="45" s="1"/>
  <c r="X49" i="45"/>
  <c r="X63" i="45"/>
  <c r="N63" i="45" s="1"/>
  <c r="C23" i="45"/>
  <c r="D5" i="35"/>
  <c r="L42" i="14"/>
  <c r="L41" i="14"/>
  <c r="L40" i="14"/>
  <c r="L39" i="14"/>
  <c r="O41" i="14"/>
  <c r="O39" i="14"/>
  <c r="N39" i="14"/>
  <c r="Q42" i="14"/>
  <c r="O42" i="14"/>
  <c r="Q41" i="14"/>
  <c r="Q40" i="14"/>
  <c r="O40" i="14"/>
  <c r="Q39" i="14"/>
  <c r="N54" i="43" s="1"/>
  <c r="N58" i="43" s="1"/>
  <c r="N62" i="43" s="1"/>
  <c r="L56" i="42"/>
  <c r="L60" i="42" s="1"/>
  <c r="L64" i="42" s="1"/>
  <c r="L54" i="42"/>
  <c r="L58" i="42"/>
  <c r="L62" i="42"/>
  <c r="N57" i="42"/>
  <c r="N61" i="42" s="1"/>
  <c r="N65" i="42" s="1"/>
  <c r="N56" i="42"/>
  <c r="N60" i="42" s="1"/>
  <c r="N64" i="42" s="1"/>
  <c r="L55" i="42"/>
  <c r="L59" i="42" s="1"/>
  <c r="L63" i="42" s="1"/>
  <c r="L56" i="43"/>
  <c r="L60" i="43" s="1"/>
  <c r="L64" i="43" s="1"/>
  <c r="N57" i="43"/>
  <c r="N61" i="43" s="1"/>
  <c r="N65" i="43" s="1"/>
  <c r="L57" i="43"/>
  <c r="L61" i="43" s="1"/>
  <c r="L65" i="43" s="1"/>
  <c r="L55" i="43"/>
  <c r="L59" i="43" s="1"/>
  <c r="L63" i="43" s="1"/>
  <c r="L56" i="44"/>
  <c r="L60" i="44"/>
  <c r="L64" i="44" s="1"/>
  <c r="N57" i="44"/>
  <c r="N61" i="44" s="1"/>
  <c r="N65" i="44" s="1"/>
  <c r="L55" i="44"/>
  <c r="L59" i="44" s="1"/>
  <c r="L63" i="44" s="1"/>
  <c r="N54" i="44"/>
  <c r="N58" i="44" s="1"/>
  <c r="N62" i="44" s="1"/>
  <c r="P40" i="14"/>
  <c r="P41" i="14"/>
  <c r="P42" i="14"/>
  <c r="P39" i="14"/>
  <c r="D6" i="35"/>
  <c r="N42" i="14"/>
  <c r="N41" i="14"/>
  <c r="N40" i="14"/>
  <c r="F134" i="14"/>
  <c r="E134" i="14"/>
  <c r="D134" i="14"/>
  <c r="F133" i="14"/>
  <c r="D133" i="14"/>
  <c r="F131" i="14"/>
  <c r="E131" i="14"/>
  <c r="D131" i="14"/>
  <c r="C30" i="14"/>
  <c r="C29" i="14" s="1"/>
  <c r="E60" i="13"/>
  <c r="Q52" i="13"/>
  <c r="Q54" i="13" s="1"/>
  <c r="Q55" i="13" s="1"/>
  <c r="C60" i="13"/>
  <c r="C88" i="13"/>
  <c r="J52" i="13"/>
  <c r="J54" i="13"/>
  <c r="J55" i="13" s="1"/>
  <c r="D59" i="13"/>
  <c r="D58" i="13" s="1"/>
  <c r="O41" i="13" s="1"/>
  <c r="E59" i="13"/>
  <c r="E58" i="13" s="1"/>
  <c r="O42" i="13" s="1"/>
  <c r="F59" i="13"/>
  <c r="F58" i="13" s="1"/>
  <c r="O43" i="13" s="1"/>
  <c r="C59" i="13"/>
  <c r="C58" i="13" s="1"/>
  <c r="O40" i="13" s="1"/>
  <c r="G59" i="13"/>
  <c r="D60" i="13"/>
  <c r="F60" i="13"/>
  <c r="J62" i="13"/>
  <c r="J63" i="13"/>
  <c r="D31" i="14"/>
  <c r="E31" i="14"/>
  <c r="F31" i="14"/>
  <c r="C31" i="14"/>
  <c r="C58" i="14"/>
  <c r="C60" i="14" s="1"/>
  <c r="D40" i="34"/>
  <c r="M9" i="19"/>
  <c r="D117" i="13"/>
  <c r="E117" i="13"/>
  <c r="F117" i="13"/>
  <c r="Q99" i="13" s="1"/>
  <c r="C117" i="13"/>
  <c r="Q96" i="13" s="1"/>
  <c r="D89" i="13"/>
  <c r="Q69" i="13" s="1"/>
  <c r="E89" i="13"/>
  <c r="Q70" i="13" s="1"/>
  <c r="F89" i="13"/>
  <c r="C89" i="13"/>
  <c r="D33" i="13"/>
  <c r="E33" i="13"/>
  <c r="F33" i="13"/>
  <c r="Q15" i="13" s="1"/>
  <c r="C33" i="13"/>
  <c r="AD11" i="42"/>
  <c r="AD11" i="43"/>
  <c r="AD11" i="44"/>
  <c r="P46" i="42"/>
  <c r="P46" i="43"/>
  <c r="P46" i="44"/>
  <c r="O46" i="42"/>
  <c r="O50" i="42" s="1"/>
  <c r="O46" i="43"/>
  <c r="O50" i="43" s="1"/>
  <c r="O46" i="44"/>
  <c r="O50" i="44" s="1"/>
  <c r="N37" i="42"/>
  <c r="N36" i="42"/>
  <c r="N35" i="42"/>
  <c r="N34" i="42"/>
  <c r="N37" i="43"/>
  <c r="N36" i="43"/>
  <c r="N35" i="43"/>
  <c r="N34" i="43"/>
  <c r="N37" i="44"/>
  <c r="N36" i="44"/>
  <c r="N35" i="44"/>
  <c r="N34" i="44"/>
  <c r="D168" i="44"/>
  <c r="C168" i="44"/>
  <c r="V3" i="44" s="1"/>
  <c r="D167" i="44"/>
  <c r="C167" i="44"/>
  <c r="U3" i="44"/>
  <c r="D166" i="44"/>
  <c r="C166" i="44"/>
  <c r="T3" i="44" s="1"/>
  <c r="D165" i="44"/>
  <c r="C165" i="44"/>
  <c r="S3" i="44" s="1"/>
  <c r="D164" i="44"/>
  <c r="C164" i="44"/>
  <c r="R3" i="44" s="1"/>
  <c r="J106" i="44"/>
  <c r="J105" i="44"/>
  <c r="Y101" i="44"/>
  <c r="Y100" i="44"/>
  <c r="Y99" i="44"/>
  <c r="Y98" i="44"/>
  <c r="Y97" i="44"/>
  <c r="Y96" i="44"/>
  <c r="Y95" i="44"/>
  <c r="Y94" i="44"/>
  <c r="Y93" i="44"/>
  <c r="Y92" i="44"/>
  <c r="Y91" i="44"/>
  <c r="Y90" i="44"/>
  <c r="Y89" i="44"/>
  <c r="Y88" i="44"/>
  <c r="Y87" i="44"/>
  <c r="Y86" i="44"/>
  <c r="Y85" i="44"/>
  <c r="Y84" i="44"/>
  <c r="Y83" i="44"/>
  <c r="Y82" i="44"/>
  <c r="Y81" i="44"/>
  <c r="V81" i="44"/>
  <c r="U81" i="44"/>
  <c r="T81" i="44"/>
  <c r="S81" i="44"/>
  <c r="R81" i="44"/>
  <c r="Y80" i="44"/>
  <c r="V80" i="44"/>
  <c r="U80" i="44"/>
  <c r="T80" i="44"/>
  <c r="S80" i="44"/>
  <c r="R80" i="44"/>
  <c r="Y79" i="44"/>
  <c r="V79" i="44"/>
  <c r="U79" i="44"/>
  <c r="T79" i="44"/>
  <c r="S79" i="44"/>
  <c r="R79" i="44"/>
  <c r="Y78" i="44"/>
  <c r="V78" i="44"/>
  <c r="U78" i="44"/>
  <c r="T78" i="44"/>
  <c r="S78" i="44"/>
  <c r="R78" i="44"/>
  <c r="Y77" i="44"/>
  <c r="V77" i="44"/>
  <c r="U77" i="44"/>
  <c r="T77" i="44"/>
  <c r="S77" i="44"/>
  <c r="R77" i="44"/>
  <c r="Y76" i="44"/>
  <c r="V76" i="44"/>
  <c r="U76" i="44"/>
  <c r="T76" i="44"/>
  <c r="S76" i="44"/>
  <c r="R76" i="44"/>
  <c r="Y75" i="44"/>
  <c r="V75" i="44"/>
  <c r="U75" i="44"/>
  <c r="T75" i="44"/>
  <c r="S75" i="44"/>
  <c r="R75" i="44"/>
  <c r="Y74" i="44"/>
  <c r="V74" i="44"/>
  <c r="U74" i="44"/>
  <c r="T74" i="44"/>
  <c r="S74" i="44"/>
  <c r="R74" i="44"/>
  <c r="Y73" i="44"/>
  <c r="V73" i="44"/>
  <c r="U73" i="44"/>
  <c r="T73" i="44"/>
  <c r="S73" i="44"/>
  <c r="R73" i="44"/>
  <c r="Y72" i="44"/>
  <c r="V72" i="44"/>
  <c r="U72" i="44"/>
  <c r="T72" i="44"/>
  <c r="S72" i="44"/>
  <c r="R72" i="44"/>
  <c r="Y71" i="44"/>
  <c r="V71" i="44"/>
  <c r="U71" i="44"/>
  <c r="T71" i="44"/>
  <c r="S71" i="44"/>
  <c r="R71" i="44"/>
  <c r="Y70" i="44"/>
  <c r="V70" i="44"/>
  <c r="U70" i="44"/>
  <c r="T70" i="44"/>
  <c r="S70" i="44"/>
  <c r="R70" i="44"/>
  <c r="Y69" i="44"/>
  <c r="Y68" i="44"/>
  <c r="Y67" i="44"/>
  <c r="Y66" i="44"/>
  <c r="Y57" i="44"/>
  <c r="V57" i="44"/>
  <c r="U57" i="44"/>
  <c r="T57" i="44"/>
  <c r="S57" i="44"/>
  <c r="R57" i="44"/>
  <c r="Y56" i="44"/>
  <c r="V56" i="44"/>
  <c r="U56" i="44"/>
  <c r="T56" i="44"/>
  <c r="S56" i="44"/>
  <c r="R56" i="44"/>
  <c r="Y55" i="44"/>
  <c r="V55" i="44"/>
  <c r="U55" i="44"/>
  <c r="T55" i="44"/>
  <c r="S55" i="44"/>
  <c r="R55" i="44"/>
  <c r="Y54" i="44"/>
  <c r="V54" i="44"/>
  <c r="U54" i="44"/>
  <c r="T54" i="44"/>
  <c r="S54" i="44"/>
  <c r="R54" i="44"/>
  <c r="V45" i="44"/>
  <c r="V49" i="44" s="1"/>
  <c r="V44" i="44"/>
  <c r="V48" i="44" s="1"/>
  <c r="V43" i="44"/>
  <c r="V47" i="44" s="1"/>
  <c r="V42" i="44"/>
  <c r="V46" i="44" s="1"/>
  <c r="Y33" i="44"/>
  <c r="Y32" i="44"/>
  <c r="Y31" i="44"/>
  <c r="Y30" i="44"/>
  <c r="Y9" i="44"/>
  <c r="Y8" i="44"/>
  <c r="Y7" i="44"/>
  <c r="Y6" i="44"/>
  <c r="D168" i="43"/>
  <c r="C168" i="43"/>
  <c r="V3" i="43" s="1"/>
  <c r="D167" i="43"/>
  <c r="C167" i="43"/>
  <c r="U3" i="43" s="1"/>
  <c r="D166" i="43"/>
  <c r="C166" i="43"/>
  <c r="T3" i="43"/>
  <c r="D165" i="43"/>
  <c r="C165" i="43"/>
  <c r="S3" i="43" s="1"/>
  <c r="D164" i="43"/>
  <c r="C164" i="43"/>
  <c r="R3" i="43" s="1"/>
  <c r="J106" i="43"/>
  <c r="J105" i="43"/>
  <c r="Y101" i="43"/>
  <c r="Y100" i="43"/>
  <c r="Y99" i="43"/>
  <c r="Y98" i="43"/>
  <c r="Y97" i="43"/>
  <c r="Y96" i="43"/>
  <c r="Y95" i="43"/>
  <c r="Y94" i="43"/>
  <c r="Y93" i="43"/>
  <c r="Y92" i="43"/>
  <c r="Y91" i="43"/>
  <c r="Y90" i="43"/>
  <c r="Y89" i="43"/>
  <c r="Y88" i="43"/>
  <c r="Y87" i="43"/>
  <c r="Y86" i="43"/>
  <c r="Y85" i="43"/>
  <c r="Y84" i="43"/>
  <c r="Y83" i="43"/>
  <c r="Y82" i="43"/>
  <c r="Y81" i="43"/>
  <c r="V81" i="43"/>
  <c r="U81" i="43"/>
  <c r="T81" i="43"/>
  <c r="S81" i="43"/>
  <c r="R81" i="43"/>
  <c r="Y80" i="43"/>
  <c r="V80" i="43"/>
  <c r="U80" i="43"/>
  <c r="T80" i="43"/>
  <c r="S80" i="43"/>
  <c r="R80" i="43"/>
  <c r="Y79" i="43"/>
  <c r="V79" i="43"/>
  <c r="U79" i="43"/>
  <c r="T79" i="43"/>
  <c r="S79" i="43"/>
  <c r="R79" i="43"/>
  <c r="Y78" i="43"/>
  <c r="V78" i="43"/>
  <c r="U78" i="43"/>
  <c r="T78" i="43"/>
  <c r="S78" i="43"/>
  <c r="R78" i="43"/>
  <c r="Y77" i="43"/>
  <c r="V77" i="43"/>
  <c r="U77" i="43"/>
  <c r="T77" i="43"/>
  <c r="S77" i="43"/>
  <c r="R77" i="43"/>
  <c r="Y76" i="43"/>
  <c r="V76" i="43"/>
  <c r="U76" i="43"/>
  <c r="T76" i="43"/>
  <c r="S76" i="43"/>
  <c r="R76" i="43"/>
  <c r="Y75" i="43"/>
  <c r="V75" i="43"/>
  <c r="U75" i="43"/>
  <c r="T75" i="43"/>
  <c r="S75" i="43"/>
  <c r="R75" i="43"/>
  <c r="Y74" i="43"/>
  <c r="V74" i="43"/>
  <c r="U74" i="43"/>
  <c r="T74" i="43"/>
  <c r="S74" i="43"/>
  <c r="R74" i="43"/>
  <c r="Y73" i="43"/>
  <c r="V73" i="43"/>
  <c r="U73" i="43"/>
  <c r="T73" i="43"/>
  <c r="S73" i="43"/>
  <c r="R73" i="43"/>
  <c r="Y72" i="43"/>
  <c r="V72" i="43"/>
  <c r="U72" i="43"/>
  <c r="T72" i="43"/>
  <c r="S72" i="43"/>
  <c r="R72" i="43"/>
  <c r="Y71" i="43"/>
  <c r="V71" i="43"/>
  <c r="U71" i="43"/>
  <c r="T71" i="43"/>
  <c r="S71" i="43"/>
  <c r="R71" i="43"/>
  <c r="Y70" i="43"/>
  <c r="V70" i="43"/>
  <c r="U70" i="43"/>
  <c r="T70" i="43"/>
  <c r="S70" i="43"/>
  <c r="R70" i="43"/>
  <c r="Y69" i="43"/>
  <c r="Y68" i="43"/>
  <c r="Y67" i="43"/>
  <c r="Y66" i="43"/>
  <c r="Y57" i="43"/>
  <c r="V57" i="43"/>
  <c r="U57" i="43"/>
  <c r="T57" i="43"/>
  <c r="S57" i="43"/>
  <c r="R57" i="43"/>
  <c r="Y56" i="43"/>
  <c r="V56" i="43"/>
  <c r="U56" i="43"/>
  <c r="T56" i="43"/>
  <c r="S56" i="43"/>
  <c r="R56" i="43"/>
  <c r="Y55" i="43"/>
  <c r="V55" i="43"/>
  <c r="U55" i="43"/>
  <c r="T55" i="43"/>
  <c r="S55" i="43"/>
  <c r="R55" i="43"/>
  <c r="Y54" i="43"/>
  <c r="V54" i="43"/>
  <c r="U54" i="43"/>
  <c r="T54" i="43"/>
  <c r="S54" i="43"/>
  <c r="R54" i="43"/>
  <c r="V45" i="43"/>
  <c r="V49" i="43" s="1"/>
  <c r="V44" i="43"/>
  <c r="V48" i="43"/>
  <c r="V43" i="43"/>
  <c r="V47" i="43"/>
  <c r="V42" i="43"/>
  <c r="V46" i="43" s="1"/>
  <c r="Y33" i="43"/>
  <c r="Y32" i="43"/>
  <c r="Y31" i="43"/>
  <c r="Y30" i="43"/>
  <c r="Y9" i="43"/>
  <c r="Y8" i="43"/>
  <c r="Y7" i="43"/>
  <c r="Y6" i="43"/>
  <c r="D168" i="42"/>
  <c r="C168" i="42"/>
  <c r="V3" i="42" s="1"/>
  <c r="D167" i="42"/>
  <c r="C167" i="42"/>
  <c r="U3" i="42"/>
  <c r="D166" i="42"/>
  <c r="C166" i="42"/>
  <c r="T3" i="42" s="1"/>
  <c r="D165" i="42"/>
  <c r="C165" i="42"/>
  <c r="S3" i="42"/>
  <c r="D164" i="42"/>
  <c r="C164" i="42"/>
  <c r="R3" i="42" s="1"/>
  <c r="J106" i="42"/>
  <c r="J105" i="42"/>
  <c r="Y101" i="42"/>
  <c r="Y100" i="42"/>
  <c r="Y99" i="42"/>
  <c r="Y98" i="42"/>
  <c r="Y97" i="42"/>
  <c r="Y96" i="42"/>
  <c r="Y95" i="42"/>
  <c r="Y94" i="42"/>
  <c r="Y93" i="42"/>
  <c r="Y92" i="42"/>
  <c r="Y91" i="42"/>
  <c r="Y90" i="42"/>
  <c r="Y89" i="42"/>
  <c r="Y88" i="42"/>
  <c r="Y87" i="42"/>
  <c r="Y86" i="42"/>
  <c r="Y85" i="42"/>
  <c r="Y84" i="42"/>
  <c r="Y83" i="42"/>
  <c r="Y82" i="42"/>
  <c r="Y81" i="42"/>
  <c r="V81" i="42"/>
  <c r="U81" i="42"/>
  <c r="T81" i="42"/>
  <c r="S81" i="42"/>
  <c r="R81" i="42"/>
  <c r="Y80" i="42"/>
  <c r="V80" i="42"/>
  <c r="U80" i="42"/>
  <c r="T80" i="42"/>
  <c r="S80" i="42"/>
  <c r="R80" i="42"/>
  <c r="Y79" i="42"/>
  <c r="V79" i="42"/>
  <c r="U79" i="42"/>
  <c r="T79" i="42"/>
  <c r="S79" i="42"/>
  <c r="R79" i="42"/>
  <c r="Y78" i="42"/>
  <c r="V78" i="42"/>
  <c r="U78" i="42"/>
  <c r="T78" i="42"/>
  <c r="S78" i="42"/>
  <c r="R78" i="42"/>
  <c r="Y77" i="42"/>
  <c r="V77" i="42"/>
  <c r="U77" i="42"/>
  <c r="T77" i="42"/>
  <c r="S77" i="42"/>
  <c r="R77" i="42"/>
  <c r="Y76" i="42"/>
  <c r="V76" i="42"/>
  <c r="U76" i="42"/>
  <c r="T76" i="42"/>
  <c r="S76" i="42"/>
  <c r="R76" i="42"/>
  <c r="Y75" i="42"/>
  <c r="V75" i="42"/>
  <c r="U75" i="42"/>
  <c r="T75" i="42"/>
  <c r="S75" i="42"/>
  <c r="R75" i="42"/>
  <c r="Y74" i="42"/>
  <c r="V74" i="42"/>
  <c r="U74" i="42"/>
  <c r="T74" i="42"/>
  <c r="S74" i="42"/>
  <c r="R74" i="42"/>
  <c r="Y73" i="42"/>
  <c r="V73" i="42"/>
  <c r="U73" i="42"/>
  <c r="T73" i="42"/>
  <c r="S73" i="42"/>
  <c r="R73" i="42"/>
  <c r="Y72" i="42"/>
  <c r="V72" i="42"/>
  <c r="U72" i="42"/>
  <c r="T72" i="42"/>
  <c r="S72" i="42"/>
  <c r="R72" i="42"/>
  <c r="Y71" i="42"/>
  <c r="V71" i="42"/>
  <c r="U71" i="42"/>
  <c r="T71" i="42"/>
  <c r="S71" i="42"/>
  <c r="R71" i="42"/>
  <c r="Y70" i="42"/>
  <c r="V70" i="42"/>
  <c r="U70" i="42"/>
  <c r="T70" i="42"/>
  <c r="S70" i="42"/>
  <c r="R70" i="42"/>
  <c r="Y69" i="42"/>
  <c r="Y68" i="42"/>
  <c r="Y67" i="42"/>
  <c r="Y66" i="42"/>
  <c r="Y57" i="42"/>
  <c r="V57" i="42"/>
  <c r="U57" i="42"/>
  <c r="T57" i="42"/>
  <c r="S57" i="42"/>
  <c r="R57" i="42"/>
  <c r="Y56" i="42"/>
  <c r="V56" i="42"/>
  <c r="U56" i="42"/>
  <c r="T56" i="42"/>
  <c r="S56" i="42"/>
  <c r="R56" i="42"/>
  <c r="Y55" i="42"/>
  <c r="V55" i="42"/>
  <c r="U55" i="42"/>
  <c r="T55" i="42"/>
  <c r="S55" i="42"/>
  <c r="R55" i="42"/>
  <c r="Y54" i="42"/>
  <c r="V54" i="42"/>
  <c r="U54" i="42"/>
  <c r="T54" i="42"/>
  <c r="S54" i="42"/>
  <c r="R54" i="42"/>
  <c r="V45" i="42"/>
  <c r="V49" i="42"/>
  <c r="V44" i="42"/>
  <c r="V48" i="42" s="1"/>
  <c r="V43" i="42"/>
  <c r="V47" i="42" s="1"/>
  <c r="V42" i="42"/>
  <c r="V46" i="42"/>
  <c r="Y33" i="42"/>
  <c r="Y32" i="42"/>
  <c r="Y31" i="42"/>
  <c r="Y30" i="42"/>
  <c r="Y9" i="42"/>
  <c r="Y8" i="42"/>
  <c r="Y7" i="42"/>
  <c r="Y6" i="42"/>
  <c r="I42" i="4"/>
  <c r="L42" i="4" s="1"/>
  <c r="I41" i="4"/>
  <c r="L41" i="4" s="1"/>
  <c r="I39" i="4"/>
  <c r="L39" i="4" s="1"/>
  <c r="I40" i="4"/>
  <c r="L40" i="4" s="1"/>
  <c r="L13" i="34"/>
  <c r="L12" i="34"/>
  <c r="L15" i="34"/>
  <c r="L14" i="34"/>
  <c r="L39" i="6"/>
  <c r="L42" i="6"/>
  <c r="L40" i="6"/>
  <c r="L41" i="6"/>
  <c r="D23" i="35"/>
  <c r="V9" i="45"/>
  <c r="N9" i="45" s="1"/>
  <c r="V16" i="45"/>
  <c r="N16" i="45" s="1"/>
  <c r="V23" i="45"/>
  <c r="N23" i="45" s="1"/>
  <c r="V30" i="45"/>
  <c r="N30" i="45" s="1"/>
  <c r="V37" i="45"/>
  <c r="V44" i="45"/>
  <c r="V51" i="45"/>
  <c r="V72" i="45"/>
  <c r="V73" i="45" s="1"/>
  <c r="V79" i="45"/>
  <c r="V86" i="45"/>
  <c r="V17" i="45"/>
  <c r="N17" i="45" s="1"/>
  <c r="AC12" i="44"/>
  <c r="G120" i="44" s="1"/>
  <c r="AC11" i="44"/>
  <c r="G116" i="44" s="1"/>
  <c r="AC10" i="44"/>
  <c r="G112" i="44" s="1"/>
  <c r="AC9" i="44"/>
  <c r="G108" i="44" s="1"/>
  <c r="D108" i="44" s="1"/>
  <c r="D156" i="44" s="1"/>
  <c r="AC8" i="44"/>
  <c r="G94" i="44" s="1"/>
  <c r="AC7" i="44"/>
  <c r="L1" i="44" s="1"/>
  <c r="AC6" i="44"/>
  <c r="M1" i="44" s="1"/>
  <c r="G46" i="44"/>
  <c r="G34" i="44"/>
  <c r="G10" i="44"/>
  <c r="G105" i="44"/>
  <c r="D105" i="44" s="1"/>
  <c r="D154" i="44" s="1"/>
  <c r="G78" i="44"/>
  <c r="G14" i="44"/>
  <c r="D18" i="44" s="1"/>
  <c r="D131" i="44" s="1"/>
  <c r="D112" i="44"/>
  <c r="D157" i="44" s="1"/>
  <c r="AD9" i="44"/>
  <c r="AD9" i="43"/>
  <c r="AC9" i="43"/>
  <c r="G108" i="43"/>
  <c r="AD9" i="42"/>
  <c r="AC9" i="42"/>
  <c r="G108" i="42" s="1"/>
  <c r="D34" i="44"/>
  <c r="D135" i="44" s="1"/>
  <c r="AD12" i="44"/>
  <c r="AD10" i="44"/>
  <c r="AD8" i="44"/>
  <c r="AD7" i="44"/>
  <c r="AD6" i="44"/>
  <c r="AD12" i="43"/>
  <c r="AC12" i="43"/>
  <c r="G120" i="43" s="1"/>
  <c r="C120" i="43" s="1"/>
  <c r="C159" i="43" s="1"/>
  <c r="AC11" i="43"/>
  <c r="G116" i="43" s="1"/>
  <c r="D120" i="43" s="1"/>
  <c r="D159" i="43" s="1"/>
  <c r="AD12" i="42"/>
  <c r="AC12" i="42"/>
  <c r="G120" i="42" s="1"/>
  <c r="AC11" i="42"/>
  <c r="G116" i="42" s="1"/>
  <c r="D24" i="35"/>
  <c r="D25" i="35"/>
  <c r="D26" i="35"/>
  <c r="AD10" i="43"/>
  <c r="AC10" i="43"/>
  <c r="G112" i="43"/>
  <c r="AD8" i="43"/>
  <c r="AC8" i="43"/>
  <c r="AD7" i="43"/>
  <c r="AC7" i="43"/>
  <c r="G104" i="43" s="1"/>
  <c r="D104" i="43" s="1"/>
  <c r="D153" i="43" s="1"/>
  <c r="AD6" i="43"/>
  <c r="AC6" i="43"/>
  <c r="M1" i="43" s="1"/>
  <c r="AD10" i="42"/>
  <c r="AC10" i="42"/>
  <c r="G112" i="42" s="1"/>
  <c r="D112" i="42" s="1"/>
  <c r="D157" i="42" s="1"/>
  <c r="AD8" i="42"/>
  <c r="AC8" i="42"/>
  <c r="K1" i="42" s="1"/>
  <c r="AD7" i="42"/>
  <c r="AC7" i="42"/>
  <c r="L1" i="42" s="1"/>
  <c r="AD6" i="42"/>
  <c r="AC6" i="42"/>
  <c r="G46" i="43"/>
  <c r="G26" i="43"/>
  <c r="G34" i="43"/>
  <c r="G90" i="42"/>
  <c r="D90" i="42" s="1"/>
  <c r="D149" i="42" s="1"/>
  <c r="G78" i="42"/>
  <c r="D78" i="42" s="1"/>
  <c r="D146" i="42" s="1"/>
  <c r="G30" i="42"/>
  <c r="J32" i="42" s="1"/>
  <c r="G105" i="42"/>
  <c r="G66" i="42"/>
  <c r="G42" i="42"/>
  <c r="G18" i="42"/>
  <c r="G82" i="42"/>
  <c r="G74" i="42"/>
  <c r="D74" i="42" s="1"/>
  <c r="G14" i="42"/>
  <c r="G86" i="42"/>
  <c r="G98" i="42"/>
  <c r="D98" i="42" s="1"/>
  <c r="D151" i="42" s="1"/>
  <c r="G103" i="42"/>
  <c r="D103" i="42" s="1"/>
  <c r="D152" i="42" s="1"/>
  <c r="G6" i="43"/>
  <c r="G54" i="43"/>
  <c r="G104" i="42"/>
  <c r="D104" i="42" s="1"/>
  <c r="D153" i="42" s="1"/>
  <c r="G10" i="43"/>
  <c r="G54" i="42"/>
  <c r="G82" i="43"/>
  <c r="D82" i="43" s="1"/>
  <c r="D147" i="43" s="1"/>
  <c r="G62" i="43"/>
  <c r="G74" i="43"/>
  <c r="D74" i="43" s="1"/>
  <c r="D26" i="43"/>
  <c r="D133" i="43" s="1"/>
  <c r="J15" i="42"/>
  <c r="J14" i="42"/>
  <c r="J31" i="42"/>
  <c r="J33" i="42"/>
  <c r="C26" i="43"/>
  <c r="C133" i="43" s="1"/>
  <c r="D46" i="43"/>
  <c r="D54" i="43"/>
  <c r="D140" i="43" s="1"/>
  <c r="D18" i="42"/>
  <c r="D131" i="42" s="1"/>
  <c r="D14" i="42"/>
  <c r="D130" i="42" s="1"/>
  <c r="D30" i="42"/>
  <c r="D134" i="42" s="1"/>
  <c r="D145" i="43"/>
  <c r="D10" i="43"/>
  <c r="D129" i="43" s="1"/>
  <c r="D145" i="42"/>
  <c r="D66" i="42"/>
  <c r="D143" i="42" s="1"/>
  <c r="D82" i="42"/>
  <c r="D147" i="42" s="1"/>
  <c r="D42" i="42"/>
  <c r="D137" i="42" s="1"/>
  <c r="D54" i="42"/>
  <c r="D140" i="42" s="1"/>
  <c r="D86" i="42"/>
  <c r="D148" i="42" s="1"/>
  <c r="C18" i="42"/>
  <c r="C131" i="42" s="1"/>
  <c r="D105" i="42"/>
  <c r="D154" i="42" s="1"/>
  <c r="D27" i="35"/>
  <c r="W15" i="34"/>
  <c r="W14" i="34"/>
  <c r="W13" i="34"/>
  <c r="W12" i="34"/>
  <c r="V15" i="34"/>
  <c r="V14" i="34"/>
  <c r="V13" i="34"/>
  <c r="V12" i="34"/>
  <c r="N15" i="34"/>
  <c r="N14" i="34"/>
  <c r="N13" i="34"/>
  <c r="N12" i="34"/>
  <c r="F26" i="34"/>
  <c r="E26" i="34"/>
  <c r="D26" i="34"/>
  <c r="C26" i="34"/>
  <c r="F23" i="34"/>
  <c r="O15" i="34" s="1"/>
  <c r="E23" i="34"/>
  <c r="O14" i="34" s="1"/>
  <c r="D23" i="34"/>
  <c r="C23" i="34"/>
  <c r="O12" i="34" s="1"/>
  <c r="U15" i="34"/>
  <c r="T15" i="34"/>
  <c r="J15" i="34"/>
  <c r="U14" i="34"/>
  <c r="T14" i="34"/>
  <c r="J14" i="34"/>
  <c r="U13" i="34"/>
  <c r="T13" i="34"/>
  <c r="J13" i="34"/>
  <c r="U12" i="34"/>
  <c r="T12" i="34"/>
  <c r="J12" i="34"/>
  <c r="J6" i="34"/>
  <c r="Q98" i="13"/>
  <c r="F116" i="13"/>
  <c r="E116" i="13"/>
  <c r="P98" i="13" s="1"/>
  <c r="D116" i="13"/>
  <c r="P97" i="13" s="1"/>
  <c r="C116" i="13"/>
  <c r="P96" i="13" s="1"/>
  <c r="F115" i="13"/>
  <c r="E115" i="13"/>
  <c r="D115" i="13"/>
  <c r="C115" i="13"/>
  <c r="O99" i="13"/>
  <c r="O98" i="13"/>
  <c r="O97" i="13"/>
  <c r="O96" i="13"/>
  <c r="P43" i="13"/>
  <c r="P42" i="13"/>
  <c r="P41" i="13"/>
  <c r="P40" i="13"/>
  <c r="D13" i="27"/>
  <c r="L13" i="27"/>
  <c r="T12" i="10"/>
  <c r="T12" i="11"/>
  <c r="T12" i="9"/>
  <c r="F17" i="24"/>
  <c r="U15" i="24" s="1"/>
  <c r="E17" i="24"/>
  <c r="U14" i="24" s="1"/>
  <c r="C17" i="24"/>
  <c r="U12" i="24" s="1"/>
  <c r="D17" i="24"/>
  <c r="U13" i="24" s="1"/>
  <c r="E14" i="30"/>
  <c r="N14" i="30" s="1"/>
  <c r="F14" i="30"/>
  <c r="N15" i="30" s="1"/>
  <c r="D14" i="30"/>
  <c r="N13" i="30" s="1"/>
  <c r="C14" i="30"/>
  <c r="N12" i="30" s="1"/>
  <c r="F17" i="30"/>
  <c r="U15" i="30" s="1"/>
  <c r="E17" i="30"/>
  <c r="U14" i="30" s="1"/>
  <c r="D17" i="30"/>
  <c r="U13" i="30"/>
  <c r="C17" i="30"/>
  <c r="U12" i="30" s="1"/>
  <c r="F18" i="27"/>
  <c r="V15" i="27" s="1"/>
  <c r="F17" i="27"/>
  <c r="U15" i="27" s="1"/>
  <c r="E14" i="24"/>
  <c r="N14" i="24"/>
  <c r="F14" i="24"/>
  <c r="N15" i="24" s="1"/>
  <c r="D14" i="24"/>
  <c r="N13" i="24" s="1"/>
  <c r="C14" i="24"/>
  <c r="C86" i="6"/>
  <c r="Q66" i="6"/>
  <c r="D86" i="6"/>
  <c r="Q67" i="6" s="1"/>
  <c r="E86" i="6"/>
  <c r="F86" i="6"/>
  <c r="Q69" i="6"/>
  <c r="F18" i="4"/>
  <c r="F17" i="4"/>
  <c r="U15" i="4" s="1"/>
  <c r="P13" i="14"/>
  <c r="P14" i="14"/>
  <c r="D58" i="14"/>
  <c r="E58" i="14"/>
  <c r="F58" i="14"/>
  <c r="P12" i="14"/>
  <c r="Q71" i="13"/>
  <c r="Q68" i="13"/>
  <c r="Q12" i="13"/>
  <c r="C32" i="4"/>
  <c r="Q12" i="4" s="1"/>
  <c r="C30" i="11"/>
  <c r="C112" i="10"/>
  <c r="P93" i="10" s="1"/>
  <c r="C110" i="10"/>
  <c r="C111" i="10" s="1"/>
  <c r="C56" i="10"/>
  <c r="C31" i="10"/>
  <c r="P12" i="10"/>
  <c r="C31" i="9"/>
  <c r="P12" i="9" s="1"/>
  <c r="F22" i="9"/>
  <c r="E22" i="9"/>
  <c r="D22" i="9"/>
  <c r="C22" i="9"/>
  <c r="C29" i="9"/>
  <c r="O12" i="9" s="1"/>
  <c r="L66" i="43" s="1"/>
  <c r="F32" i="4"/>
  <c r="Q15" i="4" s="1"/>
  <c r="E32" i="4"/>
  <c r="D32" i="4"/>
  <c r="Q13" i="4" s="1"/>
  <c r="F56" i="14"/>
  <c r="E56" i="14"/>
  <c r="D56" i="14"/>
  <c r="C56" i="14"/>
  <c r="C63" i="28"/>
  <c r="C64" i="28" s="1"/>
  <c r="L50" i="4"/>
  <c r="L49" i="4"/>
  <c r="X15" i="30"/>
  <c r="W15" i="30"/>
  <c r="V15" i="30"/>
  <c r="T15" i="30"/>
  <c r="L15" i="30"/>
  <c r="J15" i="30"/>
  <c r="X14" i="30"/>
  <c r="W14" i="30"/>
  <c r="V14" i="30"/>
  <c r="T14" i="30"/>
  <c r="L14" i="30"/>
  <c r="J14" i="30"/>
  <c r="X13" i="30"/>
  <c r="W13" i="30"/>
  <c r="V13" i="30"/>
  <c r="T13" i="30"/>
  <c r="L13" i="30"/>
  <c r="J13" i="30"/>
  <c r="X12" i="30"/>
  <c r="W12" i="30"/>
  <c r="V12" i="30"/>
  <c r="T12" i="30"/>
  <c r="L12" i="30"/>
  <c r="J12" i="30"/>
  <c r="X15" i="24"/>
  <c r="W15" i="24"/>
  <c r="V15" i="24"/>
  <c r="T15" i="24"/>
  <c r="L15" i="24"/>
  <c r="J15" i="24"/>
  <c r="X14" i="24"/>
  <c r="W14" i="24"/>
  <c r="V14" i="24"/>
  <c r="T14" i="24"/>
  <c r="L14" i="24"/>
  <c r="J14" i="24"/>
  <c r="X13" i="24"/>
  <c r="W13" i="24"/>
  <c r="V13" i="24"/>
  <c r="T13" i="24"/>
  <c r="L13" i="24"/>
  <c r="J13" i="24"/>
  <c r="X12" i="24"/>
  <c r="W12" i="24"/>
  <c r="V12" i="24"/>
  <c r="T12" i="24"/>
  <c r="N12" i="24"/>
  <c r="L12" i="24"/>
  <c r="J12" i="24"/>
  <c r="K12" i="24" s="1"/>
  <c r="F32" i="30"/>
  <c r="Q15" i="30" s="1"/>
  <c r="E32" i="30"/>
  <c r="Q14" i="30" s="1"/>
  <c r="D32" i="30"/>
  <c r="Q13" i="30" s="1"/>
  <c r="C32" i="30"/>
  <c r="Q12" i="30" s="1"/>
  <c r="F31" i="30"/>
  <c r="P15" i="30" s="1"/>
  <c r="E31" i="30"/>
  <c r="P14" i="30" s="1"/>
  <c r="D31" i="30"/>
  <c r="P13" i="30"/>
  <c r="C31" i="30"/>
  <c r="P12" i="30" s="1"/>
  <c r="F30" i="30"/>
  <c r="F29" i="30"/>
  <c r="O15" i="30" s="1"/>
  <c r="E30" i="30"/>
  <c r="E29" i="30"/>
  <c r="O14" i="30" s="1"/>
  <c r="D30" i="30"/>
  <c r="D29" i="30" s="1"/>
  <c r="O13" i="30" s="1"/>
  <c r="C30" i="30"/>
  <c r="C29" i="30" s="1"/>
  <c r="O12" i="30" s="1"/>
  <c r="X15" i="27"/>
  <c r="W15" i="27"/>
  <c r="T15" i="27"/>
  <c r="N15" i="27"/>
  <c r="J15" i="27"/>
  <c r="X14" i="27"/>
  <c r="W14" i="27"/>
  <c r="V14" i="27"/>
  <c r="U14" i="27"/>
  <c r="T14" i="27"/>
  <c r="N14" i="27"/>
  <c r="J14" i="27"/>
  <c r="X13" i="27"/>
  <c r="W13" i="27"/>
  <c r="V13" i="27"/>
  <c r="U13" i="27"/>
  <c r="T13" i="27"/>
  <c r="N13" i="27"/>
  <c r="J13" i="27"/>
  <c r="X12" i="27"/>
  <c r="W12" i="27"/>
  <c r="V12" i="27"/>
  <c r="U12" i="27"/>
  <c r="T12" i="27"/>
  <c r="N12" i="27"/>
  <c r="L12" i="27"/>
  <c r="J12" i="27"/>
  <c r="X15" i="28"/>
  <c r="W15" i="28"/>
  <c r="V15" i="28"/>
  <c r="U15" i="28"/>
  <c r="T15" i="28"/>
  <c r="N15" i="28"/>
  <c r="L15" i="28"/>
  <c r="J15" i="28"/>
  <c r="X14" i="28"/>
  <c r="W14" i="28"/>
  <c r="V14" i="28"/>
  <c r="U14" i="28"/>
  <c r="T14" i="28"/>
  <c r="N14" i="28"/>
  <c r="L14" i="28"/>
  <c r="J14" i="28"/>
  <c r="X13" i="28"/>
  <c r="W13" i="28"/>
  <c r="V13" i="28"/>
  <c r="U13" i="28"/>
  <c r="T13" i="28"/>
  <c r="N13" i="28"/>
  <c r="L13" i="28"/>
  <c r="J13" i="28"/>
  <c r="X12" i="28"/>
  <c r="W12" i="28"/>
  <c r="V12" i="28"/>
  <c r="U12" i="28"/>
  <c r="T12" i="28"/>
  <c r="N12" i="28"/>
  <c r="L12" i="28"/>
  <c r="J12" i="28"/>
  <c r="X15" i="11"/>
  <c r="W15" i="11"/>
  <c r="V15" i="11"/>
  <c r="U15" i="11"/>
  <c r="T15" i="11"/>
  <c r="N15" i="11"/>
  <c r="L15" i="11"/>
  <c r="J15" i="11"/>
  <c r="X14" i="11"/>
  <c r="W14" i="11"/>
  <c r="V14" i="11"/>
  <c r="U14" i="11"/>
  <c r="T14" i="11"/>
  <c r="N14" i="11"/>
  <c r="L14" i="11"/>
  <c r="J14" i="11"/>
  <c r="X13" i="11"/>
  <c r="W13" i="11"/>
  <c r="V13" i="11"/>
  <c r="U13" i="11"/>
  <c r="T13" i="11"/>
  <c r="N13" i="11"/>
  <c r="L13" i="11"/>
  <c r="J13" i="11"/>
  <c r="X12" i="11"/>
  <c r="W12" i="11"/>
  <c r="V12" i="11"/>
  <c r="U12" i="11"/>
  <c r="N12" i="11"/>
  <c r="L12" i="11"/>
  <c r="J12" i="11"/>
  <c r="X15" i="10"/>
  <c r="W15" i="10"/>
  <c r="V15" i="10"/>
  <c r="U15" i="10"/>
  <c r="N15" i="10"/>
  <c r="L15" i="10"/>
  <c r="J15" i="10"/>
  <c r="X14" i="10"/>
  <c r="W14" i="10"/>
  <c r="V14" i="10"/>
  <c r="U14" i="10"/>
  <c r="T14" i="10"/>
  <c r="N14" i="10"/>
  <c r="L14" i="10"/>
  <c r="J14" i="10"/>
  <c r="X13" i="10"/>
  <c r="W13" i="10"/>
  <c r="V13" i="10"/>
  <c r="U13" i="10"/>
  <c r="T13" i="10"/>
  <c r="N13" i="10"/>
  <c r="L13" i="10"/>
  <c r="J13" i="10"/>
  <c r="X12" i="10"/>
  <c r="W12" i="10"/>
  <c r="V12" i="10"/>
  <c r="U12" i="10"/>
  <c r="N12" i="10"/>
  <c r="L12" i="10"/>
  <c r="J12" i="10"/>
  <c r="X15" i="9"/>
  <c r="W15" i="9"/>
  <c r="V15" i="9"/>
  <c r="U15" i="9"/>
  <c r="T15" i="9"/>
  <c r="N15" i="9"/>
  <c r="L15" i="9"/>
  <c r="J15" i="9"/>
  <c r="X14" i="9"/>
  <c r="W14" i="9"/>
  <c r="V14" i="9"/>
  <c r="U14" i="9"/>
  <c r="T14" i="9"/>
  <c r="N14" i="9"/>
  <c r="L14" i="9"/>
  <c r="J14" i="9"/>
  <c r="X13" i="9"/>
  <c r="W13" i="9"/>
  <c r="V13" i="9"/>
  <c r="U13" i="9"/>
  <c r="T13" i="9"/>
  <c r="N13" i="9"/>
  <c r="L13" i="9"/>
  <c r="J13" i="9"/>
  <c r="X12" i="9"/>
  <c r="W12" i="9"/>
  <c r="V12" i="9"/>
  <c r="U12" i="9"/>
  <c r="N12" i="9"/>
  <c r="L12" i="9"/>
  <c r="J12" i="9"/>
  <c r="F32" i="27"/>
  <c r="Q15" i="27"/>
  <c r="E32" i="27"/>
  <c r="Q14" i="27" s="1"/>
  <c r="D32" i="27"/>
  <c r="Q13" i="27"/>
  <c r="C32" i="27"/>
  <c r="Q12" i="27" s="1"/>
  <c r="F31" i="27"/>
  <c r="P15" i="27" s="1"/>
  <c r="E31" i="27"/>
  <c r="P14" i="27" s="1"/>
  <c r="D31" i="27"/>
  <c r="P13" i="27" s="1"/>
  <c r="C31" i="27"/>
  <c r="P12" i="27" s="1"/>
  <c r="F32" i="24"/>
  <c r="Q15" i="24" s="1"/>
  <c r="E32" i="24"/>
  <c r="Q14" i="24" s="1"/>
  <c r="N96" i="43" s="1"/>
  <c r="D32" i="24"/>
  <c r="Q13" i="24"/>
  <c r="C32" i="24"/>
  <c r="Q12" i="24" s="1"/>
  <c r="F31" i="24"/>
  <c r="P15" i="24" s="1"/>
  <c r="E31" i="24"/>
  <c r="P14" i="24" s="1"/>
  <c r="D31" i="24"/>
  <c r="P13" i="24" s="1"/>
  <c r="C31" i="24"/>
  <c r="P12" i="24" s="1"/>
  <c r="F23" i="24"/>
  <c r="E23" i="24"/>
  <c r="E30" i="24" s="1"/>
  <c r="E29" i="24" s="1"/>
  <c r="O14" i="24" s="1"/>
  <c r="D23" i="24"/>
  <c r="D30" i="24" s="1"/>
  <c r="C23" i="24"/>
  <c r="C30" i="29"/>
  <c r="C29" i="29" s="1"/>
  <c r="O12" i="29" s="1"/>
  <c r="X15" i="29"/>
  <c r="W15" i="29"/>
  <c r="V15" i="29"/>
  <c r="U15" i="29"/>
  <c r="T15" i="29"/>
  <c r="N15" i="29"/>
  <c r="L15" i="29"/>
  <c r="J15" i="29"/>
  <c r="X14" i="29"/>
  <c r="W14" i="29"/>
  <c r="V14" i="29"/>
  <c r="U14" i="29"/>
  <c r="T14" i="29"/>
  <c r="N14" i="29"/>
  <c r="L14" i="29"/>
  <c r="J14" i="29"/>
  <c r="X13" i="29"/>
  <c r="W13" i="29"/>
  <c r="V13" i="29"/>
  <c r="U13" i="29"/>
  <c r="T13" i="29"/>
  <c r="N13" i="29"/>
  <c r="L13" i="29"/>
  <c r="J13" i="29"/>
  <c r="X12" i="29"/>
  <c r="W12" i="29"/>
  <c r="V12" i="29"/>
  <c r="U12" i="29"/>
  <c r="T12" i="29"/>
  <c r="N12" i="29"/>
  <c r="L12" i="29"/>
  <c r="J12" i="29"/>
  <c r="F32" i="28"/>
  <c r="Q15" i="28" s="1"/>
  <c r="E32" i="28"/>
  <c r="Q14" i="28" s="1"/>
  <c r="D32" i="28"/>
  <c r="Q13" i="28" s="1"/>
  <c r="C32" i="28"/>
  <c r="Q12" i="28" s="1"/>
  <c r="D113" i="6"/>
  <c r="Q94" i="6"/>
  <c r="E113" i="6"/>
  <c r="Q95" i="6" s="1"/>
  <c r="F113" i="6"/>
  <c r="Q96" i="6" s="1"/>
  <c r="C113" i="6"/>
  <c r="D59" i="6"/>
  <c r="E59" i="6"/>
  <c r="F59" i="6"/>
  <c r="Q42" i="6"/>
  <c r="C59" i="6"/>
  <c r="Q39" i="6" s="1"/>
  <c r="D32" i="6"/>
  <c r="Q13" i="6"/>
  <c r="E32" i="6"/>
  <c r="Q14" i="6" s="1"/>
  <c r="F32" i="6"/>
  <c r="C32" i="6"/>
  <c r="C23" i="27"/>
  <c r="D23" i="27"/>
  <c r="D30" i="27" s="1"/>
  <c r="D29" i="27" s="1"/>
  <c r="O13" i="27" s="1"/>
  <c r="E23" i="27"/>
  <c r="F23" i="27"/>
  <c r="F22" i="27" s="1"/>
  <c r="F50" i="29"/>
  <c r="F57" i="29"/>
  <c r="F56" i="29" s="1"/>
  <c r="O42" i="29" s="1"/>
  <c r="E50" i="29"/>
  <c r="E57" i="29" s="1"/>
  <c r="E56" i="29" s="1"/>
  <c r="O41" i="29" s="1"/>
  <c r="D50" i="29"/>
  <c r="D57" i="29" s="1"/>
  <c r="D56" i="29" s="1"/>
  <c r="O40" i="29" s="1"/>
  <c r="C50" i="29"/>
  <c r="C57" i="29" s="1"/>
  <c r="C56" i="29" s="1"/>
  <c r="O39" i="29" s="1"/>
  <c r="F26" i="29"/>
  <c r="E26" i="29"/>
  <c r="D26" i="29"/>
  <c r="C26" i="29"/>
  <c r="F32" i="29"/>
  <c r="Q15" i="29" s="1"/>
  <c r="E32" i="29"/>
  <c r="Q14" i="29"/>
  <c r="D32" i="29"/>
  <c r="Q13" i="29" s="1"/>
  <c r="C32" i="29"/>
  <c r="Q12" i="29" s="1"/>
  <c r="F58" i="29"/>
  <c r="P42" i="29" s="1"/>
  <c r="E58" i="29"/>
  <c r="P41" i="29" s="1"/>
  <c r="D58" i="29"/>
  <c r="P40" i="29" s="1"/>
  <c r="C58" i="29"/>
  <c r="P39" i="29" s="1"/>
  <c r="F30" i="24"/>
  <c r="F29" i="24" s="1"/>
  <c r="O15" i="24" s="1"/>
  <c r="D29" i="24"/>
  <c r="O13" i="24"/>
  <c r="L95" i="42" s="1"/>
  <c r="C30" i="24"/>
  <c r="C29" i="24" s="1"/>
  <c r="O12" i="24" s="1"/>
  <c r="J7" i="30"/>
  <c r="J6" i="30"/>
  <c r="J7" i="24"/>
  <c r="J6" i="24"/>
  <c r="F31" i="29"/>
  <c r="P15" i="29" s="1"/>
  <c r="E31" i="29"/>
  <c r="P14" i="29"/>
  <c r="D31" i="29"/>
  <c r="P13" i="29" s="1"/>
  <c r="C31" i="29"/>
  <c r="P12" i="29"/>
  <c r="F58" i="28"/>
  <c r="P42" i="28" s="1"/>
  <c r="E58" i="28"/>
  <c r="P41" i="28"/>
  <c r="D58" i="28"/>
  <c r="P40" i="28" s="1"/>
  <c r="C58" i="28"/>
  <c r="P39" i="28" s="1"/>
  <c r="F31" i="28"/>
  <c r="P15" i="28" s="1"/>
  <c r="E31" i="28"/>
  <c r="P14" i="28"/>
  <c r="D31" i="28"/>
  <c r="P13" i="28" s="1"/>
  <c r="C31" i="28"/>
  <c r="P12" i="28"/>
  <c r="F112" i="11"/>
  <c r="P96" i="11" s="1"/>
  <c r="E112" i="11"/>
  <c r="P95" i="11" s="1"/>
  <c r="D112" i="11"/>
  <c r="P94" i="11" s="1"/>
  <c r="C112" i="11"/>
  <c r="P93" i="11" s="1"/>
  <c r="F85" i="11"/>
  <c r="E85" i="11"/>
  <c r="P68" i="11" s="1"/>
  <c r="D85" i="11"/>
  <c r="P67" i="11" s="1"/>
  <c r="C85" i="11"/>
  <c r="P66" i="11" s="1"/>
  <c r="F31" i="9"/>
  <c r="P15" i="9"/>
  <c r="E31" i="9"/>
  <c r="P14" i="9" s="1"/>
  <c r="D31" i="9"/>
  <c r="P13" i="9"/>
  <c r="C85" i="10"/>
  <c r="P66" i="10"/>
  <c r="C58" i="10"/>
  <c r="P39" i="10" s="1"/>
  <c r="J42" i="14"/>
  <c r="J41" i="14"/>
  <c r="J40" i="14"/>
  <c r="J39" i="14"/>
  <c r="K39" i="14" s="1"/>
  <c r="C57" i="14"/>
  <c r="F113" i="10"/>
  <c r="Q96" i="10" s="1"/>
  <c r="E113" i="10"/>
  <c r="Q95" i="10" s="1"/>
  <c r="D113" i="10"/>
  <c r="Q94" i="10" s="1"/>
  <c r="C113" i="10"/>
  <c r="Q93" i="10" s="1"/>
  <c r="F112" i="10"/>
  <c r="P96" i="10" s="1"/>
  <c r="E112" i="10"/>
  <c r="P95" i="10" s="1"/>
  <c r="D112" i="10"/>
  <c r="P94" i="10" s="1"/>
  <c r="C84" i="10"/>
  <c r="D84" i="10"/>
  <c r="E84" i="10"/>
  <c r="F84" i="10"/>
  <c r="D85" i="10"/>
  <c r="P67" i="10" s="1"/>
  <c r="E85" i="10"/>
  <c r="P68" i="10" s="1"/>
  <c r="F85" i="10"/>
  <c r="P69" i="10" s="1"/>
  <c r="C86" i="10"/>
  <c r="Q66" i="10"/>
  <c r="D86" i="10"/>
  <c r="Q67" i="10" s="1"/>
  <c r="E86" i="10"/>
  <c r="F86" i="10"/>
  <c r="F58" i="10"/>
  <c r="P42" i="10" s="1"/>
  <c r="E58" i="10"/>
  <c r="P41" i="10"/>
  <c r="D58" i="10"/>
  <c r="P40" i="10" s="1"/>
  <c r="F31" i="10"/>
  <c r="P15" i="10" s="1"/>
  <c r="E31" i="10"/>
  <c r="P14" i="10" s="1"/>
  <c r="D31" i="10"/>
  <c r="P13" i="10" s="1"/>
  <c r="F112" i="6"/>
  <c r="P96" i="6"/>
  <c r="E112" i="6"/>
  <c r="D112" i="6"/>
  <c r="C112" i="6"/>
  <c r="P93" i="6" s="1"/>
  <c r="F110" i="6"/>
  <c r="F111" i="6" s="1"/>
  <c r="E110" i="6"/>
  <c r="D110" i="6"/>
  <c r="D111" i="6" s="1"/>
  <c r="C110" i="6"/>
  <c r="F85" i="6"/>
  <c r="P69" i="6" s="1"/>
  <c r="E85" i="6"/>
  <c r="P68" i="6"/>
  <c r="D85" i="6"/>
  <c r="P67" i="6" s="1"/>
  <c r="C85" i="6"/>
  <c r="P66" i="6" s="1"/>
  <c r="F56" i="6"/>
  <c r="F57" i="6" s="1"/>
  <c r="E56" i="6"/>
  <c r="E57" i="6"/>
  <c r="D56" i="6"/>
  <c r="D57" i="6" s="1"/>
  <c r="C56" i="6"/>
  <c r="C57" i="6"/>
  <c r="C58" i="6"/>
  <c r="P39" i="6" s="1"/>
  <c r="F31" i="4"/>
  <c r="E31" i="4"/>
  <c r="P14" i="4"/>
  <c r="D31" i="4"/>
  <c r="P13" i="4" s="1"/>
  <c r="C31" i="4"/>
  <c r="Q41" i="29"/>
  <c r="Q40" i="29"/>
  <c r="X42" i="29"/>
  <c r="W42" i="29"/>
  <c r="V42" i="29"/>
  <c r="U42" i="29"/>
  <c r="T42" i="29"/>
  <c r="Q42" i="29"/>
  <c r="N42" i="29"/>
  <c r="L42" i="29"/>
  <c r="J42" i="29"/>
  <c r="X41" i="29"/>
  <c r="W41" i="29"/>
  <c r="V41" i="29"/>
  <c r="U41" i="29"/>
  <c r="T41" i="29"/>
  <c r="N41" i="29"/>
  <c r="L41" i="29"/>
  <c r="J41" i="29"/>
  <c r="X40" i="29"/>
  <c r="W40" i="29"/>
  <c r="V40" i="29"/>
  <c r="U40" i="29"/>
  <c r="T40" i="29"/>
  <c r="N40" i="29"/>
  <c r="L40" i="29"/>
  <c r="J40" i="29"/>
  <c r="X39" i="29"/>
  <c r="W39" i="29"/>
  <c r="V39" i="29"/>
  <c r="U39" i="29"/>
  <c r="T39" i="29"/>
  <c r="Q39" i="29"/>
  <c r="N39" i="29"/>
  <c r="K86" i="44" s="1"/>
  <c r="L39" i="29"/>
  <c r="J39" i="29"/>
  <c r="K39" i="29" s="1"/>
  <c r="J34" i="29"/>
  <c r="J33" i="29"/>
  <c r="F30" i="29"/>
  <c r="F29" i="29"/>
  <c r="O15" i="29" s="1"/>
  <c r="E30" i="29"/>
  <c r="E29" i="29" s="1"/>
  <c r="O14" i="29" s="1"/>
  <c r="D30" i="29"/>
  <c r="D29" i="29" s="1"/>
  <c r="O13" i="29" s="1"/>
  <c r="J7" i="29"/>
  <c r="J6" i="29"/>
  <c r="F57" i="28"/>
  <c r="F56" i="28" s="1"/>
  <c r="O42" i="28" s="1"/>
  <c r="E57" i="28"/>
  <c r="E56" i="28" s="1"/>
  <c r="O41" i="28" s="1"/>
  <c r="D57" i="28"/>
  <c r="D56" i="28" s="1"/>
  <c r="O40" i="28" s="1"/>
  <c r="C57" i="28"/>
  <c r="C56" i="28"/>
  <c r="O39" i="28" s="1"/>
  <c r="X42" i="28"/>
  <c r="W42" i="28"/>
  <c r="V42" i="28"/>
  <c r="U42" i="28"/>
  <c r="T42" i="28"/>
  <c r="N42" i="28"/>
  <c r="L42" i="28"/>
  <c r="J42" i="28"/>
  <c r="X41" i="28"/>
  <c r="W41" i="28"/>
  <c r="U84" i="43" s="1"/>
  <c r="V41" i="28"/>
  <c r="U41" i="28"/>
  <c r="T41" i="28"/>
  <c r="N41" i="28"/>
  <c r="L41" i="28"/>
  <c r="J41" i="28"/>
  <c r="X40" i="28"/>
  <c r="W40" i="28"/>
  <c r="V40" i="28"/>
  <c r="U40" i="28"/>
  <c r="T40" i="28"/>
  <c r="N40" i="28"/>
  <c r="L40" i="28"/>
  <c r="J40" i="28"/>
  <c r="X39" i="28"/>
  <c r="W39" i="28"/>
  <c r="V39" i="28"/>
  <c r="U39" i="28"/>
  <c r="T39" i="28"/>
  <c r="N39" i="28"/>
  <c r="L39" i="28"/>
  <c r="J39" i="28"/>
  <c r="K39" i="28" s="1"/>
  <c r="J34" i="28"/>
  <c r="J33" i="28"/>
  <c r="F30" i="28"/>
  <c r="F29" i="28" s="1"/>
  <c r="O15" i="28" s="1"/>
  <c r="E30" i="28"/>
  <c r="E29" i="28"/>
  <c r="O14" i="28" s="1"/>
  <c r="D30" i="28"/>
  <c r="D29" i="28" s="1"/>
  <c r="O13" i="28" s="1"/>
  <c r="C30" i="28"/>
  <c r="C29" i="28" s="1"/>
  <c r="O12" i="28" s="1"/>
  <c r="J7" i="28"/>
  <c r="J6" i="28"/>
  <c r="J6" i="27"/>
  <c r="J7" i="27"/>
  <c r="H22" i="27"/>
  <c r="I22" i="27"/>
  <c r="Q14" i="13"/>
  <c r="K29" i="13"/>
  <c r="C31" i="11"/>
  <c r="P12" i="11" s="1"/>
  <c r="F58" i="11"/>
  <c r="P42" i="11"/>
  <c r="E58" i="11"/>
  <c r="P41" i="11"/>
  <c r="D58" i="11"/>
  <c r="P40" i="11" s="1"/>
  <c r="C58" i="11"/>
  <c r="P39" i="11" s="1"/>
  <c r="F31" i="11"/>
  <c r="P15" i="11" s="1"/>
  <c r="E31" i="11"/>
  <c r="P14" i="11"/>
  <c r="D31" i="11"/>
  <c r="P13" i="11" s="1"/>
  <c r="P99" i="13"/>
  <c r="N99" i="13"/>
  <c r="L99" i="13"/>
  <c r="J99" i="13"/>
  <c r="N98" i="13"/>
  <c r="L98" i="13"/>
  <c r="J98" i="13"/>
  <c r="Q97" i="13"/>
  <c r="N97" i="13"/>
  <c r="L97" i="13"/>
  <c r="J97" i="13"/>
  <c r="N96" i="13"/>
  <c r="L96" i="13"/>
  <c r="J96" i="13"/>
  <c r="K96" i="13" s="1"/>
  <c r="N71" i="13"/>
  <c r="L71" i="13"/>
  <c r="J71" i="13"/>
  <c r="N70" i="13"/>
  <c r="L70" i="13"/>
  <c r="J70" i="13"/>
  <c r="N69" i="13"/>
  <c r="L69" i="13"/>
  <c r="J69" i="13"/>
  <c r="N68" i="13"/>
  <c r="L68" i="13"/>
  <c r="J68" i="13"/>
  <c r="K68" i="13" s="1"/>
  <c r="N43" i="13"/>
  <c r="L43" i="13"/>
  <c r="J43" i="13"/>
  <c r="N42" i="13"/>
  <c r="L42" i="13"/>
  <c r="J42" i="13"/>
  <c r="N41" i="13"/>
  <c r="L41" i="13"/>
  <c r="J41" i="13"/>
  <c r="N40" i="13"/>
  <c r="L40" i="13"/>
  <c r="J40" i="13"/>
  <c r="K40" i="13"/>
  <c r="N15" i="13"/>
  <c r="L15" i="13"/>
  <c r="N14" i="13"/>
  <c r="L14" i="13"/>
  <c r="Q13" i="13"/>
  <c r="N13" i="13"/>
  <c r="L13" i="13"/>
  <c r="N12" i="13"/>
  <c r="L12" i="13"/>
  <c r="J15" i="13"/>
  <c r="J14" i="13"/>
  <c r="J13" i="13"/>
  <c r="J12" i="13"/>
  <c r="J7" i="13"/>
  <c r="J6" i="13"/>
  <c r="F59" i="14"/>
  <c r="E59" i="14"/>
  <c r="D59" i="14"/>
  <c r="C59" i="14"/>
  <c r="G57" i="14"/>
  <c r="F57" i="14"/>
  <c r="E57" i="14"/>
  <c r="D57" i="14"/>
  <c r="F32" i="14"/>
  <c r="Q15" i="14" s="1"/>
  <c r="E32" i="14"/>
  <c r="Q14" i="14" s="1"/>
  <c r="D32" i="14"/>
  <c r="Q13" i="14"/>
  <c r="C32" i="14"/>
  <c r="Q12" i="14" s="1"/>
  <c r="P15" i="14"/>
  <c r="G30" i="14"/>
  <c r="F30" i="14"/>
  <c r="F29" i="14" s="1"/>
  <c r="O15" i="14" s="1"/>
  <c r="E30" i="14"/>
  <c r="E29" i="14" s="1"/>
  <c r="O14" i="14" s="1"/>
  <c r="D30" i="14"/>
  <c r="D29" i="14" s="1"/>
  <c r="O13" i="14" s="1"/>
  <c r="O12" i="14"/>
  <c r="Q99" i="14"/>
  <c r="P99" i="14"/>
  <c r="O99" i="14"/>
  <c r="N99" i="14"/>
  <c r="L99" i="14"/>
  <c r="J99" i="14"/>
  <c r="Q98" i="14"/>
  <c r="P98" i="14"/>
  <c r="O98" i="14"/>
  <c r="N98" i="14"/>
  <c r="L98" i="14"/>
  <c r="J98" i="14"/>
  <c r="Q97" i="14"/>
  <c r="P97" i="14"/>
  <c r="O97" i="14"/>
  <c r="N97" i="14"/>
  <c r="L97" i="14"/>
  <c r="J97" i="14"/>
  <c r="Q96" i="14"/>
  <c r="P96" i="14"/>
  <c r="O96" i="14"/>
  <c r="N96" i="14"/>
  <c r="L96" i="14"/>
  <c r="J96" i="14"/>
  <c r="K96" i="14" s="1"/>
  <c r="J91" i="14"/>
  <c r="J90" i="14"/>
  <c r="Q71" i="14"/>
  <c r="P71" i="14"/>
  <c r="O71" i="14"/>
  <c r="N71" i="14"/>
  <c r="L71" i="14"/>
  <c r="J71" i="14"/>
  <c r="Q70" i="14"/>
  <c r="P70" i="14"/>
  <c r="O70" i="14"/>
  <c r="N70" i="14"/>
  <c r="L70" i="14"/>
  <c r="J70" i="14"/>
  <c r="Q69" i="14"/>
  <c r="P69" i="14"/>
  <c r="O69" i="14"/>
  <c r="N69" i="14"/>
  <c r="L69" i="14"/>
  <c r="J69" i="14"/>
  <c r="Q68" i="14"/>
  <c r="P68" i="14"/>
  <c r="O68" i="14"/>
  <c r="N68" i="14"/>
  <c r="L68" i="14"/>
  <c r="J68" i="14"/>
  <c r="K68" i="14"/>
  <c r="J63" i="14"/>
  <c r="J62" i="14"/>
  <c r="N15" i="14"/>
  <c r="L15" i="14"/>
  <c r="J15" i="14"/>
  <c r="N14" i="14"/>
  <c r="L14" i="14"/>
  <c r="J14" i="14"/>
  <c r="N13" i="14"/>
  <c r="L13" i="14"/>
  <c r="J13" i="14"/>
  <c r="N12" i="14"/>
  <c r="L12" i="14"/>
  <c r="J12" i="14"/>
  <c r="J7" i="14"/>
  <c r="J6" i="14"/>
  <c r="J91" i="13"/>
  <c r="J90" i="13"/>
  <c r="J35" i="13"/>
  <c r="J34" i="13"/>
  <c r="G115" i="13"/>
  <c r="F88" i="13"/>
  <c r="P71" i="13" s="1"/>
  <c r="E88" i="13"/>
  <c r="P70" i="13" s="1"/>
  <c r="D88" i="13"/>
  <c r="P69" i="13" s="1"/>
  <c r="P68" i="13"/>
  <c r="G87" i="13"/>
  <c r="F87" i="13"/>
  <c r="E87" i="13"/>
  <c r="D87" i="13"/>
  <c r="C87" i="13"/>
  <c r="F86" i="13"/>
  <c r="O71" i="13" s="1"/>
  <c r="E86" i="13"/>
  <c r="O70" i="13" s="1"/>
  <c r="D86" i="13"/>
  <c r="O69" i="13" s="1"/>
  <c r="C86" i="13"/>
  <c r="O68" i="13"/>
  <c r="G31" i="13"/>
  <c r="E32" i="13" s="1"/>
  <c r="P14" i="13" s="1"/>
  <c r="F31" i="13"/>
  <c r="E31" i="13"/>
  <c r="D31" i="13"/>
  <c r="C31" i="13"/>
  <c r="F30" i="13"/>
  <c r="O15" i="13" s="1"/>
  <c r="E30" i="13"/>
  <c r="O14" i="13"/>
  <c r="D30" i="13"/>
  <c r="O13" i="13" s="1"/>
  <c r="C30" i="13"/>
  <c r="O12" i="13" s="1"/>
  <c r="X42" i="4"/>
  <c r="V9" i="43" s="1"/>
  <c r="W42" i="4"/>
  <c r="V42" i="4"/>
  <c r="U42" i="4"/>
  <c r="T42" i="4"/>
  <c r="N42" i="4"/>
  <c r="X41" i="4"/>
  <c r="W41" i="4"/>
  <c r="V41" i="4"/>
  <c r="U41" i="4"/>
  <c r="T41" i="4"/>
  <c r="N41" i="4"/>
  <c r="X40" i="4"/>
  <c r="W40" i="4"/>
  <c r="V40" i="4"/>
  <c r="U40" i="4"/>
  <c r="T40" i="4"/>
  <c r="N40" i="4"/>
  <c r="X39" i="4"/>
  <c r="W39" i="4"/>
  <c r="V39" i="4"/>
  <c r="U39" i="4"/>
  <c r="T39" i="4"/>
  <c r="N39" i="4"/>
  <c r="N13" i="4"/>
  <c r="T13" i="4"/>
  <c r="U13" i="4"/>
  <c r="V13" i="4"/>
  <c r="W13" i="4"/>
  <c r="X13" i="4"/>
  <c r="N14" i="4"/>
  <c r="T14" i="4"/>
  <c r="U14" i="4"/>
  <c r="V14" i="4"/>
  <c r="W14" i="4"/>
  <c r="X14" i="4"/>
  <c r="N15" i="4"/>
  <c r="T15" i="4"/>
  <c r="V15" i="4"/>
  <c r="W15" i="4"/>
  <c r="X15" i="4"/>
  <c r="N12" i="4"/>
  <c r="T12" i="4"/>
  <c r="U12" i="4"/>
  <c r="V12" i="4"/>
  <c r="W12" i="4"/>
  <c r="X12" i="4"/>
  <c r="J13" i="4"/>
  <c r="J14" i="4"/>
  <c r="J15" i="4"/>
  <c r="H9" i="43" s="1"/>
  <c r="X96" i="6"/>
  <c r="W96" i="6"/>
  <c r="V96" i="6"/>
  <c r="U96" i="6"/>
  <c r="T96" i="6"/>
  <c r="X95" i="6"/>
  <c r="W95" i="6"/>
  <c r="V95" i="6"/>
  <c r="U95" i="6"/>
  <c r="T95" i="6"/>
  <c r="X94" i="6"/>
  <c r="W94" i="6"/>
  <c r="V94" i="6"/>
  <c r="U94" i="6"/>
  <c r="T94" i="6"/>
  <c r="X93" i="6"/>
  <c r="W93" i="6"/>
  <c r="V93" i="6"/>
  <c r="U93" i="6"/>
  <c r="T93" i="6"/>
  <c r="X69" i="6"/>
  <c r="W69" i="6"/>
  <c r="V69" i="6"/>
  <c r="U69" i="6"/>
  <c r="T69" i="6"/>
  <c r="X68" i="6"/>
  <c r="W68" i="6"/>
  <c r="V68" i="6"/>
  <c r="U68" i="6"/>
  <c r="T68" i="6"/>
  <c r="X67" i="6"/>
  <c r="W67" i="6"/>
  <c r="V67" i="6"/>
  <c r="U67" i="6"/>
  <c r="T67" i="6"/>
  <c r="X66" i="6"/>
  <c r="W66" i="6"/>
  <c r="V66" i="6"/>
  <c r="U66" i="6"/>
  <c r="T66" i="6"/>
  <c r="X42" i="6"/>
  <c r="W42" i="6"/>
  <c r="V42" i="6"/>
  <c r="U42" i="6"/>
  <c r="T42" i="6"/>
  <c r="X41" i="6"/>
  <c r="W41" i="6"/>
  <c r="V41" i="6"/>
  <c r="U41" i="6"/>
  <c r="T41" i="6"/>
  <c r="X40" i="6"/>
  <c r="W40" i="6"/>
  <c r="V40" i="6"/>
  <c r="U40" i="6"/>
  <c r="T40" i="6"/>
  <c r="X39" i="6"/>
  <c r="W39" i="6"/>
  <c r="V39" i="6"/>
  <c r="U39" i="6"/>
  <c r="T39" i="6"/>
  <c r="X15" i="6"/>
  <c r="W15" i="6"/>
  <c r="V15" i="6"/>
  <c r="U15" i="6"/>
  <c r="T15" i="6"/>
  <c r="X14" i="6"/>
  <c r="W14" i="6"/>
  <c r="V14" i="6"/>
  <c r="U14" i="6"/>
  <c r="T14" i="6"/>
  <c r="X13" i="6"/>
  <c r="W13" i="6"/>
  <c r="V13" i="6"/>
  <c r="U13" i="6"/>
  <c r="T13" i="6"/>
  <c r="X12" i="6"/>
  <c r="W12" i="6"/>
  <c r="V12" i="6"/>
  <c r="U12" i="6"/>
  <c r="T12" i="6"/>
  <c r="N96" i="11"/>
  <c r="L96" i="11"/>
  <c r="J96" i="11"/>
  <c r="N95" i="11"/>
  <c r="L95" i="11"/>
  <c r="J95" i="11"/>
  <c r="N94" i="11"/>
  <c r="L94" i="11"/>
  <c r="J94" i="11"/>
  <c r="N93" i="11"/>
  <c r="L93" i="11"/>
  <c r="J93" i="11"/>
  <c r="K93" i="11" s="1"/>
  <c r="J88" i="11"/>
  <c r="J87" i="11"/>
  <c r="P69" i="11"/>
  <c r="N69" i="11"/>
  <c r="L69" i="11"/>
  <c r="J69" i="11"/>
  <c r="N68" i="11"/>
  <c r="L68" i="11"/>
  <c r="J68" i="11"/>
  <c r="N67" i="11"/>
  <c r="L67" i="11"/>
  <c r="J67" i="11"/>
  <c r="N66" i="11"/>
  <c r="L66" i="11"/>
  <c r="J66" i="11"/>
  <c r="K66" i="11" s="1"/>
  <c r="J61" i="11"/>
  <c r="J60" i="11"/>
  <c r="N42" i="11"/>
  <c r="L42" i="11"/>
  <c r="Z77" i="44" s="1"/>
  <c r="J42" i="11"/>
  <c r="N41" i="11"/>
  <c r="L41" i="11"/>
  <c r="J41" i="11"/>
  <c r="N40" i="11"/>
  <c r="L40" i="11"/>
  <c r="J40" i="11"/>
  <c r="N39" i="11"/>
  <c r="L39" i="11"/>
  <c r="J39" i="11"/>
  <c r="K39" i="11" s="1"/>
  <c r="J34" i="11"/>
  <c r="J33" i="11"/>
  <c r="J7" i="11"/>
  <c r="J6" i="11"/>
  <c r="F113" i="11"/>
  <c r="Q96" i="11" s="1"/>
  <c r="E113" i="11"/>
  <c r="Q95" i="11" s="1"/>
  <c r="D113" i="11"/>
  <c r="Q94" i="11"/>
  <c r="C113" i="11"/>
  <c r="Q93" i="11" s="1"/>
  <c r="F111" i="11"/>
  <c r="E111" i="11"/>
  <c r="D111" i="11"/>
  <c r="C111" i="11"/>
  <c r="F110" i="11"/>
  <c r="O96" i="11"/>
  <c r="E110" i="11"/>
  <c r="O95" i="11" s="1"/>
  <c r="D110" i="11"/>
  <c r="O94" i="11" s="1"/>
  <c r="C110" i="11"/>
  <c r="O93" i="11" s="1"/>
  <c r="F86" i="11"/>
  <c r="Q69" i="11"/>
  <c r="E86" i="11"/>
  <c r="Q68" i="11" s="1"/>
  <c r="D86" i="11"/>
  <c r="Q67" i="11" s="1"/>
  <c r="C86" i="11"/>
  <c r="Q66" i="11" s="1"/>
  <c r="G84" i="11"/>
  <c r="F84" i="11"/>
  <c r="E84" i="11"/>
  <c r="D84" i="11"/>
  <c r="C84" i="11"/>
  <c r="F83" i="11"/>
  <c r="O69" i="11" s="1"/>
  <c r="E83" i="11"/>
  <c r="O68" i="11" s="1"/>
  <c r="D83" i="11"/>
  <c r="O67" i="11"/>
  <c r="C83" i="11"/>
  <c r="O66" i="11" s="1"/>
  <c r="F59" i="11"/>
  <c r="Q42" i="11" s="1"/>
  <c r="E59" i="11"/>
  <c r="Q41" i="11"/>
  <c r="D59" i="11"/>
  <c r="Q40" i="11" s="1"/>
  <c r="C59" i="11"/>
  <c r="Q39" i="11" s="1"/>
  <c r="F57" i="11"/>
  <c r="E57" i="11"/>
  <c r="D57" i="11"/>
  <c r="C57" i="11"/>
  <c r="F56" i="11"/>
  <c r="O42" i="11"/>
  <c r="E56" i="11"/>
  <c r="O41" i="11" s="1"/>
  <c r="D56" i="11"/>
  <c r="O40" i="11" s="1"/>
  <c r="C56" i="11"/>
  <c r="O39" i="11" s="1"/>
  <c r="F32" i="11"/>
  <c r="Q15" i="11"/>
  <c r="E32" i="11"/>
  <c r="Q14" i="11" s="1"/>
  <c r="D32" i="11"/>
  <c r="Q13" i="11"/>
  <c r="C32" i="11"/>
  <c r="Q12" i="11" s="1"/>
  <c r="G30" i="11"/>
  <c r="G22" i="11" s="1"/>
  <c r="F30" i="11"/>
  <c r="E30" i="11"/>
  <c r="D30" i="11"/>
  <c r="H22" i="11"/>
  <c r="F22" i="11"/>
  <c r="F29" i="11" s="1"/>
  <c r="O15" i="11" s="1"/>
  <c r="E22" i="11"/>
  <c r="E29" i="11" s="1"/>
  <c r="O14" i="11" s="1"/>
  <c r="D22" i="11"/>
  <c r="D29" i="11" s="1"/>
  <c r="O13" i="11" s="1"/>
  <c r="C22" i="11"/>
  <c r="C29" i="11" s="1"/>
  <c r="O12" i="11" s="1"/>
  <c r="F58" i="6"/>
  <c r="P42" i="6" s="1"/>
  <c r="E58" i="6"/>
  <c r="P41" i="6" s="1"/>
  <c r="D58" i="6"/>
  <c r="P40" i="6" s="1"/>
  <c r="F76" i="6"/>
  <c r="E76" i="6"/>
  <c r="D76" i="6"/>
  <c r="H76" i="6"/>
  <c r="G76" i="6"/>
  <c r="C76" i="6"/>
  <c r="F22" i="6"/>
  <c r="F29" i="6" s="1"/>
  <c r="O15" i="6" s="1"/>
  <c r="E22" i="6"/>
  <c r="E29" i="6" s="1"/>
  <c r="E30" i="6" s="1"/>
  <c r="D22" i="6"/>
  <c r="D29" i="6"/>
  <c r="O13" i="6" s="1"/>
  <c r="C22" i="6"/>
  <c r="C29" i="6" s="1"/>
  <c r="C30" i="6" s="1"/>
  <c r="H22" i="6"/>
  <c r="G22" i="6"/>
  <c r="I15" i="4"/>
  <c r="L15" i="4" s="1"/>
  <c r="I14" i="4"/>
  <c r="L14" i="4"/>
  <c r="I13" i="4"/>
  <c r="L13" i="4" s="1"/>
  <c r="I12" i="4"/>
  <c r="L12" i="4" s="1"/>
  <c r="I10" i="4"/>
  <c r="I38" i="4"/>
  <c r="H50" i="4"/>
  <c r="G50" i="4"/>
  <c r="H22" i="4"/>
  <c r="G22" i="4"/>
  <c r="J33" i="4"/>
  <c r="H22" i="9"/>
  <c r="H76" i="10"/>
  <c r="D32" i="10"/>
  <c r="Q13" i="10"/>
  <c r="E32" i="10"/>
  <c r="Q14" i="10" s="1"/>
  <c r="F32" i="10"/>
  <c r="Q15" i="10"/>
  <c r="C32" i="10"/>
  <c r="Q12" i="10" s="1"/>
  <c r="J88" i="10"/>
  <c r="J87" i="10"/>
  <c r="J61" i="10"/>
  <c r="J60" i="10"/>
  <c r="J34" i="10"/>
  <c r="J33" i="10"/>
  <c r="J7" i="10"/>
  <c r="J6" i="10"/>
  <c r="J7" i="9"/>
  <c r="J6" i="9"/>
  <c r="J34" i="4"/>
  <c r="J6" i="4"/>
  <c r="J5" i="4"/>
  <c r="J88" i="6"/>
  <c r="J87" i="6"/>
  <c r="J7" i="6"/>
  <c r="J6" i="6"/>
  <c r="J34" i="6"/>
  <c r="J33" i="6"/>
  <c r="J61" i="6"/>
  <c r="J60" i="6"/>
  <c r="N96" i="6"/>
  <c r="L96" i="6"/>
  <c r="J96" i="6"/>
  <c r="P95" i="6"/>
  <c r="N95" i="6"/>
  <c r="L95" i="6"/>
  <c r="J95" i="6"/>
  <c r="P94" i="6"/>
  <c r="N94" i="6"/>
  <c r="L94" i="6"/>
  <c r="J94" i="6"/>
  <c r="Q93" i="6"/>
  <c r="N93" i="6"/>
  <c r="L93" i="6"/>
  <c r="J93" i="6"/>
  <c r="K93" i="6" s="1"/>
  <c r="N69" i="6"/>
  <c r="L69" i="6"/>
  <c r="J69" i="6"/>
  <c r="Q68" i="6"/>
  <c r="N68" i="6"/>
  <c r="L68" i="6"/>
  <c r="J68" i="6"/>
  <c r="N67" i="6"/>
  <c r="L67" i="6"/>
  <c r="J67" i="6"/>
  <c r="N66" i="6"/>
  <c r="L66" i="6"/>
  <c r="J66" i="6"/>
  <c r="K66" i="6"/>
  <c r="N42" i="6"/>
  <c r="J42" i="6"/>
  <c r="N41" i="6"/>
  <c r="J41" i="6"/>
  <c r="N40" i="6"/>
  <c r="J40" i="6"/>
  <c r="N39" i="6"/>
  <c r="J39" i="6"/>
  <c r="K39" i="6" s="1"/>
  <c r="N15" i="6"/>
  <c r="L15" i="6"/>
  <c r="J15" i="6"/>
  <c r="N14" i="6"/>
  <c r="L14" i="6"/>
  <c r="J14" i="6"/>
  <c r="N13" i="6"/>
  <c r="L13" i="6"/>
  <c r="J13" i="6"/>
  <c r="Q12" i="6"/>
  <c r="N12" i="6"/>
  <c r="L12" i="6"/>
  <c r="J12" i="6"/>
  <c r="J42" i="4"/>
  <c r="J41" i="4"/>
  <c r="J40" i="4"/>
  <c r="J39" i="4"/>
  <c r="K39" i="4" s="1"/>
  <c r="J12" i="4"/>
  <c r="N96" i="10"/>
  <c r="L96" i="10"/>
  <c r="J96" i="10"/>
  <c r="N95" i="10"/>
  <c r="L95" i="10"/>
  <c r="J95" i="10"/>
  <c r="N94" i="10"/>
  <c r="L94" i="10"/>
  <c r="J94" i="10"/>
  <c r="N93" i="10"/>
  <c r="L93" i="10"/>
  <c r="J93" i="10"/>
  <c r="K93" i="10" s="1"/>
  <c r="N69" i="10"/>
  <c r="L69" i="10"/>
  <c r="J69" i="10"/>
  <c r="N68" i="10"/>
  <c r="L68" i="10"/>
  <c r="J68" i="10"/>
  <c r="N67" i="10"/>
  <c r="L67" i="10"/>
  <c r="J67" i="10"/>
  <c r="N66" i="10"/>
  <c r="L66" i="10"/>
  <c r="J66" i="10"/>
  <c r="K66" i="10" s="1"/>
  <c r="N42" i="10"/>
  <c r="L42" i="10"/>
  <c r="J42" i="10"/>
  <c r="N41" i="10"/>
  <c r="L41" i="10"/>
  <c r="J41" i="10"/>
  <c r="N40" i="10"/>
  <c r="L40" i="10"/>
  <c r="J40" i="10"/>
  <c r="N39" i="10"/>
  <c r="L39" i="10"/>
  <c r="J39" i="10"/>
  <c r="K39" i="10" s="1"/>
  <c r="F110" i="10"/>
  <c r="O96" i="10" s="1"/>
  <c r="E110" i="10"/>
  <c r="E111" i="10" s="1"/>
  <c r="D110" i="10"/>
  <c r="O94" i="10" s="1"/>
  <c r="D111" i="10"/>
  <c r="G84" i="10"/>
  <c r="G76" i="10" s="1"/>
  <c r="G30" i="10"/>
  <c r="G22" i="10" s="1"/>
  <c r="Q69" i="10"/>
  <c r="Q68" i="10"/>
  <c r="F76" i="10"/>
  <c r="F83" i="10" s="1"/>
  <c r="O69" i="10" s="1"/>
  <c r="E76" i="10"/>
  <c r="E83" i="10" s="1"/>
  <c r="O68" i="10" s="1"/>
  <c r="D76" i="10"/>
  <c r="D83" i="10" s="1"/>
  <c r="O67" i="10" s="1"/>
  <c r="C76" i="10"/>
  <c r="C83" i="10"/>
  <c r="O66" i="10" s="1"/>
  <c r="F59" i="10"/>
  <c r="Q42" i="10" s="1"/>
  <c r="E59" i="10"/>
  <c r="Q41" i="10" s="1"/>
  <c r="D59" i="10"/>
  <c r="Q40" i="10" s="1"/>
  <c r="C59" i="10"/>
  <c r="Q39" i="10"/>
  <c r="F56" i="10"/>
  <c r="F57" i="10" s="1"/>
  <c r="E56" i="10"/>
  <c r="D56" i="10"/>
  <c r="D57" i="10" s="1"/>
  <c r="O40" i="10"/>
  <c r="C30" i="10"/>
  <c r="F30" i="10"/>
  <c r="E30" i="10"/>
  <c r="D30" i="10"/>
  <c r="F22" i="10"/>
  <c r="F29" i="10" s="1"/>
  <c r="O15" i="10" s="1"/>
  <c r="E22" i="10"/>
  <c r="E29" i="10" s="1"/>
  <c r="O14" i="10" s="1"/>
  <c r="D22" i="10"/>
  <c r="D29" i="10" s="1"/>
  <c r="O13" i="10" s="1"/>
  <c r="C22" i="10"/>
  <c r="C29" i="10" s="1"/>
  <c r="O12" i="10" s="1"/>
  <c r="D30" i="9"/>
  <c r="E30" i="9"/>
  <c r="F30" i="9"/>
  <c r="C30" i="9"/>
  <c r="F29" i="9"/>
  <c r="O15" i="9"/>
  <c r="L69" i="42" s="1"/>
  <c r="D29" i="9"/>
  <c r="O13" i="9" s="1"/>
  <c r="F32" i="9"/>
  <c r="Q15" i="9"/>
  <c r="E32" i="9"/>
  <c r="Q14" i="9"/>
  <c r="D32" i="9"/>
  <c r="Q13" i="9" s="1"/>
  <c r="C32" i="9"/>
  <c r="Q12" i="9" s="1"/>
  <c r="E29" i="9"/>
  <c r="O14" i="9" s="1"/>
  <c r="F22" i="4"/>
  <c r="F29" i="4" s="1"/>
  <c r="O15" i="4" s="1"/>
  <c r="E22" i="4"/>
  <c r="E29" i="4" s="1"/>
  <c r="O14" i="4" s="1"/>
  <c r="D22" i="4"/>
  <c r="D29" i="4"/>
  <c r="O13" i="4" s="1"/>
  <c r="C22" i="4"/>
  <c r="C29" i="4" s="1"/>
  <c r="O12" i="4" s="1"/>
  <c r="D30" i="4"/>
  <c r="E30" i="4"/>
  <c r="F30" i="4"/>
  <c r="C30" i="4"/>
  <c r="F50" i="4"/>
  <c r="F57" i="4" s="1"/>
  <c r="O42" i="4" s="1"/>
  <c r="E50" i="4"/>
  <c r="E57" i="4"/>
  <c r="O41" i="4" s="1"/>
  <c r="D50" i="4"/>
  <c r="D57" i="4" s="1"/>
  <c r="D58" i="4" s="1"/>
  <c r="C50" i="4"/>
  <c r="C57" i="4"/>
  <c r="O39" i="4" s="1"/>
  <c r="O42" i="10"/>
  <c r="O42" i="6"/>
  <c r="Q41" i="6"/>
  <c r="Q40" i="6"/>
  <c r="Q15" i="6"/>
  <c r="C31" i="6"/>
  <c r="P12" i="6" s="1"/>
  <c r="D31" i="6"/>
  <c r="P13" i="6"/>
  <c r="E31" i="6"/>
  <c r="P14" i="6" s="1"/>
  <c r="F31" i="6"/>
  <c r="P15" i="6" s="1"/>
  <c r="P12" i="4"/>
  <c r="D59" i="4"/>
  <c r="P40" i="4"/>
  <c r="E59" i="4"/>
  <c r="P41" i="4" s="1"/>
  <c r="F59" i="4"/>
  <c r="P42" i="4"/>
  <c r="D60" i="4"/>
  <c r="Q40" i="4" s="1"/>
  <c r="E60" i="4"/>
  <c r="Q41" i="4" s="1"/>
  <c r="F60" i="4"/>
  <c r="Q42" i="4" s="1"/>
  <c r="C60" i="4"/>
  <c r="Q39" i="4" s="1"/>
  <c r="C59" i="4"/>
  <c r="P39" i="4" s="1"/>
  <c r="Q14" i="4"/>
  <c r="P15" i="4"/>
  <c r="E24" i="34"/>
  <c r="K12" i="34"/>
  <c r="D32" i="13"/>
  <c r="P13" i="13"/>
  <c r="C32" i="13"/>
  <c r="P12" i="13" s="1"/>
  <c r="K12" i="27"/>
  <c r="K12" i="30"/>
  <c r="L85" i="44"/>
  <c r="L85" i="42"/>
  <c r="L89" i="44"/>
  <c r="L89" i="43"/>
  <c r="L89" i="42"/>
  <c r="S101" i="44"/>
  <c r="V30" i="43"/>
  <c r="V34" i="43"/>
  <c r="V30" i="44"/>
  <c r="V34" i="44" s="1"/>
  <c r="V30" i="42"/>
  <c r="V34" i="42" s="1"/>
  <c r="H9" i="44"/>
  <c r="U9" i="44"/>
  <c r="U9" i="42"/>
  <c r="V84" i="43"/>
  <c r="V84" i="42"/>
  <c r="L97" i="42"/>
  <c r="V68" i="44"/>
  <c r="V68" i="42"/>
  <c r="V68" i="43"/>
  <c r="M90" i="44"/>
  <c r="M90" i="43"/>
  <c r="T90" i="43"/>
  <c r="T90" i="44"/>
  <c r="T90" i="42"/>
  <c r="S93" i="44"/>
  <c r="S93" i="43"/>
  <c r="S93" i="42"/>
  <c r="Z71" i="44"/>
  <c r="D83" i="6"/>
  <c r="L77" i="44"/>
  <c r="N77" i="42"/>
  <c r="Z77" i="43"/>
  <c r="U30" i="43"/>
  <c r="U34" i="43" s="1"/>
  <c r="U30" i="44"/>
  <c r="U34" i="44" s="1"/>
  <c r="U30" i="42"/>
  <c r="U34" i="42" s="1"/>
  <c r="S32" i="44"/>
  <c r="S36" i="44" s="1"/>
  <c r="S32" i="43"/>
  <c r="S36" i="43"/>
  <c r="S32" i="42"/>
  <c r="S36" i="42" s="1"/>
  <c r="V33" i="44"/>
  <c r="V37" i="44" s="1"/>
  <c r="V33" i="43"/>
  <c r="V37" i="43" s="1"/>
  <c r="V33" i="42"/>
  <c r="V37" i="42" s="1"/>
  <c r="V6" i="43"/>
  <c r="V6" i="44"/>
  <c r="V6" i="42"/>
  <c r="R8" i="44"/>
  <c r="R8" i="43"/>
  <c r="R8" i="42"/>
  <c r="T9" i="43"/>
  <c r="T9" i="44"/>
  <c r="T9" i="42"/>
  <c r="M74" i="43"/>
  <c r="M74" i="42"/>
  <c r="U82" i="44"/>
  <c r="U82" i="43"/>
  <c r="U82" i="42"/>
  <c r="U83" i="44"/>
  <c r="U83" i="43"/>
  <c r="U83" i="42"/>
  <c r="U84" i="44"/>
  <c r="U84" i="42"/>
  <c r="U85" i="44"/>
  <c r="U85" i="43"/>
  <c r="U85" i="42"/>
  <c r="J86" i="42"/>
  <c r="U89" i="44"/>
  <c r="U89" i="43"/>
  <c r="U89" i="42"/>
  <c r="L95" i="44"/>
  <c r="L95" i="43"/>
  <c r="L88" i="44"/>
  <c r="L88" i="43"/>
  <c r="L88" i="42"/>
  <c r="N95" i="44"/>
  <c r="N95" i="43"/>
  <c r="N99" i="43"/>
  <c r="N99" i="44"/>
  <c r="N99" i="42"/>
  <c r="U66" i="44"/>
  <c r="U66" i="43"/>
  <c r="U66" i="42"/>
  <c r="U67" i="44"/>
  <c r="U67" i="43"/>
  <c r="U67" i="42"/>
  <c r="U68" i="44"/>
  <c r="U68" i="42"/>
  <c r="U68" i="43"/>
  <c r="U69" i="44"/>
  <c r="U69" i="43"/>
  <c r="U69" i="42"/>
  <c r="J98" i="44"/>
  <c r="J98" i="43"/>
  <c r="J98" i="42"/>
  <c r="R100" i="44"/>
  <c r="R100" i="42"/>
  <c r="R100" i="43"/>
  <c r="H95" i="44"/>
  <c r="H95" i="43"/>
  <c r="H95" i="42"/>
  <c r="R96" i="44"/>
  <c r="R96" i="42"/>
  <c r="R96" i="43"/>
  <c r="R97" i="44"/>
  <c r="R97" i="43"/>
  <c r="R97" i="42"/>
  <c r="R90" i="44"/>
  <c r="R90" i="43"/>
  <c r="R90" i="42"/>
  <c r="U91" i="44"/>
  <c r="U91" i="42"/>
  <c r="U91" i="43"/>
  <c r="V92" i="43"/>
  <c r="V92" i="42"/>
  <c r="R42" i="43"/>
  <c r="R46" i="43"/>
  <c r="R42" i="44"/>
  <c r="R46" i="44" s="1"/>
  <c r="R42" i="42"/>
  <c r="R46" i="42" s="1"/>
  <c r="H45" i="44"/>
  <c r="H49" i="44" s="1"/>
  <c r="H45" i="43"/>
  <c r="H49" i="43" s="1"/>
  <c r="H45" i="42"/>
  <c r="H49" i="42"/>
  <c r="P13" i="34"/>
  <c r="Q13" i="34"/>
  <c r="T43" i="44"/>
  <c r="T47" i="44" s="1"/>
  <c r="T43" i="42"/>
  <c r="T47" i="42"/>
  <c r="T43" i="43"/>
  <c r="T47" i="43"/>
  <c r="M7" i="44"/>
  <c r="M7" i="43"/>
  <c r="N67" i="44"/>
  <c r="V85" i="44"/>
  <c r="V85" i="43"/>
  <c r="V85" i="42"/>
  <c r="L96" i="44"/>
  <c r="L96" i="43"/>
  <c r="L96" i="42"/>
  <c r="H72" i="44"/>
  <c r="H72" i="43"/>
  <c r="H72" i="42"/>
  <c r="S96" i="44"/>
  <c r="S96" i="43"/>
  <c r="S96" i="42"/>
  <c r="N31" i="44"/>
  <c r="N31" i="43"/>
  <c r="N31" i="42"/>
  <c r="N68" i="43"/>
  <c r="N68" i="44"/>
  <c r="N73" i="44"/>
  <c r="Z75" i="44"/>
  <c r="Z75" i="43"/>
  <c r="Z75" i="42"/>
  <c r="R31" i="44"/>
  <c r="R35" i="44" s="1"/>
  <c r="R31" i="43"/>
  <c r="R35" i="43"/>
  <c r="R31" i="42"/>
  <c r="R35" i="42" s="1"/>
  <c r="U32" i="44"/>
  <c r="U36" i="44" s="1"/>
  <c r="U32" i="43"/>
  <c r="U36" i="43" s="1"/>
  <c r="U32" i="42"/>
  <c r="U36" i="42"/>
  <c r="H8" i="43"/>
  <c r="H8" i="42"/>
  <c r="R7" i="42"/>
  <c r="T8" i="44"/>
  <c r="T8" i="42"/>
  <c r="T8" i="43"/>
  <c r="V9" i="44"/>
  <c r="V9" i="42"/>
  <c r="J78" i="43"/>
  <c r="J78" i="44"/>
  <c r="J78" i="42"/>
  <c r="K80" i="44"/>
  <c r="K80" i="43"/>
  <c r="K80" i="42"/>
  <c r="M76" i="43"/>
  <c r="M82" i="44"/>
  <c r="M82" i="42"/>
  <c r="M82" i="43"/>
  <c r="N30" i="44"/>
  <c r="N30" i="42"/>
  <c r="N30" i="43"/>
  <c r="N97" i="44"/>
  <c r="N97" i="42"/>
  <c r="N101" i="44"/>
  <c r="N101" i="43"/>
  <c r="N101" i="42"/>
  <c r="H67" i="44"/>
  <c r="H67" i="43"/>
  <c r="H67" i="42"/>
  <c r="H68" i="44"/>
  <c r="H68" i="43"/>
  <c r="H68" i="42"/>
  <c r="R98" i="44"/>
  <c r="R98" i="43"/>
  <c r="R98" i="42"/>
  <c r="S99" i="44"/>
  <c r="S99" i="43"/>
  <c r="S99" i="42"/>
  <c r="T100" i="44"/>
  <c r="T100" i="43"/>
  <c r="T100" i="42"/>
  <c r="V101" i="44"/>
  <c r="V101" i="43"/>
  <c r="V101" i="42"/>
  <c r="M91" i="44"/>
  <c r="M91" i="43"/>
  <c r="M91" i="42"/>
  <c r="J94" i="44"/>
  <c r="J94" i="42"/>
  <c r="J94" i="43"/>
  <c r="R95" i="44"/>
  <c r="R95" i="43"/>
  <c r="R95" i="42"/>
  <c r="T96" i="44"/>
  <c r="T96" i="43"/>
  <c r="T96" i="42"/>
  <c r="T97" i="44"/>
  <c r="T97" i="43"/>
  <c r="T97" i="42"/>
  <c r="U90" i="44"/>
  <c r="U90" i="43"/>
  <c r="U90" i="42"/>
  <c r="H92" i="44"/>
  <c r="H92" i="43"/>
  <c r="H92" i="42"/>
  <c r="J93" i="44"/>
  <c r="J93" i="43"/>
  <c r="J93" i="42"/>
  <c r="L66" i="44"/>
  <c r="L66" i="42"/>
  <c r="R66" i="44"/>
  <c r="R66" i="43"/>
  <c r="R66" i="42"/>
  <c r="H43" i="44"/>
  <c r="H47" i="44" s="1"/>
  <c r="H43" i="43"/>
  <c r="H47" i="43" s="1"/>
  <c r="S45" i="43"/>
  <c r="S49" i="43" s="1"/>
  <c r="S45" i="44"/>
  <c r="S49" i="44" s="1"/>
  <c r="S45" i="42"/>
  <c r="S49" i="42" s="1"/>
  <c r="Q15" i="34"/>
  <c r="P15" i="34"/>
  <c r="T45" i="43"/>
  <c r="T49" i="43" s="1"/>
  <c r="T45" i="44"/>
  <c r="T49" i="44" s="1"/>
  <c r="T45" i="42"/>
  <c r="T49" i="42"/>
  <c r="V83" i="44"/>
  <c r="V83" i="43"/>
  <c r="V83" i="42"/>
  <c r="N96" i="44"/>
  <c r="N96" i="42"/>
  <c r="H71" i="44"/>
  <c r="H71" i="43"/>
  <c r="H71" i="42"/>
  <c r="K98" i="44"/>
  <c r="K98" i="42"/>
  <c r="K98" i="43"/>
  <c r="V91" i="44"/>
  <c r="V91" i="42"/>
  <c r="V91" i="43"/>
  <c r="R45" i="44"/>
  <c r="R49" i="44" s="1"/>
  <c r="R45" i="43"/>
  <c r="R49" i="43" s="1"/>
  <c r="R45" i="42"/>
  <c r="R49" i="42" s="1"/>
  <c r="T44" i="44"/>
  <c r="T48" i="44"/>
  <c r="T44" i="43"/>
  <c r="T48" i="43" s="1"/>
  <c r="T44" i="42"/>
  <c r="T48" i="42" s="1"/>
  <c r="N32" i="44"/>
  <c r="N32" i="43"/>
  <c r="N32" i="42"/>
  <c r="Z72" i="44"/>
  <c r="Z72" i="43"/>
  <c r="Z72" i="42"/>
  <c r="S31" i="43"/>
  <c r="S35" i="43" s="1"/>
  <c r="S31" i="44"/>
  <c r="S35" i="44" s="1"/>
  <c r="S31" i="42"/>
  <c r="S35" i="42"/>
  <c r="V32" i="44"/>
  <c r="V36" i="44" s="1"/>
  <c r="V32" i="43"/>
  <c r="V36" i="43" s="1"/>
  <c r="V32" i="42"/>
  <c r="V36" i="42" s="1"/>
  <c r="H7" i="44"/>
  <c r="H7" i="43"/>
  <c r="H7" i="42"/>
  <c r="K6" i="44"/>
  <c r="K6" i="43"/>
  <c r="K6" i="42"/>
  <c r="U8" i="44"/>
  <c r="U8" i="43"/>
  <c r="U8" i="42"/>
  <c r="H55" i="44"/>
  <c r="H55" i="43"/>
  <c r="H55" i="42"/>
  <c r="K78" i="44"/>
  <c r="K78" i="43"/>
  <c r="K78" i="42"/>
  <c r="J82" i="43"/>
  <c r="J82" i="44"/>
  <c r="J82" i="42"/>
  <c r="J83" i="44"/>
  <c r="J83" i="42"/>
  <c r="J83" i="43"/>
  <c r="J84" i="43"/>
  <c r="J84" i="44"/>
  <c r="J84" i="42"/>
  <c r="J85" i="44"/>
  <c r="J85" i="43"/>
  <c r="J85" i="42"/>
  <c r="L82" i="44"/>
  <c r="L82" i="43"/>
  <c r="L82" i="42"/>
  <c r="R86" i="44"/>
  <c r="R86" i="43"/>
  <c r="R86" i="42"/>
  <c r="R87" i="44"/>
  <c r="R87" i="42"/>
  <c r="R87" i="43"/>
  <c r="M88" i="44"/>
  <c r="M88" i="43"/>
  <c r="M88" i="42"/>
  <c r="M71" i="44"/>
  <c r="M71" i="43"/>
  <c r="M71" i="42"/>
  <c r="M83" i="44"/>
  <c r="M83" i="43"/>
  <c r="M83" i="42"/>
  <c r="N33" i="44"/>
  <c r="N33" i="42"/>
  <c r="N33" i="43"/>
  <c r="M94" i="43"/>
  <c r="M94" i="44"/>
  <c r="M94" i="42"/>
  <c r="M98" i="44"/>
  <c r="M98" i="42"/>
  <c r="M98" i="43"/>
  <c r="Z67" i="44"/>
  <c r="Z67" i="43"/>
  <c r="Z67" i="42"/>
  <c r="Z68" i="44"/>
  <c r="Z68" i="43"/>
  <c r="Z68" i="42"/>
  <c r="Z69" i="44"/>
  <c r="Z69" i="43"/>
  <c r="Z69" i="42"/>
  <c r="S98" i="44"/>
  <c r="S98" i="43"/>
  <c r="S98" i="42"/>
  <c r="T99" i="44"/>
  <c r="T99" i="43"/>
  <c r="T99" i="42"/>
  <c r="U100" i="44"/>
  <c r="U100" i="43"/>
  <c r="U100" i="42"/>
  <c r="L90" i="44"/>
  <c r="L90" i="43"/>
  <c r="L90" i="42"/>
  <c r="K94" i="44"/>
  <c r="K94" i="43"/>
  <c r="K94" i="42"/>
  <c r="T95" i="44"/>
  <c r="T95" i="43"/>
  <c r="T95" i="42"/>
  <c r="U96" i="44"/>
  <c r="U96" i="43"/>
  <c r="U96" i="42"/>
  <c r="U97" i="44"/>
  <c r="U97" i="43"/>
  <c r="U97" i="42"/>
  <c r="V90" i="44"/>
  <c r="V90" i="43"/>
  <c r="V90" i="42"/>
  <c r="J92" i="44"/>
  <c r="J92" i="43"/>
  <c r="J92" i="42"/>
  <c r="R43" i="44"/>
  <c r="R47" i="44"/>
  <c r="R43" i="43"/>
  <c r="R47" i="43" s="1"/>
  <c r="R43" i="42"/>
  <c r="R47" i="42" s="1"/>
  <c r="L42" i="44"/>
  <c r="L46" i="44" s="1"/>
  <c r="L42" i="43"/>
  <c r="L46" i="43" s="1"/>
  <c r="L42" i="42"/>
  <c r="L46" i="42"/>
  <c r="K42" i="44"/>
  <c r="K46" i="44"/>
  <c r="K42" i="43"/>
  <c r="K46" i="43" s="1"/>
  <c r="K42" i="42"/>
  <c r="K46" i="42" s="1"/>
  <c r="U42" i="44"/>
  <c r="U46" i="44"/>
  <c r="U42" i="43"/>
  <c r="U46" i="43" s="1"/>
  <c r="U42" i="42"/>
  <c r="U46" i="42" s="1"/>
  <c r="T32" i="44"/>
  <c r="T36" i="44" s="1"/>
  <c r="T32" i="42"/>
  <c r="T36" i="42" s="1"/>
  <c r="T32" i="43"/>
  <c r="T36" i="43" s="1"/>
  <c r="N100" i="44"/>
  <c r="N100" i="43"/>
  <c r="N100" i="42"/>
  <c r="S100" i="44"/>
  <c r="S100" i="42"/>
  <c r="S100" i="43"/>
  <c r="L33" i="44"/>
  <c r="L37" i="44" s="1"/>
  <c r="L33" i="43"/>
  <c r="L37" i="43" s="1"/>
  <c r="L33" i="42"/>
  <c r="L37" i="42" s="1"/>
  <c r="L8" i="44"/>
  <c r="L8" i="43"/>
  <c r="L8" i="42"/>
  <c r="L67" i="42"/>
  <c r="H36" i="44"/>
  <c r="H36" i="43"/>
  <c r="H36" i="42"/>
  <c r="T31" i="44"/>
  <c r="T35" i="44"/>
  <c r="T31" i="43"/>
  <c r="T35" i="43" s="1"/>
  <c r="T31" i="42"/>
  <c r="T35" i="42"/>
  <c r="R33" i="44"/>
  <c r="R37" i="44" s="1"/>
  <c r="R33" i="43"/>
  <c r="R37" i="43"/>
  <c r="R33" i="42"/>
  <c r="R37" i="42"/>
  <c r="R6" i="44"/>
  <c r="R6" i="42"/>
  <c r="R6" i="43"/>
  <c r="T7" i="44"/>
  <c r="T7" i="43"/>
  <c r="T7" i="42"/>
  <c r="V8" i="44"/>
  <c r="V8" i="43"/>
  <c r="V8" i="42"/>
  <c r="K82" i="44"/>
  <c r="K82" i="43"/>
  <c r="K82" i="42"/>
  <c r="S86" i="44"/>
  <c r="S86" i="43"/>
  <c r="S86" i="42"/>
  <c r="S87" i="44"/>
  <c r="S87" i="43"/>
  <c r="S87" i="42"/>
  <c r="R88" i="44"/>
  <c r="R88" i="43"/>
  <c r="R88" i="42"/>
  <c r="N89" i="44"/>
  <c r="N89" i="43"/>
  <c r="N89" i="42"/>
  <c r="M89" i="44"/>
  <c r="M89" i="43"/>
  <c r="M89" i="42"/>
  <c r="M72" i="44"/>
  <c r="M72" i="43"/>
  <c r="M72" i="42"/>
  <c r="M68" i="44"/>
  <c r="M68" i="43"/>
  <c r="M68" i="42"/>
  <c r="M84" i="42"/>
  <c r="L99" i="44"/>
  <c r="L99" i="43"/>
  <c r="L99" i="42"/>
  <c r="M99" i="44"/>
  <c r="M99" i="43"/>
  <c r="M99" i="42"/>
  <c r="Z66" i="43"/>
  <c r="Z66" i="44"/>
  <c r="Z66" i="42"/>
  <c r="T98" i="44"/>
  <c r="T98" i="43"/>
  <c r="T98" i="42"/>
  <c r="U99" i="44"/>
  <c r="U99" i="43"/>
  <c r="U99" i="42"/>
  <c r="V100" i="44"/>
  <c r="V100" i="43"/>
  <c r="V100" i="42"/>
  <c r="L93" i="44"/>
  <c r="L93" i="43"/>
  <c r="L93" i="42"/>
  <c r="R94" i="44"/>
  <c r="R94" i="43"/>
  <c r="R94" i="42"/>
  <c r="U95" i="44"/>
  <c r="U95" i="43"/>
  <c r="U95" i="42"/>
  <c r="V96" i="44"/>
  <c r="V96" i="43"/>
  <c r="V96" i="42"/>
  <c r="V97" i="44"/>
  <c r="V97" i="43"/>
  <c r="V97" i="42"/>
  <c r="H91" i="42"/>
  <c r="R92" i="44"/>
  <c r="R92" i="42"/>
  <c r="R92" i="43"/>
  <c r="R93" i="43"/>
  <c r="R93" i="44"/>
  <c r="R93" i="42"/>
  <c r="M56" i="44"/>
  <c r="M56" i="42"/>
  <c r="M56" i="43"/>
  <c r="S43" i="44"/>
  <c r="S47" i="44" s="1"/>
  <c r="S43" i="42"/>
  <c r="S47" i="42"/>
  <c r="S43" i="43"/>
  <c r="S47" i="43" s="1"/>
  <c r="U43" i="44"/>
  <c r="U47" i="44" s="1"/>
  <c r="U43" i="43"/>
  <c r="U47" i="43" s="1"/>
  <c r="U43" i="42"/>
  <c r="U47" i="42"/>
  <c r="V66" i="44"/>
  <c r="V66" i="43"/>
  <c r="V66" i="42"/>
  <c r="H73" i="44"/>
  <c r="H73" i="43"/>
  <c r="H73" i="42"/>
  <c r="R99" i="44"/>
  <c r="R99" i="43"/>
  <c r="R99" i="42"/>
  <c r="S97" i="43"/>
  <c r="L9" i="44"/>
  <c r="L69" i="43"/>
  <c r="L69" i="44"/>
  <c r="Z70" i="44"/>
  <c r="Z70" i="43"/>
  <c r="Z70" i="42"/>
  <c r="M31" i="44"/>
  <c r="M35" i="44"/>
  <c r="M31" i="43"/>
  <c r="M35" i="43" s="1"/>
  <c r="M31" i="42"/>
  <c r="M35" i="42"/>
  <c r="L74" i="44"/>
  <c r="L74" i="43"/>
  <c r="L74" i="42"/>
  <c r="N74" i="43"/>
  <c r="N74" i="44"/>
  <c r="N74" i="42"/>
  <c r="Z76" i="42"/>
  <c r="R30" i="44"/>
  <c r="R34" i="44" s="1"/>
  <c r="R30" i="42"/>
  <c r="R34" i="42" s="1"/>
  <c r="R30" i="43"/>
  <c r="R34" i="43" s="1"/>
  <c r="U31" i="44"/>
  <c r="U35" i="44"/>
  <c r="U31" i="43"/>
  <c r="U35" i="43"/>
  <c r="U31" i="42"/>
  <c r="U35" i="42"/>
  <c r="S33" i="44"/>
  <c r="S37" i="44" s="1"/>
  <c r="S33" i="43"/>
  <c r="S37" i="43" s="1"/>
  <c r="S33" i="42"/>
  <c r="S37" i="42" s="1"/>
  <c r="S6" i="44"/>
  <c r="S6" i="43"/>
  <c r="S6" i="42"/>
  <c r="U7" i="44"/>
  <c r="U7" i="43"/>
  <c r="U7" i="42"/>
  <c r="H79" i="43"/>
  <c r="H79" i="44"/>
  <c r="H79" i="42"/>
  <c r="K81" i="44"/>
  <c r="K81" i="43"/>
  <c r="K81" i="42"/>
  <c r="R82" i="44"/>
  <c r="R82" i="43"/>
  <c r="R82" i="42"/>
  <c r="R83" i="43"/>
  <c r="R83" i="44"/>
  <c r="R83" i="42"/>
  <c r="R84" i="44"/>
  <c r="R84" i="42"/>
  <c r="R84" i="43"/>
  <c r="R85" i="44"/>
  <c r="R85" i="43"/>
  <c r="R85" i="42"/>
  <c r="T86" i="44"/>
  <c r="T86" i="43"/>
  <c r="T86" i="42"/>
  <c r="S88" i="44"/>
  <c r="S88" i="43"/>
  <c r="S88" i="42"/>
  <c r="R89" i="44"/>
  <c r="R89" i="43"/>
  <c r="R89" i="42"/>
  <c r="N87" i="44"/>
  <c r="N87" i="42"/>
  <c r="N87" i="43"/>
  <c r="M73" i="44"/>
  <c r="M73" i="42"/>
  <c r="M73" i="43"/>
  <c r="M69" i="43"/>
  <c r="M69" i="44"/>
  <c r="M69" i="42"/>
  <c r="M85" i="44"/>
  <c r="M85" i="42"/>
  <c r="M85" i="43"/>
  <c r="K66" i="44"/>
  <c r="K66" i="43"/>
  <c r="K66" i="42"/>
  <c r="R67" i="44"/>
  <c r="R67" i="43"/>
  <c r="R67" i="42"/>
  <c r="R68" i="43"/>
  <c r="R68" i="44"/>
  <c r="R68" i="42"/>
  <c r="R69" i="44"/>
  <c r="R69" i="43"/>
  <c r="R69" i="42"/>
  <c r="U98" i="44"/>
  <c r="U98" i="43"/>
  <c r="U98" i="42"/>
  <c r="V99" i="44"/>
  <c r="V99" i="43"/>
  <c r="V99" i="42"/>
  <c r="H101" i="44"/>
  <c r="H101" i="42"/>
  <c r="H101" i="43"/>
  <c r="N90" i="44"/>
  <c r="N90" i="42"/>
  <c r="N90" i="43"/>
  <c r="T94" i="44"/>
  <c r="T94" i="42"/>
  <c r="T94" i="43"/>
  <c r="V95" i="44"/>
  <c r="V95" i="43"/>
  <c r="V95" i="42"/>
  <c r="H97" i="44"/>
  <c r="H97" i="43"/>
  <c r="H97" i="42"/>
  <c r="J91" i="44"/>
  <c r="J91" i="42"/>
  <c r="J91" i="43"/>
  <c r="S92" i="44"/>
  <c r="S92" i="42"/>
  <c r="S92" i="43"/>
  <c r="T93" i="44"/>
  <c r="T93" i="43"/>
  <c r="T93" i="42"/>
  <c r="M55" i="43"/>
  <c r="M55" i="44"/>
  <c r="M55" i="42"/>
  <c r="T101" i="44"/>
  <c r="T101" i="43"/>
  <c r="T101" i="42"/>
  <c r="J99" i="44"/>
  <c r="J99" i="42"/>
  <c r="J99" i="43"/>
  <c r="H44" i="44"/>
  <c r="H48" i="44"/>
  <c r="H44" i="43"/>
  <c r="H48" i="43"/>
  <c r="H44" i="42"/>
  <c r="H48" i="42"/>
  <c r="L44" i="44"/>
  <c r="L48" i="44" s="1"/>
  <c r="L44" i="43"/>
  <c r="L48" i="43"/>
  <c r="L44" i="42"/>
  <c r="L48" i="42"/>
  <c r="U44" i="43"/>
  <c r="U48" i="43" s="1"/>
  <c r="U44" i="44"/>
  <c r="U48" i="44"/>
  <c r="U44" i="42"/>
  <c r="U48" i="42"/>
  <c r="M30" i="44"/>
  <c r="M34" i="44" s="1"/>
  <c r="M30" i="43"/>
  <c r="M34" i="43"/>
  <c r="M30" i="42"/>
  <c r="M34" i="42" s="1"/>
  <c r="S8" i="44"/>
  <c r="S8" i="42"/>
  <c r="S8" i="43"/>
  <c r="M75" i="44"/>
  <c r="M75" i="43"/>
  <c r="M75" i="42"/>
  <c r="J87" i="44"/>
  <c r="J87" i="43"/>
  <c r="J87" i="42"/>
  <c r="V89" i="44"/>
  <c r="V89" i="43"/>
  <c r="V89" i="42"/>
  <c r="V69" i="44"/>
  <c r="V69" i="43"/>
  <c r="V69" i="42"/>
  <c r="J95" i="44"/>
  <c r="J95" i="43"/>
  <c r="J95" i="42"/>
  <c r="S42" i="44"/>
  <c r="S46" i="44" s="1"/>
  <c r="S42" i="43"/>
  <c r="S46" i="43" s="1"/>
  <c r="S42" i="42"/>
  <c r="S46" i="42" s="1"/>
  <c r="P14" i="34"/>
  <c r="Q14" i="34"/>
  <c r="N7" i="44"/>
  <c r="N104" i="44" s="1"/>
  <c r="N106" i="44" s="1"/>
  <c r="N7" i="43"/>
  <c r="N104" i="43" s="1"/>
  <c r="N106" i="43" s="1"/>
  <c r="N7" i="42"/>
  <c r="N104" i="42"/>
  <c r="N106" i="42" s="1"/>
  <c r="M70" i="42"/>
  <c r="K70" i="44"/>
  <c r="K70" i="43"/>
  <c r="K70" i="42"/>
  <c r="Z73" i="44"/>
  <c r="Z73" i="42"/>
  <c r="Z73" i="43"/>
  <c r="L75" i="43"/>
  <c r="N75" i="44"/>
  <c r="S30" i="44"/>
  <c r="S34" i="44" s="1"/>
  <c r="S30" i="43"/>
  <c r="S34" i="43" s="1"/>
  <c r="S30" i="42"/>
  <c r="S34" i="42" s="1"/>
  <c r="V31" i="44"/>
  <c r="V35" i="44" s="1"/>
  <c r="V31" i="43"/>
  <c r="V35" i="43" s="1"/>
  <c r="V31" i="42"/>
  <c r="V35" i="42" s="1"/>
  <c r="T33" i="44"/>
  <c r="T37" i="44" s="1"/>
  <c r="T33" i="43"/>
  <c r="T37" i="43" s="1"/>
  <c r="T33" i="42"/>
  <c r="T37" i="42"/>
  <c r="T6" i="44"/>
  <c r="T6" i="43"/>
  <c r="T6" i="42"/>
  <c r="V7" i="44"/>
  <c r="V7" i="42"/>
  <c r="V7" i="43"/>
  <c r="R9" i="44"/>
  <c r="R9" i="43"/>
  <c r="R9" i="42"/>
  <c r="H56" i="43"/>
  <c r="H56" i="44"/>
  <c r="H56" i="42"/>
  <c r="H80" i="44"/>
  <c r="H80" i="43"/>
  <c r="H80" i="42"/>
  <c r="K79" i="44"/>
  <c r="K79" i="43"/>
  <c r="K79" i="42"/>
  <c r="S82" i="44"/>
  <c r="S82" i="43"/>
  <c r="S82" i="42"/>
  <c r="S83" i="44"/>
  <c r="S83" i="43"/>
  <c r="S83" i="42"/>
  <c r="S84" i="44"/>
  <c r="S84" i="42"/>
  <c r="S84" i="43"/>
  <c r="S85" i="43"/>
  <c r="S85" i="44"/>
  <c r="S85" i="42"/>
  <c r="U86" i="44"/>
  <c r="U86" i="42"/>
  <c r="U86" i="43"/>
  <c r="U87" i="44"/>
  <c r="U87" i="43"/>
  <c r="U87" i="42"/>
  <c r="T88" i="44"/>
  <c r="T88" i="43"/>
  <c r="T88" i="42"/>
  <c r="S89" i="44"/>
  <c r="S89" i="42"/>
  <c r="S89" i="43"/>
  <c r="N88" i="44"/>
  <c r="N88" i="43"/>
  <c r="N88" i="42"/>
  <c r="L94" i="44"/>
  <c r="L94" i="43"/>
  <c r="L94" i="42"/>
  <c r="H87" i="44"/>
  <c r="H87" i="43"/>
  <c r="H87" i="42"/>
  <c r="H88" i="44"/>
  <c r="H89" i="44"/>
  <c r="H89" i="43"/>
  <c r="H89" i="42"/>
  <c r="M97" i="44"/>
  <c r="M97" i="42"/>
  <c r="M97" i="43"/>
  <c r="M101" i="42"/>
  <c r="M101" i="44"/>
  <c r="M101" i="43"/>
  <c r="S66" i="44"/>
  <c r="S66" i="42"/>
  <c r="S66" i="43"/>
  <c r="S67" i="44"/>
  <c r="S67" i="43"/>
  <c r="S67" i="42"/>
  <c r="S68" i="44"/>
  <c r="S68" i="43"/>
  <c r="S68" i="42"/>
  <c r="S69" i="44"/>
  <c r="S69" i="42"/>
  <c r="S69" i="43"/>
  <c r="V98" i="44"/>
  <c r="V98" i="43"/>
  <c r="V98" i="42"/>
  <c r="H100" i="44"/>
  <c r="H100" i="43"/>
  <c r="H100" i="42"/>
  <c r="L91" i="44"/>
  <c r="L91" i="43"/>
  <c r="L91" i="42"/>
  <c r="N91" i="44"/>
  <c r="N91" i="43"/>
  <c r="N91" i="42"/>
  <c r="U94" i="44"/>
  <c r="U94" i="42"/>
  <c r="U94" i="43"/>
  <c r="H96" i="44"/>
  <c r="H96" i="43"/>
  <c r="H96" i="42"/>
  <c r="J90" i="44"/>
  <c r="J90" i="43"/>
  <c r="J90" i="42"/>
  <c r="R91" i="43"/>
  <c r="R91" i="44"/>
  <c r="R91" i="42"/>
  <c r="T92" i="44"/>
  <c r="T92" i="43"/>
  <c r="T92" i="42"/>
  <c r="U93" i="44"/>
  <c r="U93" i="43"/>
  <c r="U93" i="42"/>
  <c r="M66" i="43"/>
  <c r="M66" i="44"/>
  <c r="M66" i="42"/>
  <c r="S90" i="43"/>
  <c r="S95" i="44"/>
  <c r="S95" i="43"/>
  <c r="S95" i="42"/>
  <c r="R44" i="44"/>
  <c r="R48" i="44" s="1"/>
  <c r="R44" i="42"/>
  <c r="R48" i="42" s="1"/>
  <c r="R44" i="43"/>
  <c r="R48" i="43" s="1"/>
  <c r="L45" i="44"/>
  <c r="L49" i="44" s="1"/>
  <c r="L45" i="43"/>
  <c r="L49" i="43" s="1"/>
  <c r="L45" i="42"/>
  <c r="L49" i="42" s="1"/>
  <c r="U45" i="44"/>
  <c r="U49" i="44" s="1"/>
  <c r="U45" i="43"/>
  <c r="U49" i="43" s="1"/>
  <c r="U45" i="42"/>
  <c r="U49" i="42" s="1"/>
  <c r="C46" i="43"/>
  <c r="C138" i="43" s="1"/>
  <c r="D138" i="43"/>
  <c r="N72" i="44"/>
  <c r="N72" i="43"/>
  <c r="N72" i="42"/>
  <c r="H35" i="44"/>
  <c r="H35" i="43"/>
  <c r="H35" i="42"/>
  <c r="H57" i="44"/>
  <c r="H57" i="42"/>
  <c r="H57" i="43"/>
  <c r="V82" i="44"/>
  <c r="V82" i="43"/>
  <c r="V82" i="42"/>
  <c r="J88" i="43"/>
  <c r="J88" i="42"/>
  <c r="J88" i="44"/>
  <c r="V67" i="44"/>
  <c r="V67" i="43"/>
  <c r="V67" i="42"/>
  <c r="U101" i="44"/>
  <c r="U101" i="43"/>
  <c r="U101" i="42"/>
  <c r="N9" i="44"/>
  <c r="N9" i="43"/>
  <c r="N9" i="42"/>
  <c r="M9" i="44"/>
  <c r="M9" i="43"/>
  <c r="M9" i="42"/>
  <c r="L68" i="44"/>
  <c r="L68" i="43"/>
  <c r="L68" i="42"/>
  <c r="N70" i="44"/>
  <c r="N70" i="43"/>
  <c r="N70" i="42"/>
  <c r="H33" i="43"/>
  <c r="H37" i="43"/>
  <c r="H33" i="44"/>
  <c r="H37" i="44" s="1"/>
  <c r="H33" i="42"/>
  <c r="H37" i="42" s="1"/>
  <c r="M33" i="44"/>
  <c r="M37" i="44" s="1"/>
  <c r="M33" i="42"/>
  <c r="M37" i="42"/>
  <c r="M33" i="43"/>
  <c r="M37" i="43" s="1"/>
  <c r="L76" i="44"/>
  <c r="L76" i="42"/>
  <c r="L76" i="43"/>
  <c r="N76" i="44"/>
  <c r="N76" i="43"/>
  <c r="N76" i="42"/>
  <c r="Z74" i="44"/>
  <c r="Z74" i="43"/>
  <c r="Z74" i="42"/>
  <c r="T30" i="44"/>
  <c r="T34" i="44" s="1"/>
  <c r="T30" i="43"/>
  <c r="T34" i="43"/>
  <c r="T30" i="42"/>
  <c r="T34" i="42"/>
  <c r="R32" i="44"/>
  <c r="R36" i="44" s="1"/>
  <c r="R32" i="42"/>
  <c r="R36" i="42" s="1"/>
  <c r="U33" i="44"/>
  <c r="U37" i="44" s="1"/>
  <c r="U33" i="43"/>
  <c r="U37" i="43" s="1"/>
  <c r="U33" i="42"/>
  <c r="U37" i="42" s="1"/>
  <c r="U6" i="43"/>
  <c r="U6" i="44"/>
  <c r="U6" i="42"/>
  <c r="S9" i="43"/>
  <c r="H81" i="44"/>
  <c r="H81" i="43"/>
  <c r="H81" i="42"/>
  <c r="T82" i="44"/>
  <c r="T82" i="43"/>
  <c r="T82" i="42"/>
  <c r="T83" i="44"/>
  <c r="T83" i="43"/>
  <c r="T83" i="42"/>
  <c r="T84" i="44"/>
  <c r="T84" i="43"/>
  <c r="T84" i="42"/>
  <c r="T85" i="43"/>
  <c r="T85" i="44"/>
  <c r="T85" i="42"/>
  <c r="V86" i="44"/>
  <c r="V86" i="43"/>
  <c r="V86" i="42"/>
  <c r="V87" i="44"/>
  <c r="V87" i="43"/>
  <c r="V87" i="42"/>
  <c r="U88" i="44"/>
  <c r="U88" i="43"/>
  <c r="U88" i="42"/>
  <c r="T89" i="44"/>
  <c r="T89" i="42"/>
  <c r="T89" i="43"/>
  <c r="M57" i="44"/>
  <c r="M57" i="43"/>
  <c r="M57" i="42"/>
  <c r="L87" i="44"/>
  <c r="L87" i="43"/>
  <c r="L87" i="42"/>
  <c r="N94" i="43"/>
  <c r="N94" i="44"/>
  <c r="N94" i="42"/>
  <c r="N98" i="44"/>
  <c r="N98" i="43"/>
  <c r="N98" i="42"/>
  <c r="T66" i="44"/>
  <c r="T66" i="42"/>
  <c r="T66" i="43"/>
  <c r="T67" i="44"/>
  <c r="T67" i="43"/>
  <c r="T67" i="42"/>
  <c r="T68" i="44"/>
  <c r="T68" i="43"/>
  <c r="T68" i="42"/>
  <c r="T69" i="44"/>
  <c r="T69" i="42"/>
  <c r="T69" i="43"/>
  <c r="H75" i="43"/>
  <c r="H75" i="44"/>
  <c r="H75" i="42"/>
  <c r="H76" i="44"/>
  <c r="H76" i="43"/>
  <c r="H76" i="42"/>
  <c r="H77" i="44"/>
  <c r="H77" i="43"/>
  <c r="H77" i="42"/>
  <c r="H83" i="44"/>
  <c r="H83" i="42"/>
  <c r="H83" i="43"/>
  <c r="H84" i="44"/>
  <c r="H84" i="43"/>
  <c r="H84" i="42"/>
  <c r="H85" i="44"/>
  <c r="H85" i="43"/>
  <c r="H85" i="42"/>
  <c r="H99" i="42"/>
  <c r="H99" i="44"/>
  <c r="H99" i="43"/>
  <c r="R101" i="44"/>
  <c r="R101" i="43"/>
  <c r="R101" i="42"/>
  <c r="L92" i="44"/>
  <c r="L92" i="43"/>
  <c r="L92" i="42"/>
  <c r="N92" i="44"/>
  <c r="N92" i="43"/>
  <c r="N92" i="42"/>
  <c r="V94" i="44"/>
  <c r="V94" i="43"/>
  <c r="V94" i="42"/>
  <c r="J96" i="43"/>
  <c r="J96" i="42"/>
  <c r="J96" i="44"/>
  <c r="K90" i="44"/>
  <c r="K90" i="43"/>
  <c r="K90" i="42"/>
  <c r="T91" i="44"/>
  <c r="T91" i="43"/>
  <c r="T91" i="42"/>
  <c r="U92" i="44"/>
  <c r="U92" i="43"/>
  <c r="U92" i="42"/>
  <c r="V93" i="44"/>
  <c r="V93" i="43"/>
  <c r="V93" i="42"/>
  <c r="S91" i="44"/>
  <c r="S91" i="43"/>
  <c r="S91" i="42"/>
  <c r="S94" i="44"/>
  <c r="S94" i="43"/>
  <c r="S94" i="42"/>
  <c r="S44" i="44"/>
  <c r="S48" i="44" s="1"/>
  <c r="S44" i="43"/>
  <c r="S48" i="43"/>
  <c r="S44" i="42"/>
  <c r="S48" i="42" s="1"/>
  <c r="P12" i="34"/>
  <c r="M42" i="42" s="1"/>
  <c r="M46" i="42" s="1"/>
  <c r="M50" i="42" s="1"/>
  <c r="Q12" i="34"/>
  <c r="N42" i="42" s="1"/>
  <c r="N46" i="42" s="1"/>
  <c r="N50" i="42" s="1"/>
  <c r="T42" i="44"/>
  <c r="T46" i="44" s="1"/>
  <c r="T42" i="43"/>
  <c r="T46" i="43" s="1"/>
  <c r="T42" i="42"/>
  <c r="T46" i="42" s="1"/>
  <c r="M78" i="42"/>
  <c r="M78" i="44"/>
  <c r="M78" i="43"/>
  <c r="L81" i="42"/>
  <c r="L81" i="44"/>
  <c r="L81" i="43"/>
  <c r="L78" i="42"/>
  <c r="L78" i="44"/>
  <c r="L78" i="43"/>
  <c r="M79" i="44"/>
  <c r="M79" i="43"/>
  <c r="M79" i="42"/>
  <c r="L79" i="42"/>
  <c r="L79" i="44"/>
  <c r="M80" i="42"/>
  <c r="M80" i="44"/>
  <c r="M80" i="43"/>
  <c r="L80" i="42"/>
  <c r="L80" i="44"/>
  <c r="L80" i="43"/>
  <c r="M81" i="44"/>
  <c r="M81" i="43"/>
  <c r="M81" i="42"/>
  <c r="M54" i="43"/>
  <c r="M54" i="42"/>
  <c r="M54" i="44"/>
  <c r="C104" i="42"/>
  <c r="C153" i="42" s="1"/>
  <c r="C103" i="42"/>
  <c r="C152" i="42"/>
  <c r="C66" i="42"/>
  <c r="C143" i="42" s="1"/>
  <c r="C74" i="43"/>
  <c r="C145" i="43" s="1"/>
  <c r="C104" i="43"/>
  <c r="C153" i="43"/>
  <c r="C14" i="42"/>
  <c r="C130" i="42" s="1"/>
  <c r="C82" i="43"/>
  <c r="C147" i="43" s="1"/>
  <c r="C78" i="42"/>
  <c r="C146" i="42" s="1"/>
  <c r="C74" i="42"/>
  <c r="C145" i="42" s="1"/>
  <c r="C54" i="43"/>
  <c r="C140" i="43" s="1"/>
  <c r="C86" i="42"/>
  <c r="C148" i="42" s="1"/>
  <c r="C98" i="42"/>
  <c r="C151" i="42" s="1"/>
  <c r="C10" i="43"/>
  <c r="C129" i="43" s="1"/>
  <c r="C30" i="42"/>
  <c r="C134" i="42" s="1"/>
  <c r="C105" i="42"/>
  <c r="C154" i="42" s="1"/>
  <c r="C54" i="42"/>
  <c r="C140" i="42" s="1"/>
  <c r="C42" i="42"/>
  <c r="C137" i="42" s="1"/>
  <c r="C90" i="42"/>
  <c r="C149" i="42"/>
  <c r="C82" i="42"/>
  <c r="C147" i="42" s="1"/>
  <c r="O95" i="10"/>
  <c r="M50" i="4"/>
  <c r="O39" i="6"/>
  <c r="K12" i="28"/>
  <c r="C24" i="34"/>
  <c r="O40" i="6"/>
  <c r="K12" i="6"/>
  <c r="D30" i="6"/>
  <c r="F30" i="6"/>
  <c r="F83" i="6"/>
  <c r="F84" i="6" s="1"/>
  <c r="E13" i="27"/>
  <c r="L14" i="27" s="1"/>
  <c r="F30" i="27"/>
  <c r="F29" i="27" s="1"/>
  <c r="O15" i="27" s="1"/>
  <c r="O93" i="10"/>
  <c r="O12" i="6"/>
  <c r="F59" i="28"/>
  <c r="Q42" i="28"/>
  <c r="C59" i="28"/>
  <c r="Q39" i="28" s="1"/>
  <c r="O41" i="6"/>
  <c r="O94" i="6"/>
  <c r="F58" i="4"/>
  <c r="D22" i="27"/>
  <c r="C83" i="6"/>
  <c r="O66" i="6" s="1"/>
  <c r="K12" i="29"/>
  <c r="O40" i="4"/>
  <c r="L7" i="42" s="1"/>
  <c r="O14" i="6"/>
  <c r="C111" i="6"/>
  <c r="O93" i="6"/>
  <c r="K12" i="10"/>
  <c r="K12" i="11"/>
  <c r="K12" i="9"/>
  <c r="E58" i="4"/>
  <c r="F24" i="34"/>
  <c r="F111" i="10"/>
  <c r="C58" i="4"/>
  <c r="K12" i="14"/>
  <c r="D24" i="34"/>
  <c r="O13" i="34"/>
  <c r="D84" i="6"/>
  <c r="O67" i="6"/>
  <c r="K12" i="4"/>
  <c r="K12" i="13"/>
  <c r="D59" i="28"/>
  <c r="Q40" i="28" s="1"/>
  <c r="E111" i="6"/>
  <c r="O95" i="6"/>
  <c r="E30" i="27"/>
  <c r="E29" i="27" s="1"/>
  <c r="O14" i="27" s="1"/>
  <c r="E22" i="27"/>
  <c r="M44" i="42"/>
  <c r="M48" i="42" s="1"/>
  <c r="M52" i="42" s="1"/>
  <c r="M44" i="43"/>
  <c r="M48" i="43" s="1"/>
  <c r="M52" i="43" s="1"/>
  <c r="M44" i="44"/>
  <c r="M48" i="44" s="1"/>
  <c r="M52" i="44" s="1"/>
  <c r="M45" i="42"/>
  <c r="M49" i="42" s="1"/>
  <c r="M53" i="42" s="1"/>
  <c r="M45" i="43"/>
  <c r="M49" i="43"/>
  <c r="M53" i="43" s="1"/>
  <c r="M45" i="44"/>
  <c r="M49" i="44" s="1"/>
  <c r="M53" i="44" s="1"/>
  <c r="L31" i="42"/>
  <c r="L35" i="42" s="1"/>
  <c r="L31" i="43"/>
  <c r="L35" i="43" s="1"/>
  <c r="N45" i="44"/>
  <c r="N49" i="44"/>
  <c r="N53" i="44" s="1"/>
  <c r="N45" i="43"/>
  <c r="N49" i="43"/>
  <c r="N53" i="43" s="1"/>
  <c r="N45" i="42"/>
  <c r="N49" i="42"/>
  <c r="N53" i="42" s="1"/>
  <c r="N43" i="44"/>
  <c r="N47" i="44" s="1"/>
  <c r="N51" i="44" s="1"/>
  <c r="N43" i="43"/>
  <c r="N47" i="43" s="1"/>
  <c r="N51" i="43" s="1"/>
  <c r="N43" i="42"/>
  <c r="N47" i="42" s="1"/>
  <c r="N51" i="42" s="1"/>
  <c r="L30" i="44"/>
  <c r="L34" i="44" s="1"/>
  <c r="L30" i="42"/>
  <c r="L34" i="42" s="1"/>
  <c r="M43" i="43"/>
  <c r="M47" i="43"/>
  <c r="M51" i="43" s="1"/>
  <c r="M43" i="44"/>
  <c r="M47" i="44" s="1"/>
  <c r="M51" i="44" s="1"/>
  <c r="M43" i="42"/>
  <c r="M47" i="42" s="1"/>
  <c r="M51" i="42" s="1"/>
  <c r="N82" i="44"/>
  <c r="N42" i="43"/>
  <c r="N46" i="43" s="1"/>
  <c r="N50" i="43" s="1"/>
  <c r="N42" i="44"/>
  <c r="N46" i="44"/>
  <c r="N50" i="44" s="1"/>
  <c r="L43" i="44"/>
  <c r="L47" i="44"/>
  <c r="L43" i="42"/>
  <c r="L47" i="42"/>
  <c r="M42" i="43"/>
  <c r="M46" i="43"/>
  <c r="M50" i="43" s="1"/>
  <c r="M42" i="44"/>
  <c r="M46" i="44"/>
  <c r="M50" i="44" s="1"/>
  <c r="N44" i="44"/>
  <c r="N48" i="44"/>
  <c r="N52" i="44" s="1"/>
  <c r="N44" i="42"/>
  <c r="N48" i="42"/>
  <c r="N52" i="42" s="1"/>
  <c r="N44" i="43"/>
  <c r="N48" i="43" s="1"/>
  <c r="N52" i="43" s="1"/>
  <c r="V132" i="91" l="1"/>
  <c r="V137" i="91"/>
  <c r="V133" i="91"/>
  <c r="V134" i="91"/>
  <c r="V131" i="91"/>
  <c r="V136" i="91"/>
  <c r="V111" i="91"/>
  <c r="V123" i="91"/>
  <c r="V124" i="91"/>
  <c r="V135" i="91"/>
  <c r="V127" i="91"/>
  <c r="V129" i="91"/>
  <c r="V130" i="91"/>
  <c r="V126" i="91"/>
  <c r="V125" i="91"/>
  <c r="V128" i="91"/>
  <c r="V170" i="91"/>
  <c r="N44" i="45"/>
  <c r="B40" i="45"/>
  <c r="M40" i="45" s="1"/>
  <c r="C40" i="45"/>
  <c r="W41" i="45"/>
  <c r="C34" i="45"/>
  <c r="X52" i="45"/>
  <c r="X73" i="45" s="1"/>
  <c r="X80" i="45" s="1"/>
  <c r="X87" i="45" s="1"/>
  <c r="X66" i="45"/>
  <c r="N66" i="45" s="1"/>
  <c r="N8" i="44"/>
  <c r="N8" i="43"/>
  <c r="N8" i="42"/>
  <c r="N69" i="43"/>
  <c r="N69" i="42"/>
  <c r="N71" i="44"/>
  <c r="N71" i="43"/>
  <c r="N71" i="42"/>
  <c r="L75" i="44"/>
  <c r="L75" i="42"/>
  <c r="M100" i="44"/>
  <c r="M100" i="42"/>
  <c r="M100" i="43"/>
  <c r="M92" i="43"/>
  <c r="M92" i="42"/>
  <c r="H91" i="44"/>
  <c r="H91" i="43"/>
  <c r="H93" i="44"/>
  <c r="H93" i="43"/>
  <c r="H93" i="42"/>
  <c r="C57" i="10"/>
  <c r="O39" i="10"/>
  <c r="L67" i="43"/>
  <c r="L67" i="44"/>
  <c r="M84" i="44"/>
  <c r="M84" i="43"/>
  <c r="M95" i="44"/>
  <c r="M95" i="43"/>
  <c r="M95" i="42"/>
  <c r="J97" i="44"/>
  <c r="J97" i="43"/>
  <c r="J97" i="42"/>
  <c r="L32" i="42"/>
  <c r="L36" i="42" s="1"/>
  <c r="V88" i="42"/>
  <c r="V88" i="44"/>
  <c r="V88" i="43"/>
  <c r="M96" i="44"/>
  <c r="M96" i="43"/>
  <c r="M96" i="42"/>
  <c r="M92" i="44"/>
  <c r="M76" i="42"/>
  <c r="M76" i="44"/>
  <c r="H88" i="43"/>
  <c r="H88" i="42"/>
  <c r="L73" i="44"/>
  <c r="L73" i="42"/>
  <c r="L73" i="43"/>
  <c r="Z76" i="43"/>
  <c r="Z76" i="44"/>
  <c r="R32" i="43"/>
  <c r="R36" i="43" s="1"/>
  <c r="S7" i="43"/>
  <c r="S7" i="44"/>
  <c r="S7" i="42"/>
  <c r="S9" i="44"/>
  <c r="S9" i="42"/>
  <c r="L84" i="43"/>
  <c r="L84" i="44"/>
  <c r="L84" i="42"/>
  <c r="K86" i="43"/>
  <c r="K86" i="42"/>
  <c r="T87" i="44"/>
  <c r="T87" i="43"/>
  <c r="T87" i="42"/>
  <c r="J89" i="44"/>
  <c r="J89" i="43"/>
  <c r="J89" i="42"/>
  <c r="M67" i="44"/>
  <c r="M67" i="42"/>
  <c r="M67" i="43"/>
  <c r="N79" i="45"/>
  <c r="L32" i="43"/>
  <c r="L36" i="43" s="1"/>
  <c r="L7" i="44"/>
  <c r="N85" i="44"/>
  <c r="L31" i="44"/>
  <c r="L35" i="44" s="1"/>
  <c r="M32" i="44"/>
  <c r="M36" i="44" s="1"/>
  <c r="M32" i="42"/>
  <c r="M36" i="42" s="1"/>
  <c r="M32" i="43"/>
  <c r="M36" i="43" s="1"/>
  <c r="L32" i="44"/>
  <c r="L36" i="44" s="1"/>
  <c r="L7" i="43"/>
  <c r="C84" i="6"/>
  <c r="L79" i="43"/>
  <c r="O69" i="6"/>
  <c r="S90" i="44"/>
  <c r="S90" i="42"/>
  <c r="S97" i="44"/>
  <c r="S97" i="42"/>
  <c r="D62" i="43"/>
  <c r="M6" i="44"/>
  <c r="M6" i="43"/>
  <c r="M6" i="42"/>
  <c r="J86" i="43"/>
  <c r="V92" i="44"/>
  <c r="K54" i="42"/>
  <c r="K58" i="42" s="1"/>
  <c r="K54" i="44"/>
  <c r="K54" i="43"/>
  <c r="X56" i="45"/>
  <c r="X77" i="45" s="1"/>
  <c r="X84" i="45" s="1"/>
  <c r="X91" i="45" s="1"/>
  <c r="X70" i="45"/>
  <c r="N70" i="45" s="1"/>
  <c r="X54" i="45"/>
  <c r="X75" i="45" s="1"/>
  <c r="X82" i="45" s="1"/>
  <c r="X89" i="45" s="1"/>
  <c r="X68" i="45"/>
  <c r="N68" i="45" s="1"/>
  <c r="L85" i="43"/>
  <c r="C112" i="42"/>
  <c r="C157" i="42" s="1"/>
  <c r="G38" i="42"/>
  <c r="J13" i="42"/>
  <c r="J17" i="42"/>
  <c r="L54" i="44"/>
  <c r="L58" i="44" s="1"/>
  <c r="L62" i="44" s="1"/>
  <c r="L54" i="43"/>
  <c r="L58" i="43" s="1"/>
  <c r="L62" i="43" s="1"/>
  <c r="N73" i="43"/>
  <c r="G58" i="42"/>
  <c r="K1" i="43"/>
  <c r="J62" i="43" s="1"/>
  <c r="G14" i="43"/>
  <c r="J16" i="43" s="1"/>
  <c r="G78" i="43"/>
  <c r="G103" i="43"/>
  <c r="D103" i="43" s="1"/>
  <c r="C103" i="43" s="1"/>
  <c r="C152" i="43" s="1"/>
  <c r="G98" i="43"/>
  <c r="G42" i="43"/>
  <c r="D78" i="44"/>
  <c r="D146" i="44" s="1"/>
  <c r="C78" i="44"/>
  <c r="C146" i="44" s="1"/>
  <c r="S101" i="43"/>
  <c r="G106" i="42"/>
  <c r="G50" i="42"/>
  <c r="G10" i="42"/>
  <c r="D112" i="43"/>
  <c r="D157" i="43" s="1"/>
  <c r="C112" i="43"/>
  <c r="C157" i="43" s="1"/>
  <c r="J86" i="44"/>
  <c r="E57" i="10"/>
  <c r="O41" i="10"/>
  <c r="M90" i="42"/>
  <c r="M8" i="44"/>
  <c r="N68" i="42"/>
  <c r="M105" i="42"/>
  <c r="M105" i="44"/>
  <c r="Z71" i="43"/>
  <c r="R7" i="43"/>
  <c r="R7" i="44"/>
  <c r="L77" i="43"/>
  <c r="N72" i="45"/>
  <c r="B58" i="45"/>
  <c r="M58" i="45" s="1"/>
  <c r="C58" i="45"/>
  <c r="X55" i="45"/>
  <c r="X76" i="45" s="1"/>
  <c r="X83" i="45" s="1"/>
  <c r="X90" i="45" s="1"/>
  <c r="X69" i="45"/>
  <c r="N69" i="45" s="1"/>
  <c r="J16" i="42"/>
  <c r="W51" i="45"/>
  <c r="W65" i="45"/>
  <c r="B44" i="45"/>
  <c r="M44" i="45" s="1"/>
  <c r="C44" i="45"/>
  <c r="G50" i="44"/>
  <c r="C60" i="45"/>
  <c r="B60" i="45"/>
  <c r="M60" i="45" s="1"/>
  <c r="C61" i="45"/>
  <c r="B61" i="45"/>
  <c r="M61" i="45" s="1"/>
  <c r="W53" i="45"/>
  <c r="W67" i="45"/>
  <c r="B46" i="45"/>
  <c r="M46" i="45" s="1"/>
  <c r="C46" i="45"/>
  <c r="W54" i="45"/>
  <c r="W68" i="45"/>
  <c r="C47" i="45"/>
  <c r="B47" i="45"/>
  <c r="M47" i="45" s="1"/>
  <c r="W36" i="45"/>
  <c r="C29" i="45"/>
  <c r="B29" i="45"/>
  <c r="M29" i="45" s="1"/>
  <c r="U9" i="43"/>
  <c r="G58" i="44"/>
  <c r="J59" i="44" s="1"/>
  <c r="X36" i="45"/>
  <c r="N29" i="45"/>
  <c r="X51" i="45"/>
  <c r="X72" i="45" s="1"/>
  <c r="X79" i="45" s="1"/>
  <c r="X86" i="45" s="1"/>
  <c r="N86" i="45" s="1"/>
  <c r="X65" i="45"/>
  <c r="N65" i="45" s="1"/>
  <c r="E83" i="6"/>
  <c r="L57" i="42"/>
  <c r="L61" i="42" s="1"/>
  <c r="L65" i="42" s="1"/>
  <c r="W31" i="45"/>
  <c r="B24" i="45"/>
  <c r="M24" i="45" s="1"/>
  <c r="C24" i="45"/>
  <c r="Z77" i="42"/>
  <c r="F32" i="13"/>
  <c r="P15" i="13" s="1"/>
  <c r="X53" i="45"/>
  <c r="X74" i="45" s="1"/>
  <c r="X81" i="45" s="1"/>
  <c r="X88" i="45" s="1"/>
  <c r="X67" i="45"/>
  <c r="N67" i="45" s="1"/>
  <c r="W42" i="45"/>
  <c r="C35" i="45"/>
  <c r="B35" i="45"/>
  <c r="M35" i="45" s="1"/>
  <c r="V52" i="45"/>
  <c r="V38" i="45"/>
  <c r="N37" i="45"/>
  <c r="V87" i="45"/>
  <c r="N87" i="45" s="1"/>
  <c r="V10" i="45"/>
  <c r="N10" i="45" s="1"/>
  <c r="V74" i="45"/>
  <c r="V75" i="45" s="1"/>
  <c r="N75" i="45" s="1"/>
  <c r="V18" i="45"/>
  <c r="N18" i="45" s="1"/>
  <c r="V45" i="45"/>
  <c r="L101" i="42"/>
  <c r="L101" i="44"/>
  <c r="L101" i="43"/>
  <c r="J100" i="43"/>
  <c r="J100" i="42"/>
  <c r="J100" i="44"/>
  <c r="N83" i="43"/>
  <c r="N85" i="42"/>
  <c r="C30" i="27"/>
  <c r="C29" i="27" s="1"/>
  <c r="O12" i="27" s="1"/>
  <c r="C22" i="27"/>
  <c r="M93" i="44"/>
  <c r="M93" i="42"/>
  <c r="M93" i="43"/>
  <c r="K30" i="43"/>
  <c r="K34" i="43" s="1"/>
  <c r="K30" i="44"/>
  <c r="K34" i="44" s="1"/>
  <c r="K30" i="42"/>
  <c r="K34" i="42" s="1"/>
  <c r="N85" i="43"/>
  <c r="L30" i="43"/>
  <c r="L34" i="43" s="1"/>
  <c r="L71" i="44"/>
  <c r="L71" i="43"/>
  <c r="L71" i="42"/>
  <c r="N75" i="43"/>
  <c r="N75" i="42"/>
  <c r="M86" i="44"/>
  <c r="M86" i="43"/>
  <c r="M86" i="42"/>
  <c r="N93" i="44"/>
  <c r="N93" i="43"/>
  <c r="N93" i="42"/>
  <c r="M87" i="44"/>
  <c r="M87" i="43"/>
  <c r="M87" i="42"/>
  <c r="N66" i="44"/>
  <c r="N66" i="43"/>
  <c r="N66" i="42"/>
  <c r="M77" i="43"/>
  <c r="M77" i="44"/>
  <c r="M77" i="42"/>
  <c r="N86" i="43"/>
  <c r="N86" i="44"/>
  <c r="N86" i="42"/>
  <c r="N82" i="42"/>
  <c r="L43" i="43"/>
  <c r="L47" i="43" s="1"/>
  <c r="N67" i="42"/>
  <c r="N67" i="43"/>
  <c r="N6" i="44"/>
  <c r="N103" i="44" s="1"/>
  <c r="N105" i="44" s="1"/>
  <c r="N6" i="42"/>
  <c r="N103" i="42" s="1"/>
  <c r="N105" i="42" s="1"/>
  <c r="N6" i="43"/>
  <c r="N103" i="43" s="1"/>
  <c r="N105" i="43" s="1"/>
  <c r="L6" i="44"/>
  <c r="L6" i="43"/>
  <c r="L6" i="42"/>
  <c r="F13" i="27"/>
  <c r="L15" i="27" s="1"/>
  <c r="N83" i="42"/>
  <c r="L100" i="42"/>
  <c r="N83" i="44"/>
  <c r="L100" i="43"/>
  <c r="L86" i="44"/>
  <c r="L86" i="43"/>
  <c r="L86" i="42"/>
  <c r="L100" i="44"/>
  <c r="M70" i="44"/>
  <c r="M70" i="43"/>
  <c r="L9" i="43"/>
  <c r="L9" i="42"/>
  <c r="L83" i="44"/>
  <c r="L83" i="43"/>
  <c r="L83" i="42"/>
  <c r="N82" i="43"/>
  <c r="N77" i="44"/>
  <c r="N77" i="43"/>
  <c r="M8" i="43"/>
  <c r="N69" i="44"/>
  <c r="N73" i="42"/>
  <c r="E59" i="28"/>
  <c r="Q41" i="28" s="1"/>
  <c r="C66" i="28"/>
  <c r="D108" i="42"/>
  <c r="D156" i="42" s="1"/>
  <c r="H8" i="44"/>
  <c r="M7" i="42"/>
  <c r="L77" i="42"/>
  <c r="O96" i="6"/>
  <c r="N95" i="42"/>
  <c r="M8" i="42"/>
  <c r="N97" i="43"/>
  <c r="J47" i="43"/>
  <c r="Z71" i="42"/>
  <c r="M74" i="44"/>
  <c r="L97" i="43"/>
  <c r="L97" i="44"/>
  <c r="H43" i="42"/>
  <c r="H47" i="42" s="1"/>
  <c r="S101" i="42"/>
  <c r="G34" i="42"/>
  <c r="G46" i="42"/>
  <c r="M1" i="42"/>
  <c r="J54" i="42" s="1"/>
  <c r="G6" i="42"/>
  <c r="H9" i="42"/>
  <c r="D6" i="43"/>
  <c r="D34" i="43"/>
  <c r="D61" i="13"/>
  <c r="Q41" i="13" s="1"/>
  <c r="C61" i="13"/>
  <c r="Q40" i="13" s="1"/>
  <c r="D152" i="43"/>
  <c r="J46" i="43"/>
  <c r="D120" i="42"/>
  <c r="D159" i="42" s="1"/>
  <c r="D116" i="42"/>
  <c r="J12" i="42"/>
  <c r="D10" i="42"/>
  <c r="G26" i="42"/>
  <c r="J52" i="42"/>
  <c r="J53" i="42"/>
  <c r="J51" i="42"/>
  <c r="J45" i="42"/>
  <c r="J44" i="42"/>
  <c r="J43" i="42"/>
  <c r="J42" i="42"/>
  <c r="F130" i="14"/>
  <c r="E130" i="14"/>
  <c r="D130" i="14"/>
  <c r="D94" i="44"/>
  <c r="D150" i="44" s="1"/>
  <c r="J44" i="43"/>
  <c r="J42" i="43"/>
  <c r="V84" i="44"/>
  <c r="G58" i="43"/>
  <c r="G90" i="43"/>
  <c r="G22" i="43"/>
  <c r="D116" i="43"/>
  <c r="G18" i="43"/>
  <c r="G94" i="42"/>
  <c r="G62" i="42"/>
  <c r="G70" i="42"/>
  <c r="G30" i="43"/>
  <c r="V31" i="45"/>
  <c r="N31" i="45" s="1"/>
  <c r="D14" i="44"/>
  <c r="D10" i="44"/>
  <c r="D129" i="44" s="1"/>
  <c r="G26" i="44"/>
  <c r="G54" i="44"/>
  <c r="G94" i="43"/>
  <c r="G22" i="42"/>
  <c r="C108" i="44"/>
  <c r="C156" i="44" s="1"/>
  <c r="D50" i="44"/>
  <c r="G104" i="44"/>
  <c r="G22" i="44"/>
  <c r="G106" i="44"/>
  <c r="G38" i="44"/>
  <c r="L1" i="43"/>
  <c r="G106" i="43"/>
  <c r="G50" i="43"/>
  <c r="G38" i="43"/>
  <c r="G103" i="44"/>
  <c r="G86" i="44"/>
  <c r="G74" i="44"/>
  <c r="G18" i="44"/>
  <c r="G70" i="44"/>
  <c r="G98" i="44"/>
  <c r="K1" i="44"/>
  <c r="J17" i="44" s="1"/>
  <c r="G62" i="44"/>
  <c r="N55" i="44"/>
  <c r="N59" i="44" s="1"/>
  <c r="N63" i="44" s="1"/>
  <c r="N55" i="43"/>
  <c r="N59" i="43" s="1"/>
  <c r="N63" i="43" s="1"/>
  <c r="N55" i="42"/>
  <c r="N59" i="42" s="1"/>
  <c r="N63" i="42" s="1"/>
  <c r="D58" i="44"/>
  <c r="D141" i="44" s="1"/>
  <c r="G6" i="44"/>
  <c r="C112" i="44"/>
  <c r="C157" i="44" s="1"/>
  <c r="G66" i="43"/>
  <c r="G105" i="43"/>
  <c r="G70" i="43"/>
  <c r="G86" i="43"/>
  <c r="D120" i="44"/>
  <c r="D116" i="44"/>
  <c r="D158" i="44" s="1"/>
  <c r="V24" i="45"/>
  <c r="N24" i="45" s="1"/>
  <c r="V80" i="45"/>
  <c r="J36" i="44"/>
  <c r="C34" i="44"/>
  <c r="C135" i="44" s="1"/>
  <c r="D46" i="44"/>
  <c r="D138" i="44" s="1"/>
  <c r="G30" i="44"/>
  <c r="J30" i="42"/>
  <c r="D108" i="43"/>
  <c r="D156" i="43" s="1"/>
  <c r="G66" i="44"/>
  <c r="G42" i="44"/>
  <c r="G90" i="44"/>
  <c r="F61" i="13"/>
  <c r="Q43" i="13" s="1"/>
  <c r="E61" i="13"/>
  <c r="Q42" i="13" s="1"/>
  <c r="C105" i="44"/>
  <c r="C154" i="44" s="1"/>
  <c r="G82" i="44"/>
  <c r="M103" i="42"/>
  <c r="M106" i="44"/>
  <c r="N56" i="43"/>
  <c r="N60" i="43" s="1"/>
  <c r="N64" i="43" s="1"/>
  <c r="N56" i="44"/>
  <c r="N60" i="44" s="1"/>
  <c r="N64" i="44" s="1"/>
  <c r="M106" i="42"/>
  <c r="L57" i="44"/>
  <c r="L61" i="44" s="1"/>
  <c r="L65" i="44" s="1"/>
  <c r="K62" i="42"/>
  <c r="M103" i="44"/>
  <c r="M106" i="43"/>
  <c r="M103" i="43"/>
  <c r="M104" i="44"/>
  <c r="M104" i="42"/>
  <c r="M105" i="43"/>
  <c r="N54" i="42"/>
  <c r="N58" i="42" s="1"/>
  <c r="N62" i="42" s="1"/>
  <c r="M104" i="43"/>
  <c r="N80" i="45" l="1"/>
  <c r="N73" i="45"/>
  <c r="B41" i="45"/>
  <c r="M41" i="45" s="1"/>
  <c r="W48" i="45"/>
  <c r="W62" i="45"/>
  <c r="C41" i="45"/>
  <c r="B65" i="45"/>
  <c r="M65" i="45" s="1"/>
  <c r="C65" i="45"/>
  <c r="B68" i="45"/>
  <c r="M68" i="45" s="1"/>
  <c r="C68" i="45"/>
  <c r="J65" i="43"/>
  <c r="J49" i="43"/>
  <c r="J35" i="43"/>
  <c r="J34" i="42"/>
  <c r="W49" i="45"/>
  <c r="W63" i="45"/>
  <c r="B42" i="45"/>
  <c r="M42" i="45" s="1"/>
  <c r="C42" i="45"/>
  <c r="J11" i="42"/>
  <c r="J10" i="42"/>
  <c r="D142" i="43"/>
  <c r="C62" i="43"/>
  <c r="C142" i="43" s="1"/>
  <c r="J36" i="43"/>
  <c r="J8" i="43"/>
  <c r="J50" i="42"/>
  <c r="D50" i="42"/>
  <c r="D139" i="42" s="1"/>
  <c r="C50" i="42"/>
  <c r="C139" i="42" s="1"/>
  <c r="J58" i="42"/>
  <c r="J61" i="42"/>
  <c r="J60" i="42"/>
  <c r="J59" i="42"/>
  <c r="D58" i="42"/>
  <c r="D141" i="42" s="1"/>
  <c r="J63" i="43"/>
  <c r="L70" i="44"/>
  <c r="L70" i="42"/>
  <c r="L70" i="43"/>
  <c r="J9" i="43"/>
  <c r="J54" i="43"/>
  <c r="B67" i="45"/>
  <c r="M67" i="45" s="1"/>
  <c r="C67" i="45"/>
  <c r="D106" i="42"/>
  <c r="D155" i="42" s="1"/>
  <c r="C106" i="42"/>
  <c r="C155" i="42" s="1"/>
  <c r="K58" i="43"/>
  <c r="K62" i="43"/>
  <c r="J64" i="43"/>
  <c r="C46" i="44"/>
  <c r="C138" i="44" s="1"/>
  <c r="C10" i="44"/>
  <c r="C129" i="44" s="1"/>
  <c r="N74" i="45"/>
  <c r="W74" i="45"/>
  <c r="C53" i="45"/>
  <c r="B53" i="45"/>
  <c r="M53" i="45" s="1"/>
  <c r="K58" i="44"/>
  <c r="K62" i="44"/>
  <c r="E84" i="6"/>
  <c r="O68" i="6"/>
  <c r="J34" i="44"/>
  <c r="J60" i="44"/>
  <c r="J8" i="44"/>
  <c r="J57" i="42"/>
  <c r="J10" i="43"/>
  <c r="J15" i="43"/>
  <c r="D18" i="43"/>
  <c r="D131" i="43" s="1"/>
  <c r="D14" i="43"/>
  <c r="D130" i="43" s="1"/>
  <c r="J14" i="43"/>
  <c r="W72" i="45"/>
  <c r="B51" i="45"/>
  <c r="M51" i="45" s="1"/>
  <c r="C51" i="45"/>
  <c r="J40" i="42"/>
  <c r="D38" i="42"/>
  <c r="D136" i="42" s="1"/>
  <c r="J41" i="42"/>
  <c r="J39" i="42"/>
  <c r="J38" i="42"/>
  <c r="J55" i="42"/>
  <c r="D42" i="43"/>
  <c r="D137" i="43" s="1"/>
  <c r="J43" i="43"/>
  <c r="C42" i="43"/>
  <c r="C137" i="43" s="1"/>
  <c r="J17" i="43"/>
  <c r="J52" i="44"/>
  <c r="J48" i="43"/>
  <c r="J41" i="44"/>
  <c r="C108" i="42"/>
  <c r="C156" i="42" s="1"/>
  <c r="W38" i="45"/>
  <c r="B31" i="45"/>
  <c r="M31" i="45" s="1"/>
  <c r="C31" i="45"/>
  <c r="X43" i="45"/>
  <c r="X57" i="45"/>
  <c r="N57" i="45" s="1"/>
  <c r="N36" i="45"/>
  <c r="L72" i="44"/>
  <c r="L72" i="43"/>
  <c r="L72" i="42"/>
  <c r="D98" i="43"/>
  <c r="D151" i="43" s="1"/>
  <c r="C98" i="43"/>
  <c r="C151" i="43" s="1"/>
  <c r="W75" i="45"/>
  <c r="B54" i="45"/>
  <c r="M54" i="45" s="1"/>
  <c r="C54" i="45"/>
  <c r="J58" i="44"/>
  <c r="J34" i="43"/>
  <c r="J45" i="43"/>
  <c r="W43" i="45"/>
  <c r="W57" i="45"/>
  <c r="B36" i="45"/>
  <c r="M36" i="45" s="1"/>
  <c r="C36" i="45"/>
  <c r="J30" i="44"/>
  <c r="J37" i="43"/>
  <c r="J12" i="43"/>
  <c r="N51" i="45"/>
  <c r="D78" i="43"/>
  <c r="D146" i="43" s="1"/>
  <c r="C78" i="43"/>
  <c r="C146" i="43" s="1"/>
  <c r="V46" i="45"/>
  <c r="N45" i="45"/>
  <c r="V39" i="45"/>
  <c r="N38" i="45"/>
  <c r="N52" i="45"/>
  <c r="V53" i="45"/>
  <c r="V19" i="45"/>
  <c r="N19" i="45" s="1"/>
  <c r="V11" i="45"/>
  <c r="N11" i="45" s="1"/>
  <c r="V88" i="45"/>
  <c r="N88" i="45" s="1"/>
  <c r="D38" i="44"/>
  <c r="D136" i="44" s="1"/>
  <c r="J39" i="44"/>
  <c r="J40" i="44"/>
  <c r="J9" i="42"/>
  <c r="J8" i="42"/>
  <c r="J6" i="42"/>
  <c r="J7" i="42"/>
  <c r="D6" i="42"/>
  <c r="D128" i="42" s="1"/>
  <c r="C6" i="42"/>
  <c r="C128" i="42" s="1"/>
  <c r="J37" i="44"/>
  <c r="D82" i="44"/>
  <c r="D147" i="44" s="1"/>
  <c r="D22" i="43"/>
  <c r="D132" i="43" s="1"/>
  <c r="D106" i="44"/>
  <c r="D155" i="44" s="1"/>
  <c r="D90" i="43"/>
  <c r="D149" i="43" s="1"/>
  <c r="C90" i="43"/>
  <c r="C149" i="43" s="1"/>
  <c r="D22" i="44"/>
  <c r="D132" i="44" s="1"/>
  <c r="J38" i="44"/>
  <c r="D46" i="42"/>
  <c r="D138" i="42" s="1"/>
  <c r="J49" i="42"/>
  <c r="J48" i="42"/>
  <c r="J46" i="42"/>
  <c r="C46" i="42"/>
  <c r="C138" i="42" s="1"/>
  <c r="J47" i="42"/>
  <c r="D104" i="44"/>
  <c r="D153" i="44" s="1"/>
  <c r="D34" i="42"/>
  <c r="D135" i="42" s="1"/>
  <c r="J37" i="42"/>
  <c r="J36" i="42"/>
  <c r="J35" i="42"/>
  <c r="J62" i="44"/>
  <c r="D62" i="44"/>
  <c r="D142" i="44" s="1"/>
  <c r="J65" i="44"/>
  <c r="J64" i="44"/>
  <c r="J63" i="44"/>
  <c r="C50" i="44"/>
  <c r="C139" i="44" s="1"/>
  <c r="D139" i="44"/>
  <c r="D94" i="43"/>
  <c r="D150" i="43" s="1"/>
  <c r="J53" i="44"/>
  <c r="J48" i="44"/>
  <c r="J46" i="44"/>
  <c r="J35" i="44"/>
  <c r="J13" i="44"/>
  <c r="J10" i="44"/>
  <c r="J57" i="44"/>
  <c r="J55" i="44"/>
  <c r="D54" i="44"/>
  <c r="D140" i="44" s="1"/>
  <c r="J56" i="44"/>
  <c r="J54" i="44"/>
  <c r="C54" i="44"/>
  <c r="C140" i="44" s="1"/>
  <c r="D98" i="44"/>
  <c r="D151" i="44" s="1"/>
  <c r="D26" i="44"/>
  <c r="D133" i="44" s="1"/>
  <c r="V32" i="45"/>
  <c r="N32" i="45" s="1"/>
  <c r="J11" i="44"/>
  <c r="J101" i="43"/>
  <c r="J101" i="44"/>
  <c r="J101" i="42"/>
  <c r="V81" i="45"/>
  <c r="N81" i="45" s="1"/>
  <c r="C70" i="44"/>
  <c r="C144" i="44" s="1"/>
  <c r="D70" i="44"/>
  <c r="D144" i="44" s="1"/>
  <c r="C18" i="44"/>
  <c r="C131" i="44" s="1"/>
  <c r="N78" i="43"/>
  <c r="N78" i="42"/>
  <c r="N78" i="44"/>
  <c r="N80" i="43"/>
  <c r="N80" i="42"/>
  <c r="N80" i="44"/>
  <c r="D74" i="44"/>
  <c r="D145" i="44" s="1"/>
  <c r="J15" i="44"/>
  <c r="J12" i="44"/>
  <c r="N79" i="43"/>
  <c r="N79" i="42"/>
  <c r="N79" i="44"/>
  <c r="D86" i="44"/>
  <c r="D148" i="44" s="1"/>
  <c r="J16" i="44"/>
  <c r="N84" i="44"/>
  <c r="N84" i="43"/>
  <c r="N84" i="42"/>
  <c r="D103" i="44"/>
  <c r="D152" i="44" s="1"/>
  <c r="D70" i="42"/>
  <c r="D144" i="42" s="1"/>
  <c r="V76" i="45"/>
  <c r="J41" i="43"/>
  <c r="J40" i="43"/>
  <c r="J39" i="43"/>
  <c r="J38" i="43"/>
  <c r="D38" i="43"/>
  <c r="D136" i="43" s="1"/>
  <c r="C38" i="43"/>
  <c r="C136" i="43" s="1"/>
  <c r="J63" i="42"/>
  <c r="J64" i="42"/>
  <c r="J62" i="42"/>
  <c r="J65" i="42"/>
  <c r="D62" i="42"/>
  <c r="D142" i="42" s="1"/>
  <c r="J61" i="43"/>
  <c r="J59" i="43"/>
  <c r="D58" i="43"/>
  <c r="D141" i="43" s="1"/>
  <c r="J60" i="43"/>
  <c r="J58" i="43"/>
  <c r="C58" i="43"/>
  <c r="C141" i="43" s="1"/>
  <c r="C120" i="42"/>
  <c r="C159" i="42" s="1"/>
  <c r="C116" i="44"/>
  <c r="C158" i="44" s="1"/>
  <c r="J51" i="44"/>
  <c r="J51" i="43"/>
  <c r="J52" i="43"/>
  <c r="J53" i="43"/>
  <c r="J50" i="43"/>
  <c r="D50" i="43"/>
  <c r="D139" i="43" s="1"/>
  <c r="C50" i="43"/>
  <c r="C139" i="43" s="1"/>
  <c r="D94" i="42"/>
  <c r="D150" i="42" s="1"/>
  <c r="D26" i="42"/>
  <c r="D133" i="42" s="1"/>
  <c r="L98" i="42"/>
  <c r="L98" i="43"/>
  <c r="L98" i="44"/>
  <c r="N81" i="44"/>
  <c r="N81" i="43"/>
  <c r="N81" i="42"/>
  <c r="J7" i="44"/>
  <c r="D6" i="44"/>
  <c r="D128" i="44" s="1"/>
  <c r="J9" i="44"/>
  <c r="D90" i="44"/>
  <c r="D149" i="44" s="1"/>
  <c r="D30" i="44"/>
  <c r="D134" i="44" s="1"/>
  <c r="J33" i="44"/>
  <c r="J32" i="44"/>
  <c r="J31" i="44"/>
  <c r="J49" i="44"/>
  <c r="D106" i="43"/>
  <c r="D155" i="43" s="1"/>
  <c r="C106" i="43"/>
  <c r="C155" i="43" s="1"/>
  <c r="J50" i="44"/>
  <c r="C58" i="44"/>
  <c r="C141" i="44" s="1"/>
  <c r="J13" i="43"/>
  <c r="J11" i="43"/>
  <c r="J7" i="43"/>
  <c r="J6" i="43"/>
  <c r="J57" i="43"/>
  <c r="J56" i="43"/>
  <c r="J55" i="43"/>
  <c r="J56" i="42"/>
  <c r="D129" i="42"/>
  <c r="C10" i="42"/>
  <c r="C129" i="42" s="1"/>
  <c r="C34" i="43"/>
  <c r="C135" i="43" s="1"/>
  <c r="D135" i="43"/>
  <c r="J61" i="44"/>
  <c r="J30" i="43"/>
  <c r="J33" i="43"/>
  <c r="J32" i="43"/>
  <c r="J31" i="43"/>
  <c r="D30" i="43"/>
  <c r="D134" i="43" s="1"/>
  <c r="D128" i="43"/>
  <c r="C6" i="43"/>
  <c r="C128" i="43" s="1"/>
  <c r="V25" i="45"/>
  <c r="N25" i="45" s="1"/>
  <c r="C14" i="44"/>
  <c r="C130" i="44" s="1"/>
  <c r="D130" i="44"/>
  <c r="C18" i="43"/>
  <c r="C131" i="43" s="1"/>
  <c r="D158" i="42"/>
  <c r="C116" i="42"/>
  <c r="C158" i="42" s="1"/>
  <c r="C120" i="44"/>
  <c r="C159" i="44" s="1"/>
  <c r="D159" i="44"/>
  <c r="D86" i="43"/>
  <c r="D148" i="43" s="1"/>
  <c r="C86" i="43"/>
  <c r="C148" i="43" s="1"/>
  <c r="D70" i="43"/>
  <c r="D144" i="43" s="1"/>
  <c r="D66" i="44"/>
  <c r="D143" i="44" s="1"/>
  <c r="J47" i="44"/>
  <c r="D105" i="43"/>
  <c r="D154" i="43" s="1"/>
  <c r="J14" i="44"/>
  <c r="C94" i="44"/>
  <c r="C150" i="44" s="1"/>
  <c r="J43" i="44"/>
  <c r="D42" i="44"/>
  <c r="D137" i="44" s="1"/>
  <c r="J44" i="44"/>
  <c r="J42" i="44"/>
  <c r="C108" i="43"/>
  <c r="C156" i="43" s="1"/>
  <c r="D66" i="43"/>
  <c r="D143" i="43" s="1"/>
  <c r="D158" i="43"/>
  <c r="C116" i="43"/>
  <c r="C158" i="43" s="1"/>
  <c r="J45" i="44"/>
  <c r="J6" i="44"/>
  <c r="D22" i="42"/>
  <c r="D132" i="42" s="1"/>
  <c r="C22" i="42"/>
  <c r="C132" i="42" s="1"/>
  <c r="C62" i="45" l="1"/>
  <c r="B62" i="45"/>
  <c r="M62" i="45" s="1"/>
  <c r="W69" i="45"/>
  <c r="B48" i="45"/>
  <c r="M48" i="45" s="1"/>
  <c r="C48" i="45"/>
  <c r="W55" i="45"/>
  <c r="C66" i="44"/>
  <c r="C143" i="44" s="1"/>
  <c r="V77" i="45"/>
  <c r="N77" i="45" s="1"/>
  <c r="N76" i="45"/>
  <c r="W50" i="45"/>
  <c r="W64" i="45"/>
  <c r="B43" i="45"/>
  <c r="M43" i="45" s="1"/>
  <c r="C43" i="45"/>
  <c r="C38" i="42"/>
  <c r="C136" i="42" s="1"/>
  <c r="C14" i="43"/>
  <c r="C130" i="43" s="1"/>
  <c r="C63" i="45"/>
  <c r="B63" i="45"/>
  <c r="M63" i="45" s="1"/>
  <c r="W45" i="45"/>
  <c r="W59" i="45"/>
  <c r="B38" i="45"/>
  <c r="M38" i="45" s="1"/>
  <c r="C38" i="45"/>
  <c r="W56" i="45"/>
  <c r="W70" i="45"/>
  <c r="B49" i="45"/>
  <c r="M49" i="45" s="1"/>
  <c r="C49" i="45"/>
  <c r="C42" i="44"/>
  <c r="C137" i="44" s="1"/>
  <c r="C58" i="42"/>
  <c r="C141" i="42" s="1"/>
  <c r="W81" i="45"/>
  <c r="B74" i="45"/>
  <c r="M74" i="45" s="1"/>
  <c r="C74" i="45"/>
  <c r="W82" i="45"/>
  <c r="B75" i="45"/>
  <c r="M75" i="45" s="1"/>
  <c r="C75" i="45"/>
  <c r="X50" i="45"/>
  <c r="X64" i="45"/>
  <c r="N64" i="45" s="1"/>
  <c r="N43" i="45"/>
  <c r="C105" i="43"/>
  <c r="C154" i="43" s="1"/>
  <c r="C22" i="44"/>
  <c r="C132" i="44" s="1"/>
  <c r="B57" i="45"/>
  <c r="M57" i="45" s="1"/>
  <c r="C57" i="45"/>
  <c r="C26" i="44"/>
  <c r="C133" i="44" s="1"/>
  <c r="W79" i="45"/>
  <c r="C72" i="45"/>
  <c r="B72" i="45"/>
  <c r="M72" i="45" s="1"/>
  <c r="N53" i="45"/>
  <c r="V54" i="45"/>
  <c r="N39" i="45"/>
  <c r="V40" i="45"/>
  <c r="N46" i="45"/>
  <c r="V47" i="45"/>
  <c r="V89" i="45"/>
  <c r="N89" i="45" s="1"/>
  <c r="V12" i="45"/>
  <c r="N12" i="45" s="1"/>
  <c r="V20" i="45"/>
  <c r="C26" i="42"/>
  <c r="C133" i="42" s="1"/>
  <c r="C70" i="42"/>
  <c r="C144" i="42" s="1"/>
  <c r="C30" i="44"/>
  <c r="C134" i="44" s="1"/>
  <c r="V26" i="45"/>
  <c r="N26" i="45" s="1"/>
  <c r="C98" i="44"/>
  <c r="C151" i="44" s="1"/>
  <c r="C62" i="44"/>
  <c r="C142" i="44" s="1"/>
  <c r="C90" i="44"/>
  <c r="C149" i="44" s="1"/>
  <c r="C6" i="44"/>
  <c r="C128" i="44" s="1"/>
  <c r="C82" i="44"/>
  <c r="C147" i="44" s="1"/>
  <c r="C34" i="42"/>
  <c r="C135" i="42" s="1"/>
  <c r="C104" i="44"/>
  <c r="C153" i="44" s="1"/>
  <c r="C66" i="43"/>
  <c r="C143" i="43" s="1"/>
  <c r="C103" i="44"/>
  <c r="C152" i="44" s="1"/>
  <c r="C86" i="44"/>
  <c r="C148" i="44" s="1"/>
  <c r="C106" i="44"/>
  <c r="C155" i="44" s="1"/>
  <c r="C94" i="42"/>
  <c r="C150" i="42" s="1"/>
  <c r="C74" i="44"/>
  <c r="C145" i="44" s="1"/>
  <c r="V82" i="45"/>
  <c r="N82" i="45" s="1"/>
  <c r="C62" i="42"/>
  <c r="C142" i="42" s="1"/>
  <c r="C30" i="43"/>
  <c r="C134" i="43" s="1"/>
  <c r="V33" i="45"/>
  <c r="N33" i="45" s="1"/>
  <c r="C22" i="43"/>
  <c r="C132" i="43" s="1"/>
  <c r="C38" i="44"/>
  <c r="C136" i="44" s="1"/>
  <c r="C70" i="43"/>
  <c r="C144" i="43" s="1"/>
  <c r="C94" i="43"/>
  <c r="C150" i="43" s="1"/>
  <c r="V115" i="91" l="1"/>
  <c r="V113" i="91"/>
  <c r="V112" i="91"/>
  <c r="V116" i="91"/>
  <c r="V114" i="91"/>
  <c r="C55" i="45"/>
  <c r="W76" i="45"/>
  <c r="B55" i="45"/>
  <c r="M55" i="45" s="1"/>
  <c r="B69" i="45"/>
  <c r="M69" i="45" s="1"/>
  <c r="C69" i="45"/>
  <c r="B64" i="45"/>
  <c r="M64" i="45" s="1"/>
  <c r="C64" i="45"/>
  <c r="W71" i="45"/>
  <c r="B50" i="45"/>
  <c r="M50" i="45" s="1"/>
  <c r="C50" i="45"/>
  <c r="B59" i="45"/>
  <c r="M59" i="45" s="1"/>
  <c r="C59" i="45"/>
  <c r="W88" i="45"/>
  <c r="B81" i="45"/>
  <c r="M81" i="45" s="1"/>
  <c r="C81" i="45"/>
  <c r="C70" i="45"/>
  <c r="B70" i="45"/>
  <c r="M70" i="45" s="1"/>
  <c r="W52" i="45"/>
  <c r="W66" i="45"/>
  <c r="B45" i="45"/>
  <c r="M45" i="45" s="1"/>
  <c r="C45" i="45"/>
  <c r="X71" i="45"/>
  <c r="N50" i="45"/>
  <c r="W77" i="45"/>
  <c r="B56" i="45"/>
  <c r="M56" i="45" s="1"/>
  <c r="C56" i="45"/>
  <c r="W86" i="45"/>
  <c r="C79" i="45"/>
  <c r="B79" i="45"/>
  <c r="M79" i="45" s="1"/>
  <c r="W89" i="45"/>
  <c r="B82" i="45"/>
  <c r="M82" i="45" s="1"/>
  <c r="C82" i="45"/>
  <c r="V21" i="45"/>
  <c r="N21" i="45" s="1"/>
  <c r="N20" i="45"/>
  <c r="N47" i="45"/>
  <c r="V48" i="45"/>
  <c r="N54" i="45"/>
  <c r="V55" i="45"/>
  <c r="N40" i="45"/>
  <c r="V41" i="45"/>
  <c r="V13" i="45"/>
  <c r="N13" i="45" s="1"/>
  <c r="V90" i="45"/>
  <c r="V83" i="45"/>
  <c r="V27" i="45"/>
  <c r="V34" i="45"/>
  <c r="W83" i="45" l="1"/>
  <c r="B76" i="45"/>
  <c r="M76" i="45" s="1"/>
  <c r="C76" i="45"/>
  <c r="B66" i="45"/>
  <c r="M66" i="45" s="1"/>
  <c r="C66" i="45"/>
  <c r="B88" i="45"/>
  <c r="M88" i="45" s="1"/>
  <c r="C88" i="45"/>
  <c r="W73" i="45"/>
  <c r="C52" i="45"/>
  <c r="B52" i="45"/>
  <c r="M52" i="45" s="1"/>
  <c r="B86" i="45"/>
  <c r="M86" i="45" s="1"/>
  <c r="C86" i="45"/>
  <c r="W84" i="45"/>
  <c r="B77" i="45"/>
  <c r="M77" i="45" s="1"/>
  <c r="C77" i="45"/>
  <c r="B89" i="45"/>
  <c r="M89" i="45" s="1"/>
  <c r="C89" i="45"/>
  <c r="X78" i="45"/>
  <c r="N71" i="45"/>
  <c r="N83" i="45"/>
  <c r="V84" i="45"/>
  <c r="N84" i="45" s="1"/>
  <c r="N90" i="45"/>
  <c r="V91" i="45"/>
  <c r="N91" i="45" s="1"/>
  <c r="W78" i="45"/>
  <c r="B71" i="45"/>
  <c r="M71" i="45" s="1"/>
  <c r="C71" i="45"/>
  <c r="V35" i="45"/>
  <c r="N35" i="45" s="1"/>
  <c r="N34" i="45"/>
  <c r="V28" i="45"/>
  <c r="N28" i="45" s="1"/>
  <c r="N27" i="45"/>
  <c r="N41" i="45"/>
  <c r="V42" i="45"/>
  <c r="N42" i="45" s="1"/>
  <c r="V56" i="45"/>
  <c r="N56" i="45" s="1"/>
  <c r="N55" i="45"/>
  <c r="N48" i="45"/>
  <c r="V49" i="45"/>
  <c r="N49" i="45" s="1"/>
  <c r="V14" i="45"/>
  <c r="N14" i="45" s="1"/>
  <c r="B83" i="45" l="1"/>
  <c r="M83" i="45" s="1"/>
  <c r="W90" i="45"/>
  <c r="C83" i="45"/>
  <c r="W91" i="45"/>
  <c r="C84" i="45"/>
  <c r="B84" i="45"/>
  <c r="M84" i="45" s="1"/>
  <c r="W85" i="45"/>
  <c r="B78" i="45"/>
  <c r="M78" i="45" s="1"/>
  <c r="C78" i="45"/>
  <c r="W80" i="45"/>
  <c r="C73" i="45"/>
  <c r="B73" i="45"/>
  <c r="M73" i="45" s="1"/>
  <c r="X85" i="45"/>
  <c r="N85" i="45" s="1"/>
  <c r="N78" i="45"/>
  <c r="V73" i="84" l="1"/>
  <c r="V122" i="84"/>
  <c r="V65" i="84"/>
  <c r="V137" i="84"/>
  <c r="V72" i="84"/>
  <c r="V88" i="84"/>
  <c r="V64" i="84"/>
  <c r="V87" i="84"/>
  <c r="V74" i="84"/>
  <c r="V135" i="84"/>
  <c r="V120" i="84"/>
  <c r="V136" i="84"/>
  <c r="V63" i="84"/>
  <c r="V121" i="84"/>
  <c r="V89" i="84"/>
  <c r="V114" i="84"/>
  <c r="B90" i="45"/>
  <c r="M90" i="45" s="1"/>
  <c r="C90" i="45"/>
  <c r="W87" i="45"/>
  <c r="B80" i="45"/>
  <c r="M80" i="45" s="1"/>
  <c r="C80" i="45"/>
  <c r="C91" i="45"/>
  <c r="B91" i="45"/>
  <c r="M91" i="45" s="1"/>
  <c r="C85" i="45"/>
  <c r="B85" i="45"/>
  <c r="M85" i="45" s="1"/>
  <c r="B87" i="45" l="1"/>
  <c r="M87" i="45" s="1"/>
  <c r="C87" i="45"/>
  <c r="Q140" i="94"/>
  <c r="Y127" i="74"/>
  <c r="AB99" i="84"/>
  <c r="P164" i="74"/>
  <c r="P88" i="81"/>
  <c r="Y66" i="82"/>
  <c r="AA47" i="84"/>
  <c r="Y51" i="83"/>
  <c r="X140" i="81"/>
  <c r="Q116" i="92"/>
  <c r="Q61" i="93"/>
  <c r="AA117" i="87"/>
  <c r="Y141" i="91"/>
  <c r="P143" i="83"/>
  <c r="Y127" i="83"/>
  <c r="X119" i="82"/>
  <c r="X85" i="84"/>
  <c r="Q71" i="82"/>
  <c r="P118" i="87"/>
  <c r="AA17" i="91"/>
  <c r="Y96" i="94"/>
  <c r="X111" i="93"/>
  <c r="AA84" i="91"/>
  <c r="AA80" i="93"/>
  <c r="AB88" i="93"/>
  <c r="P65" i="81"/>
  <c r="Z107" i="89"/>
  <c r="Y45" i="74"/>
  <c r="X64" i="87"/>
  <c r="O164" i="82"/>
  <c r="AB95" i="89"/>
  <c r="N117" i="92"/>
  <c r="Q121" i="87"/>
  <c r="Z160" i="85"/>
  <c r="Y143" i="91"/>
  <c r="L107" i="90"/>
  <c r="X146" i="88"/>
  <c r="AA108" i="74"/>
  <c r="Z117" i="85"/>
  <c r="Q68" i="92"/>
  <c r="L166" i="85"/>
  <c r="Y33" i="91"/>
  <c r="O64" i="83"/>
  <c r="Q122" i="92"/>
  <c r="AA98" i="94"/>
  <c r="Y90" i="93"/>
  <c r="L115" i="85"/>
  <c r="AB115" i="94"/>
  <c r="AA43" i="74"/>
  <c r="P47" i="81"/>
  <c r="Y63" i="92"/>
  <c r="P98" i="82"/>
  <c r="Q86" i="88"/>
  <c r="N81" i="89"/>
  <c r="AB43" i="90"/>
  <c r="P91" i="82"/>
  <c r="X99" i="87"/>
  <c r="X103" i="81"/>
  <c r="AA147" i="84"/>
  <c r="P63" i="91"/>
  <c r="P67" i="87"/>
  <c r="AA142" i="84"/>
  <c r="P120" i="82"/>
  <c r="P135" i="85"/>
  <c r="X87" i="74"/>
  <c r="AB67" i="93"/>
  <c r="X124" i="83"/>
  <c r="AB91" i="85"/>
  <c r="AB134" i="85"/>
  <c r="Q97" i="81"/>
  <c r="AA103" i="84"/>
  <c r="P65" i="87"/>
  <c r="Q45" i="90"/>
  <c r="Z63" i="81"/>
  <c r="L166" i="88"/>
  <c r="AA53" i="84"/>
  <c r="AB72" i="94"/>
  <c r="AB119" i="85"/>
  <c r="Q164" i="82"/>
  <c r="P75" i="89"/>
  <c r="P39" i="74"/>
  <c r="X97" i="94"/>
  <c r="Y112" i="89"/>
  <c r="Z165" i="89"/>
  <c r="AB61" i="90"/>
  <c r="Q68" i="87"/>
  <c r="O31" i="94"/>
  <c r="P85" i="89"/>
  <c r="P90" i="89"/>
  <c r="Y106" i="85"/>
  <c r="O93" i="82"/>
  <c r="AA104" i="83"/>
  <c r="P100" i="89"/>
  <c r="L67" i="94"/>
  <c r="Z59" i="89"/>
  <c r="Z117" i="87"/>
  <c r="Y51" i="84"/>
  <c r="AA63" i="85"/>
  <c r="P55" i="83"/>
  <c r="AB101" i="90"/>
  <c r="Z84" i="88"/>
  <c r="Q109" i="93"/>
  <c r="AB106" i="81"/>
  <c r="AA99" i="82"/>
  <c r="Y67" i="94"/>
  <c r="Y147" i="94"/>
  <c r="Z160" i="87"/>
  <c r="X112" i="85"/>
  <c r="AB164" i="92"/>
  <c r="Q148" i="93"/>
  <c r="M9" i="87"/>
  <c r="AA163" i="90"/>
  <c r="O118" i="93"/>
  <c r="Q106" i="83"/>
  <c r="Q74" i="89"/>
  <c r="AA164" i="82"/>
  <c r="Z140" i="82"/>
  <c r="AA91" i="74"/>
  <c r="P140" i="81"/>
  <c r="Q41" i="74"/>
  <c r="Y92" i="92"/>
  <c r="O128" i="74"/>
  <c r="L119" i="82"/>
  <c r="Q61" i="74"/>
  <c r="O87" i="87"/>
  <c r="O47" i="87"/>
  <c r="Z158" i="90"/>
  <c r="AB87" i="74"/>
  <c r="AA51" i="92"/>
  <c r="X95" i="85"/>
  <c r="AB91" i="82"/>
  <c r="Z55" i="82"/>
  <c r="O158" i="81"/>
  <c r="X146" i="82"/>
  <c r="Z147" i="84"/>
  <c r="L92" i="88"/>
  <c r="Q25" i="94"/>
  <c r="AB27" i="94"/>
  <c r="P61" i="88"/>
  <c r="P162" i="87"/>
  <c r="P102" i="90"/>
  <c r="AB76" i="92"/>
  <c r="N147" i="92"/>
  <c r="AA15" i="88"/>
  <c r="P119" i="83"/>
  <c r="X35" i="90"/>
  <c r="Z116" i="88"/>
  <c r="Z95" i="92"/>
  <c r="X19" i="93"/>
  <c r="Y137" i="94"/>
  <c r="Y119" i="92"/>
  <c r="Q118" i="94"/>
  <c r="P153" i="81"/>
  <c r="AA152" i="82"/>
  <c r="AA149" i="88"/>
  <c r="AB47" i="90"/>
  <c r="Z117" i="90"/>
  <c r="Z117" i="92"/>
  <c r="AB43" i="91"/>
  <c r="AA128" i="85"/>
  <c r="L108" i="90"/>
  <c r="L70" i="85"/>
  <c r="O149" i="81"/>
  <c r="L90" i="87"/>
  <c r="Q159" i="89"/>
  <c r="Y122" i="93"/>
  <c r="Q104" i="84"/>
  <c r="AB61" i="92"/>
  <c r="P112" i="94"/>
  <c r="Z98" i="93"/>
  <c r="L162" i="90"/>
  <c r="P41" i="93"/>
  <c r="L123" i="93"/>
  <c r="X154" i="89"/>
  <c r="AA100" i="84"/>
  <c r="Y115" i="87"/>
  <c r="AA164" i="93"/>
  <c r="Z35" i="92"/>
  <c r="Y90" i="87"/>
  <c r="X67" i="88"/>
  <c r="L166" i="82"/>
  <c r="Y55" i="87"/>
  <c r="X131" i="84"/>
  <c r="P45" i="93"/>
  <c r="AA29" i="85"/>
  <c r="N90" i="94"/>
  <c r="O105" i="87"/>
  <c r="Q105" i="89"/>
  <c r="X87" i="90"/>
  <c r="AA148" i="90"/>
  <c r="AA92" i="94"/>
  <c r="L125" i="82"/>
  <c r="Z17" i="90"/>
  <c r="AB119" i="87"/>
  <c r="Q159" i="91"/>
  <c r="P143" i="90"/>
  <c r="Q80" i="87"/>
  <c r="Y107" i="90"/>
  <c r="P19" i="87"/>
  <c r="O35" i="93"/>
  <c r="Z111" i="94"/>
  <c r="Z102" i="90"/>
  <c r="Z64" i="88"/>
  <c r="Y109" i="93"/>
  <c r="Y107" i="94"/>
  <c r="Q127" i="87"/>
  <c r="O164" i="94"/>
  <c r="P31" i="94"/>
  <c r="P92" i="90"/>
  <c r="N96" i="94"/>
  <c r="X121" i="89"/>
  <c r="Y166" i="81"/>
  <c r="Y64" i="94"/>
  <c r="Q148" i="94"/>
  <c r="Y167" i="74"/>
  <c r="X111" i="91"/>
  <c r="X165" i="88"/>
  <c r="AA133" i="88"/>
  <c r="Z37" i="90"/>
  <c r="AA68" i="89"/>
  <c r="O90" i="93"/>
  <c r="L152" i="89"/>
  <c r="AA124" i="82"/>
  <c r="P92" i="89"/>
  <c r="Q102" i="93"/>
  <c r="X13" i="94"/>
  <c r="Q117" i="90"/>
  <c r="L163" i="93"/>
  <c r="Y41" i="85"/>
  <c r="Q122" i="84"/>
  <c r="AA86" i="74"/>
  <c r="X136" i="81"/>
  <c r="Z94" i="84"/>
  <c r="Z129" i="89"/>
  <c r="AB37" i="89"/>
  <c r="AA165" i="92"/>
  <c r="Y80" i="84"/>
  <c r="L111" i="92"/>
  <c r="AA112" i="88"/>
  <c r="Y164" i="83"/>
  <c r="O89" i="93"/>
  <c r="X61" i="74"/>
  <c r="O120" i="74"/>
  <c r="AA89" i="82"/>
  <c r="AB140" i="84"/>
  <c r="X94" i="93"/>
  <c r="Q151" i="83"/>
  <c r="X165" i="94"/>
  <c r="X47" i="94"/>
  <c r="Y147" i="82"/>
  <c r="Y137" i="82"/>
  <c r="AA35" i="88"/>
  <c r="N57" i="84"/>
  <c r="P140" i="84"/>
  <c r="Y115" i="91"/>
  <c r="P107" i="87"/>
  <c r="AA127" i="91"/>
  <c r="M25" i="92"/>
  <c r="Q124" i="88"/>
  <c r="AB98" i="88"/>
  <c r="P53" i="87"/>
  <c r="X164" i="82"/>
  <c r="Y104" i="92"/>
  <c r="P163" i="85"/>
  <c r="X49" i="74"/>
  <c r="P95" i="94"/>
  <c r="Z41" i="88"/>
  <c r="AB57" i="92"/>
  <c r="L71" i="83"/>
  <c r="Q151" i="87"/>
  <c r="AB47" i="89"/>
  <c r="O145" i="87"/>
  <c r="Y128" i="85"/>
  <c r="Q135" i="87"/>
  <c r="P110" i="91"/>
  <c r="P167" i="87"/>
  <c r="AB63" i="90"/>
  <c r="Z119" i="90"/>
  <c r="O70" i="83"/>
  <c r="N120" i="82"/>
  <c r="AB141" i="94"/>
  <c r="L96" i="90"/>
  <c r="N102" i="94"/>
  <c r="O167" i="90"/>
  <c r="O141" i="84"/>
  <c r="X73" i="85"/>
  <c r="P105" i="74"/>
  <c r="P15" i="81"/>
  <c r="P49" i="85"/>
  <c r="Q88" i="89"/>
  <c r="Q139" i="89"/>
  <c r="Q152" i="91"/>
  <c r="X109" i="74"/>
  <c r="L113" i="82"/>
  <c r="N102" i="84"/>
  <c r="AB41" i="92"/>
  <c r="N108" i="74"/>
  <c r="Z72" i="92"/>
  <c r="L65" i="89"/>
  <c r="AA63" i="74"/>
  <c r="Z124" i="89"/>
  <c r="X68" i="87"/>
  <c r="Y123" i="74"/>
  <c r="N111" i="92"/>
  <c r="Q139" i="90"/>
  <c r="AA105" i="94"/>
  <c r="Y98" i="91"/>
  <c r="AA111" i="74"/>
  <c r="P106" i="87"/>
  <c r="AA167" i="87"/>
  <c r="Y122" i="91"/>
  <c r="AB33" i="82"/>
  <c r="Y127" i="81"/>
  <c r="AB116" i="83"/>
  <c r="AA111" i="94"/>
  <c r="Z106" i="89"/>
  <c r="Z63" i="82"/>
  <c r="X106" i="92"/>
  <c r="L87" i="93"/>
  <c r="Z35" i="81"/>
  <c r="X124" i="87"/>
  <c r="O115" i="90"/>
  <c r="X86" i="91"/>
  <c r="O166" i="82"/>
  <c r="M57" i="91"/>
  <c r="Z66" i="92"/>
  <c r="AA164" i="90"/>
  <c r="AB51" i="92"/>
  <c r="Z87" i="84"/>
  <c r="P136" i="84"/>
  <c r="AB166" i="92"/>
  <c r="M19" i="84"/>
  <c r="P35" i="88"/>
  <c r="Q80" i="81"/>
  <c r="Z115" i="81"/>
  <c r="L102" i="82"/>
  <c r="X133" i="82"/>
  <c r="O162" i="84"/>
  <c r="X109" i="83"/>
  <c r="O153" i="84"/>
  <c r="AA88" i="83"/>
  <c r="Z45" i="87"/>
  <c r="X57" i="88"/>
  <c r="X165" i="90"/>
  <c r="Z57" i="83"/>
  <c r="X72" i="83"/>
  <c r="Q66" i="91"/>
  <c r="N81" i="87"/>
  <c r="Z33" i="92"/>
  <c r="L90" i="89"/>
  <c r="O21" i="87"/>
  <c r="Y74" i="82"/>
  <c r="Y57" i="91"/>
  <c r="X43" i="90"/>
  <c r="Y57" i="84"/>
  <c r="AB47" i="94"/>
  <c r="Z117" i="84"/>
  <c r="N57" i="93"/>
  <c r="L95" i="82"/>
  <c r="X82" i="85"/>
  <c r="X49" i="94"/>
  <c r="P167" i="81"/>
  <c r="Q106" i="82"/>
  <c r="Z114" i="93"/>
  <c r="P135" i="89"/>
  <c r="X117" i="92"/>
  <c r="Y107" i="92"/>
  <c r="Y64" i="83"/>
  <c r="AB157" i="74"/>
  <c r="X125" i="82"/>
  <c r="Y78" i="94"/>
  <c r="AB115" i="90"/>
  <c r="X127" i="85"/>
  <c r="Z119" i="94"/>
  <c r="Y74" i="90"/>
  <c r="L126" i="83"/>
  <c r="O128" i="87"/>
  <c r="N102" i="87"/>
  <c r="AA57" i="92"/>
  <c r="O45" i="74"/>
  <c r="P131" i="90"/>
  <c r="P114" i="83"/>
  <c r="O87" i="93"/>
  <c r="L95" i="74"/>
  <c r="Z61" i="92"/>
  <c r="AA119" i="84"/>
  <c r="AB84" i="92"/>
  <c r="AA15" i="81"/>
  <c r="O124" i="83"/>
  <c r="AB143" i="92"/>
  <c r="Y149" i="84"/>
  <c r="L164" i="93"/>
  <c r="O64" i="85"/>
  <c r="X92" i="90"/>
  <c r="P101" i="84"/>
  <c r="AA64" i="87"/>
  <c r="N144" i="90"/>
  <c r="AB113" i="83"/>
  <c r="AA162" i="82"/>
  <c r="P115" i="90"/>
  <c r="O41" i="83"/>
  <c r="O55" i="89"/>
  <c r="Y125" i="84"/>
  <c r="O63" i="88"/>
  <c r="Z113" i="83"/>
  <c r="L102" i="89"/>
  <c r="N126" i="94"/>
  <c r="Z167" i="82"/>
  <c r="P124" i="83"/>
  <c r="AA132" i="88"/>
  <c r="AA59" i="85"/>
  <c r="O49" i="84"/>
  <c r="Y143" i="88"/>
  <c r="L115" i="93"/>
  <c r="L124" i="83"/>
  <c r="Y19" i="85"/>
  <c r="AA64" i="85"/>
  <c r="Z118" i="81"/>
  <c r="AA53" i="92"/>
  <c r="Q71" i="89"/>
  <c r="AB114" i="74"/>
  <c r="Q151" i="74"/>
  <c r="X97" i="74"/>
  <c r="AA47" i="89"/>
  <c r="L166" i="81"/>
  <c r="X133" i="94"/>
  <c r="AA139" i="87"/>
  <c r="AA147" i="83"/>
  <c r="Q35" i="90"/>
  <c r="X61" i="82"/>
  <c r="AA86" i="83"/>
  <c r="Z112" i="90"/>
  <c r="Z155" i="83"/>
  <c r="Y115" i="94"/>
  <c r="P39" i="89"/>
  <c r="Z67" i="94"/>
  <c r="Y105" i="90"/>
  <c r="P113" i="94"/>
  <c r="AA120" i="91"/>
  <c r="M33" i="82"/>
  <c r="Y106" i="74"/>
  <c r="Q89" i="81"/>
  <c r="Y41" i="83"/>
  <c r="P68" i="81"/>
  <c r="N90" i="93"/>
  <c r="L116" i="92"/>
  <c r="AB118" i="92"/>
  <c r="Y43" i="83"/>
  <c r="X124" i="91"/>
  <c r="AB167" i="84"/>
  <c r="AA149" i="92"/>
  <c r="Y121" i="85"/>
  <c r="Z35" i="90"/>
  <c r="X121" i="90"/>
  <c r="L123" i="89"/>
  <c r="O141" i="83"/>
  <c r="Y64" i="85"/>
  <c r="AA65" i="89"/>
  <c r="X110" i="94"/>
  <c r="M29" i="89"/>
  <c r="Y83" i="92"/>
  <c r="AB128" i="82"/>
  <c r="P139" i="81"/>
  <c r="AA110" i="92"/>
  <c r="Z51" i="74"/>
  <c r="P17" i="90"/>
  <c r="P103" i="94"/>
  <c r="O163" i="84"/>
  <c r="P123" i="90"/>
  <c r="N102" i="82"/>
  <c r="Q35" i="87"/>
  <c r="Z87" i="83"/>
  <c r="P88" i="74"/>
  <c r="AB64" i="88"/>
  <c r="Z152" i="90"/>
  <c r="Z67" i="89"/>
  <c r="X63" i="88"/>
  <c r="N45" i="93"/>
  <c r="AA93" i="81"/>
  <c r="N123" i="91"/>
  <c r="L95" i="83"/>
  <c r="AB166" i="85"/>
  <c r="Q67" i="93"/>
  <c r="Y123" i="89"/>
  <c r="Z122" i="91"/>
  <c r="AA102" i="83"/>
  <c r="L64" i="91"/>
  <c r="AB145" i="74"/>
  <c r="P106" i="85"/>
  <c r="AA103" i="85"/>
  <c r="Y64" i="90"/>
  <c r="P97" i="85"/>
  <c r="O124" i="89"/>
  <c r="Y43" i="89"/>
  <c r="X166" i="84"/>
  <c r="Z94" i="85"/>
  <c r="AB9" i="89"/>
  <c r="X47" i="92"/>
  <c r="X137" i="90"/>
  <c r="X111" i="94"/>
  <c r="AB31" i="91"/>
  <c r="Z123" i="81"/>
  <c r="P118" i="91"/>
  <c r="Q57" i="90"/>
  <c r="X144" i="84"/>
  <c r="P162" i="88"/>
  <c r="Q88" i="87"/>
  <c r="L121" i="90"/>
  <c r="AB101" i="92"/>
  <c r="AA49" i="85"/>
  <c r="P103" i="88"/>
  <c r="X98" i="83"/>
  <c r="P108" i="87"/>
  <c r="AB143" i="88"/>
  <c r="O17" i="87"/>
  <c r="AB157" i="90"/>
  <c r="L86" i="91"/>
  <c r="AB118" i="83"/>
  <c r="Z102" i="83"/>
  <c r="X49" i="89"/>
  <c r="AB59" i="93"/>
  <c r="Z68" i="90"/>
  <c r="Q51" i="84"/>
  <c r="P122" i="87"/>
  <c r="AA106" i="88"/>
  <c r="Z15" i="91"/>
  <c r="Z53" i="87"/>
  <c r="O145" i="92"/>
  <c r="AB143" i="93"/>
  <c r="Q164" i="84"/>
  <c r="X107" i="81"/>
  <c r="O109" i="82"/>
  <c r="Q104" i="94"/>
  <c r="AB82" i="89"/>
  <c r="AA66" i="90"/>
  <c r="P119" i="87"/>
  <c r="L99" i="74"/>
  <c r="AA163" i="93"/>
  <c r="Q61" i="88"/>
  <c r="Q128" i="89"/>
  <c r="X103" i="90"/>
  <c r="L100" i="81"/>
  <c r="O45" i="83"/>
  <c r="Z164" i="74"/>
  <c r="Y165" i="89"/>
  <c r="Y139" i="81"/>
  <c r="Z93" i="94"/>
  <c r="AB126" i="84"/>
  <c r="AA51" i="83"/>
  <c r="Z148" i="90"/>
  <c r="Y119" i="94"/>
  <c r="Q145" i="87"/>
  <c r="X101" i="89"/>
  <c r="L105" i="81"/>
  <c r="Y151" i="82"/>
  <c r="Q161" i="81"/>
  <c r="O87" i="83"/>
  <c r="AB51" i="82"/>
  <c r="O99" i="88"/>
  <c r="AB127" i="87"/>
  <c r="L165" i="85"/>
  <c r="L68" i="89"/>
  <c r="L143" i="94"/>
  <c r="Y66" i="90"/>
  <c r="AA90" i="91"/>
  <c r="Q91" i="90"/>
  <c r="Z78" i="83"/>
  <c r="N93" i="92"/>
  <c r="L119" i="89"/>
  <c r="Y84" i="81"/>
  <c r="Y113" i="92"/>
  <c r="P146" i="90"/>
  <c r="X116" i="84"/>
  <c r="L106" i="89"/>
  <c r="AA108" i="89"/>
  <c r="N123" i="88"/>
  <c r="Y167" i="85"/>
  <c r="X150" i="85"/>
  <c r="L102" i="90"/>
  <c r="X45" i="88"/>
  <c r="N45" i="88"/>
  <c r="N126" i="81"/>
  <c r="AA61" i="88"/>
  <c r="L154" i="81"/>
  <c r="X84" i="92"/>
  <c r="X68" i="82"/>
  <c r="Q112" i="93"/>
  <c r="P122" i="93"/>
  <c r="L67" i="89"/>
  <c r="P107" i="82"/>
  <c r="L106" i="83"/>
  <c r="Q167" i="93"/>
  <c r="AA91" i="91"/>
  <c r="AA74" i="84"/>
  <c r="P140" i="88"/>
  <c r="O98" i="91"/>
  <c r="Y129" i="92"/>
  <c r="N111" i="94"/>
  <c r="AB104" i="87"/>
  <c r="L130" i="85"/>
  <c r="Z47" i="89"/>
  <c r="AA45" i="84"/>
  <c r="X151" i="81"/>
  <c r="P116" i="91"/>
  <c r="P94" i="74"/>
  <c r="Z123" i="93"/>
  <c r="Z93" i="84"/>
  <c r="AB158" i="92"/>
  <c r="X167" i="85"/>
  <c r="AA126" i="74"/>
  <c r="X83" i="94"/>
  <c r="Y110" i="87"/>
  <c r="AA51" i="91"/>
  <c r="N96" i="85"/>
  <c r="AA104" i="91"/>
  <c r="O51" i="81"/>
  <c r="L118" i="87"/>
  <c r="Z115" i="82"/>
  <c r="X130" i="82"/>
  <c r="Z95" i="91"/>
  <c r="AB19" i="88"/>
  <c r="Q108" i="82"/>
  <c r="L104" i="88"/>
  <c r="X91" i="93"/>
  <c r="X29" i="91"/>
  <c r="P93" i="88"/>
  <c r="AB65" i="91"/>
  <c r="P109" i="91"/>
  <c r="N84" i="88"/>
  <c r="AA41" i="82"/>
  <c r="L101" i="90"/>
  <c r="Z59" i="74"/>
  <c r="O126" i="89"/>
  <c r="O78" i="94"/>
  <c r="X103" i="89"/>
  <c r="X92" i="94"/>
  <c r="P61" i="85"/>
  <c r="Y152" i="85"/>
  <c r="P84" i="92"/>
  <c r="AA100" i="89"/>
  <c r="X91" i="74"/>
  <c r="X142" i="91"/>
  <c r="X81" i="90"/>
  <c r="X164" i="85"/>
  <c r="M15" i="85"/>
  <c r="AB111" i="83"/>
  <c r="AA116" i="87"/>
  <c r="Z122" i="94"/>
  <c r="P110" i="81"/>
  <c r="Z61" i="81"/>
  <c r="Q119" i="90"/>
  <c r="Q101" i="94"/>
  <c r="P23" i="81"/>
  <c r="Q107" i="88"/>
  <c r="Y88" i="87"/>
  <c r="X11" i="91"/>
  <c r="X25" i="74"/>
  <c r="Q102" i="88"/>
  <c r="AB148" i="94"/>
  <c r="Y95" i="91"/>
  <c r="Q53" i="91"/>
  <c r="Y165" i="82"/>
  <c r="Z90" i="89"/>
  <c r="P97" i="90"/>
  <c r="Z105" i="88"/>
  <c r="M33" i="91"/>
  <c r="AA107" i="81"/>
  <c r="N93" i="88"/>
  <c r="AB104" i="94"/>
  <c r="P148" i="82"/>
  <c r="Y97" i="82"/>
  <c r="Y63" i="81"/>
  <c r="P106" i="91"/>
  <c r="Y106" i="92"/>
  <c r="X110" i="84"/>
  <c r="Z167" i="81"/>
  <c r="AB21" i="82"/>
  <c r="L140" i="94"/>
  <c r="Y129" i="85"/>
  <c r="AA104" i="93"/>
  <c r="L152" i="83"/>
  <c r="AB80" i="74"/>
  <c r="L80" i="83"/>
  <c r="X118" i="90"/>
  <c r="O100" i="91"/>
  <c r="AB165" i="84"/>
  <c r="AB49" i="83"/>
  <c r="Q17" i="90"/>
  <c r="Z109" i="81"/>
  <c r="Q107" i="82"/>
  <c r="Y99" i="88"/>
  <c r="N63" i="83"/>
  <c r="Y73" i="88"/>
  <c r="AA47" i="74"/>
  <c r="AA115" i="81"/>
  <c r="AB124" i="85"/>
  <c r="L115" i="74"/>
  <c r="L64" i="74"/>
  <c r="O122" i="88"/>
  <c r="AB92" i="89"/>
  <c r="L106" i="88"/>
  <c r="AA162" i="87"/>
  <c r="AB110" i="83"/>
  <c r="Q57" i="82"/>
  <c r="P107" i="88"/>
  <c r="Y118" i="90"/>
  <c r="AA92" i="81"/>
  <c r="Z110" i="81"/>
  <c r="X137" i="85"/>
  <c r="Y123" i="83"/>
  <c r="AA159" i="94"/>
  <c r="L102" i="74"/>
  <c r="Z65" i="92"/>
  <c r="O69" i="89"/>
  <c r="Y121" i="90"/>
  <c r="P144" i="87"/>
  <c r="Q151" i="84"/>
  <c r="L70" i="87"/>
  <c r="P118" i="84"/>
  <c r="O154" i="74"/>
  <c r="Q93" i="94"/>
  <c r="Z98" i="92"/>
  <c r="AB64" i="92"/>
  <c r="AB165" i="81"/>
  <c r="M33" i="87"/>
  <c r="Y115" i="90"/>
  <c r="AA113" i="74"/>
  <c r="P61" i="82"/>
  <c r="P157" i="91"/>
  <c r="P95" i="81"/>
  <c r="O65" i="83"/>
  <c r="AA63" i="82"/>
  <c r="Z163" i="84"/>
  <c r="P65" i="88"/>
  <c r="Y141" i="74"/>
  <c r="AA39" i="93"/>
  <c r="AA63" i="92"/>
  <c r="Q55" i="88"/>
  <c r="O90" i="74"/>
  <c r="X41" i="84"/>
  <c r="N84" i="92"/>
  <c r="N156" i="83"/>
  <c r="Z140" i="87"/>
  <c r="N87" i="74"/>
  <c r="P90" i="82"/>
  <c r="P90" i="74"/>
  <c r="Q152" i="85"/>
  <c r="X143" i="81"/>
  <c r="X19" i="81"/>
  <c r="L91" i="85"/>
  <c r="X68" i="74"/>
  <c r="P103" i="92"/>
  <c r="AB93" i="91"/>
  <c r="X105" i="81"/>
  <c r="P33" i="83"/>
  <c r="AB132" i="94"/>
  <c r="P164" i="92"/>
  <c r="Q123" i="87"/>
  <c r="AA87" i="82"/>
  <c r="P57" i="85"/>
  <c r="AA136" i="89"/>
  <c r="Y57" i="90"/>
  <c r="Z92" i="85"/>
  <c r="N45" i="82"/>
  <c r="AB167" i="90"/>
  <c r="O53" i="92"/>
  <c r="Y109" i="92"/>
  <c r="O93" i="74"/>
  <c r="Z41" i="82"/>
  <c r="Z41" i="85"/>
  <c r="L66" i="74"/>
  <c r="AA116" i="81"/>
  <c r="O57" i="82"/>
  <c r="P120" i="88"/>
  <c r="Q91" i="84"/>
  <c r="N108" i="89"/>
  <c r="AB94" i="74"/>
  <c r="Q149" i="94"/>
  <c r="Q31" i="85"/>
  <c r="Z145" i="82"/>
  <c r="AA121" i="91"/>
  <c r="X101" i="91"/>
  <c r="Q128" i="81"/>
  <c r="P126" i="83"/>
  <c r="Z153" i="81"/>
  <c r="Z90" i="88"/>
  <c r="X132" i="88"/>
  <c r="O27" i="84"/>
  <c r="Y68" i="83"/>
  <c r="Z51" i="84"/>
  <c r="Z51" i="87"/>
  <c r="N159" i="89"/>
  <c r="O124" i="90"/>
  <c r="AB125" i="82"/>
  <c r="Z116" i="93"/>
  <c r="L121" i="82"/>
  <c r="L125" i="89"/>
  <c r="M51" i="84"/>
  <c r="Q74" i="88"/>
  <c r="X93" i="74"/>
  <c r="P111" i="83"/>
  <c r="Z96" i="92"/>
  <c r="L132" i="88"/>
  <c r="M55" i="87"/>
  <c r="AA84" i="84"/>
  <c r="Q92" i="90"/>
  <c r="Y85" i="93"/>
  <c r="M39" i="85"/>
  <c r="Z19" i="84"/>
  <c r="N123" i="81"/>
  <c r="L87" i="74"/>
  <c r="P61" i="91"/>
  <c r="AB19" i="74"/>
  <c r="AB49" i="74"/>
  <c r="O69" i="84"/>
  <c r="Z104" i="92"/>
  <c r="Q64" i="94"/>
  <c r="P107" i="93"/>
  <c r="Z106" i="82"/>
  <c r="X116" i="85"/>
  <c r="P31" i="81"/>
  <c r="Q158" i="89"/>
  <c r="P55" i="93"/>
  <c r="Z121" i="91"/>
  <c r="AB128" i="93"/>
  <c r="L130" i="92"/>
  <c r="AA139" i="83"/>
  <c r="AB96" i="93"/>
  <c r="AA140" i="92"/>
  <c r="Y166" i="87"/>
  <c r="AA117" i="74"/>
  <c r="L92" i="93"/>
  <c r="Q160" i="81"/>
  <c r="X88" i="93"/>
  <c r="Z139" i="94"/>
  <c r="Y121" i="91"/>
  <c r="X89" i="93"/>
  <c r="Y124" i="74"/>
  <c r="AB105" i="90"/>
  <c r="Z102" i="87"/>
  <c r="N9" i="93"/>
  <c r="X104" i="91"/>
  <c r="AB87" i="84"/>
  <c r="AB142" i="85"/>
  <c r="Y114" i="91"/>
  <c r="P105" i="93"/>
  <c r="Y162" i="88"/>
  <c r="AB39" i="74"/>
  <c r="Y63" i="88"/>
  <c r="P93" i="93"/>
  <c r="P55" i="92"/>
  <c r="X27" i="82"/>
  <c r="L64" i="94"/>
  <c r="Z64" i="81"/>
  <c r="O69" i="82"/>
  <c r="Y138" i="85"/>
  <c r="Z57" i="89"/>
  <c r="AA146" i="83"/>
  <c r="Q118" i="93"/>
  <c r="Q92" i="85"/>
  <c r="P102" i="94"/>
  <c r="L88" i="74"/>
  <c r="O151" i="92"/>
  <c r="Y111" i="84"/>
  <c r="X159" i="93"/>
  <c r="AA55" i="87"/>
  <c r="Z89" i="92"/>
  <c r="AA135" i="82"/>
  <c r="Z35" i="85"/>
  <c r="P123" i="93"/>
  <c r="Q98" i="92"/>
  <c r="AB47" i="88"/>
  <c r="AA100" i="93"/>
  <c r="O147" i="85"/>
  <c r="Q76" i="81"/>
  <c r="AA132" i="87"/>
  <c r="Z155" i="89"/>
  <c r="Y80" i="85"/>
  <c r="Y90" i="83"/>
  <c r="N117" i="91"/>
  <c r="AA147" i="81"/>
  <c r="AB49" i="90"/>
  <c r="Z39" i="91"/>
  <c r="X93" i="90"/>
  <c r="Y35" i="84"/>
  <c r="L75" i="74"/>
  <c r="AB120" i="92"/>
  <c r="Y93" i="81"/>
  <c r="AB119" i="94"/>
  <c r="AA49" i="88"/>
  <c r="O67" i="89"/>
  <c r="L92" i="90"/>
  <c r="O167" i="81"/>
  <c r="Y167" i="89"/>
  <c r="AA162" i="74"/>
  <c r="AB164" i="85"/>
  <c r="Z13" i="83"/>
  <c r="P95" i="82"/>
  <c r="P72" i="90"/>
  <c r="AA43" i="82"/>
  <c r="Q121" i="94"/>
  <c r="L68" i="83"/>
  <c r="Y103" i="92"/>
  <c r="Y35" i="88"/>
  <c r="Z129" i="94"/>
  <c r="AA103" i="94"/>
  <c r="Z135" i="74"/>
  <c r="AB78" i="91"/>
  <c r="X51" i="90"/>
  <c r="Q124" i="85"/>
  <c r="Y29" i="84"/>
  <c r="X113" i="84"/>
  <c r="Z95" i="88"/>
  <c r="AA63" i="81"/>
  <c r="Q119" i="84"/>
  <c r="Z91" i="81"/>
  <c r="O96" i="88"/>
  <c r="P66" i="92"/>
  <c r="Q115" i="92"/>
  <c r="Z119" i="93"/>
  <c r="AB92" i="83"/>
  <c r="Y84" i="92"/>
  <c r="X55" i="74"/>
  <c r="L93" i="82"/>
  <c r="X130" i="89"/>
  <c r="O167" i="91"/>
  <c r="Y69" i="83"/>
  <c r="O148" i="94"/>
  <c r="Z94" i="88"/>
  <c r="Z153" i="84"/>
  <c r="P145" i="85"/>
  <c r="AB161" i="89"/>
  <c r="AB39" i="91"/>
  <c r="P165" i="94"/>
  <c r="O120" i="83"/>
  <c r="Q167" i="91"/>
  <c r="Y89" i="90"/>
  <c r="Z107" i="82"/>
  <c r="AB41" i="85"/>
  <c r="X53" i="91"/>
  <c r="Y118" i="93"/>
  <c r="X103" i="88"/>
  <c r="O122" i="74"/>
  <c r="N45" i="91"/>
  <c r="L167" i="84"/>
  <c r="L90" i="83"/>
  <c r="L119" i="83"/>
  <c r="X88" i="82"/>
  <c r="P113" i="74"/>
  <c r="Q67" i="94"/>
  <c r="AB137" i="92"/>
  <c r="AA53" i="90"/>
  <c r="X73" i="90"/>
  <c r="Z111" i="91"/>
  <c r="Y49" i="83"/>
  <c r="X74" i="93"/>
  <c r="L163" i="94"/>
  <c r="O164" i="90"/>
  <c r="O55" i="94"/>
  <c r="Y29" i="93"/>
  <c r="P124" i="92"/>
  <c r="Y94" i="91"/>
  <c r="O31" i="87"/>
  <c r="Z47" i="90"/>
  <c r="AB83" i="83"/>
  <c r="X63" i="90"/>
  <c r="P102" i="82"/>
  <c r="AA104" i="90"/>
  <c r="P63" i="94"/>
  <c r="AB91" i="84"/>
  <c r="X94" i="94"/>
  <c r="X116" i="74"/>
  <c r="P68" i="83"/>
  <c r="P105" i="82"/>
  <c r="Z69" i="92"/>
  <c r="P132" i="84"/>
  <c r="P114" i="82"/>
  <c r="Y167" i="83"/>
  <c r="X163" i="87"/>
  <c r="P102" i="83"/>
  <c r="L121" i="94"/>
  <c r="AB155" i="93"/>
  <c r="Z49" i="94"/>
  <c r="P140" i="89"/>
  <c r="Y147" i="84"/>
  <c r="X123" i="92"/>
  <c r="L103" i="94"/>
  <c r="Y93" i="88"/>
  <c r="P143" i="81"/>
  <c r="Q25" i="87"/>
  <c r="L165" i="94"/>
  <c r="AB98" i="91"/>
  <c r="X115" i="83"/>
  <c r="N138" i="88"/>
  <c r="P64" i="92"/>
  <c r="AB89" i="74"/>
  <c r="Q103" i="84"/>
  <c r="O156" i="89"/>
  <c r="Z109" i="84"/>
  <c r="Z91" i="90"/>
  <c r="AA41" i="85"/>
  <c r="AB144" i="85"/>
  <c r="Q110" i="91"/>
  <c r="AB33" i="92"/>
  <c r="AB63" i="89"/>
  <c r="Z49" i="88"/>
  <c r="P93" i="74"/>
  <c r="AA120" i="83"/>
  <c r="Z85" i="82"/>
  <c r="M51" i="94"/>
  <c r="O118" i="85"/>
  <c r="Q67" i="92"/>
  <c r="O144" i="94"/>
  <c r="L100" i="94"/>
  <c r="Y139" i="94"/>
  <c r="AA17" i="74"/>
  <c r="L124" i="90"/>
  <c r="X117" i="83"/>
  <c r="O125" i="87"/>
  <c r="Y68" i="87"/>
  <c r="AB140" i="90"/>
  <c r="AA163" i="89"/>
  <c r="L146" i="93"/>
  <c r="X35" i="89"/>
  <c r="AA29" i="88"/>
  <c r="Z107" i="91"/>
  <c r="AA79" i="82"/>
  <c r="X55" i="91"/>
  <c r="X65" i="81"/>
  <c r="AA99" i="81"/>
  <c r="Z21" i="83"/>
  <c r="Z45" i="74"/>
  <c r="X139" i="92"/>
  <c r="X118" i="83"/>
  <c r="Q21" i="88"/>
  <c r="P115" i="94"/>
  <c r="AA83" i="81"/>
  <c r="AB66" i="90"/>
  <c r="P90" i="90"/>
  <c r="Y108" i="84"/>
  <c r="AA158" i="83"/>
  <c r="N90" i="90"/>
  <c r="X94" i="89"/>
  <c r="AB155" i="82"/>
  <c r="N33" i="82"/>
  <c r="P59" i="87"/>
  <c r="X128" i="91"/>
  <c r="Z158" i="94"/>
  <c r="P117" i="83"/>
  <c r="X137" i="93"/>
  <c r="L91" i="81"/>
  <c r="Q71" i="90"/>
  <c r="L115" i="82"/>
  <c r="AB120" i="90"/>
  <c r="P154" i="89"/>
  <c r="Z122" i="92"/>
  <c r="X67" i="87"/>
  <c r="L149" i="92"/>
  <c r="P65" i="89"/>
  <c r="X103" i="92"/>
  <c r="P106" i="93"/>
  <c r="AB127" i="82"/>
  <c r="AB144" i="90"/>
  <c r="Z68" i="88"/>
  <c r="Z117" i="83"/>
  <c r="AA51" i="85"/>
  <c r="X59" i="88"/>
  <c r="AB166" i="87"/>
  <c r="X117" i="84"/>
  <c r="X45" i="74"/>
  <c r="Z65" i="91"/>
  <c r="Y92" i="89"/>
  <c r="O61" i="82"/>
  <c r="AA45" i="93"/>
  <c r="X37" i="92"/>
  <c r="O115" i="81"/>
  <c r="X99" i="83"/>
  <c r="P103" i="74"/>
  <c r="Q138" i="91"/>
  <c r="P66" i="88"/>
  <c r="P43" i="92"/>
  <c r="AB137" i="85"/>
  <c r="L68" i="74"/>
  <c r="Z63" i="88"/>
  <c r="Z138" i="88"/>
  <c r="P61" i="89"/>
  <c r="AA153" i="81"/>
  <c r="AA164" i="83"/>
  <c r="Y79" i="84"/>
  <c r="Y119" i="83"/>
  <c r="AA73" i="90"/>
  <c r="AB166" i="89"/>
  <c r="Z35" i="89"/>
  <c r="AB86" i="85"/>
  <c r="X166" i="91"/>
  <c r="AA45" i="88"/>
  <c r="X125" i="93"/>
  <c r="Y112" i="84"/>
  <c r="Q138" i="93"/>
  <c r="Y112" i="74"/>
  <c r="X139" i="89"/>
  <c r="AA102" i="85"/>
  <c r="AA33" i="91"/>
  <c r="X94" i="92"/>
  <c r="N57" i="94"/>
  <c r="Y164" i="84"/>
  <c r="X86" i="93"/>
  <c r="P45" i="92"/>
  <c r="M21" i="91"/>
  <c r="X11" i="83"/>
  <c r="P128" i="84"/>
  <c r="X118" i="87"/>
  <c r="Y126" i="83"/>
  <c r="Y166" i="89"/>
  <c r="AA104" i="74"/>
  <c r="Z110" i="74"/>
  <c r="X160" i="92"/>
  <c r="AB103" i="87"/>
  <c r="L132" i="87"/>
  <c r="P96" i="92"/>
  <c r="AA61" i="91"/>
  <c r="AB84" i="87"/>
  <c r="AA93" i="82"/>
  <c r="X98" i="92"/>
  <c r="Z65" i="74"/>
  <c r="AA63" i="91"/>
  <c r="Z118" i="89"/>
  <c r="X122" i="81"/>
  <c r="Y118" i="88"/>
  <c r="Y68" i="84"/>
  <c r="Y165" i="84"/>
  <c r="X11" i="88"/>
  <c r="Y104" i="90"/>
  <c r="AA66" i="91"/>
  <c r="P115" i="88"/>
  <c r="O49" i="81"/>
  <c r="O66" i="85"/>
  <c r="Z147" i="94"/>
  <c r="Q59" i="83"/>
  <c r="O90" i="84"/>
  <c r="AA80" i="90"/>
  <c r="P114" i="90"/>
  <c r="Z125" i="87"/>
  <c r="Y104" i="85"/>
  <c r="P117" i="87"/>
  <c r="X9" i="82"/>
  <c r="O140" i="90"/>
  <c r="AA104" i="94"/>
  <c r="L124" i="85"/>
  <c r="Z35" i="83"/>
  <c r="X70" i="85"/>
  <c r="Z68" i="84"/>
  <c r="AB148" i="89"/>
  <c r="X167" i="84"/>
  <c r="O125" i="81"/>
  <c r="AA47" i="90"/>
  <c r="P104" i="90"/>
  <c r="O164" i="74"/>
  <c r="Q135" i="83"/>
  <c r="Z87" i="88"/>
  <c r="P131" i="91"/>
  <c r="Q80" i="93"/>
  <c r="X134" i="88"/>
  <c r="AA94" i="94"/>
  <c r="X55" i="90"/>
  <c r="AA93" i="85"/>
  <c r="Q67" i="85"/>
  <c r="AB87" i="91"/>
  <c r="AA167" i="84"/>
  <c r="X143" i="83"/>
  <c r="AA106" i="92"/>
  <c r="P114" i="84"/>
  <c r="X145" i="82"/>
  <c r="AA92" i="87"/>
  <c r="N75" i="87"/>
  <c r="N84" i="83"/>
  <c r="AB119" i="89"/>
  <c r="L105" i="84"/>
  <c r="Z121" i="87"/>
  <c r="Y82" i="94"/>
  <c r="O95" i="89"/>
  <c r="AB144" i="93"/>
  <c r="O123" i="83"/>
  <c r="N57" i="87"/>
  <c r="Z57" i="85"/>
  <c r="Z85" i="87"/>
  <c r="Z114" i="82"/>
  <c r="AB115" i="87"/>
  <c r="X101" i="85"/>
  <c r="Z33" i="93"/>
  <c r="AB121" i="83"/>
  <c r="Z93" i="92"/>
  <c r="N93" i="81"/>
  <c r="Z63" i="89"/>
  <c r="Q59" i="93"/>
  <c r="X102" i="84"/>
  <c r="X96" i="94"/>
  <c r="Z106" i="84"/>
  <c r="Q61" i="82"/>
  <c r="X150" i="81"/>
  <c r="Z59" i="94"/>
  <c r="M59" i="74"/>
  <c r="Y108" i="94"/>
  <c r="P9" i="93"/>
  <c r="AA136" i="90"/>
  <c r="L93" i="94"/>
  <c r="L167" i="83"/>
  <c r="AB163" i="85"/>
  <c r="N123" i="85"/>
  <c r="Y53" i="81"/>
  <c r="P65" i="83"/>
  <c r="L87" i="94"/>
  <c r="Q115" i="74"/>
  <c r="M51" i="89"/>
  <c r="X97" i="90"/>
  <c r="AA91" i="84"/>
  <c r="AA66" i="85"/>
  <c r="X61" i="92"/>
  <c r="O166" i="89"/>
  <c r="Q114" i="81"/>
  <c r="O163" i="74"/>
  <c r="AA89" i="90"/>
  <c r="Y39" i="93"/>
  <c r="AA63" i="84"/>
  <c r="L91" i="93"/>
  <c r="AB88" i="89"/>
  <c r="Q68" i="91"/>
  <c r="M51" i="85"/>
  <c r="Q127" i="88"/>
  <c r="AB33" i="94"/>
  <c r="AA67" i="87"/>
  <c r="AA35" i="74"/>
  <c r="AB165" i="82"/>
  <c r="Y116" i="83"/>
  <c r="Q51" i="74"/>
  <c r="Y78" i="84"/>
  <c r="N147" i="91"/>
  <c r="O51" i="91"/>
  <c r="X106" i="85"/>
  <c r="Q94" i="89"/>
  <c r="N57" i="89"/>
  <c r="AB120" i="88"/>
  <c r="X109" i="94"/>
  <c r="AA107" i="84"/>
  <c r="Y126" i="85"/>
  <c r="P165" i="74"/>
  <c r="Y39" i="74"/>
  <c r="O21" i="92"/>
  <c r="Z59" i="85"/>
  <c r="P162" i="85"/>
  <c r="X112" i="89"/>
  <c r="O67" i="83"/>
  <c r="Q119" i="88"/>
  <c r="P25" i="93"/>
  <c r="Q99" i="88"/>
  <c r="L95" i="90"/>
  <c r="N51" i="92"/>
  <c r="Q113" i="85"/>
  <c r="X101" i="93"/>
  <c r="P119" i="74"/>
  <c r="L91" i="82"/>
  <c r="P64" i="93"/>
  <c r="Q105" i="93"/>
  <c r="X141" i="82"/>
  <c r="L116" i="94"/>
  <c r="AB146" i="93"/>
  <c r="Y122" i="81"/>
  <c r="AB89" i="81"/>
  <c r="X123" i="74"/>
  <c r="AA141" i="87"/>
  <c r="AA140" i="84"/>
  <c r="Y148" i="91"/>
  <c r="AB66" i="81"/>
  <c r="Z43" i="82"/>
  <c r="L93" i="93"/>
  <c r="O92" i="85"/>
  <c r="Q33" i="83"/>
  <c r="AA124" i="88"/>
  <c r="AA162" i="93"/>
  <c r="AA29" i="89"/>
  <c r="N33" i="90"/>
  <c r="AB33" i="85"/>
  <c r="AA143" i="83"/>
  <c r="AB128" i="89"/>
  <c r="P104" i="93"/>
  <c r="Q167" i="89"/>
  <c r="Q104" i="90"/>
  <c r="N126" i="92"/>
  <c r="P51" i="87"/>
  <c r="AA87" i="88"/>
  <c r="P66" i="81"/>
  <c r="X107" i="85"/>
  <c r="Z23" i="82"/>
  <c r="Q129" i="74"/>
  <c r="O97" i="83"/>
  <c r="Q64" i="81"/>
  <c r="Q94" i="87"/>
  <c r="AB59" i="81"/>
  <c r="P19" i="93"/>
  <c r="O9" i="94"/>
  <c r="Q104" i="87"/>
  <c r="Z124" i="94"/>
  <c r="L63" i="90"/>
  <c r="P110" i="87"/>
  <c r="Y100" i="90"/>
  <c r="P43" i="88"/>
  <c r="AA51" i="84"/>
  <c r="O127" i="91"/>
  <c r="AA41" i="81"/>
  <c r="O84" i="89"/>
  <c r="AA103" i="82"/>
  <c r="L105" i="89"/>
  <c r="X55" i="92"/>
  <c r="N135" i="85"/>
  <c r="Q47" i="84"/>
  <c r="O87" i="92"/>
  <c r="L90" i="82"/>
  <c r="AA55" i="85"/>
  <c r="P51" i="74"/>
  <c r="Z107" i="93"/>
  <c r="X37" i="82"/>
  <c r="AB81" i="87"/>
  <c r="AA167" i="92"/>
  <c r="AA83" i="92"/>
  <c r="P162" i="74"/>
  <c r="O51" i="85"/>
  <c r="X86" i="81"/>
  <c r="AA139" i="93"/>
  <c r="AA154" i="85"/>
  <c r="L165" i="90"/>
  <c r="AB103" i="83"/>
  <c r="Y167" i="91"/>
  <c r="O84" i="91"/>
  <c r="O83" i="81"/>
  <c r="X99" i="91"/>
  <c r="AA159" i="85"/>
  <c r="Z107" i="83"/>
  <c r="X88" i="84"/>
  <c r="L166" i="92"/>
  <c r="Y61" i="87"/>
  <c r="Q87" i="88"/>
  <c r="X138" i="84"/>
  <c r="Z104" i="89"/>
  <c r="X163" i="74"/>
  <c r="Q125" i="89"/>
  <c r="Z127" i="74"/>
  <c r="Q57" i="89"/>
  <c r="Q120" i="91"/>
  <c r="X110" i="87"/>
  <c r="AA95" i="84"/>
  <c r="Y67" i="85"/>
  <c r="P17" i="93"/>
  <c r="AA95" i="94"/>
  <c r="P87" i="84"/>
  <c r="L123" i="94"/>
  <c r="Y149" i="94"/>
  <c r="Z33" i="94"/>
  <c r="O68" i="83"/>
  <c r="Z91" i="87"/>
  <c r="X164" i="89"/>
  <c r="Y45" i="94"/>
  <c r="AA123" i="90"/>
  <c r="Z154" i="85"/>
  <c r="AA97" i="87"/>
  <c r="P68" i="74"/>
  <c r="N39" i="94"/>
  <c r="X137" i="94"/>
  <c r="Z162" i="83"/>
  <c r="N150" i="85"/>
  <c r="Y81" i="87"/>
  <c r="P162" i="92"/>
  <c r="Q51" i="91"/>
  <c r="Q159" i="90"/>
  <c r="O167" i="87"/>
  <c r="O53" i="91"/>
  <c r="Y115" i="84"/>
  <c r="AB162" i="84"/>
  <c r="X55" i="84"/>
  <c r="O111" i="88"/>
  <c r="AA65" i="93"/>
  <c r="P123" i="88"/>
  <c r="X136" i="91"/>
  <c r="Z115" i="88"/>
  <c r="X106" i="89"/>
  <c r="Q119" i="85"/>
  <c r="AB117" i="81"/>
  <c r="Q114" i="92"/>
  <c r="Y139" i="88"/>
  <c r="N138" i="87"/>
  <c r="Z13" i="85"/>
  <c r="O51" i="88"/>
  <c r="P59" i="81"/>
  <c r="AA108" i="93"/>
  <c r="L114" i="82"/>
  <c r="X126" i="93"/>
  <c r="Q163" i="93"/>
  <c r="Z165" i="85"/>
  <c r="Q121" i="92"/>
  <c r="P23" i="93"/>
  <c r="L149" i="93"/>
  <c r="O137" i="74"/>
  <c r="P114" i="91"/>
  <c r="AB89" i="89"/>
  <c r="X108" i="94"/>
  <c r="Q66" i="87"/>
  <c r="AB106" i="90"/>
  <c r="M55" i="94"/>
  <c r="AA155" i="92"/>
  <c r="Z45" i="88"/>
  <c r="Z90" i="90"/>
  <c r="X43" i="85"/>
  <c r="X127" i="87"/>
  <c r="AB51" i="81"/>
  <c r="Y91" i="82"/>
  <c r="O95" i="92"/>
  <c r="M45" i="74"/>
  <c r="AB27" i="82"/>
  <c r="Q57" i="84"/>
  <c r="L167" i="89"/>
  <c r="Z104" i="74"/>
  <c r="X140" i="74"/>
  <c r="AA47" i="81"/>
  <c r="Z89" i="94"/>
  <c r="P112" i="81"/>
  <c r="Z39" i="84"/>
  <c r="Z95" i="82"/>
  <c r="X21" i="94"/>
  <c r="Y121" i="83"/>
  <c r="M53" i="90"/>
  <c r="AB95" i="90"/>
  <c r="Z143" i="83"/>
  <c r="Z110" i="82"/>
  <c r="Q100" i="92"/>
  <c r="Z68" i="81"/>
  <c r="AA105" i="88"/>
  <c r="Q103" i="81"/>
  <c r="L125" i="90"/>
  <c r="Y57" i="93"/>
  <c r="AA124" i="89"/>
  <c r="Y145" i="82"/>
  <c r="Z37" i="94"/>
  <c r="AB144" i="94"/>
  <c r="L84" i="92"/>
  <c r="Y51" i="94"/>
  <c r="N111" i="84"/>
  <c r="Z31" i="88"/>
  <c r="Q49" i="91"/>
  <c r="O170" i="91"/>
  <c r="Q118" i="85"/>
  <c r="AA76" i="83"/>
  <c r="X95" i="84"/>
  <c r="AB116" i="82"/>
  <c r="AB124" i="88"/>
  <c r="Y153" i="81"/>
  <c r="Z47" i="85"/>
  <c r="Q104" i="92"/>
  <c r="L164" i="88"/>
  <c r="L114" i="90"/>
  <c r="Y45" i="84"/>
  <c r="AB132" i="74"/>
  <c r="Q164" i="85"/>
  <c r="Y123" i="84"/>
  <c r="Z166" i="88"/>
  <c r="Y166" i="91"/>
  <c r="Z138" i="82"/>
  <c r="Q92" i="83"/>
  <c r="P9" i="88"/>
  <c r="AA66" i="83"/>
  <c r="AA87" i="94"/>
  <c r="X100" i="89"/>
  <c r="AA82" i="92"/>
  <c r="X33" i="88"/>
  <c r="AB165" i="91"/>
  <c r="Y92" i="90"/>
  <c r="L126" i="94"/>
  <c r="N147" i="85"/>
  <c r="Q125" i="94"/>
  <c r="Q117" i="94"/>
  <c r="AA167" i="81"/>
  <c r="P74" i="89"/>
  <c r="AB21" i="93"/>
  <c r="AB88" i="85"/>
  <c r="N66" i="91"/>
  <c r="AB162" i="89"/>
  <c r="Z116" i="83"/>
  <c r="N84" i="87"/>
  <c r="AB135" i="88"/>
  <c r="AB104" i="85"/>
  <c r="AA99" i="92"/>
  <c r="Z107" i="74"/>
  <c r="L119" i="90"/>
  <c r="AA96" i="84"/>
  <c r="AB71" i="91"/>
  <c r="P124" i="84"/>
  <c r="Y159" i="88"/>
  <c r="Q61" i="81"/>
  <c r="N66" i="90"/>
  <c r="Z166" i="82"/>
  <c r="O87" i="91"/>
  <c r="Z35" i="94"/>
  <c r="L119" i="92"/>
  <c r="N33" i="85"/>
  <c r="P87" i="88"/>
  <c r="X148" i="81"/>
  <c r="P166" i="85"/>
  <c r="O49" i="88"/>
  <c r="AB93" i="93"/>
  <c r="Y116" i="88"/>
  <c r="P146" i="93"/>
  <c r="P49" i="88"/>
  <c r="AB59" i="92"/>
  <c r="N159" i="85"/>
  <c r="X124" i="89"/>
  <c r="Y150" i="82"/>
  <c r="X114" i="82"/>
  <c r="O127" i="93"/>
  <c r="Q90" i="85"/>
  <c r="AB39" i="88"/>
  <c r="Y116" i="91"/>
  <c r="M39" i="91"/>
  <c r="AA132" i="82"/>
  <c r="L105" i="90"/>
  <c r="O144" i="90"/>
  <c r="P146" i="81"/>
  <c r="P64" i="87"/>
  <c r="Q95" i="82"/>
  <c r="P68" i="93"/>
  <c r="Q128" i="84"/>
  <c r="Q163" i="85"/>
  <c r="Y111" i="94"/>
  <c r="X123" i="93"/>
  <c r="N57" i="91"/>
  <c r="Z105" i="74"/>
  <c r="AB166" i="82"/>
  <c r="AA140" i="89"/>
  <c r="AA140" i="81"/>
  <c r="O51" i="90"/>
  <c r="AA166" i="85"/>
  <c r="P102" i="87"/>
  <c r="Z64" i="94"/>
  <c r="X64" i="74"/>
  <c r="P33" i="84"/>
  <c r="AB59" i="94"/>
  <c r="AB95" i="91"/>
  <c r="Q106" i="84"/>
  <c r="O151" i="91"/>
  <c r="P118" i="83"/>
  <c r="AA116" i="88"/>
  <c r="Y11" i="89"/>
  <c r="Q126" i="83"/>
  <c r="X92" i="92"/>
  <c r="AA130" i="81"/>
  <c r="AA90" i="94"/>
  <c r="X59" i="91"/>
  <c r="Z122" i="89"/>
  <c r="AB64" i="93"/>
  <c r="AA91" i="92"/>
  <c r="AB167" i="85"/>
  <c r="AB77" i="90"/>
  <c r="AB53" i="90"/>
  <c r="P37" i="81"/>
  <c r="Z97" i="82"/>
  <c r="AA121" i="84"/>
  <c r="X116" i="94"/>
  <c r="N126" i="84"/>
  <c r="Y125" i="93"/>
  <c r="Q120" i="83"/>
  <c r="X63" i="93"/>
  <c r="Q33" i="94"/>
  <c r="P154" i="81"/>
  <c r="AA105" i="84"/>
  <c r="AB137" i="89"/>
  <c r="L124" i="89"/>
  <c r="P105" i="87"/>
  <c r="AA89" i="84"/>
  <c r="O148" i="82"/>
  <c r="AB159" i="84"/>
  <c r="N162" i="94"/>
  <c r="Q106" i="89"/>
  <c r="AA45" i="85"/>
  <c r="M57" i="81"/>
  <c r="P144" i="85"/>
  <c r="P125" i="82"/>
  <c r="Z164" i="85"/>
  <c r="O149" i="82"/>
  <c r="P163" i="88"/>
  <c r="Z166" i="74"/>
  <c r="AA59" i="88"/>
  <c r="X93" i="92"/>
  <c r="AB131" i="85"/>
  <c r="AA66" i="89"/>
  <c r="O167" i="82"/>
  <c r="P33" i="91"/>
  <c r="X138" i="94"/>
  <c r="Q23" i="81"/>
  <c r="Z59" i="91"/>
  <c r="Z79" i="91"/>
  <c r="AB97" i="94"/>
  <c r="AA88" i="90"/>
  <c r="X164" i="84"/>
  <c r="P107" i="85"/>
  <c r="X90" i="74"/>
  <c r="Y81" i="88"/>
  <c r="Y143" i="84"/>
  <c r="P118" i="92"/>
  <c r="N99" i="81"/>
  <c r="X74" i="94"/>
  <c r="Z47" i="91"/>
  <c r="AB57" i="82"/>
  <c r="Z91" i="91"/>
  <c r="L106" i="84"/>
  <c r="N45" i="94"/>
  <c r="Q139" i="94"/>
  <c r="Q27" i="90"/>
  <c r="P165" i="91"/>
  <c r="AB105" i="82"/>
  <c r="Y137" i="81"/>
  <c r="AA114" i="88"/>
  <c r="Q53" i="92"/>
  <c r="Y148" i="92"/>
  <c r="AB110" i="91"/>
  <c r="P147" i="81"/>
  <c r="Z106" i="90"/>
  <c r="Q155" i="92"/>
  <c r="Y17" i="92"/>
  <c r="Z104" i="81"/>
  <c r="Z88" i="94"/>
  <c r="P126" i="94"/>
  <c r="P88" i="92"/>
  <c r="Q45" i="87"/>
  <c r="Z138" i="93"/>
  <c r="N99" i="92"/>
  <c r="Z153" i="88"/>
  <c r="P85" i="87"/>
  <c r="Q23" i="82"/>
  <c r="L138" i="83"/>
  <c r="X162" i="94"/>
  <c r="Q166" i="92"/>
  <c r="Y83" i="87"/>
  <c r="O67" i="93"/>
  <c r="AB65" i="89"/>
  <c r="L126" i="85"/>
  <c r="AB135" i="89"/>
  <c r="Y123" i="85"/>
  <c r="AB128" i="94"/>
  <c r="P162" i="93"/>
  <c r="X68" i="84"/>
  <c r="L112" i="87"/>
  <c r="AA87" i="93"/>
  <c r="O110" i="92"/>
  <c r="AB65" i="90"/>
  <c r="N39" i="85"/>
  <c r="P33" i="85"/>
  <c r="X35" i="91"/>
  <c r="Z88" i="87"/>
  <c r="AB117" i="84"/>
  <c r="X125" i="74"/>
  <c r="X115" i="94"/>
  <c r="Y90" i="85"/>
  <c r="AA21" i="92"/>
  <c r="AB51" i="85"/>
  <c r="M45" i="84"/>
  <c r="AA163" i="94"/>
  <c r="Q113" i="87"/>
  <c r="AB121" i="90"/>
  <c r="N141" i="90"/>
  <c r="Z33" i="82"/>
  <c r="N135" i="81"/>
  <c r="AA89" i="94"/>
  <c r="AA89" i="83"/>
  <c r="Z85" i="89"/>
  <c r="M47" i="82"/>
  <c r="N114" i="94"/>
  <c r="P117" i="82"/>
  <c r="Y87" i="90"/>
  <c r="AB162" i="94"/>
  <c r="P93" i="81"/>
  <c r="X35" i="94"/>
  <c r="X66" i="81"/>
  <c r="AB91" i="88"/>
  <c r="Y132" i="85"/>
  <c r="Q157" i="91"/>
  <c r="P90" i="88"/>
  <c r="L109" i="81"/>
  <c r="Q82" i="88"/>
  <c r="X119" i="94"/>
  <c r="AA123" i="91"/>
  <c r="L89" i="94"/>
  <c r="X67" i="92"/>
  <c r="AA110" i="89"/>
  <c r="O145" i="93"/>
  <c r="L82" i="74"/>
  <c r="P101" i="87"/>
  <c r="Q137" i="87"/>
  <c r="Y82" i="83"/>
  <c r="P61" i="87"/>
  <c r="Y100" i="93"/>
  <c r="O93" i="90"/>
  <c r="X122" i="88"/>
  <c r="O118" i="83"/>
  <c r="O163" i="94"/>
  <c r="AA41" i="94"/>
  <c r="Y128" i="92"/>
  <c r="Z157" i="81"/>
  <c r="Y106" i="84"/>
  <c r="P140" i="90"/>
  <c r="AB89" i="91"/>
  <c r="AA95" i="83"/>
  <c r="AB115" i="89"/>
  <c r="Y53" i="74"/>
  <c r="Y128" i="94"/>
  <c r="AB67" i="81"/>
  <c r="Y78" i="91"/>
  <c r="AA86" i="89"/>
  <c r="Y117" i="93"/>
  <c r="AA124" i="92"/>
  <c r="P67" i="74"/>
  <c r="AA55" i="84"/>
  <c r="Z49" i="89"/>
  <c r="X57" i="89"/>
  <c r="P59" i="82"/>
  <c r="Q128" i="74"/>
  <c r="L105" i="74"/>
  <c r="Y35" i="87"/>
  <c r="AB163" i="91"/>
  <c r="Y95" i="87"/>
  <c r="Z166" i="83"/>
  <c r="P127" i="88"/>
  <c r="AA107" i="82"/>
  <c r="Z103" i="93"/>
  <c r="AB29" i="94"/>
  <c r="AA150" i="87"/>
  <c r="Y75" i="83"/>
  <c r="P100" i="93"/>
  <c r="Q69" i="94"/>
  <c r="Q25" i="85"/>
  <c r="Q124" i="87"/>
  <c r="L82" i="88"/>
  <c r="Q142" i="74"/>
  <c r="AA122" i="82"/>
  <c r="AB164" i="81"/>
  <c r="N102" i="88"/>
  <c r="X39" i="90"/>
  <c r="O90" i="81"/>
  <c r="Z168" i="91"/>
  <c r="AB70" i="74"/>
  <c r="AB112" i="82"/>
  <c r="P128" i="92"/>
  <c r="P11" i="74"/>
  <c r="X102" i="81"/>
  <c r="Y53" i="93"/>
  <c r="O84" i="93"/>
  <c r="AA107" i="91"/>
  <c r="Y124" i="83"/>
  <c r="L125" i="94"/>
  <c r="AB93" i="94"/>
  <c r="P145" i="93"/>
  <c r="X100" i="88"/>
  <c r="X107" i="87"/>
  <c r="M27" i="83"/>
  <c r="AB59" i="87"/>
  <c r="AA29" i="81"/>
  <c r="AA157" i="83"/>
  <c r="X55" i="82"/>
  <c r="AB79" i="90"/>
  <c r="Z71" i="94"/>
  <c r="L107" i="83"/>
  <c r="AA103" i="92"/>
  <c r="X39" i="87"/>
  <c r="P160" i="88"/>
  <c r="P160" i="84"/>
  <c r="L84" i="88"/>
  <c r="P89" i="92"/>
  <c r="O125" i="84"/>
  <c r="Q146" i="83"/>
  <c r="Z102" i="82"/>
  <c r="AB84" i="84"/>
  <c r="AA96" i="87"/>
  <c r="Z128" i="81"/>
  <c r="AA120" i="89"/>
  <c r="Q89" i="94"/>
  <c r="X70" i="83"/>
  <c r="Z130" i="83"/>
  <c r="O158" i="93"/>
  <c r="M51" i="93"/>
  <c r="X97" i="88"/>
  <c r="L93" i="85"/>
  <c r="Q163" i="94"/>
  <c r="X106" i="94"/>
  <c r="O53" i="88"/>
  <c r="L65" i="90"/>
  <c r="L67" i="82"/>
  <c r="Y25" i="90"/>
  <c r="Q154" i="91"/>
  <c r="Q21" i="87"/>
  <c r="X63" i="74"/>
  <c r="AB21" i="87"/>
  <c r="Y61" i="81"/>
  <c r="Z136" i="92"/>
  <c r="AA86" i="90"/>
  <c r="Y96" i="93"/>
  <c r="AA123" i="85"/>
  <c r="L67" i="83"/>
  <c r="X96" i="92"/>
  <c r="L100" i="93"/>
  <c r="Y88" i="88"/>
  <c r="X157" i="90"/>
  <c r="Q23" i="83"/>
  <c r="Y95" i="82"/>
  <c r="Y88" i="94"/>
  <c r="Y49" i="89"/>
  <c r="X21" i="81"/>
  <c r="Z155" i="81"/>
  <c r="AB114" i="82"/>
  <c r="P146" i="84"/>
  <c r="N165" i="89"/>
  <c r="X103" i="74"/>
  <c r="O65" i="87"/>
  <c r="P103" i="81"/>
  <c r="L114" i="94"/>
  <c r="O162" i="92"/>
  <c r="P108" i="82"/>
  <c r="Z90" i="82"/>
  <c r="L115" i="81"/>
  <c r="N126" i="90"/>
  <c r="O81" i="88"/>
  <c r="Z73" i="82"/>
  <c r="AB59" i="90"/>
  <c r="Y125" i="92"/>
  <c r="X17" i="87"/>
  <c r="X164" i="91"/>
  <c r="O149" i="91"/>
  <c r="Z142" i="83"/>
  <c r="AB162" i="93"/>
  <c r="X9" i="74"/>
  <c r="AB107" i="88"/>
  <c r="Q101" i="88"/>
  <c r="Y61" i="92"/>
  <c r="Y84" i="89"/>
  <c r="X153" i="85"/>
  <c r="AA43" i="94"/>
  <c r="Y161" i="81"/>
  <c r="O94" i="81"/>
  <c r="AB114" i="92"/>
  <c r="AB162" i="91"/>
  <c r="P160" i="74"/>
  <c r="X45" i="94"/>
  <c r="AA100" i="90"/>
  <c r="AB35" i="94"/>
  <c r="AA65" i="87"/>
  <c r="Z45" i="92"/>
  <c r="Y102" i="90"/>
  <c r="N105" i="82"/>
  <c r="AA31" i="74"/>
  <c r="Y23" i="81"/>
  <c r="AA162" i="81"/>
  <c r="P57" i="94"/>
  <c r="O27" i="89"/>
  <c r="Y162" i="84"/>
  <c r="O51" i="92"/>
  <c r="Q51" i="92"/>
  <c r="AA90" i="92"/>
  <c r="L64" i="92"/>
  <c r="Z43" i="91"/>
  <c r="AB144" i="84"/>
  <c r="AA57" i="88"/>
  <c r="Z88" i="89"/>
  <c r="X133" i="83"/>
  <c r="X147" i="85"/>
  <c r="X97" i="81"/>
  <c r="AB104" i="90"/>
  <c r="Y43" i="81"/>
  <c r="Q164" i="74"/>
  <c r="L87" i="90"/>
  <c r="AA97" i="81"/>
  <c r="Y21" i="74"/>
  <c r="Z165" i="74"/>
  <c r="Z162" i="90"/>
  <c r="Q167" i="82"/>
  <c r="P102" i="88"/>
  <c r="P115" i="92"/>
  <c r="AB140" i="83"/>
  <c r="AB59" i="74"/>
  <c r="P118" i="82"/>
  <c r="P104" i="81"/>
  <c r="Z118" i="91"/>
  <c r="L83" i="83"/>
  <c r="X145" i="74"/>
  <c r="Y95" i="81"/>
  <c r="Z108" i="85"/>
  <c r="AB41" i="88"/>
  <c r="L68" i="92"/>
  <c r="L163" i="89"/>
  <c r="AB90" i="90"/>
  <c r="P104" i="89"/>
  <c r="AA93" i="87"/>
  <c r="Q41" i="89"/>
  <c r="Q124" i="91"/>
  <c r="X136" i="88"/>
  <c r="X41" i="93"/>
  <c r="X99" i="74"/>
  <c r="Z164" i="87"/>
  <c r="P125" i="87"/>
  <c r="L80" i="92"/>
  <c r="Q131" i="83"/>
  <c r="P65" i="91"/>
  <c r="Y67" i="92"/>
  <c r="AB114" i="93"/>
  <c r="O53" i="85"/>
  <c r="AB128" i="88"/>
  <c r="O90" i="87"/>
  <c r="Q109" i="82"/>
  <c r="Y111" i="81"/>
  <c r="Q103" i="82"/>
  <c r="O57" i="94"/>
  <c r="Q57" i="87"/>
  <c r="Y157" i="90"/>
  <c r="O146" i="87"/>
  <c r="X37" i="85"/>
  <c r="Z148" i="84"/>
  <c r="O89" i="83"/>
  <c r="X63" i="83"/>
  <c r="AA49" i="74"/>
  <c r="Z55" i="74"/>
  <c r="AB103" i="85"/>
  <c r="Z61" i="83"/>
  <c r="Y114" i="83"/>
  <c r="O51" i="84"/>
  <c r="L83" i="88"/>
  <c r="Y105" i="88"/>
  <c r="N51" i="85"/>
  <c r="Z103" i="88"/>
  <c r="N66" i="94"/>
  <c r="X157" i="88"/>
  <c r="L108" i="89"/>
  <c r="P31" i="74"/>
  <c r="Q103" i="89"/>
  <c r="Q85" i="74"/>
  <c r="Y19" i="93"/>
  <c r="AA96" i="82"/>
  <c r="N120" i="83"/>
  <c r="P47" i="74"/>
  <c r="P63" i="81"/>
  <c r="AB144" i="89"/>
  <c r="L107" i="88"/>
  <c r="O152" i="85"/>
  <c r="Y27" i="85"/>
  <c r="Z126" i="90"/>
  <c r="X53" i="89"/>
  <c r="Q102" i="84"/>
  <c r="O45" i="81"/>
  <c r="L114" i="88"/>
  <c r="AB106" i="92"/>
  <c r="L164" i="84"/>
  <c r="O140" i="91"/>
  <c r="X59" i="85"/>
  <c r="X63" i="89"/>
  <c r="AA49" i="82"/>
  <c r="AB100" i="85"/>
  <c r="O95" i="88"/>
  <c r="Q79" i="91"/>
  <c r="O164" i="93"/>
  <c r="AB163" i="84"/>
  <c r="N66" i="81"/>
  <c r="L118" i="94"/>
  <c r="AB25" i="85"/>
  <c r="L104" i="74"/>
  <c r="P94" i="81"/>
  <c r="Q166" i="82"/>
  <c r="AB37" i="83"/>
  <c r="N57" i="88"/>
  <c r="P117" i="84"/>
  <c r="L119" i="85"/>
  <c r="AB114" i="81"/>
  <c r="L99" i="92"/>
  <c r="Y114" i="85"/>
  <c r="L65" i="91"/>
  <c r="O49" i="92"/>
  <c r="L107" i="92"/>
  <c r="N117" i="81"/>
  <c r="P147" i="87"/>
  <c r="Z144" i="89"/>
  <c r="AA164" i="87"/>
  <c r="AA59" i="74"/>
  <c r="P47" i="84"/>
  <c r="Y95" i="92"/>
  <c r="P165" i="81"/>
  <c r="Y63" i="89"/>
  <c r="Q137" i="85"/>
  <c r="Z154" i="84"/>
  <c r="O123" i="82"/>
  <c r="AA103" i="81"/>
  <c r="X51" i="82"/>
  <c r="Z163" i="94"/>
  <c r="AB93" i="74"/>
  <c r="AA103" i="74"/>
  <c r="Y163" i="92"/>
  <c r="Z88" i="90"/>
  <c r="P155" i="92"/>
  <c r="Q158" i="90"/>
  <c r="Q166" i="91"/>
  <c r="Z91" i="93"/>
  <c r="AB67" i="85"/>
  <c r="L89" i="82"/>
  <c r="Y123" i="81"/>
  <c r="AA67" i="84"/>
  <c r="X93" i="89"/>
  <c r="AB132" i="88"/>
  <c r="AB164" i="88"/>
  <c r="Z110" i="85"/>
  <c r="P63" i="87"/>
  <c r="L75" i="89"/>
  <c r="P114" i="88"/>
  <c r="AB148" i="82"/>
  <c r="Q41" i="87"/>
  <c r="Y113" i="81"/>
  <c r="O89" i="89"/>
  <c r="O93" i="85"/>
  <c r="AA94" i="83"/>
  <c r="N135" i="84"/>
  <c r="P92" i="94"/>
  <c r="O127" i="74"/>
  <c r="AA61" i="84"/>
  <c r="Q47" i="89"/>
  <c r="L128" i="90"/>
  <c r="Q45" i="93"/>
  <c r="AA49" i="94"/>
  <c r="L122" i="90"/>
  <c r="P159" i="93"/>
  <c r="Q139" i="84"/>
  <c r="Y65" i="87"/>
  <c r="Y15" i="74"/>
  <c r="Q113" i="81"/>
  <c r="AB72" i="74"/>
  <c r="X109" i="90"/>
  <c r="AA125" i="90"/>
  <c r="L119" i="91"/>
  <c r="AA65" i="83"/>
  <c r="Y13" i="94"/>
  <c r="X164" i="94"/>
  <c r="Y51" i="93"/>
  <c r="AA166" i="92"/>
  <c r="O53" i="90"/>
  <c r="O96" i="74"/>
  <c r="Y132" i="88"/>
  <c r="P89" i="81"/>
  <c r="AA96" i="83"/>
  <c r="Q108" i="85"/>
  <c r="X162" i="83"/>
  <c r="AA118" i="88"/>
  <c r="AA25" i="74"/>
  <c r="L93" i="88"/>
  <c r="Y147" i="83"/>
  <c r="N57" i="85"/>
  <c r="X105" i="87"/>
  <c r="P66" i="83"/>
  <c r="Q135" i="85"/>
  <c r="AB110" i="88"/>
  <c r="X122" i="91"/>
  <c r="AA78" i="87"/>
  <c r="AB120" i="83"/>
  <c r="X111" i="81"/>
  <c r="P125" i="88"/>
  <c r="AB92" i="93"/>
  <c r="L87" i="89"/>
  <c r="Y33" i="93"/>
  <c r="M57" i="89"/>
  <c r="O45" i="85"/>
  <c r="X53" i="93"/>
  <c r="P114" i="89"/>
  <c r="AB158" i="93"/>
  <c r="Q167" i="85"/>
  <c r="AA43" i="90"/>
  <c r="L126" i="90"/>
  <c r="AB166" i="88"/>
  <c r="P97" i="91"/>
  <c r="Q117" i="87"/>
  <c r="N33" i="91"/>
  <c r="AA99" i="94"/>
  <c r="Q168" i="91"/>
  <c r="Q47" i="90"/>
  <c r="AB84" i="85"/>
  <c r="Y128" i="88"/>
  <c r="L149" i="88"/>
  <c r="Y121" i="94"/>
  <c r="AB43" i="93"/>
  <c r="L111" i="74"/>
  <c r="Z45" i="91"/>
  <c r="Y118" i="89"/>
  <c r="Z167" i="87"/>
  <c r="Z95" i="85"/>
  <c r="AB151" i="83"/>
  <c r="Y165" i="81"/>
  <c r="AB63" i="84"/>
  <c r="AA127" i="92"/>
  <c r="X49" i="83"/>
  <c r="AA103" i="88"/>
  <c r="Z107" i="88"/>
  <c r="Y136" i="85"/>
  <c r="Y102" i="74"/>
  <c r="Z116" i="94"/>
  <c r="AA33" i="82"/>
  <c r="Y120" i="92"/>
  <c r="Z83" i="93"/>
  <c r="AA116" i="91"/>
  <c r="Q93" i="85"/>
  <c r="P86" i="94"/>
  <c r="Y69" i="92"/>
  <c r="AA91" i="90"/>
  <c r="Q116" i="89"/>
  <c r="AA135" i="81"/>
  <c r="N111" i="85"/>
  <c r="Z82" i="74"/>
  <c r="AA80" i="89"/>
  <c r="AA147" i="82"/>
  <c r="Q114" i="85"/>
  <c r="O68" i="90"/>
  <c r="AA115" i="89"/>
  <c r="L94" i="93"/>
  <c r="Z68" i="89"/>
  <c r="AA98" i="88"/>
  <c r="AB71" i="90"/>
  <c r="Q124" i="83"/>
  <c r="Z119" i="91"/>
  <c r="Q154" i="90"/>
  <c r="L142" i="88"/>
  <c r="AA103" i="93"/>
  <c r="AB146" i="87"/>
  <c r="M45" i="91"/>
  <c r="M57" i="83"/>
  <c r="P164" i="85"/>
  <c r="P159" i="87"/>
  <c r="AA116" i="94"/>
  <c r="O87" i="84"/>
  <c r="AA92" i="85"/>
  <c r="AB49" i="84"/>
  <c r="X105" i="93"/>
  <c r="N33" i="93"/>
  <c r="Y142" i="92"/>
  <c r="P128" i="88"/>
  <c r="Z113" i="88"/>
  <c r="Z158" i="81"/>
  <c r="Z150" i="92"/>
  <c r="Y61" i="82"/>
  <c r="Q79" i="84"/>
  <c r="P161" i="81"/>
  <c r="AA91" i="82"/>
  <c r="AB78" i="93"/>
  <c r="AA118" i="93"/>
  <c r="Y145" i="83"/>
  <c r="Z152" i="83"/>
  <c r="AA128" i="90"/>
  <c r="Q87" i="94"/>
  <c r="L92" i="94"/>
  <c r="P107" i="89"/>
  <c r="O136" i="74"/>
  <c r="AB117" i="90"/>
  <c r="AA89" i="87"/>
  <c r="Z166" i="84"/>
  <c r="Q145" i="84"/>
  <c r="L130" i="83"/>
  <c r="O116" i="83"/>
  <c r="Y162" i="81"/>
  <c r="AA57" i="81"/>
  <c r="X164" i="92"/>
  <c r="AA15" i="84"/>
  <c r="AB66" i="94"/>
  <c r="AB65" i="84"/>
  <c r="Z151" i="91"/>
  <c r="AB162" i="74"/>
  <c r="P116" i="88"/>
  <c r="X98" i="74"/>
  <c r="AB84" i="83"/>
  <c r="P104" i="87"/>
  <c r="AB90" i="89"/>
  <c r="Z57" i="74"/>
  <c r="Z53" i="83"/>
  <c r="Q115" i="82"/>
  <c r="AB55" i="85"/>
  <c r="AB122" i="91"/>
  <c r="O63" i="82"/>
  <c r="N93" i="94"/>
  <c r="Z25" i="83"/>
  <c r="AA144" i="92"/>
  <c r="AA65" i="84"/>
  <c r="N45" i="81"/>
  <c r="X23" i="84"/>
  <c r="Z39" i="92"/>
  <c r="Q163" i="88"/>
  <c r="Y114" i="88"/>
  <c r="Z64" i="82"/>
  <c r="AB116" i="94"/>
  <c r="N21" i="82"/>
  <c r="X109" i="87"/>
  <c r="AB64" i="89"/>
  <c r="Y165" i="91"/>
  <c r="Z29" i="87"/>
  <c r="Y127" i="84"/>
  <c r="Z27" i="83"/>
  <c r="O87" i="89"/>
  <c r="X70" i="90"/>
  <c r="AB164" i="87"/>
  <c r="AA57" i="89"/>
  <c r="O71" i="92"/>
  <c r="O21" i="93"/>
  <c r="Z164" i="88"/>
  <c r="X96" i="83"/>
  <c r="Q93" i="74"/>
  <c r="Z138" i="84"/>
  <c r="AB163" i="81"/>
  <c r="Y106" i="94"/>
  <c r="X61" i="87"/>
  <c r="X49" i="82"/>
  <c r="L103" i="82"/>
  <c r="Q47" i="85"/>
  <c r="Z146" i="83"/>
  <c r="Y163" i="94"/>
  <c r="Z123" i="82"/>
  <c r="P47" i="85"/>
  <c r="Q122" i="90"/>
  <c r="Q101" i="93"/>
  <c r="Y35" i="83"/>
  <c r="AB162" i="88"/>
  <c r="P159" i="92"/>
  <c r="AB153" i="81"/>
  <c r="Y143" i="93"/>
  <c r="Q117" i="81"/>
  <c r="Z124" i="85"/>
  <c r="AB116" i="92"/>
  <c r="X23" i="90"/>
  <c r="Y65" i="92"/>
  <c r="AB164" i="74"/>
  <c r="X133" i="93"/>
  <c r="AA19" i="92"/>
  <c r="Q121" i="82"/>
  <c r="X55" i="94"/>
  <c r="O127" i="84"/>
  <c r="Y93" i="84"/>
  <c r="N96" i="74"/>
  <c r="AA81" i="83"/>
  <c r="AB127" i="83"/>
  <c r="Y122" i="84"/>
  <c r="Q67" i="83"/>
  <c r="Q9" i="84"/>
  <c r="Y85" i="88"/>
  <c r="AB105" i="74"/>
  <c r="AB61" i="74"/>
  <c r="P150" i="81"/>
  <c r="O19" i="90"/>
  <c r="AA49" i="83"/>
  <c r="Q91" i="94"/>
  <c r="Z57" i="82"/>
  <c r="Y67" i="84"/>
  <c r="Q118" i="83"/>
  <c r="AA106" i="87"/>
  <c r="P106" i="90"/>
  <c r="Z164" i="83"/>
  <c r="AB136" i="81"/>
  <c r="X49" i="87"/>
  <c r="AA106" i="94"/>
  <c r="N102" i="85"/>
  <c r="X114" i="81"/>
  <c r="Z148" i="81"/>
  <c r="O67" i="91"/>
  <c r="Z113" i="82"/>
  <c r="N90" i="84"/>
  <c r="Y65" i="89"/>
  <c r="Y67" i="89"/>
  <c r="Z9" i="84"/>
  <c r="Z88" i="84"/>
  <c r="X124" i="82"/>
  <c r="L76" i="93"/>
  <c r="X53" i="81"/>
  <c r="X68" i="94"/>
  <c r="Z106" i="74"/>
  <c r="P80" i="94"/>
  <c r="O103" i="88"/>
  <c r="X55" i="81"/>
  <c r="P37" i="84"/>
  <c r="Q120" i="92"/>
  <c r="P116" i="93"/>
  <c r="Y116" i="85"/>
  <c r="AA99" i="93"/>
  <c r="P103" i="87"/>
  <c r="Q43" i="87"/>
  <c r="X165" i="83"/>
  <c r="P164" i="82"/>
  <c r="AB107" i="94"/>
  <c r="AA164" i="89"/>
  <c r="AB63" i="92"/>
  <c r="Z75" i="91"/>
  <c r="AB167" i="92"/>
  <c r="O139" i="83"/>
  <c r="AB107" i="81"/>
  <c r="Y143" i="87"/>
  <c r="L98" i="88"/>
  <c r="N33" i="88"/>
  <c r="AA127" i="93"/>
  <c r="P114" i="92"/>
  <c r="AB83" i="74"/>
  <c r="X91" i="88"/>
  <c r="AA162" i="84"/>
  <c r="P162" i="81"/>
  <c r="Q69" i="87"/>
  <c r="P27" i="92"/>
  <c r="Y39" i="84"/>
  <c r="Y108" i="82"/>
  <c r="P107" i="83"/>
  <c r="AB67" i="87"/>
  <c r="Q139" i="74"/>
  <c r="Z23" i="88"/>
  <c r="Z84" i="85"/>
  <c r="Y101" i="84"/>
  <c r="X127" i="84"/>
  <c r="X145" i="87"/>
  <c r="Q166" i="83"/>
  <c r="Z115" i="84"/>
  <c r="P126" i="81"/>
  <c r="AA91" i="94"/>
  <c r="AB136" i="85"/>
  <c r="Z112" i="94"/>
  <c r="L89" i="90"/>
  <c r="Z97" i="85"/>
  <c r="AB162" i="82"/>
  <c r="L117" i="84"/>
  <c r="X113" i="93"/>
  <c r="X66" i="82"/>
  <c r="L80" i="91"/>
  <c r="L66" i="81"/>
  <c r="Z91" i="74"/>
  <c r="O86" i="88"/>
  <c r="O45" i="91"/>
  <c r="AB101" i="83"/>
  <c r="Q108" i="74"/>
  <c r="AA127" i="85"/>
  <c r="AB68" i="90"/>
  <c r="Z15" i="84"/>
  <c r="L110" i="94"/>
  <c r="AB80" i="92"/>
  <c r="AA68" i="91"/>
  <c r="L64" i="82"/>
  <c r="P155" i="90"/>
  <c r="AA123" i="82"/>
  <c r="AB82" i="94"/>
  <c r="X108" i="83"/>
  <c r="X67" i="82"/>
  <c r="AB94" i="81"/>
  <c r="AA105" i="83"/>
  <c r="AB67" i="94"/>
  <c r="O164" i="88"/>
  <c r="Q152" i="90"/>
  <c r="AA147" i="94"/>
  <c r="AA121" i="85"/>
  <c r="X128" i="82"/>
  <c r="AB91" i="93"/>
  <c r="Z127" i="85"/>
  <c r="AB116" i="93"/>
  <c r="X89" i="84"/>
  <c r="X105" i="92"/>
  <c r="P121" i="91"/>
  <c r="X167" i="88"/>
  <c r="AB27" i="74"/>
  <c r="Q125" i="81"/>
  <c r="Y155" i="81"/>
  <c r="AB86" i="93"/>
  <c r="AA139" i="85"/>
  <c r="P15" i="87"/>
  <c r="X65" i="88"/>
  <c r="AA94" i="93"/>
  <c r="X157" i="81"/>
  <c r="Z66" i="88"/>
  <c r="AA160" i="88"/>
  <c r="Z129" i="93"/>
  <c r="AA149" i="93"/>
  <c r="AB67" i="88"/>
  <c r="Z45" i="82"/>
  <c r="AA114" i="93"/>
  <c r="AB70" i="88"/>
  <c r="Y39" i="92"/>
  <c r="X114" i="94"/>
  <c r="AA129" i="85"/>
  <c r="O55" i="85"/>
  <c r="Q119" i="93"/>
  <c r="AA47" i="83"/>
  <c r="X110" i="82"/>
  <c r="AA65" i="85"/>
  <c r="L95" i="94"/>
  <c r="L81" i="74"/>
  <c r="Q88" i="81"/>
  <c r="L119" i="94"/>
  <c r="P64" i="85"/>
  <c r="AA104" i="82"/>
  <c r="Q105" i="90"/>
  <c r="Q160" i="92"/>
  <c r="Y98" i="84"/>
  <c r="AB13" i="82"/>
  <c r="X104" i="88"/>
  <c r="X166" i="94"/>
  <c r="AB153" i="88"/>
  <c r="Z152" i="87"/>
  <c r="Q102" i="85"/>
  <c r="Z83" i="84"/>
  <c r="X67" i="94"/>
  <c r="Q78" i="93"/>
  <c r="X66" i="91"/>
  <c r="Y65" i="81"/>
  <c r="Z100" i="85"/>
  <c r="M51" i="90"/>
  <c r="X127" i="81"/>
  <c r="N117" i="88"/>
  <c r="Q134" i="90"/>
  <c r="Y11" i="90"/>
  <c r="Y122" i="74"/>
  <c r="L67" i="87"/>
  <c r="Q129" i="82"/>
  <c r="Y47" i="88"/>
  <c r="X33" i="74"/>
  <c r="O113" i="88"/>
  <c r="Q132" i="94"/>
  <c r="L110" i="81"/>
  <c r="AB59" i="82"/>
  <c r="AA166" i="88"/>
  <c r="L164" i="83"/>
  <c r="Y118" i="81"/>
  <c r="X64" i="81"/>
  <c r="Q66" i="74"/>
  <c r="X115" i="88"/>
  <c r="AB112" i="88"/>
  <c r="AB25" i="83"/>
  <c r="L142" i="84"/>
  <c r="Q170" i="91"/>
  <c r="Y121" i="93"/>
  <c r="X97" i="87"/>
  <c r="O164" i="81"/>
  <c r="AA83" i="94"/>
  <c r="L99" i="85"/>
  <c r="Z87" i="74"/>
  <c r="Q57" i="94"/>
  <c r="Z145" i="93"/>
  <c r="L165" i="87"/>
  <c r="AB147" i="88"/>
  <c r="P97" i="93"/>
  <c r="P117" i="94"/>
  <c r="AA135" i="85"/>
  <c r="AB109" i="82"/>
  <c r="P114" i="87"/>
  <c r="O135" i="87"/>
  <c r="AA118" i="83"/>
  <c r="P21" i="83"/>
  <c r="AB53" i="89"/>
  <c r="P67" i="84"/>
  <c r="X94" i="74"/>
  <c r="P95" i="84"/>
  <c r="Z145" i="85"/>
  <c r="L89" i="81"/>
  <c r="Y114" i="87"/>
  <c r="X106" i="93"/>
  <c r="Z95" i="83"/>
  <c r="AB159" i="81"/>
  <c r="AA125" i="91"/>
  <c r="Y89" i="88"/>
  <c r="Y94" i="90"/>
  <c r="Y136" i="92"/>
  <c r="AA95" i="88"/>
  <c r="Y165" i="93"/>
  <c r="AB125" i="93"/>
  <c r="AA167" i="82"/>
  <c r="P47" i="88"/>
  <c r="Z57" i="81"/>
  <c r="P145" i="94"/>
  <c r="AA65" i="74"/>
  <c r="Y142" i="84"/>
  <c r="L163" i="84"/>
  <c r="N33" i="81"/>
  <c r="Q68" i="84"/>
  <c r="AA73" i="82"/>
  <c r="O57" i="88"/>
  <c r="Y163" i="83"/>
  <c r="Z93" i="83"/>
  <c r="L144" i="94"/>
  <c r="X113" i="74"/>
  <c r="Q68" i="74"/>
  <c r="Q118" i="88"/>
  <c r="AA146" i="92"/>
  <c r="AB154" i="81"/>
  <c r="L90" i="81"/>
  <c r="Z102" i="85"/>
  <c r="L111" i="94"/>
  <c r="Z61" i="91"/>
  <c r="X97" i="83"/>
  <c r="L83" i="89"/>
  <c r="N87" i="83"/>
  <c r="Q106" i="91"/>
  <c r="O149" i="83"/>
  <c r="O93" i="87"/>
  <c r="O138" i="88"/>
  <c r="O25" i="92"/>
  <c r="O45" i="89"/>
  <c r="O106" i="85"/>
  <c r="Z88" i="93"/>
  <c r="Y143" i="89"/>
  <c r="AB35" i="93"/>
  <c r="Z164" i="81"/>
  <c r="Y101" i="92"/>
  <c r="AA90" i="90"/>
  <c r="L134" i="92"/>
  <c r="Q136" i="82"/>
  <c r="X39" i="89"/>
  <c r="Q25" i="91"/>
  <c r="AB55" i="91"/>
  <c r="X130" i="92"/>
  <c r="P142" i="81"/>
  <c r="X157" i="94"/>
  <c r="O65" i="74"/>
  <c r="N84" i="90"/>
  <c r="O86" i="83"/>
  <c r="AB23" i="92"/>
  <c r="AA114" i="85"/>
  <c r="Q141" i="87"/>
  <c r="P118" i="88"/>
  <c r="AA161" i="83"/>
  <c r="AB81" i="83"/>
  <c r="Y115" i="82"/>
  <c r="Y95" i="89"/>
  <c r="Q142" i="82"/>
  <c r="AB94" i="84"/>
  <c r="L105" i="87"/>
  <c r="O73" i="87"/>
  <c r="X61" i="84"/>
  <c r="Q69" i="81"/>
  <c r="P107" i="74"/>
  <c r="Q86" i="94"/>
  <c r="P141" i="88"/>
  <c r="Z92" i="92"/>
  <c r="Q117" i="85"/>
  <c r="AB91" i="92"/>
  <c r="AA95" i="93"/>
  <c r="X70" i="91"/>
  <c r="Z141" i="81"/>
  <c r="AB49" i="82"/>
  <c r="Y33" i="90"/>
  <c r="Q109" i="94"/>
  <c r="Y162" i="74"/>
  <c r="Q68" i="82"/>
  <c r="Q94" i="84"/>
  <c r="Z49" i="83"/>
  <c r="X144" i="89"/>
  <c r="M45" i="87"/>
  <c r="P91" i="74"/>
  <c r="L91" i="87"/>
  <c r="Y102" i="87"/>
  <c r="X164" i="90"/>
  <c r="AA82" i="82"/>
  <c r="X61" i="83"/>
  <c r="AB167" i="88"/>
  <c r="AB53" i="81"/>
  <c r="Z29" i="91"/>
  <c r="X113" i="85"/>
  <c r="N93" i="84"/>
  <c r="O125" i="94"/>
  <c r="Z104" i="83"/>
  <c r="AB166" i="84"/>
  <c r="P31" i="87"/>
  <c r="P41" i="82"/>
  <c r="O130" i="91"/>
  <c r="Z31" i="81"/>
  <c r="X94" i="85"/>
  <c r="X98" i="91"/>
  <c r="Z45" i="81"/>
  <c r="P104" i="88"/>
  <c r="Y105" i="94"/>
  <c r="M45" i="90"/>
  <c r="Q135" i="90"/>
  <c r="Z67" i="85"/>
  <c r="AB167" i="74"/>
  <c r="Z147" i="88"/>
  <c r="AB35" i="92"/>
  <c r="Z124" i="74"/>
  <c r="AA89" i="85"/>
  <c r="AA111" i="83"/>
  <c r="X55" i="85"/>
  <c r="Z27" i="91"/>
  <c r="X136" i="87"/>
  <c r="X131" i="74"/>
  <c r="Q51" i="85"/>
  <c r="Q79" i="83"/>
  <c r="Z35" i="74"/>
  <c r="Z89" i="87"/>
  <c r="L99" i="84"/>
  <c r="N120" i="91"/>
  <c r="Q66" i="93"/>
  <c r="X101" i="87"/>
  <c r="Z100" i="92"/>
  <c r="AA39" i="85"/>
  <c r="AA67" i="82"/>
  <c r="P119" i="92"/>
  <c r="X21" i="92"/>
  <c r="Q105" i="88"/>
  <c r="AB88" i="74"/>
  <c r="L66" i="84"/>
  <c r="Q107" i="92"/>
  <c r="AA49" i="93"/>
  <c r="O92" i="90"/>
  <c r="Q51" i="87"/>
  <c r="N87" i="82"/>
  <c r="M23" i="81"/>
  <c r="AA55" i="89"/>
  <c r="Y93" i="83"/>
  <c r="Q57" i="91"/>
  <c r="AA93" i="83"/>
  <c r="O67" i="92"/>
  <c r="Q88" i="82"/>
  <c r="Z59" i="90"/>
  <c r="AA114" i="90"/>
  <c r="X128" i="83"/>
  <c r="Z167" i="88"/>
  <c r="X37" i="89"/>
  <c r="X128" i="93"/>
  <c r="AA88" i="93"/>
  <c r="L80" i="90"/>
  <c r="L134" i="89"/>
  <c r="AB97" i="90"/>
  <c r="AB132" i="82"/>
  <c r="Y156" i="83"/>
  <c r="Y165" i="83"/>
  <c r="N72" i="82"/>
  <c r="P126" i="91"/>
  <c r="Y131" i="83"/>
  <c r="Z49" i="82"/>
  <c r="N33" i="92"/>
  <c r="O139" i="89"/>
  <c r="Q98" i="74"/>
  <c r="P159" i="88"/>
  <c r="Q135" i="74"/>
  <c r="Y41" i="94"/>
  <c r="Z126" i="91"/>
  <c r="L117" i="93"/>
  <c r="Y144" i="82"/>
  <c r="AA144" i="82"/>
  <c r="AB72" i="81"/>
  <c r="AA63" i="87"/>
  <c r="O143" i="82"/>
  <c r="P65" i="93"/>
  <c r="Z129" i="82"/>
  <c r="Y35" i="82"/>
  <c r="P70" i="90"/>
  <c r="P31" i="90"/>
  <c r="AA145" i="82"/>
  <c r="L118" i="93"/>
  <c r="P121" i="84"/>
  <c r="Q140" i="81"/>
  <c r="Z97" i="91"/>
  <c r="Z108" i="82"/>
  <c r="Z69" i="83"/>
  <c r="Z92" i="88"/>
  <c r="X57" i="92"/>
  <c r="AA23" i="94"/>
  <c r="L128" i="74"/>
  <c r="AB35" i="81"/>
  <c r="Z126" i="81"/>
  <c r="X88" i="87"/>
  <c r="O23" i="82"/>
  <c r="L74" i="94"/>
  <c r="X17" i="82"/>
  <c r="AA57" i="91"/>
  <c r="Q9" i="82"/>
  <c r="AB63" i="88"/>
  <c r="O47" i="90"/>
  <c r="Y82" i="93"/>
  <c r="Z43" i="74"/>
  <c r="AA90" i="89"/>
  <c r="O89" i="74"/>
  <c r="P112" i="93"/>
  <c r="O90" i="90"/>
  <c r="O82" i="74"/>
  <c r="P144" i="90"/>
  <c r="X63" i="82"/>
  <c r="M23" i="92"/>
  <c r="AB164" i="82"/>
  <c r="N108" i="91"/>
  <c r="AB104" i="91"/>
  <c r="AB51" i="91"/>
  <c r="Q114" i="93"/>
  <c r="X126" i="90"/>
  <c r="O92" i="74"/>
  <c r="L145" i="94"/>
  <c r="Z9" i="91"/>
  <c r="Q67" i="87"/>
  <c r="X139" i="83"/>
  <c r="N117" i="94"/>
  <c r="O154" i="92"/>
  <c r="X114" i="91"/>
  <c r="L66" i="88"/>
  <c r="Q138" i="87"/>
  <c r="M57" i="94"/>
  <c r="Z147" i="92"/>
  <c r="Z148" i="93"/>
  <c r="Q65" i="74"/>
  <c r="O109" i="85"/>
  <c r="L167" i="85"/>
  <c r="Y140" i="82"/>
  <c r="AB53" i="82"/>
  <c r="N57" i="92"/>
  <c r="P148" i="93"/>
  <c r="Y144" i="92"/>
  <c r="Y158" i="88"/>
  <c r="Y125" i="91"/>
  <c r="N105" i="92"/>
  <c r="Z84" i="84"/>
  <c r="N120" i="94"/>
  <c r="N57" i="74"/>
  <c r="AA140" i="91"/>
  <c r="P149" i="89"/>
  <c r="L90" i="84"/>
  <c r="O63" i="89"/>
  <c r="AB135" i="90"/>
  <c r="AA125" i="94"/>
  <c r="O98" i="84"/>
  <c r="L123" i="83"/>
  <c r="AB165" i="92"/>
  <c r="P99" i="81"/>
  <c r="Z108" i="93"/>
  <c r="P94" i="94"/>
  <c r="AB104" i="81"/>
  <c r="X90" i="94"/>
  <c r="P99" i="90"/>
  <c r="Q169" i="91"/>
  <c r="AA124" i="87"/>
  <c r="AB113" i="84"/>
  <c r="X94" i="83"/>
  <c r="Y119" i="81"/>
  <c r="Y126" i="87"/>
  <c r="Z105" i="82"/>
  <c r="AA162" i="85"/>
  <c r="L85" i="83"/>
  <c r="Q92" i="82"/>
  <c r="AA107" i="92"/>
  <c r="X47" i="93"/>
  <c r="P33" i="74"/>
  <c r="Q128" i="92"/>
  <c r="Y19" i="87"/>
  <c r="Q149" i="91"/>
  <c r="Z152" i="84"/>
  <c r="Y91" i="91"/>
  <c r="P19" i="74"/>
  <c r="Z120" i="84"/>
  <c r="P160" i="85"/>
  <c r="Q68" i="90"/>
  <c r="Q25" i="82"/>
  <c r="Z89" i="84"/>
  <c r="AA49" i="81"/>
  <c r="AB106" i="84"/>
  <c r="AA64" i="82"/>
  <c r="Y73" i="82"/>
  <c r="Z64" i="84"/>
  <c r="X90" i="92"/>
  <c r="Z49" i="90"/>
  <c r="Y108" i="91"/>
  <c r="Z43" i="87"/>
  <c r="Z47" i="92"/>
  <c r="Y68" i="88"/>
  <c r="N162" i="84"/>
  <c r="AA57" i="85"/>
  <c r="Z138" i="92"/>
  <c r="Z125" i="91"/>
  <c r="P67" i="94"/>
  <c r="Z119" i="92"/>
  <c r="AA94" i="88"/>
  <c r="Z140" i="84"/>
  <c r="P17" i="74"/>
  <c r="Z167" i="83"/>
  <c r="AB68" i="74"/>
  <c r="N162" i="90"/>
  <c r="Q35" i="94"/>
  <c r="AB117" i="85"/>
  <c r="P132" i="85"/>
  <c r="O141" i="93"/>
  <c r="Y147" i="90"/>
  <c r="Z166" i="92"/>
  <c r="Q95" i="87"/>
  <c r="AA110" i="83"/>
  <c r="Y164" i="94"/>
  <c r="AB105" i="88"/>
  <c r="O123" i="91"/>
  <c r="AA143" i="91"/>
  <c r="AB142" i="82"/>
  <c r="Z115" i="85"/>
  <c r="L163" i="88"/>
  <c r="X124" i="93"/>
  <c r="AB88" i="88"/>
  <c r="X102" i="74"/>
  <c r="Y164" i="93"/>
  <c r="Z127" i="89"/>
  <c r="L102" i="94"/>
  <c r="AA165" i="82"/>
  <c r="Q101" i="84"/>
  <c r="Y108" i="85"/>
  <c r="AB148" i="93"/>
  <c r="N138" i="82"/>
  <c r="Y59" i="92"/>
  <c r="AA51" i="88"/>
  <c r="X87" i="81"/>
  <c r="X101" i="88"/>
  <c r="AA93" i="88"/>
  <c r="AB90" i="74"/>
  <c r="O166" i="88"/>
  <c r="AA140" i="85"/>
  <c r="AA117" i="90"/>
  <c r="X110" i="74"/>
  <c r="P116" i="85"/>
  <c r="Y92" i="81"/>
  <c r="P57" i="91"/>
  <c r="X101" i="84"/>
  <c r="Z119" i="83"/>
  <c r="Z109" i="90"/>
  <c r="L109" i="74"/>
  <c r="P116" i="89"/>
  <c r="Z109" i="74"/>
  <c r="AB95" i="85"/>
  <c r="L117" i="89"/>
  <c r="Z68" i="87"/>
  <c r="N105" i="87"/>
  <c r="AB103" i="94"/>
  <c r="AB51" i="87"/>
  <c r="N51" i="74"/>
  <c r="AA120" i="82"/>
  <c r="L131" i="90"/>
  <c r="AA137" i="90"/>
  <c r="AA124" i="90"/>
  <c r="X79" i="91"/>
  <c r="P64" i="81"/>
  <c r="Y117" i="92"/>
  <c r="O148" i="87"/>
  <c r="Z41" i="92"/>
  <c r="AB132" i="85"/>
  <c r="Q128" i="85"/>
  <c r="AB63" i="91"/>
  <c r="Y69" i="87"/>
  <c r="X64" i="89"/>
  <c r="AB139" i="82"/>
  <c r="O99" i="82"/>
  <c r="AA105" i="81"/>
  <c r="P125" i="93"/>
  <c r="AA155" i="82"/>
  <c r="AB144" i="91"/>
  <c r="O133" i="83"/>
  <c r="X131" i="94"/>
  <c r="Y97" i="90"/>
  <c r="L87" i="81"/>
  <c r="Y106" i="82"/>
  <c r="AA102" i="91"/>
  <c r="Y59" i="88"/>
  <c r="L123" i="87"/>
  <c r="P132" i="82"/>
  <c r="O83" i="90"/>
  <c r="P33" i="81"/>
  <c r="Z63" i="74"/>
  <c r="AB106" i="87"/>
  <c r="Q21" i="85"/>
  <c r="Z84" i="74"/>
  <c r="P164" i="84"/>
  <c r="AA87" i="81"/>
  <c r="L86" i="83"/>
  <c r="AB146" i="88"/>
  <c r="Q116" i="74"/>
  <c r="AA137" i="85"/>
  <c r="X39" i="94"/>
  <c r="AA93" i="84"/>
  <c r="Z132" i="84"/>
  <c r="P53" i="74"/>
  <c r="O123" i="90"/>
  <c r="AB109" i="90"/>
  <c r="AA57" i="94"/>
  <c r="Q126" i="84"/>
  <c r="AA71" i="87"/>
  <c r="AB111" i="90"/>
  <c r="AA113" i="83"/>
  <c r="O125" i="85"/>
  <c r="AB37" i="90"/>
  <c r="Z106" i="81"/>
  <c r="O161" i="82"/>
  <c r="Y86" i="93"/>
  <c r="AB100" i="84"/>
  <c r="AA66" i="74"/>
  <c r="AA117" i="91"/>
  <c r="L106" i="85"/>
  <c r="L108" i="94"/>
  <c r="P53" i="88"/>
  <c r="AA90" i="88"/>
  <c r="Y81" i="91"/>
  <c r="O45" i="84"/>
  <c r="X107" i="91"/>
  <c r="AB128" i="74"/>
  <c r="Q152" i="89"/>
  <c r="Z15" i="93"/>
  <c r="Y117" i="88"/>
  <c r="P53" i="92"/>
  <c r="N138" i="94"/>
  <c r="O136" i="92"/>
  <c r="Z149" i="89"/>
  <c r="P67" i="90"/>
  <c r="X131" i="82"/>
  <c r="X89" i="94"/>
  <c r="Y120" i="74"/>
  <c r="L153" i="94"/>
  <c r="AB101" i="74"/>
  <c r="Q119" i="81"/>
  <c r="P43" i="83"/>
  <c r="AB141" i="83"/>
  <c r="AB49" i="93"/>
  <c r="Y164" i="87"/>
  <c r="L94" i="88"/>
  <c r="X145" i="88"/>
  <c r="L80" i="84"/>
  <c r="AA117" i="83"/>
  <c r="Q122" i="87"/>
  <c r="Z93" i="90"/>
  <c r="Z92" i="90"/>
  <c r="AB121" i="84"/>
  <c r="P69" i="82"/>
  <c r="Y117" i="91"/>
  <c r="Z53" i="84"/>
  <c r="P55" i="94"/>
  <c r="AB96" i="87"/>
  <c r="X100" i="93"/>
  <c r="AB53" i="91"/>
  <c r="Z118" i="82"/>
  <c r="P43" i="94"/>
  <c r="O11" i="92"/>
  <c r="X109" i="93"/>
  <c r="P166" i="74"/>
  <c r="Q64" i="83"/>
  <c r="Z121" i="93"/>
  <c r="X59" i="90"/>
  <c r="AA91" i="89"/>
  <c r="L72" i="85"/>
  <c r="O108" i="93"/>
  <c r="Z160" i="82"/>
  <c r="Y102" i="93"/>
  <c r="Z123" i="94"/>
  <c r="O117" i="89"/>
  <c r="AB144" i="92"/>
  <c r="Q9" i="93"/>
  <c r="X11" i="90"/>
  <c r="N126" i="88"/>
  <c r="Y102" i="85"/>
  <c r="Q66" i="94"/>
  <c r="AA166" i="90"/>
  <c r="AB64" i="74"/>
  <c r="P88" i="90"/>
  <c r="X59" i="82"/>
  <c r="Z125" i="83"/>
  <c r="M43" i="87"/>
  <c r="AB9" i="85"/>
  <c r="X166" i="88"/>
  <c r="L99" i="81"/>
  <c r="Y163" i="82"/>
  <c r="N96" i="93"/>
  <c r="P89" i="91"/>
  <c r="AA92" i="93"/>
  <c r="Z165" i="82"/>
  <c r="AB90" i="94"/>
  <c r="X47" i="90"/>
  <c r="X108" i="82"/>
  <c r="Q21" i="93"/>
  <c r="Q53" i="74"/>
  <c r="Q91" i="89"/>
  <c r="Z100" i="83"/>
  <c r="X146" i="74"/>
  <c r="Y142" i="83"/>
  <c r="AB155" i="83"/>
  <c r="Z165" i="93"/>
  <c r="AB99" i="94"/>
  <c r="P113" i="85"/>
  <c r="Q131" i="90"/>
  <c r="Q116" i="93"/>
  <c r="P93" i="82"/>
  <c r="N45" i="85"/>
  <c r="Y90" i="90"/>
  <c r="Z116" i="90"/>
  <c r="X150" i="92"/>
  <c r="Q82" i="87"/>
  <c r="AB107" i="74"/>
  <c r="Y155" i="90"/>
  <c r="P39" i="83"/>
  <c r="Q35" i="92"/>
  <c r="X131" i="89"/>
  <c r="L163" i="87"/>
  <c r="X157" i="87"/>
  <c r="M15" i="90"/>
  <c r="P132" i="88"/>
  <c r="Y102" i="92"/>
  <c r="L109" i="84"/>
  <c r="Y110" i="84"/>
  <c r="AA11" i="74"/>
  <c r="Z153" i="85"/>
  <c r="O49" i="91"/>
  <c r="P89" i="84"/>
  <c r="X87" i="88"/>
  <c r="AB29" i="88"/>
  <c r="P143" i="87"/>
  <c r="Z49" i="91"/>
  <c r="N108" i="88"/>
  <c r="L164" i="85"/>
  <c r="X89" i="92"/>
  <c r="AB123" i="87"/>
  <c r="P47" i="87"/>
  <c r="O143" i="85"/>
  <c r="P133" i="82"/>
  <c r="X43" i="88"/>
  <c r="P118" i="93"/>
  <c r="N66" i="88"/>
  <c r="AB37" i="93"/>
  <c r="P114" i="94"/>
  <c r="X104" i="85"/>
  <c r="P87" i="93"/>
  <c r="Q134" i="84"/>
  <c r="L77" i="74"/>
  <c r="X23" i="93"/>
  <c r="AB106" i="85"/>
  <c r="P84" i="82"/>
  <c r="L79" i="94"/>
  <c r="Q141" i="81"/>
  <c r="Y87" i="91"/>
  <c r="L131" i="84"/>
  <c r="Q105" i="81"/>
  <c r="X104" i="81"/>
  <c r="P116" i="81"/>
  <c r="AA45" i="91"/>
  <c r="AA87" i="89"/>
  <c r="AA113" i="88"/>
  <c r="P105" i="88"/>
  <c r="AB108" i="93"/>
  <c r="Q80" i="92"/>
  <c r="X108" i="81"/>
  <c r="X110" i="93"/>
  <c r="AA157" i="87"/>
  <c r="Z111" i="83"/>
  <c r="L66" i="91"/>
  <c r="Z115" i="89"/>
  <c r="Z53" i="93"/>
  <c r="Z100" i="91"/>
  <c r="O57" i="84"/>
  <c r="Z147" i="93"/>
  <c r="AA128" i="83"/>
  <c r="AB138" i="82"/>
  <c r="AB87" i="85"/>
  <c r="AA92" i="74"/>
  <c r="AA19" i="91"/>
  <c r="Q167" i="88"/>
  <c r="Z90" i="81"/>
  <c r="Z87" i="92"/>
  <c r="AB122" i="90"/>
  <c r="X61" i="93"/>
  <c r="O65" i="84"/>
  <c r="Y151" i="91"/>
  <c r="AA113" i="87"/>
  <c r="AA159" i="87"/>
  <c r="L88" i="92"/>
  <c r="L161" i="83"/>
  <c r="Z66" i="81"/>
  <c r="M17" i="84"/>
  <c r="Y122" i="92"/>
  <c r="AB143" i="85"/>
  <c r="X89" i="81"/>
  <c r="X87" i="83"/>
  <c r="Y33" i="87"/>
  <c r="Q134" i="93"/>
  <c r="Z153" i="83"/>
  <c r="AB161" i="92"/>
  <c r="Z90" i="92"/>
  <c r="AB43" i="81"/>
  <c r="N57" i="83"/>
  <c r="AA61" i="92"/>
  <c r="X128" i="85"/>
  <c r="P39" i="92"/>
  <c r="Z73" i="87"/>
  <c r="Z37" i="87"/>
  <c r="O136" i="90"/>
  <c r="P148" i="81"/>
  <c r="P163" i="83"/>
  <c r="AA41" i="74"/>
  <c r="Y19" i="84"/>
  <c r="AB104" i="82"/>
  <c r="Y162" i="90"/>
  <c r="Z118" i="88"/>
  <c r="Y143" i="94"/>
  <c r="AA103" i="89"/>
  <c r="Q88" i="74"/>
  <c r="Q33" i="90"/>
  <c r="X141" i="85"/>
  <c r="Q123" i="85"/>
  <c r="AA149" i="82"/>
  <c r="Q83" i="82"/>
  <c r="Q109" i="89"/>
  <c r="Q31" i="74"/>
  <c r="X162" i="74"/>
  <c r="Q64" i="87"/>
  <c r="Q53" i="89"/>
  <c r="L82" i="82"/>
  <c r="Z68" i="92"/>
  <c r="AA117" i="92"/>
  <c r="Z108" i="91"/>
  <c r="Z11" i="90"/>
  <c r="Z117" i="88"/>
  <c r="Z127" i="81"/>
  <c r="Y68" i="91"/>
  <c r="Y84" i="94"/>
  <c r="L88" i="83"/>
  <c r="O145" i="90"/>
  <c r="P72" i="81"/>
  <c r="L94" i="84"/>
  <c r="Y163" i="87"/>
  <c r="AA66" i="84"/>
  <c r="Y119" i="90"/>
  <c r="Y53" i="89"/>
  <c r="P71" i="84"/>
  <c r="N90" i="74"/>
  <c r="AA57" i="90"/>
  <c r="X133" i="74"/>
  <c r="AB9" i="87"/>
  <c r="Q117" i="84"/>
  <c r="X93" i="82"/>
  <c r="Y53" i="83"/>
  <c r="Z114" i="81"/>
  <c r="AA156" i="84"/>
  <c r="AA125" i="92"/>
  <c r="AA68" i="85"/>
  <c r="AA164" i="85"/>
  <c r="Q57" i="83"/>
  <c r="Q97" i="83"/>
  <c r="L133" i="88"/>
  <c r="AA131" i="94"/>
  <c r="P83" i="92"/>
  <c r="P68" i="88"/>
  <c r="X101" i="82"/>
  <c r="X139" i="82"/>
  <c r="O124" i="81"/>
  <c r="Y77" i="90"/>
  <c r="AA165" i="91"/>
  <c r="Z146" i="94"/>
  <c r="Q71" i="91"/>
  <c r="Q138" i="94"/>
  <c r="X125" i="91"/>
  <c r="O85" i="87"/>
  <c r="X75" i="89"/>
  <c r="O92" i="94"/>
  <c r="Y167" i="82"/>
  <c r="P21" i="74"/>
  <c r="O57" i="89"/>
  <c r="Q141" i="93"/>
  <c r="L167" i="81"/>
  <c r="Y117" i="85"/>
  <c r="AB108" i="91"/>
  <c r="AB108" i="88"/>
  <c r="AA117" i="94"/>
  <c r="L116" i="74"/>
  <c r="Z148" i="92"/>
  <c r="Z113" i="89"/>
  <c r="L120" i="91"/>
  <c r="L166" i="94"/>
  <c r="X89" i="83"/>
  <c r="O82" i="89"/>
  <c r="N72" i="83"/>
  <c r="X118" i="82"/>
  <c r="AB65" i="81"/>
  <c r="X95" i="81"/>
  <c r="X148" i="89"/>
  <c r="AA157" i="81"/>
  <c r="N99" i="82"/>
  <c r="X57" i="85"/>
  <c r="Y164" i="89"/>
  <c r="Y63" i="74"/>
  <c r="Q166" i="90"/>
  <c r="L126" i="74"/>
  <c r="X165" i="82"/>
  <c r="Z64" i="93"/>
  <c r="N39" i="84"/>
  <c r="AB91" i="83"/>
  <c r="Y47" i="93"/>
  <c r="Y65" i="90"/>
  <c r="AB149" i="92"/>
  <c r="O169" i="91"/>
  <c r="P73" i="92"/>
  <c r="O115" i="89"/>
  <c r="Q109" i="83"/>
  <c r="X142" i="82"/>
  <c r="AB88" i="82"/>
  <c r="AA105" i="89"/>
  <c r="AA89" i="91"/>
  <c r="AB107" i="93"/>
  <c r="P11" i="82"/>
  <c r="N117" i="90"/>
  <c r="AA107" i="85"/>
  <c r="AA91" i="88"/>
  <c r="Z23" i="84"/>
  <c r="Y93" i="85"/>
  <c r="L66" i="90"/>
  <c r="Z15" i="87"/>
  <c r="Z102" i="94"/>
  <c r="P135" i="94"/>
  <c r="AA59" i="81"/>
  <c r="Z165" i="81"/>
  <c r="N87" i="85"/>
  <c r="AB95" i="83"/>
  <c r="X113" i="88"/>
  <c r="O143" i="89"/>
  <c r="O144" i="81"/>
  <c r="AB138" i="85"/>
  <c r="AB65" i="93"/>
  <c r="P122" i="83"/>
  <c r="N66" i="92"/>
  <c r="Z165" i="83"/>
  <c r="Y146" i="83"/>
  <c r="Y79" i="85"/>
  <c r="P148" i="90"/>
  <c r="O74" i="92"/>
  <c r="X155" i="91"/>
  <c r="AB136" i="82"/>
  <c r="P39" i="94"/>
  <c r="Y71" i="74"/>
  <c r="O53" i="84"/>
  <c r="L69" i="93"/>
  <c r="AA68" i="94"/>
  <c r="Q94" i="83"/>
  <c r="AB116" i="89"/>
  <c r="X57" i="81"/>
  <c r="X91" i="81"/>
  <c r="L162" i="94"/>
  <c r="AB119" i="93"/>
  <c r="Q132" i="91"/>
  <c r="X146" i="94"/>
  <c r="AA112" i="74"/>
  <c r="Y49" i="85"/>
  <c r="Z119" i="88"/>
  <c r="P66" i="74"/>
  <c r="P138" i="89"/>
  <c r="Y67" i="74"/>
  <c r="L139" i="93"/>
  <c r="O11" i="91"/>
  <c r="P98" i="90"/>
  <c r="N105" i="74"/>
  <c r="P51" i="82"/>
  <c r="X66" i="74"/>
  <c r="Z66" i="87"/>
  <c r="L166" i="74"/>
  <c r="Q123" i="83"/>
  <c r="Z37" i="74"/>
  <c r="AA116" i="90"/>
  <c r="L94" i="83"/>
  <c r="AA102" i="84"/>
  <c r="Z128" i="85"/>
  <c r="X91" i="83"/>
  <c r="P116" i="82"/>
  <c r="AB105" i="85"/>
  <c r="L163" i="83"/>
  <c r="Q156" i="74"/>
  <c r="AA71" i="90"/>
  <c r="Y39" i="94"/>
  <c r="Y35" i="94"/>
  <c r="AB93" i="83"/>
  <c r="Z61" i="89"/>
  <c r="Z118" i="83"/>
  <c r="M57" i="92"/>
  <c r="AA144" i="81"/>
  <c r="Q33" i="74"/>
  <c r="Q115" i="83"/>
  <c r="L163" i="74"/>
  <c r="AA114" i="83"/>
  <c r="P110" i="93"/>
  <c r="Y110" i="74"/>
  <c r="P127" i="84"/>
  <c r="AA124" i="83"/>
  <c r="AB150" i="85"/>
  <c r="L90" i="93"/>
  <c r="Z117" i="82"/>
  <c r="X98" i="81"/>
  <c r="N93" i="82"/>
  <c r="X63" i="94"/>
  <c r="L103" i="89"/>
  <c r="Q122" i="83"/>
  <c r="AA119" i="92"/>
  <c r="Y27" i="84"/>
  <c r="Y166" i="84"/>
  <c r="Y91" i="74"/>
  <c r="X35" i="82"/>
  <c r="O152" i="89"/>
  <c r="Z158" i="74"/>
  <c r="AB151" i="82"/>
  <c r="P67" i="89"/>
  <c r="X114" i="84"/>
  <c r="AB83" i="91"/>
  <c r="X134" i="94"/>
  <c r="Z95" i="94"/>
  <c r="X150" i="74"/>
  <c r="O29" i="90"/>
  <c r="P41" i="89"/>
  <c r="O123" i="93"/>
  <c r="AB124" i="83"/>
  <c r="N96" i="87"/>
  <c r="O57" i="85"/>
  <c r="AB141" i="93"/>
  <c r="Y97" i="91"/>
  <c r="AB45" i="81"/>
  <c r="X122" i="74"/>
  <c r="Y130" i="83"/>
  <c r="X122" i="94"/>
  <c r="L162" i="81"/>
  <c r="Z87" i="91"/>
  <c r="Z82" i="87"/>
  <c r="Y59" i="89"/>
  <c r="Z51" i="92"/>
  <c r="Z51" i="91"/>
  <c r="Y166" i="85"/>
  <c r="P37" i="94"/>
  <c r="O145" i="88"/>
  <c r="L123" i="82"/>
  <c r="L116" i="85"/>
  <c r="Z151" i="88"/>
  <c r="X57" i="91"/>
  <c r="Z163" i="82"/>
  <c r="AA167" i="89"/>
  <c r="Q57" i="81"/>
  <c r="Y167" i="92"/>
  <c r="O27" i="85"/>
  <c r="X147" i="90"/>
  <c r="AB43" i="83"/>
  <c r="AB37" i="94"/>
  <c r="Y104" i="87"/>
  <c r="Y66" i="84"/>
  <c r="Y167" i="93"/>
  <c r="L127" i="83"/>
  <c r="L119" i="74"/>
  <c r="AA64" i="93"/>
  <c r="Y152" i="84"/>
  <c r="AA143" i="88"/>
  <c r="L116" i="83"/>
  <c r="AA71" i="93"/>
  <c r="X97" i="84"/>
  <c r="AB96" i="74"/>
  <c r="N69" i="81"/>
  <c r="Z88" i="83"/>
  <c r="P120" i="83"/>
  <c r="Q104" i="89"/>
  <c r="P84" i="87"/>
  <c r="O144" i="82"/>
  <c r="X118" i="89"/>
  <c r="AA117" i="85"/>
  <c r="P118" i="94"/>
  <c r="L147" i="94"/>
  <c r="P141" i="93"/>
  <c r="X148" i="85"/>
  <c r="Q97" i="93"/>
  <c r="Y87" i="94"/>
  <c r="AB94" i="91"/>
  <c r="AB117" i="88"/>
  <c r="O128" i="93"/>
  <c r="Q131" i="91"/>
  <c r="AB102" i="82"/>
  <c r="X59" i="94"/>
  <c r="N147" i="88"/>
  <c r="P86" i="81"/>
  <c r="X129" i="92"/>
  <c r="AA148" i="84"/>
  <c r="AA93" i="90"/>
  <c r="AB35" i="89"/>
  <c r="P86" i="92"/>
  <c r="Q165" i="93"/>
  <c r="M45" i="81"/>
  <c r="Y106" i="88"/>
  <c r="Q27" i="85"/>
  <c r="Y33" i="81"/>
  <c r="P47" i="94"/>
  <c r="Q153" i="84"/>
  <c r="Y89" i="74"/>
  <c r="AB134" i="91"/>
  <c r="Y161" i="90"/>
  <c r="O163" i="89"/>
  <c r="Z141" i="88"/>
  <c r="Y65" i="88"/>
  <c r="AB166" i="91"/>
  <c r="Y113" i="93"/>
  <c r="N87" i="84"/>
  <c r="X92" i="87"/>
  <c r="Z39" i="81"/>
  <c r="Q35" i="91"/>
  <c r="Q111" i="88"/>
  <c r="L112" i="88"/>
  <c r="Z111" i="89"/>
  <c r="X96" i="81"/>
  <c r="Y90" i="84"/>
  <c r="M31" i="94"/>
  <c r="Y104" i="82"/>
  <c r="Z29" i="93"/>
  <c r="Y88" i="81"/>
  <c r="O133" i="88"/>
  <c r="X55" i="87"/>
  <c r="Z49" i="87"/>
  <c r="M57" i="90"/>
  <c r="P106" i="88"/>
  <c r="Z123" i="91"/>
  <c r="P41" i="88"/>
  <c r="AB115" i="74"/>
  <c r="AB55" i="87"/>
  <c r="P114" i="74"/>
  <c r="O157" i="84"/>
  <c r="AA66" i="92"/>
  <c r="Q66" i="81"/>
  <c r="L165" i="89"/>
  <c r="X97" i="85"/>
  <c r="AB45" i="91"/>
  <c r="AA27" i="85"/>
  <c r="Y68" i="81"/>
  <c r="Z159" i="87"/>
  <c r="AB51" i="84"/>
  <c r="N129" i="85"/>
  <c r="Y147" i="85"/>
  <c r="N87" i="94"/>
  <c r="AB103" i="81"/>
  <c r="P100" i="85"/>
  <c r="Y159" i="91"/>
  <c r="P80" i="92"/>
  <c r="P103" i="93"/>
  <c r="Y66" i="94"/>
  <c r="X152" i="84"/>
  <c r="Q126" i="82"/>
  <c r="AB76" i="90"/>
  <c r="Y114" i="74"/>
  <c r="AB87" i="88"/>
  <c r="O93" i="89"/>
  <c r="Q155" i="91"/>
  <c r="Z165" i="90"/>
  <c r="Y126" i="88"/>
  <c r="P91" i="89"/>
  <c r="P145" i="87"/>
  <c r="L103" i="74"/>
  <c r="P143" i="89"/>
  <c r="AA135" i="91"/>
  <c r="L119" i="81"/>
  <c r="Q97" i="87"/>
  <c r="Y81" i="89"/>
  <c r="N90" i="89"/>
  <c r="O119" i="92"/>
  <c r="P147" i="89"/>
  <c r="P153" i="83"/>
  <c r="P126" i="88"/>
  <c r="M21" i="94"/>
  <c r="Z165" i="92"/>
  <c r="P143" i="91"/>
  <c r="P150" i="93"/>
  <c r="Q130" i="92"/>
  <c r="P141" i="82"/>
  <c r="L85" i="82"/>
  <c r="Z169" i="91"/>
  <c r="Z59" i="92"/>
  <c r="L133" i="85"/>
  <c r="Y76" i="94"/>
  <c r="M11" i="92"/>
  <c r="Z105" i="81"/>
  <c r="M25" i="90"/>
  <c r="AA71" i="88"/>
  <c r="Z102" i="93"/>
  <c r="Y63" i="93"/>
  <c r="AB49" i="88"/>
  <c r="L124" i="94"/>
  <c r="Q51" i="93"/>
  <c r="AB49" i="94"/>
  <c r="X106" i="87"/>
  <c r="Q95" i="88"/>
  <c r="P167" i="83"/>
  <c r="O140" i="87"/>
  <c r="L145" i="93"/>
  <c r="Z164" i="90"/>
  <c r="AB140" i="82"/>
  <c r="X99" i="93"/>
  <c r="X67" i="89"/>
  <c r="Z49" i="93"/>
  <c r="Y138" i="88"/>
  <c r="L89" i="74"/>
  <c r="L128" i="82"/>
  <c r="P93" i="91"/>
  <c r="Y67" i="93"/>
  <c r="Y164" i="74"/>
  <c r="Z83" i="89"/>
  <c r="X167" i="90"/>
  <c r="AA105" i="91"/>
  <c r="P165" i="85"/>
  <c r="P105" i="91"/>
  <c r="Q89" i="84"/>
  <c r="Y126" i="82"/>
  <c r="X65" i="85"/>
  <c r="X104" i="90"/>
  <c r="Q94" i="85"/>
  <c r="O166" i="94"/>
  <c r="X134" i="74"/>
  <c r="AA146" i="89"/>
  <c r="X145" i="89"/>
  <c r="Q136" i="88"/>
  <c r="X158" i="90"/>
  <c r="P143" i="84"/>
  <c r="P103" i="84"/>
  <c r="Z111" i="90"/>
  <c r="N120" i="88"/>
  <c r="Y61" i="89"/>
  <c r="L127" i="92"/>
  <c r="AB147" i="92"/>
  <c r="O159" i="74"/>
  <c r="L97" i="87"/>
  <c r="X95" i="87"/>
  <c r="Z141" i="85"/>
  <c r="X45" i="93"/>
  <c r="Q108" i="83"/>
  <c r="Z94" i="93"/>
  <c r="O166" i="91"/>
  <c r="AB163" i="92"/>
  <c r="Y107" i="91"/>
  <c r="AB162" i="85"/>
  <c r="AB92" i="92"/>
  <c r="Q47" i="81"/>
  <c r="P152" i="88"/>
  <c r="AA102" i="89"/>
  <c r="P37" i="82"/>
  <c r="Q104" i="74"/>
  <c r="X25" i="88"/>
  <c r="AA136" i="91"/>
  <c r="AA70" i="83"/>
  <c r="P41" i="92"/>
  <c r="P130" i="87"/>
  <c r="AB152" i="84"/>
  <c r="Q128" i="82"/>
  <c r="AA96" i="81"/>
  <c r="N93" i="89"/>
  <c r="P110" i="85"/>
  <c r="X117" i="91"/>
  <c r="Z163" i="89"/>
  <c r="X137" i="84"/>
  <c r="AB100" i="89"/>
  <c r="Y117" i="90"/>
  <c r="L74" i="92"/>
  <c r="Y66" i="91"/>
  <c r="Z103" i="90"/>
  <c r="Q164" i="83"/>
  <c r="Q124" i="74"/>
  <c r="P125" i="90"/>
  <c r="L89" i="87"/>
  <c r="AA117" i="81"/>
  <c r="O159" i="88"/>
  <c r="O120" i="82"/>
  <c r="Y110" i="82"/>
  <c r="Y33" i="83"/>
  <c r="Z131" i="87"/>
  <c r="AB139" i="87"/>
  <c r="Y135" i="85"/>
  <c r="Q106" i="93"/>
  <c r="O111" i="85"/>
  <c r="X65" i="74"/>
  <c r="Y138" i="87"/>
  <c r="N153" i="87"/>
  <c r="P90" i="92"/>
  <c r="X114" i="74"/>
  <c r="P59" i="90"/>
  <c r="AA165" i="90"/>
  <c r="AB115" i="83"/>
  <c r="M51" i="74"/>
  <c r="Q159" i="88"/>
  <c r="Z84" i="83"/>
  <c r="Y89" i="87"/>
  <c r="Z35" i="87"/>
  <c r="M31" i="81"/>
  <c r="Y107" i="84"/>
  <c r="X114" i="83"/>
  <c r="X53" i="85"/>
  <c r="X125" i="84"/>
  <c r="P66" i="85"/>
  <c r="L132" i="85"/>
  <c r="AB81" i="84"/>
  <c r="N117" i="87"/>
  <c r="X123" i="90"/>
  <c r="X143" i="92"/>
  <c r="N114" i="89"/>
  <c r="P116" i="90"/>
  <c r="L104" i="85"/>
  <c r="P135" i="88"/>
  <c r="AB110" i="87"/>
  <c r="X137" i="74"/>
  <c r="P88" i="88"/>
  <c r="P88" i="93"/>
  <c r="M19" i="91"/>
  <c r="AB47" i="87"/>
  <c r="AA151" i="93"/>
  <c r="N108" i="82"/>
  <c r="AB107" i="90"/>
  <c r="Y135" i="81"/>
  <c r="P122" i="82"/>
  <c r="X92" i="81"/>
  <c r="Z139" i="84"/>
  <c r="P164" i="93"/>
  <c r="X96" i="85"/>
  <c r="Q66" i="88"/>
  <c r="O57" i="91"/>
  <c r="AA140" i="82"/>
  <c r="Y167" i="90"/>
  <c r="N162" i="83"/>
  <c r="X118" i="91"/>
  <c r="Z116" i="81"/>
  <c r="O145" i="85"/>
  <c r="L107" i="81"/>
  <c r="X39" i="88"/>
  <c r="O147" i="93"/>
  <c r="O121" i="83"/>
  <c r="N27" i="91"/>
  <c r="Z91" i="89"/>
  <c r="L167" i="87"/>
  <c r="AA119" i="85"/>
  <c r="L167" i="74"/>
  <c r="Q35" i="84"/>
  <c r="Q81" i="92"/>
  <c r="X49" i="81"/>
  <c r="Y102" i="82"/>
  <c r="O51" i="83"/>
  <c r="AB127" i="92"/>
  <c r="P65" i="94"/>
  <c r="Q102" i="94"/>
  <c r="AA90" i="74"/>
  <c r="P142" i="87"/>
  <c r="P39" i="93"/>
  <c r="AB116" i="87"/>
  <c r="Z114" i="87"/>
  <c r="AA57" i="83"/>
  <c r="AA151" i="94"/>
  <c r="Y103" i="87"/>
  <c r="AA147" i="90"/>
  <c r="AA164" i="92"/>
  <c r="L73" i="93"/>
  <c r="X66" i="89"/>
  <c r="L101" i="85"/>
  <c r="X65" i="87"/>
  <c r="P74" i="85"/>
  <c r="Q164" i="88"/>
  <c r="Z148" i="87"/>
  <c r="Y66" i="83"/>
  <c r="O143" i="94"/>
  <c r="Y95" i="74"/>
  <c r="AA65" i="88"/>
  <c r="Z119" i="85"/>
  <c r="AA23" i="84"/>
  <c r="X147" i="82"/>
  <c r="AA142" i="87"/>
  <c r="N129" i="88"/>
  <c r="Z100" i="81"/>
  <c r="Z118" i="84"/>
  <c r="Y67" i="88"/>
  <c r="Z65" i="89"/>
  <c r="L127" i="81"/>
  <c r="P149" i="91"/>
  <c r="P13" i="81"/>
  <c r="AA83" i="91"/>
  <c r="X149" i="74"/>
  <c r="AA94" i="82"/>
  <c r="O77" i="74"/>
  <c r="Z80" i="83"/>
  <c r="P39" i="81"/>
  <c r="O120" i="84"/>
  <c r="O93" i="88"/>
  <c r="N72" i="90"/>
  <c r="X45" i="87"/>
  <c r="P90" i="83"/>
  <c r="L105" i="93"/>
  <c r="Q114" i="83"/>
  <c r="L93" i="87"/>
  <c r="L113" i="87"/>
  <c r="AA165" i="83"/>
  <c r="M37" i="74"/>
  <c r="X101" i="90"/>
  <c r="AB41" i="93"/>
  <c r="Z82" i="92"/>
  <c r="N78" i="94"/>
  <c r="AA154" i="91"/>
  <c r="AA137" i="74"/>
  <c r="P146" i="83"/>
  <c r="Z84" i="89"/>
  <c r="Q103" i="94"/>
  <c r="P89" i="82"/>
  <c r="AA163" i="82"/>
  <c r="AA145" i="74"/>
  <c r="AB61" i="84"/>
  <c r="N117" i="93"/>
  <c r="Z39" i="90"/>
  <c r="Q68" i="89"/>
  <c r="Z55" i="84"/>
  <c r="Q87" i="83"/>
  <c r="M47" i="88"/>
  <c r="AB91" i="81"/>
  <c r="L105" i="85"/>
  <c r="Y114" i="82"/>
  <c r="Z135" i="84"/>
  <c r="AA148" i="85"/>
  <c r="AA144" i="85"/>
  <c r="AA124" i="81"/>
  <c r="X71" i="84"/>
  <c r="Y105" i="81"/>
  <c r="O91" i="82"/>
  <c r="X78" i="89"/>
  <c r="X135" i="85"/>
  <c r="Y152" i="94"/>
  <c r="AA79" i="81"/>
  <c r="AA113" i="84"/>
  <c r="AB95" i="94"/>
  <c r="Y107" i="83"/>
  <c r="AB43" i="89"/>
  <c r="O68" i="92"/>
  <c r="AB102" i="81"/>
  <c r="O64" i="94"/>
  <c r="X96" i="89"/>
  <c r="Z144" i="94"/>
  <c r="O94" i="91"/>
  <c r="Q123" i="84"/>
  <c r="M9" i="93"/>
  <c r="O37" i="89"/>
  <c r="X125" i="89"/>
  <c r="AA138" i="89"/>
  <c r="L91" i="88"/>
  <c r="AB118" i="74"/>
  <c r="Y119" i="93"/>
  <c r="Z161" i="90"/>
  <c r="X96" i="87"/>
  <c r="X119" i="81"/>
  <c r="AB155" i="87"/>
  <c r="Z112" i="92"/>
  <c r="AA162" i="92"/>
  <c r="O41" i="90"/>
  <c r="Q57" i="88"/>
  <c r="Y108" i="87"/>
  <c r="AA148" i="94"/>
  <c r="X144" i="74"/>
  <c r="P144" i="89"/>
  <c r="AA116" i="85"/>
  <c r="AB99" i="90"/>
  <c r="AB79" i="85"/>
  <c r="AB166" i="93"/>
  <c r="Y39" i="82"/>
  <c r="Q115" i="84"/>
  <c r="X163" i="90"/>
  <c r="P151" i="93"/>
  <c r="Y122" i="90"/>
  <c r="AA115" i="82"/>
  <c r="X112" i="81"/>
  <c r="Z41" i="83"/>
  <c r="Q112" i="89"/>
  <c r="X75" i="93"/>
  <c r="Y116" i="94"/>
  <c r="AA96" i="74"/>
  <c r="Q96" i="74"/>
  <c r="Q148" i="84"/>
  <c r="O115" i="85"/>
  <c r="Q133" i="87"/>
  <c r="X111" i="85"/>
  <c r="P117" i="85"/>
  <c r="Z57" i="84"/>
  <c r="P55" i="91"/>
  <c r="P33" i="90"/>
  <c r="Y104" i="94"/>
  <c r="AB29" i="82"/>
  <c r="Z11" i="85"/>
  <c r="X160" i="90"/>
  <c r="P139" i="90"/>
  <c r="P90" i="91"/>
  <c r="AB51" i="83"/>
  <c r="Y151" i="92"/>
  <c r="P141" i="94"/>
  <c r="Y57" i="94"/>
  <c r="Z87" i="87"/>
  <c r="Y55" i="88"/>
  <c r="Z63" i="90"/>
  <c r="L106" i="94"/>
  <c r="Q139" i="85"/>
  <c r="AB131" i="91"/>
  <c r="AB112" i="89"/>
  <c r="X117" i="88"/>
  <c r="Q151" i="91"/>
  <c r="Z144" i="84"/>
  <c r="X64" i="83"/>
  <c r="L107" i="74"/>
  <c r="AA21" i="88"/>
  <c r="Y87" i="85"/>
  <c r="Q45" i="84"/>
  <c r="Y130" i="85"/>
  <c r="AB90" i="88"/>
  <c r="Q104" i="82"/>
  <c r="Y49" i="87"/>
  <c r="P41" i="84"/>
  <c r="AA33" i="88"/>
  <c r="Q149" i="85"/>
  <c r="O164" i="89"/>
  <c r="Q125" i="92"/>
  <c r="P68" i="89"/>
  <c r="AB63" i="93"/>
  <c r="N135" i="82"/>
  <c r="AA79" i="74"/>
  <c r="Z140" i="94"/>
  <c r="O116" i="88"/>
  <c r="P123" i="74"/>
  <c r="O68" i="89"/>
  <c r="X37" i="74"/>
  <c r="AB78" i="74"/>
  <c r="L118" i="91"/>
  <c r="Y152" i="93"/>
  <c r="AA45" i="81"/>
  <c r="Z129" i="91"/>
  <c r="Y98" i="87"/>
  <c r="Z126" i="82"/>
  <c r="Q130" i="91"/>
  <c r="X91" i="85"/>
  <c r="AA92" i="90"/>
  <c r="O150" i="74"/>
  <c r="AB45" i="74"/>
  <c r="AA33" i="74"/>
  <c r="X85" i="83"/>
  <c r="O90" i="88"/>
  <c r="Y109" i="83"/>
  <c r="AB130" i="91"/>
  <c r="N132" i="84"/>
  <c r="Z89" i="88"/>
  <c r="Q51" i="83"/>
  <c r="AA89" i="89"/>
  <c r="AB118" i="88"/>
  <c r="Y140" i="93"/>
  <c r="Z98" i="89"/>
  <c r="L83" i="74"/>
  <c r="AA68" i="92"/>
  <c r="AB158" i="90"/>
  <c r="AA124" i="91"/>
  <c r="X167" i="74"/>
  <c r="O162" i="83"/>
  <c r="Z19" i="81"/>
  <c r="Y37" i="81"/>
  <c r="O55" i="82"/>
  <c r="Z94" i="94"/>
  <c r="AA139" i="91"/>
  <c r="Y31" i="91"/>
  <c r="AA102" i="81"/>
  <c r="Z122" i="82"/>
  <c r="O141" i="89"/>
  <c r="X124" i="92"/>
  <c r="X158" i="92"/>
  <c r="L79" i="83"/>
  <c r="AB57" i="74"/>
  <c r="X47" i="91"/>
  <c r="O61" i="85"/>
  <c r="Y125" i="81"/>
  <c r="P113" i="84"/>
  <c r="N117" i="83"/>
  <c r="Y151" i="83"/>
  <c r="Q120" i="93"/>
  <c r="AA45" i="82"/>
  <c r="O101" i="94"/>
  <c r="AA125" i="84"/>
  <c r="AB89" i="83"/>
  <c r="Y103" i="83"/>
  <c r="Z67" i="84"/>
  <c r="O31" i="93"/>
  <c r="Q35" i="93"/>
  <c r="Y94" i="82"/>
  <c r="AA87" i="92"/>
  <c r="M41" i="83"/>
  <c r="L162" i="93"/>
  <c r="P105" i="90"/>
  <c r="X113" i="92"/>
  <c r="P115" i="85"/>
  <c r="Q73" i="92"/>
  <c r="O109" i="81"/>
  <c r="X23" i="83"/>
  <c r="N27" i="84"/>
  <c r="Q145" i="82"/>
  <c r="L134" i="87"/>
  <c r="AA77" i="83"/>
  <c r="AB96" i="83"/>
  <c r="Y88" i="85"/>
  <c r="Q53" i="93"/>
  <c r="P142" i="83"/>
  <c r="P88" i="85"/>
  <c r="P65" i="92"/>
  <c r="M33" i="81"/>
  <c r="P97" i="87"/>
  <c r="O31" i="74"/>
  <c r="X141" i="91"/>
  <c r="Y133" i="93"/>
  <c r="Z143" i="90"/>
  <c r="Q17" i="81"/>
  <c r="AB119" i="91"/>
  <c r="X21" i="82"/>
  <c r="Z87" i="93"/>
  <c r="AA123" i="94"/>
  <c r="Q81" i="74"/>
  <c r="AB88" i="87"/>
  <c r="AA69" i="81"/>
  <c r="AA165" i="89"/>
  <c r="N156" i="92"/>
  <c r="P104" i="94"/>
  <c r="X45" i="92"/>
  <c r="AB114" i="85"/>
  <c r="AA126" i="84"/>
  <c r="AA95" i="89"/>
  <c r="L133" i="74"/>
  <c r="AA45" i="89"/>
  <c r="Y116" i="84"/>
  <c r="P49" i="81"/>
  <c r="O13" i="87"/>
  <c r="Q133" i="88"/>
  <c r="P143" i="92"/>
  <c r="L117" i="74"/>
  <c r="AB112" i="84"/>
  <c r="Y47" i="92"/>
  <c r="L83" i="85"/>
  <c r="X113" i="87"/>
  <c r="AA21" i="81"/>
  <c r="Y23" i="85"/>
  <c r="AA78" i="84"/>
  <c r="P113" i="89"/>
  <c r="O165" i="89"/>
  <c r="AB94" i="89"/>
  <c r="X121" i="74"/>
  <c r="P45" i="89"/>
  <c r="Z133" i="88"/>
  <c r="N39" i="93"/>
  <c r="Z156" i="74"/>
  <c r="P27" i="74"/>
  <c r="AA110" i="94"/>
  <c r="Q53" i="84"/>
  <c r="X68" i="85"/>
  <c r="AB85" i="88"/>
  <c r="O76" i="82"/>
  <c r="M53" i="74"/>
  <c r="X160" i="89"/>
  <c r="Y39" i="83"/>
  <c r="P27" i="94"/>
  <c r="L89" i="88"/>
  <c r="N78" i="87"/>
  <c r="Q164" i="89"/>
  <c r="Y145" i="92"/>
  <c r="O64" i="82"/>
  <c r="Z33" i="90"/>
  <c r="X105" i="88"/>
  <c r="AB145" i="93"/>
  <c r="Q138" i="74"/>
  <c r="P98" i="91"/>
  <c r="AB88" i="90"/>
  <c r="AB41" i="82"/>
  <c r="Y100" i="89"/>
  <c r="Y97" i="81"/>
  <c r="M55" i="89"/>
  <c r="AB162" i="92"/>
  <c r="Z65" i="82"/>
  <c r="AA109" i="92"/>
  <c r="Y124" i="94"/>
  <c r="O134" i="84"/>
  <c r="P91" i="90"/>
  <c r="Q80" i="74"/>
  <c r="AA147" i="93"/>
  <c r="P157" i="94"/>
  <c r="Z157" i="87"/>
  <c r="L70" i="82"/>
  <c r="X111" i="82"/>
  <c r="Z11" i="93"/>
  <c r="P155" i="83"/>
  <c r="AB106" i="89"/>
  <c r="O109" i="88"/>
  <c r="N123" i="74"/>
  <c r="L89" i="89"/>
  <c r="X152" i="83"/>
  <c r="Z69" i="84"/>
  <c r="Z64" i="85"/>
  <c r="P116" i="83"/>
  <c r="AB65" i="74"/>
  <c r="AB68" i="92"/>
  <c r="Z102" i="91"/>
  <c r="Q65" i="85"/>
  <c r="AA81" i="94"/>
  <c r="O137" i="88"/>
  <c r="Z59" i="93"/>
  <c r="X21" i="91"/>
  <c r="P95" i="90"/>
  <c r="L93" i="92"/>
  <c r="O61" i="94"/>
  <c r="P92" i="83"/>
  <c r="Y115" i="85"/>
  <c r="Y104" i="84"/>
  <c r="AB95" i="87"/>
  <c r="Q39" i="93"/>
  <c r="X45" i="91"/>
  <c r="AA86" i="87"/>
  <c r="Z156" i="83"/>
  <c r="P98" i="84"/>
  <c r="P133" i="92"/>
  <c r="O65" i="90"/>
  <c r="AA145" i="90"/>
  <c r="Q19" i="90"/>
  <c r="O66" i="84"/>
  <c r="O51" i="74"/>
  <c r="AB108" i="74"/>
  <c r="Z17" i="88"/>
  <c r="Y64" i="92"/>
  <c r="Z29" i="94"/>
  <c r="AB65" i="87"/>
  <c r="AA150" i="89"/>
  <c r="Z90" i="83"/>
  <c r="Q25" i="93"/>
  <c r="N90" i="92"/>
  <c r="X126" i="94"/>
  <c r="L123" i="90"/>
  <c r="Z162" i="91"/>
  <c r="Z9" i="92"/>
  <c r="Z110" i="91"/>
  <c r="AA37" i="92"/>
  <c r="AA128" i="84"/>
  <c r="AB45" i="85"/>
  <c r="P162" i="84"/>
  <c r="X102" i="83"/>
  <c r="O11" i="85"/>
  <c r="L108" i="87"/>
  <c r="P91" i="93"/>
  <c r="Z97" i="84"/>
  <c r="Y75" i="88"/>
  <c r="Z140" i="81"/>
  <c r="M9" i="89"/>
  <c r="Q105" i="84"/>
  <c r="Z156" i="87"/>
  <c r="Z99" i="82"/>
  <c r="L167" i="90"/>
  <c r="X64" i="91"/>
  <c r="AA112" i="90"/>
  <c r="P137" i="81"/>
  <c r="Z165" i="94"/>
  <c r="Z153" i="74"/>
  <c r="O29" i="94"/>
  <c r="P25" i="89"/>
  <c r="Y63" i="84"/>
  <c r="AB143" i="94"/>
  <c r="Y143" i="90"/>
  <c r="Z149" i="94"/>
  <c r="X161" i="84"/>
  <c r="L146" i="81"/>
  <c r="Y51" i="88"/>
  <c r="P57" i="87"/>
  <c r="N51" i="89"/>
  <c r="AB156" i="94"/>
  <c r="Q64" i="91"/>
  <c r="X140" i="92"/>
  <c r="Q150" i="85"/>
  <c r="N87" i="88"/>
  <c r="P61" i="83"/>
  <c r="O120" i="81"/>
  <c r="AA114" i="84"/>
  <c r="Z128" i="84"/>
  <c r="AA156" i="87"/>
  <c r="Z126" i="74"/>
  <c r="Z131" i="82"/>
  <c r="Z67" i="93"/>
  <c r="Z141" i="91"/>
  <c r="Q141" i="94"/>
  <c r="P145" i="88"/>
  <c r="Q17" i="92"/>
  <c r="AA63" i="93"/>
  <c r="Q67" i="81"/>
  <c r="O23" i="91"/>
  <c r="Z70" i="88"/>
  <c r="Z37" i="89"/>
  <c r="Z102" i="89"/>
  <c r="Y121" i="88"/>
  <c r="O53" i="83"/>
  <c r="Y95" i="90"/>
  <c r="Y165" i="87"/>
  <c r="AB126" i="88"/>
  <c r="P125" i="91"/>
  <c r="Z67" i="82"/>
  <c r="AA25" i="85"/>
  <c r="AB84" i="74"/>
  <c r="AB133" i="89"/>
  <c r="X160" i="93"/>
  <c r="Z69" i="87"/>
  <c r="L158" i="93"/>
  <c r="O121" i="90"/>
  <c r="Y129" i="94"/>
  <c r="AA154" i="81"/>
  <c r="X57" i="74"/>
  <c r="Y19" i="94"/>
  <c r="Z106" i="88"/>
  <c r="Y73" i="83"/>
  <c r="AB68" i="81"/>
  <c r="AA156" i="90"/>
  <c r="N138" i="83"/>
  <c r="L91" i="83"/>
  <c r="AB161" i="82"/>
  <c r="AA11" i="82"/>
  <c r="Z103" i="83"/>
  <c r="O131" i="87"/>
  <c r="Q141" i="83"/>
  <c r="X110" i="90"/>
  <c r="Z165" i="84"/>
  <c r="Q23" i="91"/>
  <c r="Z55" i="88"/>
  <c r="Y92" i="82"/>
  <c r="Q128" i="91"/>
  <c r="Q17" i="74"/>
  <c r="O70" i="82"/>
  <c r="AA117" i="84"/>
  <c r="X31" i="85"/>
  <c r="X65" i="94"/>
  <c r="Z63" i="94"/>
  <c r="P27" i="91"/>
  <c r="X33" i="81"/>
  <c r="Z105" i="94"/>
  <c r="X128" i="87"/>
  <c r="O167" i="74"/>
  <c r="L118" i="82"/>
  <c r="AA41" i="92"/>
  <c r="Z17" i="93"/>
  <c r="AA110" i="74"/>
  <c r="Y163" i="84"/>
  <c r="Y125" i="90"/>
  <c r="AB139" i="92"/>
  <c r="AA130" i="90"/>
  <c r="P55" i="74"/>
  <c r="Y126" i="84"/>
  <c r="Z91" i="92"/>
  <c r="L90" i="88"/>
  <c r="O126" i="90"/>
  <c r="P59" i="89"/>
  <c r="Q149" i="90"/>
  <c r="N135" i="89"/>
  <c r="Q78" i="83"/>
  <c r="Y136" i="87"/>
  <c r="Z110" i="84"/>
  <c r="Y17" i="74"/>
  <c r="M21" i="74"/>
  <c r="M49" i="84"/>
  <c r="Y159" i="92"/>
  <c r="N33" i="74"/>
  <c r="P154" i="88"/>
  <c r="AB15" i="81"/>
  <c r="Y72" i="91"/>
  <c r="Q161" i="82"/>
  <c r="AB41" i="84"/>
  <c r="P111" i="84"/>
  <c r="X9" i="94"/>
  <c r="Y125" i="94"/>
  <c r="O110" i="89"/>
  <c r="O146" i="92"/>
  <c r="Z39" i="93"/>
  <c r="Y59" i="93"/>
  <c r="Z59" i="81"/>
  <c r="Y123" i="92"/>
  <c r="Z96" i="88"/>
  <c r="AA51" i="87"/>
  <c r="AA121" i="90"/>
  <c r="P116" i="74"/>
  <c r="O140" i="83"/>
  <c r="Q161" i="87"/>
  <c r="Y110" i="92"/>
  <c r="X41" i="85"/>
  <c r="X92" i="85"/>
  <c r="X129" i="82"/>
  <c r="Y87" i="88"/>
  <c r="L66" i="93"/>
  <c r="N129" i="84"/>
  <c r="AB74" i="74"/>
  <c r="Q125" i="87"/>
  <c r="Y106" i="81"/>
  <c r="X49" i="88"/>
  <c r="P167" i="74"/>
  <c r="Y90" i="82"/>
  <c r="P132" i="81"/>
  <c r="N81" i="81"/>
  <c r="O47" i="89"/>
  <c r="M33" i="89"/>
  <c r="P82" i="90"/>
  <c r="P162" i="89"/>
  <c r="P123" i="87"/>
  <c r="P25" i="85"/>
  <c r="Q63" i="87"/>
  <c r="L166" i="83"/>
  <c r="O161" i="87"/>
  <c r="Y94" i="85"/>
  <c r="AA155" i="89"/>
  <c r="P98" i="81"/>
  <c r="AB95" i="74"/>
  <c r="O68" i="91"/>
  <c r="Z71" i="85"/>
  <c r="Z117" i="81"/>
  <c r="AA105" i="74"/>
  <c r="P63" i="84"/>
  <c r="Z150" i="88"/>
  <c r="P110" i="92"/>
  <c r="AA143" i="90"/>
  <c r="O147" i="91"/>
  <c r="Q108" i="89"/>
  <c r="Q27" i="93"/>
  <c r="AB165" i="90"/>
  <c r="Q107" i="91"/>
  <c r="P165" i="88"/>
  <c r="Y53" i="88"/>
  <c r="P84" i="91"/>
  <c r="L165" i="84"/>
  <c r="Q161" i="94"/>
  <c r="L122" i="74"/>
  <c r="Q136" i="89"/>
  <c r="O125" i="90"/>
  <c r="AA94" i="87"/>
  <c r="Z107" i="87"/>
  <c r="AA100" i="94"/>
  <c r="X106" i="82"/>
  <c r="AB66" i="89"/>
  <c r="Z47" i="87"/>
  <c r="L118" i="81"/>
  <c r="Y66" i="81"/>
  <c r="Y76" i="85"/>
  <c r="Z128" i="92"/>
  <c r="N66" i="74"/>
  <c r="L105" i="94"/>
  <c r="X35" i="93"/>
  <c r="O161" i="91"/>
  <c r="O89" i="84"/>
  <c r="O79" i="92"/>
  <c r="X68" i="93"/>
  <c r="P49" i="90"/>
  <c r="Y103" i="90"/>
  <c r="L114" i="81"/>
  <c r="Y104" i="93"/>
  <c r="P117" i="90"/>
  <c r="P15" i="88"/>
  <c r="Q92" i="93"/>
  <c r="AB161" i="84"/>
  <c r="Y66" i="87"/>
  <c r="O166" i="93"/>
  <c r="Z37" i="81"/>
  <c r="AB105" i="91"/>
  <c r="P135" i="87"/>
  <c r="Z86" i="85"/>
  <c r="P35" i="94"/>
  <c r="O25" i="94"/>
  <c r="AB128" i="81"/>
  <c r="P35" i="92"/>
  <c r="Q27" i="94"/>
  <c r="O128" i="88"/>
  <c r="Z83" i="85"/>
  <c r="L123" i="85"/>
  <c r="X139" i="93"/>
  <c r="Z31" i="92"/>
  <c r="O105" i="82"/>
  <c r="AA91" i="87"/>
  <c r="X163" i="81"/>
  <c r="P23" i="94"/>
  <c r="X90" i="90"/>
  <c r="Z106" i="85"/>
  <c r="X156" i="87"/>
  <c r="X120" i="88"/>
  <c r="Q91" i="83"/>
  <c r="AB116" i="90"/>
  <c r="Q167" i="81"/>
  <c r="Y89" i="81"/>
  <c r="P95" i="92"/>
  <c r="Q119" i="83"/>
  <c r="O92" i="83"/>
  <c r="Q72" i="82"/>
  <c r="Q101" i="81"/>
  <c r="X130" i="91"/>
  <c r="O9" i="89"/>
  <c r="Y49" i="88"/>
  <c r="AA153" i="89"/>
  <c r="Y87" i="84"/>
  <c r="L130" i="74"/>
  <c r="AB93" i="90"/>
  <c r="AA136" i="93"/>
  <c r="AB165" i="88"/>
  <c r="Q27" i="81"/>
  <c r="AA47" i="82"/>
  <c r="AB124" i="94"/>
  <c r="Z141" i="84"/>
  <c r="Q133" i="84"/>
  <c r="O51" i="82"/>
  <c r="Z116" i="92"/>
  <c r="L151" i="74"/>
  <c r="X146" i="92"/>
  <c r="AB73" i="83"/>
  <c r="P100" i="94"/>
  <c r="Y138" i="81"/>
  <c r="Y117" i="87"/>
  <c r="Y57" i="83"/>
  <c r="L69" i="89"/>
  <c r="L104" i="90"/>
  <c r="X45" i="83"/>
  <c r="O166" i="81"/>
  <c r="Q64" i="89"/>
  <c r="O126" i="84"/>
  <c r="Z27" i="85"/>
  <c r="Z166" i="81"/>
  <c r="O115" i="83"/>
  <c r="O81" i="92"/>
  <c r="L161" i="82"/>
  <c r="X134" i="87"/>
  <c r="O125" i="93"/>
  <c r="AB68" i="84"/>
  <c r="Q99" i="90"/>
  <c r="X11" i="81"/>
  <c r="O127" i="90"/>
  <c r="AA166" i="87"/>
  <c r="Y49" i="74"/>
  <c r="O85" i="90"/>
  <c r="Y112" i="82"/>
  <c r="AB95" i="82"/>
  <c r="Z94" i="82"/>
  <c r="AB149" i="91"/>
  <c r="AA105" i="92"/>
  <c r="Q108" i="84"/>
  <c r="O105" i="88"/>
  <c r="Q144" i="91"/>
  <c r="X106" i="88"/>
  <c r="AA15" i="91"/>
  <c r="Q89" i="92"/>
  <c r="L165" i="74"/>
  <c r="Y160" i="91"/>
  <c r="O93" i="93"/>
  <c r="AA21" i="84"/>
  <c r="O37" i="87"/>
  <c r="Y103" i="91"/>
  <c r="Y66" i="74"/>
  <c r="AB103" i="91"/>
  <c r="Z112" i="83"/>
  <c r="AB66" i="83"/>
  <c r="L155" i="81"/>
  <c r="L157" i="85"/>
  <c r="Z116" i="85"/>
  <c r="Z92" i="87"/>
  <c r="P113" i="83"/>
  <c r="Y108" i="88"/>
  <c r="O158" i="87"/>
  <c r="M23" i="91"/>
  <c r="O146" i="81"/>
  <c r="X158" i="94"/>
  <c r="Z76" i="90"/>
  <c r="O104" i="87"/>
  <c r="O163" i="90"/>
  <c r="L121" i="91"/>
  <c r="AB27" i="91"/>
  <c r="O17" i="92"/>
  <c r="Z133" i="81"/>
  <c r="O124" i="87"/>
  <c r="X122" i="84"/>
  <c r="P91" i="84"/>
  <c r="Y64" i="93"/>
  <c r="X27" i="88"/>
  <c r="Y137" i="87"/>
  <c r="Z150" i="81"/>
  <c r="O124" i="85"/>
  <c r="AA80" i="82"/>
  <c r="X96" i="90"/>
  <c r="Y115" i="81"/>
  <c r="X120" i="87"/>
  <c r="AA97" i="83"/>
  <c r="AB137" i="83"/>
  <c r="Y154" i="81"/>
  <c r="AB47" i="93"/>
  <c r="P100" i="82"/>
  <c r="Z82" i="89"/>
  <c r="X51" i="94"/>
  <c r="Y142" i="89"/>
  <c r="P166" i="93"/>
  <c r="Z89" i="74"/>
  <c r="AA106" i="84"/>
  <c r="Z108" i="74"/>
  <c r="O157" i="90"/>
  <c r="N123" i="87"/>
  <c r="N114" i="87"/>
  <c r="Z87" i="85"/>
  <c r="AA101" i="84"/>
  <c r="AB142" i="84"/>
  <c r="P15" i="91"/>
  <c r="AA43" i="85"/>
  <c r="AA97" i="91"/>
  <c r="O80" i="90"/>
  <c r="Q111" i="84"/>
  <c r="Q98" i="81"/>
  <c r="P57" i="88"/>
  <c r="P142" i="94"/>
  <c r="Y159" i="90"/>
  <c r="P97" i="82"/>
  <c r="Q121" i="85"/>
  <c r="AA135" i="89"/>
  <c r="L100" i="82"/>
  <c r="AA116" i="93"/>
  <c r="Z102" i="84"/>
  <c r="Z81" i="88"/>
  <c r="P82" i="84"/>
  <c r="P87" i="83"/>
  <c r="Q114" i="84"/>
  <c r="O82" i="82"/>
  <c r="Q113" i="74"/>
  <c r="X80" i="85"/>
  <c r="M27" i="92"/>
  <c r="AB168" i="91"/>
  <c r="L68" i="94"/>
  <c r="AB137" i="93"/>
  <c r="X120" i="92"/>
  <c r="X159" i="84"/>
  <c r="AB29" i="90"/>
  <c r="L127" i="84"/>
  <c r="M57" i="82"/>
  <c r="Y118" i="92"/>
  <c r="AA167" i="90"/>
  <c r="P35" i="91"/>
  <c r="AA156" i="91"/>
  <c r="L148" i="81"/>
  <c r="Q91" i="82"/>
  <c r="AA25" i="87"/>
  <c r="P101" i="82"/>
  <c r="X145" i="93"/>
  <c r="AA92" i="88"/>
  <c r="AA167" i="91"/>
  <c r="Z115" i="93"/>
  <c r="Y89" i="82"/>
  <c r="N51" i="84"/>
  <c r="AB103" i="88"/>
  <c r="P163" i="94"/>
  <c r="Y140" i="88"/>
  <c r="P107" i="92"/>
  <c r="AB35" i="90"/>
  <c r="Z116" i="74"/>
  <c r="Q166" i="88"/>
  <c r="P49" i="74"/>
  <c r="AB114" i="87"/>
  <c r="Z43" i="88"/>
  <c r="P90" i="81"/>
  <c r="X128" i="92"/>
  <c r="N57" i="90"/>
  <c r="L67" i="90"/>
  <c r="L135" i="82"/>
  <c r="O70" i="85"/>
  <c r="Q128" i="83"/>
  <c r="Q35" i="81"/>
  <c r="Z70" i="87"/>
  <c r="AB99" i="85"/>
  <c r="Q53" i="94"/>
  <c r="L83" i="81"/>
  <c r="X105" i="74"/>
  <c r="Z43" i="85"/>
  <c r="Q127" i="90"/>
  <c r="Q53" i="85"/>
  <c r="AB94" i="85"/>
  <c r="P161" i="85"/>
  <c r="AB149" i="83"/>
  <c r="O122" i="93"/>
  <c r="Q101" i="82"/>
  <c r="Y125" i="89"/>
  <c r="Q73" i="82"/>
  <c r="O89" i="94"/>
  <c r="AA25" i="88"/>
  <c r="AB146" i="89"/>
  <c r="O102" i="87"/>
  <c r="L68" i="87"/>
  <c r="Y64" i="87"/>
  <c r="Z114" i="94"/>
  <c r="Q124" i="93"/>
  <c r="Q129" i="83"/>
  <c r="Z141" i="83"/>
  <c r="P150" i="87"/>
  <c r="P49" i="83"/>
  <c r="Q92" i="92"/>
  <c r="Y105" i="89"/>
  <c r="AA43" i="91"/>
  <c r="Q147" i="74"/>
  <c r="AA122" i="91"/>
  <c r="Q91" i="81"/>
  <c r="Y51" i="82"/>
  <c r="O73" i="83"/>
  <c r="M37" i="81"/>
  <c r="M27" i="84"/>
  <c r="AA109" i="83"/>
  <c r="P81" i="88"/>
  <c r="L97" i="74"/>
  <c r="AA93" i="92"/>
  <c r="P75" i="92"/>
  <c r="O35" i="91"/>
  <c r="AB93" i="82"/>
  <c r="N66" i="87"/>
  <c r="Y80" i="74"/>
  <c r="O118" i="74"/>
  <c r="X118" i="84"/>
  <c r="AA154" i="88"/>
  <c r="Y74" i="94"/>
  <c r="Y120" i="93"/>
  <c r="AA144" i="89"/>
  <c r="Y80" i="82"/>
  <c r="L104" i="94"/>
  <c r="X115" i="92"/>
  <c r="O49" i="90"/>
  <c r="AA47" i="87"/>
  <c r="X35" i="81"/>
  <c r="O167" i="94"/>
  <c r="AA115" i="83"/>
  <c r="X43" i="83"/>
  <c r="AA106" i="91"/>
  <c r="AA88" i="82"/>
  <c r="AA135" i="92"/>
  <c r="AB57" i="90"/>
  <c r="AB124" i="84"/>
  <c r="P105" i="92"/>
  <c r="X119" i="87"/>
  <c r="AA126" i="94"/>
  <c r="Z140" i="83"/>
  <c r="O86" i="90"/>
  <c r="Q167" i="90"/>
  <c r="AB107" i="89"/>
  <c r="AA128" i="91"/>
  <c r="L64" i="87"/>
  <c r="L89" i="93"/>
  <c r="Y105" i="82"/>
  <c r="Y94" i="94"/>
  <c r="Q161" i="83"/>
  <c r="Y27" i="90"/>
  <c r="O15" i="93"/>
  <c r="Z66" i="91"/>
  <c r="Z105" i="83"/>
  <c r="AB101" i="94"/>
  <c r="Z161" i="91"/>
  <c r="Y79" i="90"/>
  <c r="N96" i="89"/>
  <c r="L162" i="83"/>
  <c r="X158" i="85"/>
  <c r="Z162" i="84"/>
  <c r="P31" i="93"/>
  <c r="AB19" i="93"/>
  <c r="Q159" i="92"/>
  <c r="O163" i="87"/>
  <c r="Q123" i="81"/>
  <c r="AB163" i="90"/>
  <c r="Z59" i="84"/>
  <c r="Q29" i="92"/>
  <c r="L162" i="74"/>
  <c r="AA118" i="89"/>
  <c r="AA151" i="91"/>
  <c r="Z137" i="82"/>
  <c r="Q145" i="83"/>
  <c r="P43" i="87"/>
  <c r="P13" i="89"/>
  <c r="Y107" i="85"/>
  <c r="L117" i="92"/>
  <c r="Z102" i="92"/>
  <c r="P137" i="90"/>
  <c r="X140" i="90"/>
  <c r="L106" i="92"/>
  <c r="P124" i="94"/>
  <c r="X160" i="83"/>
  <c r="Y45" i="92"/>
  <c r="Y157" i="74"/>
  <c r="N141" i="82"/>
  <c r="X108" i="90"/>
  <c r="AB74" i="88"/>
  <c r="Y99" i="74"/>
  <c r="Z70" i="81"/>
  <c r="Y102" i="83"/>
  <c r="O81" i="87"/>
  <c r="Q57" i="85"/>
  <c r="Z133" i="85"/>
  <c r="Q77" i="82"/>
  <c r="Q110" i="85"/>
  <c r="AA87" i="84"/>
  <c r="L70" i="94"/>
  <c r="X154" i="93"/>
  <c r="Q91" i="88"/>
  <c r="AB91" i="74"/>
  <c r="AB89" i="93"/>
  <c r="AB57" i="85"/>
  <c r="Q59" i="84"/>
  <c r="Y141" i="94"/>
  <c r="Z85" i="74"/>
  <c r="L67" i="93"/>
  <c r="AB84" i="89"/>
  <c r="AA152" i="90"/>
  <c r="N78" i="88"/>
  <c r="Q157" i="94"/>
  <c r="Q143" i="82"/>
  <c r="P15" i="93"/>
  <c r="P90" i="87"/>
  <c r="AA155" i="74"/>
  <c r="Z151" i="84"/>
  <c r="Y70" i="93"/>
  <c r="X117" i="87"/>
  <c r="O79" i="89"/>
  <c r="X117" i="74"/>
  <c r="AA166" i="93"/>
  <c r="P134" i="74"/>
  <c r="AA29" i="84"/>
  <c r="X33" i="84"/>
  <c r="M51" i="81"/>
  <c r="Z158" i="92"/>
  <c r="X89" i="82"/>
  <c r="L125" i="93"/>
  <c r="AB114" i="94"/>
  <c r="P43" i="82"/>
  <c r="Q118" i="84"/>
  <c r="AB76" i="87"/>
  <c r="P106" i="84"/>
  <c r="P73" i="84"/>
  <c r="Q65" i="87"/>
  <c r="P112" i="90"/>
  <c r="Z143" i="81"/>
  <c r="Z150" i="91"/>
  <c r="Q109" i="92"/>
  <c r="P98" i="85"/>
  <c r="X90" i="87"/>
  <c r="Z80" i="90"/>
  <c r="X111" i="74"/>
  <c r="Y83" i="74"/>
  <c r="L131" i="74"/>
  <c r="AB108" i="85"/>
  <c r="AB167" i="91"/>
  <c r="Q17" i="89"/>
  <c r="Y148" i="81"/>
  <c r="Q106" i="81"/>
  <c r="AA39" i="89"/>
  <c r="O163" i="93"/>
  <c r="Z104" i="90"/>
  <c r="AB149" i="87"/>
  <c r="Y91" i="90"/>
  <c r="AA15" i="93"/>
  <c r="P146" i="82"/>
  <c r="Q156" i="93"/>
  <c r="Y134" i="74"/>
  <c r="X148" i="90"/>
  <c r="O132" i="74"/>
  <c r="O82" i="88"/>
  <c r="AB157" i="84"/>
  <c r="AA88" i="94"/>
  <c r="O117" i="85"/>
  <c r="L144" i="92"/>
  <c r="AB126" i="82"/>
  <c r="Q66" i="90"/>
  <c r="Z91" i="82"/>
  <c r="Y115" i="92"/>
  <c r="AA114" i="92"/>
  <c r="Q141" i="82"/>
  <c r="Z125" i="82"/>
  <c r="AB137" i="90"/>
  <c r="X129" i="87"/>
  <c r="Z53" i="88"/>
  <c r="P25" i="91"/>
  <c r="Z124" i="81"/>
  <c r="X140" i="82"/>
  <c r="P103" i="91"/>
  <c r="L159" i="83"/>
  <c r="O87" i="81"/>
  <c r="Y113" i="82"/>
  <c r="M53" i="81"/>
  <c r="AA92" i="83"/>
  <c r="AA117" i="89"/>
  <c r="AA137" i="83"/>
  <c r="P141" i="91"/>
  <c r="Y37" i="94"/>
  <c r="O108" i="87"/>
  <c r="Q89" i="89"/>
  <c r="N156" i="82"/>
  <c r="AA119" i="94"/>
  <c r="Y129" i="89"/>
  <c r="Y91" i="87"/>
  <c r="P144" i="93"/>
  <c r="Z167" i="93"/>
  <c r="L124" i="84"/>
  <c r="P157" i="81"/>
  <c r="AB110" i="84"/>
  <c r="Y116" i="87"/>
  <c r="L68" i="82"/>
  <c r="AA128" i="82"/>
  <c r="AA33" i="87"/>
  <c r="O66" i="89"/>
  <c r="P87" i="89"/>
  <c r="Z126" i="84"/>
  <c r="Q141" i="91"/>
  <c r="AA105" i="85"/>
  <c r="X15" i="93"/>
  <c r="M41" i="85"/>
  <c r="N51" i="82"/>
  <c r="Z165" i="91"/>
  <c r="L156" i="84"/>
  <c r="P120" i="85"/>
  <c r="L87" i="83"/>
  <c r="Z167" i="91"/>
  <c r="AA141" i="91"/>
  <c r="Y61" i="83"/>
  <c r="Z68" i="83"/>
  <c r="Y86" i="90"/>
  <c r="P95" i="74"/>
  <c r="P135" i="90"/>
  <c r="N78" i="81"/>
  <c r="O140" i="94"/>
  <c r="Q45" i="85"/>
  <c r="Y132" i="81"/>
  <c r="Z123" i="85"/>
  <c r="X68" i="89"/>
  <c r="P51" i="90"/>
  <c r="L122" i="94"/>
  <c r="X145" i="90"/>
  <c r="AA47" i="93"/>
  <c r="Z79" i="92"/>
  <c r="N99" i="87"/>
  <c r="Z88" i="92"/>
  <c r="AA87" i="83"/>
  <c r="X64" i="93"/>
  <c r="Z53" i="92"/>
  <c r="Y136" i="91"/>
  <c r="AA91" i="85"/>
  <c r="O57" i="83"/>
  <c r="P92" i="87"/>
  <c r="X140" i="85"/>
  <c r="X130" i="74"/>
  <c r="Z154" i="87"/>
  <c r="Z122" i="84"/>
  <c r="AB108" i="81"/>
  <c r="AB148" i="85"/>
  <c r="L125" i="85"/>
  <c r="O69" i="81"/>
  <c r="AA151" i="85"/>
  <c r="O151" i="94"/>
  <c r="X31" i="89"/>
  <c r="Q49" i="90"/>
  <c r="X166" i="89"/>
  <c r="AA106" i="81"/>
  <c r="N69" i="85"/>
  <c r="L74" i="74"/>
  <c r="P99" i="82"/>
  <c r="AA25" i="92"/>
  <c r="AB86" i="90"/>
  <c r="Z122" i="81"/>
  <c r="Z77" i="94"/>
  <c r="Z110" i="83"/>
  <c r="Q155" i="83"/>
  <c r="X122" i="82"/>
  <c r="AA110" i="91"/>
  <c r="O90" i="92"/>
  <c r="M47" i="87"/>
  <c r="M15" i="93"/>
  <c r="O107" i="87"/>
  <c r="X105" i="90"/>
  <c r="AA97" i="84"/>
  <c r="N102" i="83"/>
  <c r="Y108" i="92"/>
  <c r="L134" i="83"/>
  <c r="AB140" i="94"/>
  <c r="X153" i="82"/>
  <c r="Y140" i="81"/>
  <c r="X37" i="94"/>
  <c r="P77" i="90"/>
  <c r="Y39" i="85"/>
  <c r="Y144" i="93"/>
  <c r="N102" i="74"/>
  <c r="AA134" i="93"/>
  <c r="Z73" i="83"/>
  <c r="Q75" i="88"/>
  <c r="Y23" i="88"/>
  <c r="O93" i="94"/>
  <c r="Z132" i="81"/>
  <c r="AB117" i="94"/>
  <c r="Z123" i="74"/>
  <c r="X67" i="84"/>
  <c r="Z130" i="82"/>
  <c r="X91" i="92"/>
  <c r="P110" i="94"/>
  <c r="P45" i="85"/>
  <c r="P90" i="85"/>
  <c r="Z91" i="84"/>
  <c r="Y23" i="91"/>
  <c r="Z94" i="74"/>
  <c r="X153" i="89"/>
  <c r="P152" i="90"/>
  <c r="AB159" i="85"/>
  <c r="N147" i="90"/>
  <c r="Y71" i="81"/>
  <c r="X77" i="74"/>
  <c r="X68" i="88"/>
  <c r="O155" i="82"/>
  <c r="O78" i="88"/>
  <c r="X80" i="90"/>
  <c r="P131" i="74"/>
  <c r="Q149" i="82"/>
  <c r="N162" i="92"/>
  <c r="P64" i="88"/>
  <c r="AB15" i="82"/>
  <c r="Q61" i="94"/>
  <c r="Z134" i="88"/>
  <c r="X151" i="94"/>
  <c r="Z120" i="87"/>
  <c r="Y118" i="91"/>
  <c r="AA84" i="83"/>
  <c r="AB21" i="94"/>
  <c r="P138" i="87"/>
  <c r="X135" i="83"/>
  <c r="P95" i="91"/>
  <c r="Y47" i="91"/>
  <c r="Q100" i="89"/>
  <c r="Z86" i="93"/>
  <c r="Z130" i="91"/>
  <c r="Q69" i="84"/>
  <c r="L88" i="87"/>
  <c r="AB66" i="84"/>
  <c r="AB124" i="93"/>
  <c r="AB164" i="83"/>
  <c r="P78" i="87"/>
  <c r="Y41" i="82"/>
  <c r="AA121" i="81"/>
  <c r="O87" i="90"/>
  <c r="X108" i="89"/>
  <c r="X103" i="83"/>
  <c r="X68" i="91"/>
  <c r="Y61" i="88"/>
  <c r="Q15" i="94"/>
  <c r="AB118" i="81"/>
  <c r="O47" i="88"/>
  <c r="Z61" i="90"/>
  <c r="Y162" i="85"/>
  <c r="Y125" i="83"/>
  <c r="P59" i="84"/>
  <c r="X45" i="89"/>
  <c r="L114" i="87"/>
  <c r="AA68" i="84"/>
  <c r="AB59" i="84"/>
  <c r="Y109" i="89"/>
  <c r="O166" i="84"/>
  <c r="P149" i="85"/>
  <c r="M51" i="82"/>
  <c r="AA72" i="88"/>
  <c r="M45" i="85"/>
  <c r="Q66" i="92"/>
  <c r="Z103" i="89"/>
  <c r="Q148" i="85"/>
  <c r="AA94" i="91"/>
  <c r="N135" i="83"/>
  <c r="P154" i="93"/>
  <c r="L128" i="81"/>
  <c r="Z97" i="83"/>
  <c r="Q120" i="87"/>
  <c r="Y51" i="87"/>
  <c r="P17" i="94"/>
  <c r="X99" i="85"/>
  <c r="P63" i="88"/>
  <c r="M11" i="90"/>
  <c r="L147" i="83"/>
  <c r="X92" i="93"/>
  <c r="O19" i="84"/>
  <c r="O146" i="91"/>
  <c r="O64" i="89"/>
  <c r="Z118" i="74"/>
  <c r="X130" i="81"/>
  <c r="AA169" i="91"/>
  <c r="Z93" i="82"/>
  <c r="L128" i="83"/>
  <c r="AB41" i="87"/>
  <c r="Y157" i="84"/>
  <c r="O111" i="94"/>
  <c r="AA93" i="94"/>
  <c r="AA144" i="94"/>
  <c r="AB35" i="84"/>
  <c r="AB91" i="90"/>
  <c r="X90" i="88"/>
  <c r="Q29" i="87"/>
  <c r="AA125" i="93"/>
  <c r="Q116" i="87"/>
  <c r="Q35" i="74"/>
  <c r="AA63" i="94"/>
  <c r="P112" i="84"/>
  <c r="X23" i="82"/>
  <c r="Y152" i="83"/>
  <c r="Z112" i="88"/>
  <c r="Q104" i="85"/>
  <c r="AB159" i="89"/>
  <c r="P148" i="91"/>
  <c r="Z109" i="88"/>
  <c r="AB67" i="90"/>
  <c r="N120" i="84"/>
  <c r="O84" i="82"/>
  <c r="Q166" i="87"/>
  <c r="AB100" i="90"/>
  <c r="AB111" i="94"/>
  <c r="X93" i="81"/>
  <c r="X149" i="94"/>
  <c r="O59" i="81"/>
  <c r="X35" i="84"/>
  <c r="Z138" i="81"/>
  <c r="AB116" i="84"/>
  <c r="L95" i="93"/>
  <c r="P94" i="84"/>
  <c r="O19" i="74"/>
  <c r="Y61" i="90"/>
  <c r="X57" i="94"/>
  <c r="Y43" i="91"/>
  <c r="P158" i="89"/>
  <c r="P68" i="92"/>
  <c r="Z140" i="88"/>
  <c r="X142" i="81"/>
  <c r="Q129" i="90"/>
  <c r="N39" i="87"/>
  <c r="Y55" i="94"/>
  <c r="Z95" i="74"/>
  <c r="Q89" i="93"/>
  <c r="AA9" i="93"/>
  <c r="Z89" i="81"/>
  <c r="Z152" i="88"/>
  <c r="Q146" i="85"/>
  <c r="AA148" i="91"/>
  <c r="L121" i="89"/>
  <c r="O17" i="91"/>
  <c r="AA88" i="88"/>
  <c r="X143" i="89"/>
  <c r="X124" i="85"/>
  <c r="AA59" i="91"/>
  <c r="P89" i="89"/>
  <c r="AA145" i="88"/>
  <c r="L124" i="93"/>
  <c r="Q75" i="82"/>
  <c r="P133" i="94"/>
  <c r="Q136" i="87"/>
  <c r="Z74" i="89"/>
  <c r="AA81" i="90"/>
  <c r="Q145" i="88"/>
  <c r="Q156" i="84"/>
  <c r="AB138" i="87"/>
  <c r="P79" i="88"/>
  <c r="AA145" i="81"/>
  <c r="Y74" i="92"/>
  <c r="O123" i="88"/>
  <c r="AB93" i="88"/>
  <c r="Z145" i="74"/>
  <c r="AB66" i="85"/>
  <c r="X125" i="85"/>
  <c r="L117" i="94"/>
  <c r="AB49" i="81"/>
  <c r="O75" i="83"/>
  <c r="Q67" i="74"/>
  <c r="Y96" i="82"/>
  <c r="X63" i="91"/>
  <c r="Z103" i="84"/>
  <c r="X102" i="94"/>
  <c r="Q107" i="74"/>
  <c r="X70" i="84"/>
  <c r="AA120" i="74"/>
  <c r="N111" i="90"/>
  <c r="Z152" i="85"/>
  <c r="AA61" i="74"/>
  <c r="P67" i="81"/>
  <c r="L102" i="84"/>
  <c r="Q96" i="92"/>
  <c r="Z113" i="81"/>
  <c r="AA64" i="89"/>
  <c r="AB39" i="85"/>
  <c r="N99" i="74"/>
  <c r="Q107" i="81"/>
  <c r="AB87" i="81"/>
  <c r="X144" i="82"/>
  <c r="Y166" i="92"/>
  <c r="L65" i="74"/>
  <c r="X149" i="82"/>
  <c r="Z162" i="92"/>
  <c r="Q138" i="89"/>
  <c r="Q77" i="89"/>
  <c r="O115" i="87"/>
  <c r="X66" i="83"/>
  <c r="O152" i="74"/>
  <c r="O148" i="90"/>
  <c r="X130" i="85"/>
  <c r="X39" i="91"/>
  <c r="X59" i="92"/>
  <c r="X64" i="84"/>
  <c r="X64" i="94"/>
  <c r="Y65" i="84"/>
  <c r="X145" i="81"/>
  <c r="Z109" i="82"/>
  <c r="L155" i="87"/>
  <c r="Q143" i="84"/>
  <c r="Z96" i="74"/>
  <c r="AA159" i="90"/>
  <c r="Z119" i="89"/>
  <c r="Y103" i="82"/>
  <c r="Y21" i="94"/>
  <c r="Y136" i="89"/>
  <c r="AB155" i="92"/>
  <c r="X99" i="92"/>
  <c r="N45" i="89"/>
  <c r="M57" i="74"/>
  <c r="Z63" i="84"/>
  <c r="Y123" i="82"/>
  <c r="L63" i="81"/>
  <c r="Q65" i="93"/>
  <c r="O90" i="85"/>
  <c r="Z107" i="85"/>
  <c r="AA134" i="92"/>
  <c r="L87" i="87"/>
  <c r="AA167" i="93"/>
  <c r="P89" i="85"/>
  <c r="M17" i="87"/>
  <c r="AA131" i="91"/>
  <c r="L158" i="88"/>
  <c r="AB85" i="81"/>
  <c r="AA121" i="74"/>
  <c r="Z106" i="87"/>
  <c r="Y110" i="91"/>
  <c r="Z125" i="92"/>
  <c r="AB99" i="74"/>
  <c r="AA148" i="81"/>
  <c r="O21" i="91"/>
  <c r="AB9" i="74"/>
  <c r="AA67" i="91"/>
  <c r="Z151" i="81"/>
  <c r="Z25" i="85"/>
  <c r="Z70" i="89"/>
  <c r="Q167" i="94"/>
  <c r="X119" i="88"/>
  <c r="P144" i="91"/>
  <c r="P61" i="84"/>
  <c r="Z150" i="82"/>
  <c r="X29" i="92"/>
  <c r="Y143" i="92"/>
  <c r="P91" i="83"/>
  <c r="P55" i="89"/>
  <c r="O151" i="74"/>
  <c r="L65" i="83"/>
  <c r="P104" i="74"/>
  <c r="L146" i="87"/>
  <c r="AB165" i="74"/>
  <c r="P41" i="87"/>
  <c r="Y104" i="88"/>
  <c r="N87" i="87"/>
  <c r="AB47" i="81"/>
  <c r="X101" i="81"/>
  <c r="Q11" i="89"/>
  <c r="Y55" i="91"/>
  <c r="O92" i="82"/>
  <c r="AB59" i="83"/>
  <c r="N117" i="82"/>
  <c r="Z103" i="85"/>
  <c r="AA142" i="90"/>
  <c r="Y149" i="81"/>
  <c r="P59" i="83"/>
  <c r="Z73" i="85"/>
  <c r="N93" i="74"/>
  <c r="X111" i="84"/>
  <c r="X47" i="81"/>
  <c r="P43" i="74"/>
  <c r="O15" i="94"/>
  <c r="Q23" i="84"/>
  <c r="M39" i="84"/>
  <c r="O89" i="85"/>
  <c r="AA163" i="81"/>
  <c r="Z69" i="85"/>
  <c r="Z115" i="83"/>
  <c r="Q125" i="85"/>
  <c r="AB70" i="94"/>
  <c r="AA21" i="87"/>
  <c r="Q98" i="88"/>
  <c r="AA106" i="74"/>
  <c r="AA163" i="83"/>
  <c r="Q131" i="81"/>
  <c r="P83" i="74"/>
  <c r="O163" i="88"/>
  <c r="N105" i="83"/>
  <c r="Q61" i="91"/>
  <c r="N135" i="92"/>
  <c r="N108" i="84"/>
  <c r="N132" i="92"/>
  <c r="Y113" i="91"/>
  <c r="X106" i="90"/>
  <c r="Z138" i="85"/>
  <c r="AA123" i="74"/>
  <c r="AA165" i="94"/>
  <c r="Y138" i="84"/>
  <c r="AB75" i="89"/>
  <c r="Y87" i="83"/>
  <c r="AB125" i="83"/>
  <c r="AA133" i="74"/>
  <c r="Q13" i="93"/>
  <c r="Y29" i="89"/>
  <c r="P164" i="88"/>
  <c r="Y126" i="91"/>
  <c r="O137" i="85"/>
  <c r="AB33" i="74"/>
  <c r="AA85" i="83"/>
  <c r="AB135" i="82"/>
  <c r="N87" i="91"/>
  <c r="P162" i="94"/>
  <c r="Z106" i="83"/>
  <c r="O134" i="81"/>
  <c r="Y157" i="82"/>
  <c r="AB79" i="87"/>
  <c r="P149" i="90"/>
  <c r="X159" i="83"/>
  <c r="AA33" i="84"/>
  <c r="X142" i="90"/>
  <c r="X156" i="83"/>
  <c r="M27" i="91"/>
  <c r="O41" i="91"/>
  <c r="Z35" i="93"/>
  <c r="P17" i="85"/>
  <c r="AA69" i="82"/>
  <c r="X25" i="83"/>
  <c r="Y109" i="94"/>
  <c r="AB139" i="88"/>
  <c r="X116" i="81"/>
  <c r="X146" i="85"/>
  <c r="AA165" i="74"/>
  <c r="Q138" i="81"/>
  <c r="P33" i="92"/>
  <c r="P116" i="92"/>
  <c r="Z143" i="84"/>
  <c r="X157" i="83"/>
  <c r="X142" i="88"/>
  <c r="Q135" i="82"/>
  <c r="P95" i="89"/>
  <c r="AB107" i="85"/>
  <c r="L66" i="92"/>
  <c r="AA153" i="82"/>
  <c r="AB106" i="83"/>
  <c r="Q166" i="84"/>
  <c r="P138" i="85"/>
  <c r="Q89" i="90"/>
  <c r="AB145" i="83"/>
  <c r="AB67" i="92"/>
  <c r="N105" i="93"/>
  <c r="P91" i="92"/>
  <c r="Z107" i="90"/>
  <c r="AA59" i="84"/>
  <c r="AB21" i="88"/>
  <c r="N126" i="85"/>
  <c r="O79" i="93"/>
  <c r="L64" i="93"/>
  <c r="M41" i="92"/>
  <c r="AB88" i="81"/>
  <c r="L72" i="88"/>
  <c r="AB88" i="83"/>
  <c r="AA112" i="93"/>
  <c r="AA104" i="84"/>
  <c r="AA111" i="85"/>
  <c r="Q148" i="83"/>
  <c r="Z95" i="89"/>
  <c r="Z104" i="93"/>
  <c r="Y108" i="81"/>
  <c r="P163" i="81"/>
  <c r="AA165" i="88"/>
  <c r="AA57" i="82"/>
  <c r="AA151" i="88"/>
  <c r="X66" i="94"/>
  <c r="AA9" i="88"/>
  <c r="Y107" i="87"/>
  <c r="N90" i="85"/>
  <c r="AA167" i="88"/>
  <c r="O80" i="85"/>
  <c r="AB156" i="93"/>
  <c r="X51" i="81"/>
  <c r="AB145" i="92"/>
  <c r="P144" i="81"/>
  <c r="L156" i="82"/>
  <c r="AB153" i="82"/>
  <c r="Z77" i="85"/>
  <c r="M23" i="85"/>
  <c r="AA166" i="84"/>
  <c r="Y51" i="89"/>
  <c r="L74" i="91"/>
  <c r="X41" i="88"/>
  <c r="L92" i="92"/>
  <c r="X31" i="74"/>
  <c r="X164" i="74"/>
  <c r="Z83" i="87"/>
  <c r="X120" i="93"/>
  <c r="O23" i="85"/>
  <c r="AB148" i="83"/>
  <c r="AB85" i="83"/>
  <c r="AB100" i="87"/>
  <c r="AA105" i="93"/>
  <c r="AA41" i="89"/>
  <c r="AA17" i="94"/>
  <c r="Q145" i="85"/>
  <c r="Z57" i="93"/>
  <c r="Y33" i="88"/>
  <c r="P45" i="81"/>
  <c r="N132" i="89"/>
  <c r="P134" i="91"/>
  <c r="X159" i="92"/>
  <c r="Y127" i="92"/>
  <c r="P166" i="94"/>
  <c r="O113" i="84"/>
  <c r="Q65" i="92"/>
  <c r="Y53" i="82"/>
  <c r="L141" i="94"/>
  <c r="X94" i="90"/>
  <c r="P71" i="92"/>
  <c r="Z68" i="82"/>
  <c r="AA108" i="81"/>
  <c r="AA163" i="92"/>
  <c r="O155" i="88"/>
  <c r="L106" i="74"/>
  <c r="Z61" i="85"/>
  <c r="O153" i="87"/>
  <c r="AB19" i="90"/>
  <c r="Z91" i="85"/>
  <c r="AB90" i="92"/>
  <c r="L81" i="81"/>
  <c r="Z132" i="85"/>
  <c r="L90" i="94"/>
  <c r="X157" i="89"/>
  <c r="AB57" i="83"/>
  <c r="AA94" i="84"/>
  <c r="AA45" i="92"/>
  <c r="AB59" i="88"/>
  <c r="L69" i="94"/>
  <c r="AB111" i="84"/>
  <c r="AA66" i="88"/>
  <c r="O162" i="74"/>
  <c r="Q111" i="83"/>
  <c r="O136" i="93"/>
  <c r="AB85" i="87"/>
  <c r="Y90" i="89"/>
  <c r="AA39" i="90"/>
  <c r="Z112" i="87"/>
  <c r="Z149" i="93"/>
  <c r="Z79" i="83"/>
  <c r="L64" i="89"/>
  <c r="P135" i="82"/>
  <c r="AB130" i="82"/>
  <c r="AB82" i="87"/>
  <c r="M9" i="92"/>
  <c r="O167" i="85"/>
  <c r="AA92" i="82"/>
  <c r="AA127" i="90"/>
  <c r="Z79" i="85"/>
  <c r="Q127" i="93"/>
  <c r="AA163" i="74"/>
  <c r="Z118" i="87"/>
  <c r="P121" i="94"/>
  <c r="N93" i="90"/>
  <c r="Z31" i="91"/>
  <c r="M37" i="82"/>
  <c r="X112" i="87"/>
  <c r="P136" i="85"/>
  <c r="N39" i="92"/>
  <c r="X53" i="88"/>
  <c r="N72" i="91"/>
  <c r="AB151" i="88"/>
  <c r="Z93" i="89"/>
  <c r="AB64" i="94"/>
  <c r="Y92" i="88"/>
  <c r="Y86" i="82"/>
  <c r="AB61" i="89"/>
  <c r="X122" i="85"/>
  <c r="P101" i="93"/>
  <c r="P139" i="92"/>
  <c r="P43" i="85"/>
  <c r="AA133" i="89"/>
  <c r="X132" i="85"/>
  <c r="Y47" i="83"/>
  <c r="AB164" i="89"/>
  <c r="X151" i="88"/>
  <c r="O144" i="83"/>
  <c r="Z45" i="84"/>
  <c r="P89" i="74"/>
  <c r="AB66" i="74"/>
  <c r="L104" i="84"/>
  <c r="Y64" i="74"/>
  <c r="Y19" i="90"/>
  <c r="AA55" i="90"/>
  <c r="O64" i="90"/>
  <c r="Z51" i="85"/>
  <c r="O51" i="87"/>
  <c r="AA101" i="90"/>
  <c r="Y117" i="83"/>
  <c r="Y105" i="83"/>
  <c r="AB97" i="93"/>
  <c r="P49" i="87"/>
  <c r="AA109" i="91"/>
  <c r="Q127" i="92"/>
  <c r="X86" i="74"/>
  <c r="AA87" i="87"/>
  <c r="AB149" i="90"/>
  <c r="Y59" i="74"/>
  <c r="AA126" i="88"/>
  <c r="AA65" i="94"/>
  <c r="AA64" i="94"/>
  <c r="X71" i="92"/>
  <c r="Q131" i="93"/>
  <c r="X165" i="89"/>
  <c r="L112" i="89"/>
  <c r="P55" i="82"/>
  <c r="P105" i="83"/>
  <c r="Q160" i="84"/>
  <c r="Z155" i="87"/>
  <c r="L101" i="74"/>
  <c r="Y59" i="84"/>
  <c r="P119" i="81"/>
  <c r="P115" i="91"/>
  <c r="Z135" i="93"/>
  <c r="AA86" i="92"/>
  <c r="X162" i="84"/>
  <c r="L121" i="81"/>
  <c r="Q162" i="82"/>
  <c r="O65" i="88"/>
  <c r="N51" i="94"/>
  <c r="Q55" i="85"/>
  <c r="L86" i="84"/>
  <c r="Y93" i="91"/>
  <c r="X65" i="84"/>
  <c r="X104" i="93"/>
  <c r="Y164" i="81"/>
  <c r="AA104" i="87"/>
  <c r="P37" i="90"/>
  <c r="Y166" i="93"/>
  <c r="X96" i="88"/>
  <c r="P63" i="92"/>
  <c r="AB77" i="85"/>
  <c r="Y70" i="94"/>
  <c r="Q157" i="92"/>
  <c r="AA124" i="94"/>
  <c r="AA51" i="89"/>
  <c r="P88" i="82"/>
  <c r="AA95" i="87"/>
  <c r="AA150" i="91"/>
  <c r="AB163" i="94"/>
  <c r="Z19" i="94"/>
  <c r="AA13" i="92"/>
  <c r="X114" i="87"/>
  <c r="AB45" i="87"/>
  <c r="AB82" i="81"/>
  <c r="N147" i="81"/>
  <c r="Z118" i="93"/>
  <c r="AB88" i="94"/>
  <c r="AA69" i="92"/>
  <c r="L102" i="83"/>
  <c r="O73" i="94"/>
  <c r="X155" i="83"/>
  <c r="AB138" i="81"/>
  <c r="Q142" i="90"/>
  <c r="O121" i="94"/>
  <c r="AA55" i="74"/>
  <c r="Z118" i="92"/>
  <c r="L92" i="85"/>
  <c r="AB114" i="91"/>
  <c r="Z27" i="87"/>
  <c r="L121" i="93"/>
  <c r="Z112" i="84"/>
  <c r="Y144" i="84"/>
  <c r="O13" i="74"/>
  <c r="AB84" i="88"/>
  <c r="Y117" i="84"/>
  <c r="Y81" i="82"/>
  <c r="Z157" i="74"/>
  <c r="L71" i="92"/>
  <c r="AA138" i="81"/>
  <c r="O113" i="85"/>
  <c r="P19" i="85"/>
  <c r="Z135" i="87"/>
  <c r="P127" i="92"/>
  <c r="AA111" i="89"/>
  <c r="O67" i="82"/>
  <c r="O81" i="83"/>
  <c r="X131" i="91"/>
  <c r="P139" i="91"/>
  <c r="X121" i="82"/>
  <c r="X142" i="94"/>
  <c r="Z63" i="87"/>
  <c r="P145" i="81"/>
  <c r="O132" i="92"/>
  <c r="L97" i="81"/>
  <c r="Q15" i="91"/>
  <c r="Q118" i="90"/>
  <c r="L107" i="85"/>
  <c r="AA64" i="84"/>
  <c r="AB103" i="92"/>
  <c r="AA91" i="81"/>
  <c r="Q121" i="81"/>
  <c r="P19" i="92"/>
  <c r="P65" i="74"/>
  <c r="Q41" i="82"/>
  <c r="Z64" i="89"/>
  <c r="Q164" i="94"/>
  <c r="L91" i="90"/>
  <c r="Q165" i="85"/>
  <c r="Q77" i="87"/>
  <c r="Y162" i="92"/>
  <c r="AA127" i="81"/>
  <c r="Z122" i="74"/>
  <c r="Z148" i="85"/>
  <c r="Y83" i="84"/>
  <c r="Z124" i="91"/>
  <c r="Q81" i="90"/>
  <c r="P55" i="84"/>
  <c r="P59" i="91"/>
  <c r="AB121" i="81"/>
  <c r="Y37" i="82"/>
  <c r="Y41" i="87"/>
  <c r="M37" i="92"/>
  <c r="Z163" i="90"/>
  <c r="AA102" i="88"/>
  <c r="P68" i="91"/>
  <c r="O95" i="83"/>
  <c r="Y147" i="91"/>
  <c r="Z140" i="92"/>
  <c r="AA98" i="89"/>
  <c r="O164" i="92"/>
  <c r="AB166" i="74"/>
  <c r="Z68" i="93"/>
  <c r="Q64" i="84"/>
  <c r="P126" i="93"/>
  <c r="Y157" i="89"/>
  <c r="O67" i="88"/>
  <c r="Z45" i="93"/>
  <c r="Y141" i="83"/>
  <c r="X104" i="89"/>
  <c r="Z33" i="74"/>
  <c r="O114" i="93"/>
  <c r="Y41" i="89"/>
  <c r="Q114" i="74"/>
  <c r="L88" i="82"/>
  <c r="AA143" i="84"/>
  <c r="Y147" i="87"/>
  <c r="AB118" i="93"/>
  <c r="AB111" i="82"/>
  <c r="X112" i="74"/>
  <c r="L122" i="83"/>
  <c r="Z164" i="91"/>
  <c r="X11" i="89"/>
  <c r="O11" i="81"/>
  <c r="X85" i="88"/>
  <c r="AA130" i="85"/>
  <c r="Q116" i="94"/>
  <c r="Y57" i="85"/>
  <c r="O25" i="93"/>
  <c r="AB140" i="91"/>
  <c r="N135" i="90"/>
  <c r="Y89" i="84"/>
  <c r="AB115" i="88"/>
  <c r="L116" i="81"/>
  <c r="L64" i="85"/>
  <c r="L82" i="94"/>
  <c r="X131" i="93"/>
  <c r="O123" i="94"/>
  <c r="AB118" i="87"/>
  <c r="AA70" i="92"/>
  <c r="X115" i="87"/>
  <c r="P79" i="74"/>
  <c r="Y167" i="88"/>
  <c r="X165" i="91"/>
  <c r="N108" i="85"/>
  <c r="Y92" i="85"/>
  <c r="AB43" i="85"/>
  <c r="AA51" i="93"/>
  <c r="N66" i="89"/>
  <c r="X80" i="74"/>
  <c r="Z94" i="92"/>
  <c r="AA88" i="92"/>
  <c r="AA114" i="82"/>
  <c r="O33" i="84"/>
  <c r="P91" i="88"/>
  <c r="O163" i="83"/>
  <c r="X161" i="85"/>
  <c r="Y101" i="83"/>
  <c r="Z68" i="74"/>
  <c r="Z102" i="81"/>
  <c r="AA68" i="74"/>
  <c r="AA101" i="89"/>
  <c r="Q66" i="85"/>
  <c r="O72" i="84"/>
  <c r="AB68" i="82"/>
  <c r="O47" i="94"/>
  <c r="AB37" i="84"/>
  <c r="N21" i="81"/>
  <c r="X73" i="91"/>
  <c r="Y13" i="90"/>
  <c r="AA59" i="93"/>
  <c r="Q151" i="81"/>
  <c r="AA110" i="88"/>
  <c r="O9" i="85"/>
  <c r="AA120" i="90"/>
  <c r="P27" i="89"/>
  <c r="N129" i="89"/>
  <c r="X120" i="94"/>
  <c r="P135" i="81"/>
  <c r="P35" i="83"/>
  <c r="Z135" i="90"/>
  <c r="AB71" i="74"/>
  <c r="Y96" i="90"/>
  <c r="O155" i="89"/>
  <c r="AB160" i="74"/>
  <c r="X126" i="83"/>
  <c r="Y103" i="88"/>
  <c r="L148" i="82"/>
  <c r="AB66" i="87"/>
  <c r="O143" i="84"/>
  <c r="AA103" i="90"/>
  <c r="P17" i="81"/>
  <c r="X96" i="74"/>
  <c r="L157" i="84"/>
  <c r="P67" i="83"/>
  <c r="N33" i="83"/>
  <c r="L105" i="82"/>
  <c r="AA109" i="89"/>
  <c r="Z112" i="85"/>
  <c r="P145" i="84"/>
  <c r="N126" i="87"/>
  <c r="Y103" i="81"/>
  <c r="L91" i="84"/>
  <c r="AB11" i="93"/>
  <c r="M15" i="83"/>
  <c r="Q149" i="81"/>
  <c r="X102" i="88"/>
  <c r="L127" i="93"/>
  <c r="N84" i="91"/>
  <c r="AB104" i="92"/>
  <c r="L162" i="82"/>
  <c r="N147" i="87"/>
  <c r="P93" i="92"/>
  <c r="Y141" i="89"/>
  <c r="Z120" i="85"/>
  <c r="X92" i="74"/>
  <c r="Z64" i="87"/>
  <c r="P37" i="85"/>
  <c r="P53" i="91"/>
  <c r="AA37" i="93"/>
  <c r="Q70" i="92"/>
  <c r="X152" i="94"/>
  <c r="AA13" i="88"/>
  <c r="M51" i="92"/>
  <c r="O23" i="83"/>
  <c r="X157" i="92"/>
  <c r="N33" i="84"/>
  <c r="Z19" i="90"/>
  <c r="Z19" i="74"/>
  <c r="Y88" i="83"/>
  <c r="Z82" i="84"/>
  <c r="Z128" i="74"/>
  <c r="L97" i="92"/>
  <c r="Y129" i="91"/>
  <c r="X157" i="74"/>
  <c r="Q113" i="83"/>
  <c r="X134" i="93"/>
  <c r="Q167" i="74"/>
  <c r="Q131" i="84"/>
  <c r="AB94" i="82"/>
  <c r="O80" i="81"/>
  <c r="O27" i="74"/>
  <c r="Y126" i="93"/>
  <c r="P79" i="81"/>
  <c r="P105" i="81"/>
  <c r="Q109" i="87"/>
  <c r="L100" i="88"/>
  <c r="Z37" i="92"/>
  <c r="AA102" i="87"/>
  <c r="AA108" i="91"/>
  <c r="L103" i="87"/>
  <c r="AB89" i="90"/>
  <c r="Q133" i="89"/>
  <c r="L70" i="93"/>
  <c r="Y120" i="88"/>
  <c r="AA157" i="74"/>
  <c r="P83" i="90"/>
  <c r="P65" i="82"/>
  <c r="Y53" i="85"/>
  <c r="Q11" i="85"/>
  <c r="O148" i="85"/>
  <c r="O68" i="74"/>
  <c r="Z105" i="87"/>
  <c r="AA152" i="92"/>
  <c r="AB59" i="91"/>
  <c r="M53" i="87"/>
  <c r="X93" i="93"/>
  <c r="Q79" i="81"/>
  <c r="L97" i="89"/>
  <c r="AA96" i="92"/>
  <c r="Q128" i="88"/>
  <c r="M19" i="81"/>
  <c r="X140" i="83"/>
  <c r="P51" i="85"/>
  <c r="P84" i="94"/>
  <c r="P98" i="83"/>
  <c r="Q163" i="90"/>
  <c r="AB127" i="84"/>
  <c r="O158" i="89"/>
  <c r="X76" i="83"/>
  <c r="Q88" i="88"/>
  <c r="L66" i="83"/>
  <c r="X139" i="81"/>
  <c r="Q15" i="88"/>
  <c r="Q95" i="89"/>
  <c r="AB53" i="83"/>
  <c r="X100" i="82"/>
  <c r="P120" i="91"/>
  <c r="Q149" i="89"/>
  <c r="L165" i="88"/>
  <c r="X21" i="87"/>
  <c r="P37" i="87"/>
  <c r="O162" i="85"/>
  <c r="AA33" i="94"/>
  <c r="AA76" i="85"/>
  <c r="O77" i="87"/>
  <c r="Y123" i="87"/>
  <c r="Z148" i="89"/>
  <c r="Q80" i="84"/>
  <c r="Z146" i="81"/>
  <c r="P102" i="84"/>
  <c r="M29" i="90"/>
  <c r="AB35" i="87"/>
  <c r="AB87" i="93"/>
  <c r="AB69" i="89"/>
  <c r="Y35" i="93"/>
  <c r="X61" i="89"/>
  <c r="X91" i="94"/>
  <c r="AA9" i="91"/>
  <c r="O96" i="83"/>
  <c r="AA67" i="89"/>
  <c r="Z37" i="93"/>
  <c r="AA134" i="94"/>
  <c r="P163" i="82"/>
  <c r="AA39" i="74"/>
  <c r="N81" i="82"/>
  <c r="Z164" i="84"/>
  <c r="AB144" i="88"/>
  <c r="AA166" i="94"/>
  <c r="AA53" i="87"/>
  <c r="Y41" i="81"/>
  <c r="Q51" i="90"/>
  <c r="P135" i="83"/>
  <c r="Y167" i="87"/>
  <c r="L116" i="84"/>
  <c r="AB100" i="93"/>
  <c r="Y79" i="91"/>
  <c r="AB49" i="92"/>
  <c r="Z123" i="89"/>
  <c r="AB165" i="85"/>
  <c r="AB158" i="91"/>
  <c r="O165" i="82"/>
  <c r="O65" i="92"/>
  <c r="N114" i="84"/>
  <c r="P121" i="88"/>
  <c r="Y162" i="82"/>
  <c r="O73" i="89"/>
  <c r="L165" i="92"/>
  <c r="Y33" i="74"/>
  <c r="L128" i="85"/>
  <c r="X144" i="92"/>
  <c r="AB109" i="81"/>
  <c r="AA89" i="81"/>
  <c r="AB68" i="88"/>
  <c r="AA112" i="84"/>
  <c r="X149" i="87"/>
  <c r="Q99" i="89"/>
  <c r="Z27" i="89"/>
  <c r="N90" i="87"/>
  <c r="O163" i="92"/>
  <c r="AA84" i="74"/>
  <c r="L102" i="88"/>
  <c r="N156" i="84"/>
  <c r="Y64" i="88"/>
  <c r="Z132" i="94"/>
  <c r="X23" i="81"/>
  <c r="X95" i="74"/>
  <c r="AB78" i="85"/>
  <c r="Z43" i="90"/>
  <c r="P122" i="92"/>
  <c r="X120" i="85"/>
  <c r="O57" i="87"/>
  <c r="X162" i="91"/>
  <c r="X51" i="91"/>
  <c r="X118" i="88"/>
  <c r="AA151" i="81"/>
  <c r="P87" i="90"/>
  <c r="P132" i="89"/>
  <c r="Y111" i="89"/>
  <c r="P165" i="83"/>
  <c r="Q61" i="83"/>
  <c r="Q103" i="87"/>
  <c r="Y65" i="85"/>
  <c r="P72" i="83"/>
  <c r="AB117" i="92"/>
  <c r="X96" i="93"/>
  <c r="Y17" i="94"/>
  <c r="AB97" i="82"/>
  <c r="Q92" i="74"/>
  <c r="AB33" i="84"/>
  <c r="X136" i="82"/>
  <c r="X98" i="88"/>
  <c r="AB23" i="94"/>
  <c r="P37" i="93"/>
  <c r="AB105" i="92"/>
  <c r="Z49" i="81"/>
  <c r="Y133" i="90"/>
  <c r="AA103" i="83"/>
  <c r="Z41" i="90"/>
  <c r="Z99" i="90"/>
  <c r="O37" i="82"/>
  <c r="N102" i="89"/>
  <c r="Y9" i="91"/>
  <c r="Y103" i="85"/>
  <c r="L87" i="92"/>
  <c r="P118" i="85"/>
  <c r="P140" i="92"/>
  <c r="O117" i="82"/>
  <c r="AA74" i="94"/>
  <c r="Y127" i="89"/>
  <c r="Y135" i="89"/>
  <c r="O148" i="81"/>
  <c r="O23" i="92"/>
  <c r="N51" i="93"/>
  <c r="L120" i="94"/>
  <c r="X83" i="88"/>
  <c r="O131" i="92"/>
  <c r="X27" i="91"/>
  <c r="AB134" i="89"/>
  <c r="AA94" i="85"/>
  <c r="L126" i="87"/>
  <c r="Z132" i="83"/>
  <c r="Z100" i="88"/>
  <c r="O21" i="83"/>
  <c r="AB138" i="88"/>
  <c r="Z142" i="84"/>
  <c r="X126" i="84"/>
  <c r="N15" i="93"/>
  <c r="Z156" i="81"/>
  <c r="AB121" i="91"/>
  <c r="O124" i="94"/>
  <c r="L146" i="94"/>
  <c r="L66" i="82"/>
  <c r="Q115" i="87"/>
  <c r="N123" i="89"/>
  <c r="O94" i="89"/>
  <c r="Y165" i="92"/>
  <c r="AB45" i="90"/>
  <c r="N69" i="74"/>
  <c r="Y23" i="89"/>
  <c r="AB113" i="85"/>
  <c r="P112" i="82"/>
  <c r="X163" i="89"/>
  <c r="Z146" i="82"/>
  <c r="O70" i="94"/>
  <c r="Q157" i="74"/>
  <c r="Q95" i="83"/>
  <c r="N63" i="88"/>
  <c r="Z145" i="84"/>
  <c r="AA146" i="85"/>
  <c r="O71" i="88"/>
  <c r="N27" i="83"/>
  <c r="Y136" i="90"/>
  <c r="Z141" i="94"/>
  <c r="AB125" i="92"/>
  <c r="AA107" i="74"/>
  <c r="Z144" i="85"/>
  <c r="AB41" i="83"/>
  <c r="Z157" i="82"/>
  <c r="Y64" i="82"/>
  <c r="Z139" i="85"/>
  <c r="O57" i="90"/>
  <c r="AA134" i="74"/>
  <c r="AB138" i="94"/>
  <c r="Q113" i="92"/>
  <c r="X123" i="89"/>
  <c r="Q35" i="82"/>
  <c r="AA132" i="74"/>
  <c r="Y132" i="91"/>
  <c r="Y132" i="87"/>
  <c r="AA63" i="83"/>
  <c r="O72" i="90"/>
  <c r="Y91" i="83"/>
  <c r="AA98" i="85"/>
  <c r="Z156" i="93"/>
  <c r="X167" i="83"/>
  <c r="X132" i="90"/>
  <c r="O121" i="85"/>
  <c r="Z72" i="89"/>
  <c r="Y119" i="85"/>
  <c r="AB82" i="85"/>
  <c r="Q82" i="90"/>
  <c r="O88" i="74"/>
  <c r="Y88" i="90"/>
  <c r="Z113" i="74"/>
  <c r="AB141" i="85"/>
  <c r="X142" i="89"/>
  <c r="Z160" i="92"/>
  <c r="P161" i="82"/>
  <c r="Q117" i="88"/>
  <c r="AA149" i="84"/>
  <c r="Y120" i="85"/>
  <c r="X73" i="87"/>
  <c r="P128" i="85"/>
  <c r="AA134" i="88"/>
  <c r="P63" i="93"/>
  <c r="X138" i="90"/>
  <c r="O102" i="89"/>
  <c r="AA41" i="90"/>
  <c r="AB17" i="92"/>
  <c r="O66" i="82"/>
  <c r="AA83" i="74"/>
  <c r="O103" i="93"/>
  <c r="AA76" i="90"/>
  <c r="Q152" i="74"/>
  <c r="X122" i="92"/>
  <c r="N90" i="83"/>
  <c r="P25" i="82"/>
  <c r="P61" i="93"/>
  <c r="L111" i="82"/>
  <c r="Q146" i="92"/>
  <c r="AB112" i="85"/>
  <c r="P99" i="89"/>
  <c r="AB128" i="90"/>
  <c r="AB19" i="84"/>
  <c r="AB101" i="84"/>
  <c r="Q121" i="89"/>
  <c r="N69" i="93"/>
  <c r="AA53" i="93"/>
  <c r="Q136" i="92"/>
  <c r="X33" i="93"/>
  <c r="X17" i="89"/>
  <c r="Z70" i="83"/>
  <c r="O118" i="82"/>
  <c r="Q51" i="88"/>
  <c r="P27" i="84"/>
  <c r="P138" i="81"/>
  <c r="Q47" i="88"/>
  <c r="O162" i="82"/>
  <c r="N144" i="89"/>
  <c r="N102" i="91"/>
  <c r="P140" i="82"/>
  <c r="P83" i="89"/>
  <c r="O102" i="74"/>
  <c r="P86" i="90"/>
  <c r="Q45" i="92"/>
  <c r="AA166" i="83"/>
  <c r="Z53" i="82"/>
  <c r="AA33" i="89"/>
  <c r="Y142" i="87"/>
  <c r="Y111" i="85"/>
  <c r="X154" i="74"/>
  <c r="M11" i="94"/>
  <c r="AB45" i="89"/>
  <c r="Q53" i="87"/>
  <c r="AB166" i="90"/>
  <c r="O67" i="87"/>
  <c r="Z166" i="90"/>
  <c r="Q136" i="93"/>
  <c r="Z109" i="91"/>
  <c r="O113" i="83"/>
  <c r="X107" i="84"/>
  <c r="AA59" i="94"/>
  <c r="P100" i="90"/>
  <c r="Y164" i="85"/>
  <c r="AB94" i="90"/>
  <c r="X13" i="90"/>
  <c r="Y101" i="89"/>
  <c r="Z41" i="94"/>
  <c r="Q153" i="93"/>
  <c r="AA95" i="92"/>
  <c r="Y29" i="88"/>
  <c r="Z136" i="94"/>
  <c r="L159" i="93"/>
  <c r="L153" i="90"/>
  <c r="Q85" i="89"/>
  <c r="Y146" i="91"/>
  <c r="AB78" i="90"/>
  <c r="AA168" i="91"/>
  <c r="Y37" i="89"/>
  <c r="X108" i="88"/>
  <c r="AA133" i="87"/>
  <c r="Y145" i="90"/>
  <c r="Q146" i="91"/>
  <c r="AA17" i="85"/>
  <c r="P68" i="84"/>
  <c r="N21" i="87"/>
  <c r="P55" i="87"/>
  <c r="Y81" i="83"/>
  <c r="X88" i="83"/>
  <c r="Z114" i="88"/>
  <c r="L122" i="82"/>
  <c r="Q88" i="84"/>
  <c r="O161" i="83"/>
  <c r="O49" i="93"/>
  <c r="X104" i="74"/>
  <c r="Q125" i="93"/>
  <c r="Z124" i="82"/>
  <c r="Q152" i="81"/>
  <c r="X108" i="85"/>
  <c r="N153" i="88"/>
  <c r="L91" i="92"/>
  <c r="Q144" i="74"/>
  <c r="AA55" i="83"/>
  <c r="AB165" i="93"/>
  <c r="O121" i="88"/>
  <c r="AB99" i="89"/>
  <c r="L81" i="90"/>
  <c r="Y102" i="84"/>
  <c r="Y98" i="85"/>
  <c r="M39" i="92"/>
  <c r="Q117" i="74"/>
  <c r="Z122" i="90"/>
  <c r="Y108" i="93"/>
  <c r="P149" i="92"/>
  <c r="Z64" i="83"/>
  <c r="AA39" i="81"/>
  <c r="O96" i="89"/>
  <c r="P71" i="94"/>
  <c r="AB66" i="82"/>
  <c r="Y144" i="91"/>
  <c r="Y65" i="93"/>
  <c r="L63" i="89"/>
  <c r="X37" i="93"/>
  <c r="AB103" i="89"/>
  <c r="Z163" i="83"/>
  <c r="Z57" i="94"/>
  <c r="Z66" i="85"/>
  <c r="AB63" i="87"/>
  <c r="Z79" i="93"/>
  <c r="Z162" i="82"/>
  <c r="AB61" i="88"/>
  <c r="L71" i="74"/>
  <c r="AA137" i="89"/>
  <c r="P125" i="92"/>
  <c r="O17" i="85"/>
  <c r="L84" i="89"/>
  <c r="Y165" i="90"/>
  <c r="M13" i="74"/>
  <c r="Q98" i="94"/>
  <c r="Q9" i="85"/>
  <c r="AB37" i="85"/>
  <c r="Y112" i="90"/>
  <c r="Q66" i="89"/>
  <c r="Z106" i="91"/>
  <c r="N120" i="81"/>
  <c r="L82" i="81"/>
  <c r="P75" i="85"/>
  <c r="M57" i="88"/>
  <c r="Y21" i="91"/>
  <c r="L94" i="94"/>
  <c r="N87" i="90"/>
  <c r="X92" i="89"/>
  <c r="AB87" i="83"/>
  <c r="AA136" i="94"/>
  <c r="AA128" i="81"/>
  <c r="AB165" i="83"/>
  <c r="P118" i="81"/>
  <c r="Z124" i="90"/>
  <c r="Q165" i="83"/>
  <c r="AA105" i="82"/>
  <c r="Q49" i="74"/>
  <c r="AB49" i="89"/>
  <c r="L109" i="94"/>
  <c r="L71" i="82"/>
  <c r="AB11" i="94"/>
  <c r="X94" i="81"/>
  <c r="Y67" i="91"/>
  <c r="O88" i="87"/>
  <c r="Z97" i="74"/>
  <c r="P134" i="92"/>
  <c r="Z119" i="81"/>
  <c r="O131" i="93"/>
  <c r="Q137" i="92"/>
  <c r="L93" i="81"/>
  <c r="Q117" i="91"/>
  <c r="Q61" i="90"/>
  <c r="O79" i="85"/>
  <c r="Q64" i="93"/>
  <c r="AA120" i="84"/>
  <c r="Q131" i="88"/>
  <c r="AA43" i="83"/>
  <c r="Z95" i="87"/>
  <c r="M13" i="82"/>
  <c r="P121" i="85"/>
  <c r="O118" i="91"/>
  <c r="P116" i="84"/>
  <c r="M39" i="88"/>
  <c r="AB148" i="92"/>
  <c r="O160" i="83"/>
  <c r="AB104" i="89"/>
  <c r="AA159" i="92"/>
  <c r="X11" i="84"/>
  <c r="Q78" i="82"/>
  <c r="X138" i="89"/>
  <c r="X125" i="94"/>
  <c r="X69" i="89"/>
  <c r="AB135" i="83"/>
  <c r="X135" i="84"/>
  <c r="Q110" i="74"/>
  <c r="Q105" i="74"/>
  <c r="P156" i="81"/>
  <c r="O154" i="89"/>
  <c r="Y128" i="74"/>
  <c r="X112" i="91"/>
  <c r="AA69" i="84"/>
  <c r="Q11" i="84"/>
  <c r="P92" i="81"/>
  <c r="Q142" i="84"/>
  <c r="X138" i="82"/>
  <c r="O53" i="74"/>
  <c r="X113" i="81"/>
  <c r="AB37" i="88"/>
  <c r="AA49" i="89"/>
  <c r="O110" i="85"/>
  <c r="Y92" i="83"/>
  <c r="AB131" i="87"/>
  <c r="Q120" i="94"/>
  <c r="Z121" i="74"/>
  <c r="AA90" i="82"/>
  <c r="Z160" i="84"/>
  <c r="Z131" i="90"/>
  <c r="P105" i="85"/>
  <c r="AA55" i="82"/>
  <c r="X101" i="83"/>
  <c r="L118" i="84"/>
  <c r="Y153" i="90"/>
  <c r="Y121" i="84"/>
  <c r="Y90" i="81"/>
  <c r="X129" i="85"/>
  <c r="Z47" i="74"/>
  <c r="O85" i="83"/>
  <c r="O25" i="84"/>
  <c r="X162" i="89"/>
  <c r="AB68" i="94"/>
  <c r="L128" i="87"/>
  <c r="P118" i="74"/>
  <c r="O29" i="87"/>
  <c r="AB119" i="84"/>
  <c r="AB95" i="93"/>
  <c r="X100" i="74"/>
  <c r="Y152" i="87"/>
  <c r="Y89" i="92"/>
  <c r="P167" i="93"/>
  <c r="P154" i="92"/>
  <c r="X63" i="87"/>
  <c r="L94" i="74"/>
  <c r="X107" i="94"/>
  <c r="O11" i="87"/>
  <c r="AB89" i="94"/>
  <c r="X95" i="90"/>
  <c r="AB129" i="82"/>
  <c r="P164" i="91"/>
  <c r="L122" i="89"/>
  <c r="Z159" i="84"/>
  <c r="AB150" i="89"/>
  <c r="Y114" i="81"/>
  <c r="Z53" i="91"/>
  <c r="X70" i="82"/>
  <c r="N9" i="85"/>
  <c r="AA61" i="87"/>
  <c r="Z92" i="74"/>
  <c r="P47" i="90"/>
  <c r="X66" i="84"/>
  <c r="X57" i="90"/>
  <c r="AB128" i="85"/>
  <c r="Y17" i="89"/>
  <c r="O145" i="81"/>
  <c r="AA37" i="89"/>
  <c r="AB29" i="91"/>
  <c r="Q113" i="89"/>
  <c r="Q71" i="81"/>
  <c r="Q145" i="94"/>
  <c r="Y101" i="74"/>
  <c r="AA154" i="82"/>
  <c r="O124" i="93"/>
  <c r="AA143" i="82"/>
  <c r="L107" i="84"/>
  <c r="Q11" i="74"/>
  <c r="Y51" i="91"/>
  <c r="AA76" i="84"/>
  <c r="Z114" i="90"/>
  <c r="M29" i="88"/>
  <c r="AB104" i="88"/>
  <c r="X167" i="94"/>
  <c r="AA163" i="85"/>
  <c r="AA68" i="93"/>
  <c r="Z97" i="81"/>
  <c r="AB109" i="88"/>
  <c r="AA90" i="93"/>
  <c r="Q92" i="94"/>
  <c r="P43" i="90"/>
  <c r="P102" i="89"/>
  <c r="AB130" i="90"/>
  <c r="P107" i="91"/>
  <c r="P111" i="85"/>
  <c r="Q23" i="92"/>
  <c r="L126" i="88"/>
  <c r="Y114" i="94"/>
  <c r="Y57" i="87"/>
  <c r="O91" i="90"/>
  <c r="Q112" i="94"/>
  <c r="X79" i="89"/>
  <c r="Q85" i="91"/>
  <c r="O126" i="85"/>
  <c r="Y125" i="74"/>
  <c r="X108" i="74"/>
  <c r="Z67" i="83"/>
  <c r="AA111" i="90"/>
  <c r="X85" i="87"/>
  <c r="O78" i="84"/>
  <c r="L71" i="89"/>
  <c r="Y109" i="90"/>
  <c r="L118" i="83"/>
  <c r="AA47" i="85"/>
  <c r="O153" i="91"/>
  <c r="Y65" i="94"/>
  <c r="P138" i="88"/>
  <c r="O138" i="89"/>
  <c r="L148" i="83"/>
  <c r="O118" i="90"/>
  <c r="X29" i="87"/>
  <c r="Y117" i="94"/>
  <c r="P117" i="88"/>
  <c r="P135" i="74"/>
  <c r="AA162" i="94"/>
  <c r="Q81" i="85"/>
  <c r="L129" i="82"/>
  <c r="AA93" i="74"/>
  <c r="P94" i="91"/>
  <c r="L82" i="89"/>
  <c r="N138" i="91"/>
  <c r="O131" i="85"/>
  <c r="AB118" i="89"/>
  <c r="Y59" i="81"/>
  <c r="AB153" i="89"/>
  <c r="AB141" i="88"/>
  <c r="X61" i="81"/>
  <c r="P162" i="90"/>
  <c r="P45" i="74"/>
  <c r="AB94" i="94"/>
  <c r="O150" i="82"/>
  <c r="AA165" i="84"/>
  <c r="AA150" i="83"/>
  <c r="L88" i="88"/>
  <c r="AB89" i="85"/>
  <c r="AB73" i="89"/>
  <c r="AA118" i="82"/>
  <c r="Q124" i="84"/>
  <c r="AA83" i="84"/>
  <c r="O143" i="87"/>
  <c r="X15" i="94"/>
  <c r="O61" i="81"/>
  <c r="P104" i="84"/>
  <c r="M33" i="84"/>
  <c r="O88" i="89"/>
  <c r="Z143" i="87"/>
  <c r="Q163" i="81"/>
  <c r="AB104" i="93"/>
  <c r="N144" i="82"/>
  <c r="Q167" i="92"/>
  <c r="N84" i="82"/>
  <c r="AA138" i="90"/>
  <c r="Z153" i="91"/>
  <c r="Q88" i="90"/>
  <c r="L78" i="84"/>
  <c r="AA67" i="85"/>
  <c r="Y161" i="89"/>
  <c r="Z162" i="85"/>
  <c r="P9" i="94"/>
  <c r="P82" i="92"/>
  <c r="O55" i="91"/>
  <c r="X147" i="91"/>
  <c r="L123" i="92"/>
  <c r="Q129" i="81"/>
  <c r="Z160" i="81"/>
  <c r="L78" i="93"/>
  <c r="AB88" i="84"/>
  <c r="O83" i="82"/>
  <c r="O87" i="94"/>
  <c r="P139" i="88"/>
  <c r="X84" i="81"/>
  <c r="Y151" i="93"/>
  <c r="Y170" i="91"/>
  <c r="AB77" i="81"/>
  <c r="AA25" i="82"/>
  <c r="Y72" i="84"/>
  <c r="Q85" i="81"/>
  <c r="Z67" i="91"/>
  <c r="AA115" i="93"/>
  <c r="AA99" i="90"/>
  <c r="Y87" i="74"/>
  <c r="P167" i="91"/>
  <c r="P151" i="74"/>
  <c r="L103" i="84"/>
  <c r="Z119" i="74"/>
  <c r="Z143" i="82"/>
  <c r="Y124" i="85"/>
  <c r="N9" i="81"/>
  <c r="AB158" i="85"/>
  <c r="O55" i="74"/>
  <c r="AB150" i="83"/>
  <c r="AA140" i="93"/>
  <c r="Q131" i="89"/>
  <c r="AA133" i="82"/>
  <c r="L76" i="84"/>
  <c r="L149" i="82"/>
  <c r="X63" i="92"/>
  <c r="P119" i="84"/>
  <c r="AA91" i="93"/>
  <c r="M35" i="87"/>
  <c r="Q43" i="83"/>
  <c r="P144" i="83"/>
  <c r="AB80" i="91"/>
  <c r="AA101" i="81"/>
  <c r="L65" i="82"/>
  <c r="AA90" i="84"/>
  <c r="X61" i="91"/>
  <c r="O45" i="90"/>
  <c r="M27" i="90"/>
  <c r="AA161" i="90"/>
  <c r="AB129" i="87"/>
  <c r="Q117" i="93"/>
  <c r="Y55" i="74"/>
  <c r="L149" i="83"/>
  <c r="X59" i="87"/>
  <c r="Z61" i="82"/>
  <c r="AB84" i="91"/>
  <c r="Y111" i="88"/>
  <c r="Y110" i="93"/>
  <c r="AA98" i="81"/>
  <c r="O121" i="91"/>
  <c r="O167" i="88"/>
  <c r="Z59" i="88"/>
  <c r="Q23" i="94"/>
  <c r="AA157" i="88"/>
  <c r="X107" i="88"/>
  <c r="M47" i="91"/>
  <c r="Y73" i="74"/>
  <c r="Q163" i="82"/>
  <c r="Z132" i="91"/>
  <c r="P76" i="89"/>
  <c r="X110" i="91"/>
  <c r="AA131" i="92"/>
  <c r="P131" i="94"/>
  <c r="X13" i="84"/>
  <c r="Y128" i="89"/>
  <c r="L108" i="83"/>
  <c r="AA57" i="93"/>
  <c r="Z128" i="82"/>
  <c r="X149" i="91"/>
  <c r="AA127" i="82"/>
  <c r="AB137" i="91"/>
  <c r="AA116" i="92"/>
  <c r="Z68" i="85"/>
  <c r="X41" i="87"/>
  <c r="AB99" i="82"/>
  <c r="X142" i="84"/>
  <c r="L104" i="82"/>
  <c r="AA146" i="93"/>
  <c r="Z41" i="91"/>
  <c r="Q21" i="84"/>
  <c r="Q99" i="93"/>
  <c r="O160" i="89"/>
  <c r="AB55" i="92"/>
  <c r="AA146" i="87"/>
  <c r="P85" i="81"/>
  <c r="Q116" i="81"/>
  <c r="P23" i="92"/>
  <c r="Q64" i="74"/>
  <c r="AA96" i="89"/>
  <c r="Z23" i="93"/>
  <c r="X27" i="84"/>
  <c r="Q146" i="81"/>
  <c r="AB75" i="92"/>
  <c r="X106" i="84"/>
  <c r="Q31" i="94"/>
  <c r="X141" i="94"/>
  <c r="P89" i="94"/>
  <c r="O57" i="81"/>
  <c r="AB27" i="89"/>
  <c r="X116" i="93"/>
  <c r="Q51" i="81"/>
  <c r="X72" i="82"/>
  <c r="X154" i="84"/>
  <c r="AB130" i="93"/>
  <c r="AB61" i="93"/>
  <c r="P101" i="89"/>
  <c r="O61" i="93"/>
  <c r="L155" i="82"/>
  <c r="AA63" i="88"/>
  <c r="Z108" i="87"/>
  <c r="AA83" i="82"/>
  <c r="P136" i="74"/>
  <c r="X39" i="85"/>
  <c r="X75" i="92"/>
  <c r="L106" i="81"/>
  <c r="P144" i="92"/>
  <c r="Q15" i="82"/>
  <c r="O122" i="82"/>
  <c r="L88" i="85"/>
  <c r="Y113" i="87"/>
  <c r="O69" i="91"/>
  <c r="Y105" i="85"/>
  <c r="M33" i="92"/>
  <c r="AA115" i="91"/>
  <c r="O83" i="91"/>
  <c r="Z31" i="89"/>
  <c r="AA107" i="87"/>
  <c r="AB69" i="87"/>
  <c r="AA161" i="93"/>
  <c r="AB141" i="87"/>
  <c r="M33" i="93"/>
  <c r="X151" i="90"/>
  <c r="Y94" i="74"/>
  <c r="L158" i="90"/>
  <c r="AB63" i="82"/>
  <c r="Y116" i="89"/>
  <c r="L100" i="84"/>
  <c r="Q35" i="85"/>
  <c r="AA118" i="85"/>
  <c r="Z167" i="92"/>
  <c r="AA154" i="93"/>
  <c r="Q68" i="85"/>
  <c r="X118" i="85"/>
  <c r="Y37" i="83"/>
  <c r="O130" i="93"/>
  <c r="Z131" i="74"/>
  <c r="O128" i="90"/>
  <c r="Y88" i="93"/>
  <c r="AB77" i="93"/>
  <c r="N126" i="74"/>
  <c r="AA106" i="93"/>
  <c r="AA124" i="74"/>
  <c r="Z79" i="88"/>
  <c r="X39" i="84"/>
  <c r="X109" i="82"/>
  <c r="Y122" i="87"/>
  <c r="O119" i="88"/>
  <c r="AB122" i="93"/>
  <c r="AB96" i="94"/>
  <c r="Q82" i="82"/>
  <c r="Q163" i="74"/>
  <c r="Z87" i="94"/>
  <c r="AA157" i="82"/>
  <c r="P37" i="92"/>
  <c r="AB25" i="84"/>
  <c r="P17" i="87"/>
  <c r="O71" i="81"/>
  <c r="Q166" i="93"/>
  <c r="N99" i="91"/>
  <c r="X147" i="88"/>
  <c r="P127" i="85"/>
  <c r="Z66" i="93"/>
  <c r="P151" i="94"/>
  <c r="AA67" i="94"/>
  <c r="P72" i="94"/>
  <c r="AA137" i="93"/>
  <c r="Z91" i="94"/>
  <c r="X158" i="74"/>
  <c r="Z57" i="88"/>
  <c r="P127" i="91"/>
  <c r="X127" i="89"/>
  <c r="AA59" i="90"/>
  <c r="L147" i="85"/>
  <c r="O69" i="93"/>
  <c r="L113" i="85"/>
  <c r="AA96" i="90"/>
  <c r="Z75" i="89"/>
  <c r="AB87" i="82"/>
  <c r="Z134" i="81"/>
  <c r="O149" i="88"/>
  <c r="P85" i="84"/>
  <c r="O55" i="81"/>
  <c r="Y136" i="94"/>
  <c r="X117" i="94"/>
  <c r="N57" i="82"/>
  <c r="AB25" i="81"/>
  <c r="Z122" i="83"/>
  <c r="L78" i="91"/>
  <c r="AB47" i="91"/>
  <c r="N147" i="93"/>
  <c r="L97" i="93"/>
  <c r="L75" i="93"/>
  <c r="Q125" i="84"/>
  <c r="Q140" i="83"/>
  <c r="X66" i="88"/>
  <c r="Y121" i="74"/>
  <c r="Y43" i="85"/>
  <c r="Y161" i="91"/>
  <c r="Q67" i="84"/>
  <c r="L111" i="88"/>
  <c r="Z93" i="74"/>
  <c r="P109" i="84"/>
  <c r="L116" i="90"/>
  <c r="O27" i="93"/>
  <c r="O143" i="93"/>
  <c r="Q68" i="83"/>
  <c r="AA125" i="82"/>
  <c r="AB150" i="94"/>
  <c r="AA115" i="94"/>
  <c r="L139" i="84"/>
  <c r="Q166" i="81"/>
  <c r="Y133" i="85"/>
  <c r="AB55" i="93"/>
  <c r="O68" i="93"/>
  <c r="Z164" i="94"/>
  <c r="AB72" i="83"/>
  <c r="AA162" i="90"/>
  <c r="P167" i="90"/>
  <c r="Y141" i="84"/>
  <c r="Q148" i="88"/>
  <c r="Q130" i="88"/>
  <c r="P11" i="81"/>
  <c r="N153" i="85"/>
  <c r="X80" i="92"/>
  <c r="AB102" i="92"/>
  <c r="X114" i="89"/>
  <c r="Q129" i="84"/>
  <c r="Y85" i="87"/>
  <c r="P55" i="90"/>
  <c r="L107" i="89"/>
  <c r="Q118" i="81"/>
  <c r="X112" i="93"/>
  <c r="M31" i="88"/>
  <c r="Z66" i="74"/>
  <c r="O91" i="87"/>
  <c r="N144" i="93"/>
  <c r="P64" i="74"/>
  <c r="O13" i="83"/>
  <c r="O130" i="81"/>
  <c r="AA129" i="89"/>
  <c r="O93" i="83"/>
  <c r="AA15" i="83"/>
  <c r="X104" i="87"/>
  <c r="AA136" i="87"/>
  <c r="Q102" i="90"/>
  <c r="O80" i="82"/>
  <c r="P13" i="88"/>
  <c r="Z134" i="87"/>
  <c r="O164" i="87"/>
  <c r="X97" i="91"/>
  <c r="AB65" i="82"/>
  <c r="O87" i="88"/>
  <c r="AA23" i="82"/>
  <c r="AB137" i="88"/>
  <c r="Z103" i="81"/>
  <c r="AB170" i="91"/>
  <c r="AB116" i="81"/>
  <c r="O132" i="84"/>
  <c r="AB143" i="81"/>
  <c r="Y83" i="85"/>
  <c r="AA99" i="89"/>
  <c r="Z17" i="91"/>
  <c r="Q35" i="83"/>
  <c r="P94" i="93"/>
  <c r="L113" i="74"/>
  <c r="AA120" i="92"/>
  <c r="AB80" i="88"/>
  <c r="Y148" i="85"/>
  <c r="AB136" i="88"/>
  <c r="X66" i="92"/>
  <c r="AA164" i="84"/>
  <c r="Y87" i="93"/>
  <c r="Z117" i="89"/>
  <c r="AB140" i="81"/>
  <c r="Q95" i="81"/>
  <c r="P105" i="89"/>
  <c r="AA49" i="90"/>
  <c r="AB100" i="82"/>
  <c r="Z143" i="85"/>
  <c r="Z161" i="83"/>
  <c r="Q69" i="82"/>
  <c r="L162" i="88"/>
  <c r="O118" i="94"/>
  <c r="AB81" i="89"/>
  <c r="L158" i="84"/>
  <c r="L129" i="92"/>
  <c r="Z39" i="88"/>
  <c r="P152" i="87"/>
  <c r="P119" i="88"/>
  <c r="Q25" i="89"/>
  <c r="P57" i="92"/>
  <c r="M13" i="85"/>
  <c r="P164" i="87"/>
  <c r="O49" i="87"/>
  <c r="AB72" i="87"/>
  <c r="Y139" i="84"/>
  <c r="AB63" i="81"/>
  <c r="AB108" i="82"/>
  <c r="X66" i="90"/>
  <c r="AA116" i="74"/>
  <c r="O152" i="84"/>
  <c r="L112" i="84"/>
  <c r="Z66" i="82"/>
  <c r="Z160" i="91"/>
  <c r="Y43" i="88"/>
  <c r="N99" i="88"/>
  <c r="X17" i="92"/>
  <c r="O166" i="90"/>
  <c r="X116" i="89"/>
  <c r="M21" i="81"/>
  <c r="AA122" i="93"/>
  <c r="O89" i="81"/>
  <c r="O125" i="92"/>
  <c r="AA163" i="87"/>
  <c r="Y155" i="82"/>
  <c r="Z43" i="81"/>
  <c r="P66" i="94"/>
  <c r="AA47" i="92"/>
  <c r="Q59" i="82"/>
  <c r="O133" i="84"/>
  <c r="X101" i="92"/>
  <c r="AA19" i="89"/>
  <c r="Q102" i="81"/>
  <c r="Y165" i="94"/>
  <c r="Y119" i="88"/>
  <c r="Z138" i="90"/>
  <c r="Y13" i="88"/>
  <c r="P110" i="74"/>
  <c r="X43" i="84"/>
  <c r="AB90" i="85"/>
  <c r="Y27" i="74"/>
  <c r="Y116" i="93"/>
  <c r="Q163" i="89"/>
  <c r="Y109" i="74"/>
  <c r="AA114" i="94"/>
  <c r="Z108" i="92"/>
  <c r="Q128" i="93"/>
  <c r="P64" i="94"/>
  <c r="Z134" i="93"/>
  <c r="AB115" i="92"/>
  <c r="L92" i="83"/>
  <c r="AB27" i="84"/>
  <c r="Q13" i="84"/>
  <c r="X103" i="82"/>
  <c r="N147" i="82"/>
  <c r="Y65" i="91"/>
  <c r="L65" i="87"/>
  <c r="X90" i="81"/>
  <c r="AB82" i="90"/>
  <c r="AA47" i="94"/>
  <c r="Z157" i="83"/>
  <c r="P127" i="89"/>
  <c r="Y99" i="90"/>
  <c r="X154" i="90"/>
  <c r="P139" i="84"/>
  <c r="P25" i="83"/>
  <c r="Y77" i="85"/>
  <c r="AA41" i="93"/>
  <c r="P57" i="89"/>
  <c r="AB139" i="74"/>
  <c r="O35" i="82"/>
  <c r="Q92" i="84"/>
  <c r="AB151" i="89"/>
  <c r="Z137" i="92"/>
  <c r="P111" i="81"/>
  <c r="L122" i="93"/>
  <c r="N45" i="83"/>
  <c r="P76" i="74"/>
  <c r="P41" i="94"/>
  <c r="X136" i="74"/>
  <c r="AB126" i="85"/>
  <c r="Q111" i="81"/>
  <c r="Z115" i="94"/>
  <c r="X63" i="84"/>
  <c r="AB61" i="83"/>
  <c r="Q126" i="89"/>
  <c r="Q148" i="87"/>
  <c r="Y100" i="91"/>
  <c r="Q128" i="90"/>
  <c r="X155" i="93"/>
  <c r="Q94" i="74"/>
  <c r="Q103" i="85"/>
  <c r="L165" i="93"/>
  <c r="AA126" i="83"/>
  <c r="P155" i="81"/>
  <c r="Y73" i="92"/>
  <c r="X146" i="83"/>
  <c r="L95" i="81"/>
  <c r="O121" i="74"/>
  <c r="P85" i="91"/>
  <c r="X152" i="90"/>
  <c r="L69" i="81"/>
  <c r="L72" i="91"/>
  <c r="Z35" i="84"/>
  <c r="AB57" i="93"/>
  <c r="P131" i="83"/>
  <c r="O159" i="85"/>
  <c r="X89" i="88"/>
  <c r="AA132" i="94"/>
  <c r="Y106" i="83"/>
  <c r="Y162" i="89"/>
  <c r="AA75" i="90"/>
  <c r="AB115" i="91"/>
  <c r="N81" i="74"/>
  <c r="AA9" i="89"/>
  <c r="O82" i="93"/>
  <c r="AA106" i="82"/>
  <c r="Q64" i="90"/>
  <c r="P64" i="82"/>
  <c r="X65" i="82"/>
  <c r="Z21" i="82"/>
  <c r="Z146" i="93"/>
  <c r="Y63" i="87"/>
  <c r="AB95" i="84"/>
  <c r="N66" i="85"/>
  <c r="P166" i="82"/>
  <c r="AA123" i="87"/>
  <c r="Y76" i="87"/>
  <c r="Q75" i="93"/>
  <c r="Y154" i="74"/>
  <c r="AA78" i="83"/>
  <c r="L112" i="74"/>
  <c r="X153" i="91"/>
  <c r="AB113" i="82"/>
  <c r="Y99" i="93"/>
  <c r="Q59" i="91"/>
  <c r="AB167" i="94"/>
  <c r="O84" i="87"/>
  <c r="AB100" i="83"/>
  <c r="AB124" i="90"/>
  <c r="O95" i="91"/>
  <c r="X104" i="84"/>
  <c r="AA124" i="85"/>
  <c r="N39" i="74"/>
  <c r="Z155" i="92"/>
  <c r="L84" i="91"/>
  <c r="Y98" i="92"/>
  <c r="Y83" i="83"/>
  <c r="P66" i="91"/>
  <c r="X67" i="91"/>
  <c r="Z148" i="88"/>
  <c r="X134" i="83"/>
  <c r="AB143" i="82"/>
  <c r="Z55" i="81"/>
  <c r="Z103" i="92"/>
  <c r="Y68" i="92"/>
  <c r="Y95" i="88"/>
  <c r="Y115" i="88"/>
  <c r="O166" i="87"/>
  <c r="L161" i="92"/>
  <c r="N138" i="92"/>
  <c r="P153" i="91"/>
  <c r="AB122" i="89"/>
  <c r="X109" i="88"/>
  <c r="L87" i="88"/>
  <c r="AB155" i="91"/>
  <c r="X19" i="74"/>
  <c r="Z138" i="89"/>
  <c r="L151" i="85"/>
  <c r="X123" i="82"/>
  <c r="Z143" i="92"/>
  <c r="O41" i="89"/>
  <c r="P123" i="94"/>
  <c r="AB102" i="94"/>
  <c r="Z92" i="81"/>
  <c r="X141" i="84"/>
  <c r="Q112" i="82"/>
  <c r="AB163" i="83"/>
  <c r="Z125" i="74"/>
  <c r="P167" i="85"/>
  <c r="X160" i="87"/>
  <c r="P47" i="92"/>
  <c r="Q136" i="85"/>
  <c r="L135" i="93"/>
  <c r="O139" i="74"/>
  <c r="Z51" i="83"/>
  <c r="P27" i="88"/>
  <c r="X125" i="83"/>
  <c r="O95" i="90"/>
  <c r="P149" i="74"/>
  <c r="Y113" i="83"/>
  <c r="Q49" i="87"/>
  <c r="Z108" i="88"/>
  <c r="M9" i="83"/>
  <c r="Y164" i="90"/>
  <c r="P160" i="93"/>
  <c r="AA115" i="84"/>
  <c r="X95" i="93"/>
  <c r="X139" i="90"/>
  <c r="O47" i="93"/>
  <c r="X97" i="89"/>
  <c r="L107" i="87"/>
  <c r="O13" i="94"/>
  <c r="P93" i="85"/>
  <c r="P149" i="88"/>
  <c r="Q91" i="93"/>
  <c r="N63" i="90"/>
  <c r="Q123" i="94"/>
  <c r="P124" i="93"/>
  <c r="O109" i="84"/>
  <c r="Z144" i="87"/>
  <c r="X95" i="82"/>
  <c r="P117" i="74"/>
  <c r="AA35" i="87"/>
  <c r="M39" i="82"/>
  <c r="AA108" i="85"/>
  <c r="AB90" i="82"/>
  <c r="N39" i="82"/>
  <c r="N78" i="93"/>
  <c r="AA152" i="84"/>
  <c r="AB59" i="89"/>
  <c r="P59" i="93"/>
  <c r="Y119" i="87"/>
  <c r="AA154" i="89"/>
  <c r="AA113" i="89"/>
  <c r="X148" i="93"/>
  <c r="Q163" i="87"/>
  <c r="O123" i="74"/>
  <c r="Z167" i="89"/>
  <c r="Y37" i="93"/>
  <c r="Y103" i="74"/>
  <c r="O95" i="82"/>
  <c r="AA147" i="88"/>
  <c r="X117" i="90"/>
  <c r="Y57" i="92"/>
  <c r="AA140" i="87"/>
  <c r="Y163" i="89"/>
  <c r="L108" i="81"/>
  <c r="X68" i="90"/>
  <c r="AA35" i="89"/>
  <c r="AB101" i="87"/>
  <c r="P147" i="93"/>
  <c r="AA143" i="85"/>
  <c r="P41" i="90"/>
  <c r="L136" i="74"/>
  <c r="Y124" i="87"/>
  <c r="AA119" i="91"/>
  <c r="AA139" i="89"/>
  <c r="AB92" i="85"/>
  <c r="N87" i="93"/>
  <c r="P150" i="92"/>
  <c r="X66" i="93"/>
  <c r="L153" i="88"/>
  <c r="Y17" i="85"/>
  <c r="AA125" i="85"/>
  <c r="O70" i="88"/>
  <c r="Y79" i="92"/>
  <c r="AA81" i="81"/>
  <c r="AB75" i="82"/>
  <c r="O118" i="87"/>
  <c r="AA118" i="91"/>
  <c r="X133" i="88"/>
  <c r="M31" i="87"/>
  <c r="L126" i="81"/>
  <c r="P141" i="74"/>
  <c r="X69" i="81"/>
  <c r="AB156" i="74"/>
  <c r="X149" i="85"/>
  <c r="AA35" i="94"/>
  <c r="P103" i="82"/>
  <c r="AA140" i="74"/>
  <c r="O73" i="90"/>
  <c r="AB95" i="81"/>
  <c r="O122" i="83"/>
  <c r="AA129" i="91"/>
  <c r="L92" i="87"/>
  <c r="P91" i="81"/>
  <c r="X154" i="83"/>
  <c r="X137" i="81"/>
  <c r="Q59" i="89"/>
  <c r="P167" i="84"/>
  <c r="Q76" i="93"/>
  <c r="Z154" i="94"/>
  <c r="N72" i="89"/>
  <c r="M35" i="92"/>
  <c r="Y152" i="90"/>
  <c r="Z97" i="87"/>
  <c r="AB23" i="81"/>
  <c r="AB29" i="85"/>
  <c r="Y67" i="83"/>
  <c r="X124" i="74"/>
  <c r="O101" i="87"/>
  <c r="L131" i="92"/>
  <c r="Y141" i="82"/>
  <c r="O151" i="90"/>
  <c r="P167" i="92"/>
  <c r="X19" i="90"/>
  <c r="M23" i="94"/>
  <c r="L117" i="83"/>
  <c r="P116" i="87"/>
  <c r="Y107" i="88"/>
  <c r="Z137" i="83"/>
  <c r="O110" i="93"/>
  <c r="Y122" i="89"/>
  <c r="M33" i="94"/>
  <c r="O128" i="81"/>
  <c r="P93" i="84"/>
  <c r="Q110" i="81"/>
  <c r="Q69" i="74"/>
  <c r="AA134" i="84"/>
  <c r="P124" i="89"/>
  <c r="M41" i="74"/>
  <c r="AB137" i="84"/>
  <c r="AB156" i="90"/>
  <c r="L138" i="85"/>
  <c r="AA27" i="74"/>
  <c r="AA55" i="91"/>
  <c r="O75" i="92"/>
  <c r="Q74" i="82"/>
  <c r="X166" i="83"/>
  <c r="L73" i="91"/>
  <c r="Q143" i="91"/>
  <c r="Z96" i="85"/>
  <c r="Z150" i="85"/>
  <c r="P98" i="88"/>
  <c r="Z47" i="82"/>
  <c r="N75" i="91"/>
  <c r="X137" i="89"/>
  <c r="AB55" i="88"/>
  <c r="L81" i="87"/>
  <c r="Q150" i="91"/>
  <c r="AA156" i="74"/>
  <c r="AA39" i="91"/>
  <c r="O75" i="74"/>
  <c r="AA123" i="88"/>
  <c r="AB113" i="94"/>
  <c r="Z120" i="90"/>
  <c r="Q41" i="92"/>
  <c r="Q21" i="83"/>
  <c r="P114" i="93"/>
  <c r="Z65" i="94"/>
  <c r="Q159" i="83"/>
  <c r="L144" i="89"/>
  <c r="AB123" i="90"/>
  <c r="AB55" i="83"/>
  <c r="X66" i="87"/>
  <c r="Y89" i="94"/>
  <c r="Y166" i="94"/>
  <c r="AA162" i="88"/>
  <c r="N21" i="94"/>
  <c r="Y126" i="89"/>
  <c r="X65" i="83"/>
  <c r="P94" i="83"/>
  <c r="L131" i="85"/>
  <c r="N156" i="93"/>
  <c r="AB55" i="84"/>
  <c r="AA141" i="84"/>
  <c r="X121" i="92"/>
  <c r="P109" i="89"/>
  <c r="O103" i="84"/>
  <c r="Q95" i="90"/>
  <c r="X152" i="91"/>
  <c r="AB165" i="89"/>
  <c r="AA57" i="87"/>
  <c r="AA53" i="94"/>
  <c r="AB151" i="91"/>
  <c r="X163" i="88"/>
  <c r="Y120" i="87"/>
  <c r="P92" i="84"/>
  <c r="Y125" i="87"/>
  <c r="O128" i="85"/>
  <c r="L86" i="74"/>
  <c r="L154" i="90"/>
  <c r="AA33" i="90"/>
  <c r="Z109" i="85"/>
  <c r="L142" i="83"/>
  <c r="Z55" i="92"/>
  <c r="O19" i="91"/>
  <c r="Q31" i="92"/>
  <c r="Z67" i="88"/>
  <c r="Y82" i="88"/>
  <c r="Q47" i="74"/>
  <c r="Q145" i="81"/>
  <c r="X110" i="89"/>
  <c r="Y63" i="91"/>
  <c r="O153" i="88"/>
  <c r="AB70" i="83"/>
  <c r="Q23" i="90"/>
  <c r="X112" i="94"/>
  <c r="O131" i="88"/>
  <c r="Z164" i="82"/>
  <c r="X126" i="88"/>
  <c r="O91" i="91"/>
  <c r="L88" i="90"/>
  <c r="Y107" i="89"/>
  <c r="P29" i="81"/>
  <c r="X138" i="93"/>
  <c r="AA67" i="93"/>
  <c r="P111" i="74"/>
  <c r="Q102" i="87"/>
  <c r="O115" i="91"/>
  <c r="X74" i="87"/>
  <c r="L69" i="88"/>
  <c r="X100" i="83"/>
  <c r="X148" i="84"/>
  <c r="P152" i="82"/>
  <c r="Y94" i="81"/>
  <c r="X154" i="82"/>
  <c r="Y51" i="90"/>
  <c r="AA82" i="90"/>
  <c r="AA131" i="90"/>
  <c r="P107" i="94"/>
  <c r="N120" i="85"/>
  <c r="P120" i="93"/>
  <c r="M31" i="74"/>
  <c r="P103" i="90"/>
  <c r="Y165" i="88"/>
  <c r="AA159" i="89"/>
  <c r="X113" i="91"/>
  <c r="L111" i="87"/>
  <c r="P150" i="83"/>
  <c r="P122" i="81"/>
  <c r="Y29" i="92"/>
  <c r="P78" i="93"/>
  <c r="P110" i="90"/>
  <c r="Y139" i="87"/>
  <c r="P111" i="88"/>
  <c r="Z98" i="87"/>
  <c r="AB102" i="83"/>
  <c r="M33" i="90"/>
  <c r="AA129" i="74"/>
  <c r="Q144" i="83"/>
  <c r="O102" i="84"/>
  <c r="O118" i="81"/>
  <c r="P140" i="87"/>
  <c r="O45" i="82"/>
  <c r="N69" i="88"/>
  <c r="X76" i="82"/>
  <c r="Y69" i="74"/>
  <c r="AA119" i="87"/>
  <c r="O80" i="74"/>
  <c r="AA41" i="87"/>
  <c r="Y21" i="87"/>
  <c r="O128" i="91"/>
  <c r="P115" i="74"/>
  <c r="X67" i="81"/>
  <c r="Q167" i="83"/>
  <c r="AA158" i="94"/>
  <c r="P21" i="85"/>
  <c r="Y86" i="81"/>
  <c r="AB121" i="87"/>
  <c r="X121" i="88"/>
  <c r="Y120" i="89"/>
  <c r="Y21" i="83"/>
  <c r="Q69" i="83"/>
  <c r="AA35" i="90"/>
  <c r="L134" i="85"/>
  <c r="O17" i="83"/>
  <c r="Z95" i="81"/>
  <c r="P147" i="82"/>
  <c r="Z99" i="74"/>
  <c r="X133" i="90"/>
  <c r="X61" i="85"/>
  <c r="P83" i="83"/>
  <c r="Z61" i="87"/>
  <c r="O154" i="90"/>
  <c r="AA15" i="89"/>
  <c r="Q111" i="89"/>
  <c r="AB65" i="94"/>
  <c r="P79" i="82"/>
  <c r="Z105" i="85"/>
  <c r="L119" i="84"/>
  <c r="Q163" i="92"/>
  <c r="Z105" i="89"/>
  <c r="AB138" i="93"/>
  <c r="L82" i="85"/>
  <c r="N123" i="92"/>
  <c r="AB167" i="87"/>
  <c r="X166" i="90"/>
  <c r="AA17" i="89"/>
  <c r="AA128" i="93"/>
  <c r="Q53" i="82"/>
  <c r="N66" i="83"/>
  <c r="Z94" i="81"/>
  <c r="O132" i="81"/>
  <c r="Q83" i="90"/>
  <c r="N159" i="92"/>
  <c r="X88" i="89"/>
  <c r="Z162" i="87"/>
  <c r="O131" i="83"/>
  <c r="Q68" i="94"/>
  <c r="X49" i="90"/>
  <c r="P35" i="84"/>
  <c r="X112" i="90"/>
  <c r="Z166" i="85"/>
  <c r="O43" i="74"/>
  <c r="O21" i="85"/>
  <c r="Y142" i="90"/>
  <c r="AA80" i="92"/>
  <c r="X49" i="85"/>
  <c r="AB134" i="90"/>
  <c r="Q59" i="74"/>
  <c r="Y164" i="92"/>
  <c r="P64" i="84"/>
  <c r="Q73" i="91"/>
  <c r="Q41" i="94"/>
  <c r="Q78" i="94"/>
  <c r="Y156" i="94"/>
  <c r="AB105" i="87"/>
  <c r="Q81" i="87"/>
  <c r="AB119" i="90"/>
  <c r="AB91" i="87"/>
  <c r="N108" i="90"/>
  <c r="P101" i="85"/>
  <c r="Y59" i="90"/>
  <c r="O64" i="93"/>
  <c r="AA37" i="88"/>
  <c r="Q75" i="84"/>
  <c r="Q100" i="82"/>
  <c r="O95" i="74"/>
  <c r="Y116" i="81"/>
  <c r="AA88" i="87"/>
  <c r="X130" i="87"/>
  <c r="P9" i="92"/>
  <c r="P166" i="81"/>
  <c r="Q83" i="94"/>
  <c r="P127" i="90"/>
  <c r="Y129" i="87"/>
  <c r="M61" i="74"/>
  <c r="Q94" i="90"/>
  <c r="AB149" i="81"/>
  <c r="L116" i="93"/>
  <c r="AA68" i="87"/>
  <c r="X144" i="88"/>
  <c r="AB53" i="88"/>
  <c r="L147" i="89"/>
  <c r="AA97" i="74"/>
  <c r="AB67" i="74"/>
  <c r="Q122" i="89"/>
  <c r="Z146" i="91"/>
  <c r="O150" i="87"/>
  <c r="L101" i="93"/>
  <c r="Z110" i="94"/>
  <c r="AB133" i="88"/>
  <c r="Z134" i="85"/>
  <c r="L160" i="74"/>
  <c r="Z125" i="85"/>
  <c r="P145" i="74"/>
  <c r="Z135" i="92"/>
  <c r="P39" i="87"/>
  <c r="AB82" i="74"/>
  <c r="O112" i="92"/>
  <c r="AB145" i="88"/>
  <c r="Y31" i="94"/>
  <c r="AA96" i="88"/>
  <c r="AA88" i="74"/>
  <c r="X9" i="83"/>
  <c r="P141" i="84"/>
  <c r="X130" i="93"/>
  <c r="Q45" i="74"/>
  <c r="Z149" i="74"/>
  <c r="Z160" i="94"/>
  <c r="AB77" i="94"/>
  <c r="AA121" i="92"/>
  <c r="O84" i="74"/>
  <c r="Q104" i="88"/>
  <c r="Z74" i="81"/>
  <c r="Y134" i="81"/>
  <c r="P136" i="81"/>
  <c r="Q84" i="92"/>
  <c r="Z149" i="90"/>
  <c r="P154" i="94"/>
  <c r="Q144" i="89"/>
  <c r="Y163" i="88"/>
  <c r="AA144" i="87"/>
  <c r="Y136" i="82"/>
  <c r="AB9" i="84"/>
  <c r="Y76" i="83"/>
  <c r="AA111" i="82"/>
  <c r="AA146" i="88"/>
  <c r="Q165" i="91"/>
  <c r="Q146" i="82"/>
  <c r="AA27" i="89"/>
  <c r="Y144" i="90"/>
  <c r="AA138" i="84"/>
  <c r="M39" i="74"/>
  <c r="Z108" i="84"/>
  <c r="AA126" i="87"/>
  <c r="Z11" i="81"/>
  <c r="O137" i="91"/>
  <c r="Y146" i="85"/>
  <c r="P94" i="90"/>
  <c r="L87" i="85"/>
  <c r="X109" i="91"/>
  <c r="O104" i="83"/>
  <c r="X53" i="87"/>
  <c r="O63" i="94"/>
  <c r="O96" i="87"/>
  <c r="Y37" i="91"/>
  <c r="Y86" i="84"/>
  <c r="AA149" i="87"/>
  <c r="AB119" i="74"/>
  <c r="AB109" i="91"/>
  <c r="O120" i="90"/>
  <c r="Y61" i="91"/>
  <c r="P132" i="94"/>
  <c r="Z147" i="85"/>
  <c r="AB68" i="85"/>
  <c r="L106" i="90"/>
  <c r="X162" i="82"/>
  <c r="O69" i="85"/>
  <c r="L63" i="85"/>
  <c r="Q61" i="92"/>
  <c r="P115" i="89"/>
  <c r="AB117" i="91"/>
  <c r="Q31" i="87"/>
  <c r="Q161" i="89"/>
  <c r="Q19" i="88"/>
  <c r="Q154" i="84"/>
  <c r="Z29" i="82"/>
  <c r="Z15" i="88"/>
  <c r="Y105" i="74"/>
  <c r="Y126" i="81"/>
  <c r="P119" i="90"/>
  <c r="X25" i="89"/>
  <c r="AA123" i="89"/>
  <c r="Y59" i="91"/>
  <c r="L76" i="89"/>
  <c r="X93" i="83"/>
  <c r="AB139" i="89"/>
  <c r="L120" i="90"/>
  <c r="Z96" i="93"/>
  <c r="O74" i="74"/>
  <c r="AA164" i="88"/>
  <c r="AA53" i="82"/>
  <c r="AA156" i="93"/>
  <c r="Q163" i="83"/>
  <c r="AA70" i="89"/>
  <c r="AB123" i="85"/>
  <c r="AB23" i="83"/>
  <c r="L155" i="90"/>
  <c r="Z17" i="74"/>
  <c r="O57" i="92"/>
  <c r="O85" i="81"/>
  <c r="Z96" i="90"/>
  <c r="X19" i="85"/>
  <c r="O78" i="85"/>
  <c r="Y150" i="84"/>
  <c r="L128" i="92"/>
  <c r="AA27" i="81"/>
  <c r="Y97" i="88"/>
  <c r="N156" i="91"/>
  <c r="O164" i="85"/>
  <c r="O126" i="91"/>
  <c r="AB9" i="93"/>
  <c r="L84" i="81"/>
  <c r="Q107" i="87"/>
  <c r="P132" i="74"/>
  <c r="Z147" i="90"/>
  <c r="Y132" i="92"/>
  <c r="O39" i="94"/>
  <c r="P100" i="81"/>
  <c r="X70" i="93"/>
  <c r="Y61" i="84"/>
  <c r="L145" i="89"/>
  <c r="AA25" i="90"/>
  <c r="L113" i="92"/>
  <c r="P165" i="93"/>
  <c r="X39" i="92"/>
  <c r="Z120" i="74"/>
  <c r="AB96" i="84"/>
  <c r="Y108" i="90"/>
  <c r="AB163" i="88"/>
  <c r="Q122" i="94"/>
  <c r="Q95" i="93"/>
  <c r="P86" i="82"/>
  <c r="X113" i="83"/>
  <c r="P123" i="83"/>
  <c r="Z11" i="82"/>
  <c r="P66" i="93"/>
  <c r="Z74" i="91"/>
  <c r="X31" i="92"/>
  <c r="AA82" i="83"/>
  <c r="X39" i="81"/>
  <c r="O130" i="74"/>
  <c r="P84" i="81"/>
  <c r="O104" i="92"/>
  <c r="AA159" i="93"/>
  <c r="L118" i="88"/>
  <c r="O103" i="89"/>
  <c r="L93" i="83"/>
  <c r="P9" i="74"/>
  <c r="AA43" i="88"/>
  <c r="L73" i="92"/>
  <c r="O68" i="85"/>
  <c r="AB49" i="91"/>
  <c r="Q43" i="90"/>
  <c r="O86" i="92"/>
  <c r="P87" i="92"/>
  <c r="Q127" i="82"/>
  <c r="Z136" i="89"/>
  <c r="N114" i="82"/>
  <c r="Q114" i="94"/>
  <c r="Z71" i="91"/>
  <c r="Y37" i="92"/>
  <c r="O134" i="82"/>
  <c r="AA126" i="85"/>
  <c r="L143" i="87"/>
  <c r="X156" i="92"/>
  <c r="Q144" i="94"/>
  <c r="X13" i="87"/>
  <c r="Y131" i="91"/>
  <c r="Q119" i="94"/>
  <c r="AB143" i="89"/>
  <c r="P122" i="88"/>
  <c r="Q53" i="83"/>
  <c r="L144" i="88"/>
  <c r="O116" i="92"/>
  <c r="O136" i="82"/>
  <c r="Y72" i="92"/>
  <c r="O68" i="94"/>
  <c r="AA82" i="91"/>
  <c r="AA100" i="88"/>
  <c r="AB149" i="93"/>
  <c r="Y11" i="91"/>
  <c r="N21" i="89"/>
  <c r="M45" i="88"/>
  <c r="O139" i="90"/>
  <c r="P108" i="92"/>
  <c r="Q138" i="90"/>
  <c r="P81" i="81"/>
  <c r="P147" i="74"/>
  <c r="Q83" i="74"/>
  <c r="P70" i="84"/>
  <c r="Y71" i="83"/>
  <c r="O15" i="89"/>
  <c r="Q124" i="89"/>
  <c r="AB43" i="88"/>
  <c r="L110" i="90"/>
  <c r="Q138" i="85"/>
  <c r="AB111" i="85"/>
  <c r="Q19" i="94"/>
  <c r="AA129" i="88"/>
  <c r="P124" i="90"/>
  <c r="Y29" i="82"/>
  <c r="AA112" i="85"/>
  <c r="AB45" i="93"/>
  <c r="O66" i="74"/>
  <c r="AB136" i="91"/>
  <c r="AB85" i="93"/>
  <c r="X167" i="87"/>
  <c r="Z131" i="88"/>
  <c r="Q158" i="82"/>
  <c r="Y155" i="84"/>
  <c r="AB75" i="81"/>
  <c r="L108" i="85"/>
  <c r="O75" i="85"/>
  <c r="X153" i="94"/>
  <c r="Y97" i="74"/>
  <c r="AA155" i="91"/>
  <c r="AA118" i="87"/>
  <c r="X128" i="81"/>
  <c r="X146" i="90"/>
  <c r="Y137" i="89"/>
  <c r="L159" i="88"/>
  <c r="Z136" i="84"/>
  <c r="N39" i="89"/>
  <c r="AA75" i="74"/>
  <c r="O87" i="74"/>
  <c r="Y23" i="82"/>
  <c r="O78" i="82"/>
  <c r="X164" i="81"/>
  <c r="AA92" i="92"/>
  <c r="Q82" i="74"/>
  <c r="Z128" i="93"/>
  <c r="O92" i="93"/>
  <c r="O104" i="88"/>
  <c r="Q23" i="85"/>
  <c r="P25" i="81"/>
  <c r="AB101" i="81"/>
  <c r="Q79" i="92"/>
  <c r="X79" i="83"/>
  <c r="Z159" i="81"/>
  <c r="Z39" i="74"/>
  <c r="Q94" i="81"/>
  <c r="P79" i="85"/>
  <c r="AB131" i="83"/>
  <c r="Q127" i="81"/>
  <c r="Z31" i="85"/>
  <c r="AA71" i="89"/>
  <c r="N138" i="93"/>
  <c r="AB112" i="90"/>
  <c r="L143" i="85"/>
  <c r="M61" i="94"/>
  <c r="Y94" i="89"/>
  <c r="AA47" i="88"/>
  <c r="Y74" i="85"/>
  <c r="X124" i="84"/>
  <c r="M17" i="89"/>
  <c r="AA142" i="88"/>
  <c r="P53" i="93"/>
  <c r="N165" i="93"/>
  <c r="AB128" i="87"/>
  <c r="L91" i="89"/>
  <c r="Q151" i="89"/>
  <c r="AA41" i="91"/>
  <c r="L129" i="85"/>
  <c r="AA133" i="84"/>
  <c r="X78" i="87"/>
  <c r="Q112" i="90"/>
  <c r="L141" i="92"/>
  <c r="AA149" i="85"/>
  <c r="AB81" i="93"/>
  <c r="Y113" i="89"/>
  <c r="X147" i="83"/>
  <c r="AA81" i="85"/>
  <c r="X77" i="93"/>
  <c r="Z147" i="81"/>
  <c r="AB53" i="93"/>
  <c r="Y84" i="87"/>
  <c r="AB132" i="87"/>
  <c r="P72" i="92"/>
  <c r="X33" i="87"/>
  <c r="P121" i="93"/>
  <c r="AB102" i="89"/>
  <c r="Y156" i="88"/>
  <c r="O126" i="93"/>
  <c r="Y123" i="93"/>
  <c r="P88" i="94"/>
  <c r="O126" i="74"/>
  <c r="AA138" i="92"/>
  <c r="AA77" i="81"/>
  <c r="Y140" i="92"/>
  <c r="L75" i="94"/>
  <c r="AB43" i="87"/>
  <c r="Y63" i="85"/>
  <c r="Y11" i="81"/>
  <c r="Y163" i="85"/>
  <c r="Q111" i="85"/>
  <c r="AB67" i="91"/>
  <c r="Q59" i="88"/>
  <c r="P35" i="81"/>
  <c r="AA65" i="90"/>
  <c r="Y119" i="84"/>
  <c r="P9" i="82"/>
  <c r="Y147" i="81"/>
  <c r="L98" i="82"/>
  <c r="Z77" i="74"/>
  <c r="X165" i="84"/>
  <c r="AB112" i="74"/>
  <c r="Y70" i="85"/>
  <c r="P21" i="88"/>
  <c r="O117" i="81"/>
  <c r="AB120" i="82"/>
  <c r="AB43" i="92"/>
  <c r="AA116" i="83"/>
  <c r="P33" i="94"/>
  <c r="AA149" i="81"/>
  <c r="Q27" i="91"/>
  <c r="N132" i="82"/>
  <c r="L119" i="87"/>
  <c r="Q115" i="90"/>
  <c r="P75" i="81"/>
  <c r="AB107" i="83"/>
  <c r="X72" i="91"/>
  <c r="Y138" i="94"/>
  <c r="M25" i="93"/>
  <c r="O61" i="88"/>
  <c r="X153" i="81"/>
  <c r="AA11" i="93"/>
  <c r="L133" i="87"/>
  <c r="Y27" i="89"/>
  <c r="X141" i="83"/>
  <c r="AA144" i="91"/>
  <c r="P11" i="94"/>
  <c r="AB11" i="87"/>
  <c r="AB118" i="84"/>
  <c r="P149" i="94"/>
  <c r="L75" i="92"/>
  <c r="Z150" i="83"/>
  <c r="Q88" i="85"/>
  <c r="P17" i="92"/>
  <c r="X80" i="89"/>
  <c r="AB57" i="87"/>
  <c r="Y114" i="84"/>
  <c r="X166" i="82"/>
  <c r="AA13" i="87"/>
  <c r="Y93" i="89"/>
  <c r="O81" i="74"/>
  <c r="AA167" i="94"/>
  <c r="X149" i="89"/>
  <c r="Q73" i="81"/>
  <c r="O109" i="91"/>
  <c r="Z93" i="88"/>
  <c r="L149" i="90"/>
  <c r="Y144" i="74"/>
  <c r="L164" i="87"/>
  <c r="AA100" i="82"/>
  <c r="AA148" i="74"/>
  <c r="O45" i="94"/>
  <c r="O140" i="81"/>
  <c r="X43" i="93"/>
  <c r="Q167" i="87"/>
  <c r="AA125" i="88"/>
  <c r="O47" i="83"/>
  <c r="Q144" i="90"/>
  <c r="Q101" i="90"/>
  <c r="O115" i="94"/>
  <c r="O92" i="87"/>
  <c r="P83" i="81"/>
  <c r="P74" i="82"/>
  <c r="AA21" i="91"/>
  <c r="AB64" i="83"/>
  <c r="AB161" i="90"/>
  <c r="AA87" i="90"/>
  <c r="Q63" i="94"/>
  <c r="Y154" i="94"/>
  <c r="N141" i="84"/>
  <c r="AA143" i="87"/>
  <c r="AB102" i="84"/>
  <c r="N84" i="94"/>
  <c r="AB118" i="82"/>
  <c r="L69" i="87"/>
  <c r="Y164" i="91"/>
  <c r="AA167" i="74"/>
  <c r="AB159" i="94"/>
  <c r="O43" i="87"/>
  <c r="Z163" i="74"/>
  <c r="AA90" i="83"/>
  <c r="AA149" i="91"/>
  <c r="L160" i="85"/>
  <c r="X15" i="92"/>
  <c r="O29" i="83"/>
  <c r="X78" i="90"/>
  <c r="L105" i="92"/>
  <c r="AB160" i="83"/>
  <c r="O96" i="85"/>
  <c r="P126" i="89"/>
  <c r="AA67" i="88"/>
  <c r="Q74" i="85"/>
  <c r="Y109" i="91"/>
  <c r="AA131" i="74"/>
  <c r="Z114" i="83"/>
  <c r="AA110" i="90"/>
  <c r="N72" i="81"/>
  <c r="Z151" i="93"/>
  <c r="X133" i="91"/>
  <c r="N21" i="93"/>
  <c r="AA115" i="85"/>
  <c r="O142" i="88"/>
  <c r="Z134" i="74"/>
  <c r="Q133" i="81"/>
  <c r="L78" i="85"/>
  <c r="Z111" i="85"/>
  <c r="AB151" i="93"/>
  <c r="Z92" i="84"/>
  <c r="Y85" i="74"/>
  <c r="AB121" i="92"/>
  <c r="L126" i="84"/>
  <c r="Q87" i="81"/>
  <c r="P39" i="82"/>
  <c r="X80" i="94"/>
  <c r="Q76" i="83"/>
  <c r="O61" i="90"/>
  <c r="N141" i="94"/>
  <c r="Y89" i="89"/>
  <c r="Q79" i="74"/>
  <c r="Y47" i="94"/>
  <c r="X161" i="91"/>
  <c r="O146" i="85"/>
  <c r="AB37" i="74"/>
  <c r="Q57" i="92"/>
  <c r="P81" i="92"/>
  <c r="Q142" i="94"/>
  <c r="AB164" i="84"/>
  <c r="O19" i="82"/>
  <c r="L77" i="81"/>
  <c r="Q114" i="89"/>
  <c r="O159" i="89"/>
  <c r="P154" i="87"/>
  <c r="L107" i="94"/>
  <c r="Y106" i="90"/>
  <c r="Y69" i="93"/>
  <c r="L158" i="82"/>
  <c r="AA148" i="89"/>
  <c r="L114" i="92"/>
  <c r="Y94" i="84"/>
  <c r="AB163" i="93"/>
  <c r="N9" i="94"/>
  <c r="O103" i="90"/>
  <c r="AA110" i="93"/>
  <c r="P82" i="85"/>
  <c r="Q88" i="92"/>
  <c r="Z41" i="81"/>
  <c r="Q75" i="90"/>
  <c r="X139" i="91"/>
  <c r="Y101" i="85"/>
  <c r="N132" i="93"/>
  <c r="O68" i="81"/>
  <c r="AB76" i="82"/>
  <c r="Z106" i="94"/>
  <c r="Z128" i="94"/>
  <c r="Z121" i="94"/>
  <c r="Z37" i="83"/>
  <c r="P108" i="85"/>
  <c r="Z148" i="82"/>
  <c r="L98" i="84"/>
  <c r="X41" i="82"/>
  <c r="AB25" i="93"/>
  <c r="Q121" i="90"/>
  <c r="P124" i="91"/>
  <c r="Q59" i="90"/>
  <c r="X155" i="87"/>
  <c r="AB120" i="93"/>
  <c r="O146" i="88"/>
  <c r="L165" i="82"/>
  <c r="P117" i="81"/>
  <c r="AA152" i="87"/>
  <c r="Y77" i="82"/>
  <c r="Q132" i="88"/>
  <c r="P77" i="85"/>
  <c r="Y66" i="89"/>
  <c r="O76" i="92"/>
  <c r="AB115" i="84"/>
  <c r="X107" i="74"/>
  <c r="X47" i="74"/>
  <c r="L117" i="91"/>
  <c r="Z125" i="88"/>
  <c r="P41" i="74"/>
  <c r="X138" i="83"/>
  <c r="P25" i="94"/>
  <c r="Y102" i="94"/>
  <c r="Y132" i="74"/>
  <c r="X126" i="82"/>
  <c r="X33" i="89"/>
  <c r="Q67" i="89"/>
  <c r="AB113" i="89"/>
  <c r="Z136" i="82"/>
  <c r="Y158" i="91"/>
  <c r="Z80" i="94"/>
  <c r="X27" i="94"/>
  <c r="Y129" i="93"/>
  <c r="AA85" i="91"/>
  <c r="AA71" i="82"/>
  <c r="O86" i="81"/>
  <c r="X93" i="85"/>
  <c r="Y151" i="84"/>
  <c r="Y153" i="93"/>
  <c r="O95" i="85"/>
  <c r="Z80" i="84"/>
  <c r="AB87" i="89"/>
  <c r="AB148" i="84"/>
  <c r="AA68" i="83"/>
  <c r="O70" i="90"/>
  <c r="P49" i="82"/>
  <c r="X153" i="83"/>
  <c r="Y39" i="89"/>
  <c r="AB146" i="85"/>
  <c r="P151" i="87"/>
  <c r="X156" i="90"/>
  <c r="X148" i="92"/>
  <c r="O114" i="81"/>
  <c r="O158" i="92"/>
  <c r="X132" i="87"/>
  <c r="P67" i="85"/>
  <c r="L109" i="88"/>
  <c r="X11" i="87"/>
  <c r="AA31" i="85"/>
  <c r="Q108" i="93"/>
  <c r="Y119" i="89"/>
  <c r="X127" i="82"/>
  <c r="P111" i="89"/>
  <c r="L135" i="74"/>
  <c r="P96" i="82"/>
  <c r="L81" i="91"/>
  <c r="Z128" i="89"/>
  <c r="M43" i="93"/>
  <c r="Y100" i="92"/>
  <c r="Q118" i="87"/>
  <c r="M61" i="93"/>
  <c r="AA161" i="92"/>
  <c r="Y15" i="82"/>
  <c r="AB106" i="82"/>
  <c r="P131" i="87"/>
  <c r="Z125" i="89"/>
  <c r="L104" i="87"/>
  <c r="Y94" i="87"/>
  <c r="N63" i="84"/>
  <c r="AB147" i="93"/>
  <c r="AB104" i="74"/>
  <c r="Y15" i="88"/>
  <c r="AB158" i="81"/>
  <c r="Q139" i="92"/>
  <c r="Y71" i="82"/>
  <c r="Q77" i="84"/>
  <c r="AA114" i="91"/>
  <c r="Y99" i="89"/>
  <c r="Y93" i="82"/>
  <c r="AB71" i="94"/>
  <c r="Z157" i="90"/>
  <c r="O25" i="90"/>
  <c r="P17" i="91"/>
  <c r="P107" i="81"/>
  <c r="Q19" i="83"/>
  <c r="AB138" i="89"/>
  <c r="L141" i="74"/>
  <c r="AB106" i="91"/>
  <c r="Z87" i="82"/>
  <c r="AB135" i="92"/>
  <c r="P137" i="91"/>
  <c r="Y133" i="94"/>
  <c r="Z90" i="84"/>
  <c r="X94" i="91"/>
  <c r="Z116" i="82"/>
  <c r="Y82" i="92"/>
  <c r="O109" i="89"/>
  <c r="Q134" i="82"/>
  <c r="X163" i="85"/>
  <c r="P90" i="94"/>
  <c r="L68" i="91"/>
  <c r="AB25" i="87"/>
  <c r="Q131" i="85"/>
  <c r="P80" i="84"/>
  <c r="AA161" i="82"/>
  <c r="Y132" i="90"/>
  <c r="AB35" i="82"/>
  <c r="AA98" i="83"/>
  <c r="L112" i="92"/>
  <c r="P162" i="83"/>
  <c r="O127" i="87"/>
  <c r="X130" i="90"/>
  <c r="O165" i="88"/>
  <c r="N129" i="81"/>
  <c r="Z80" i="91"/>
  <c r="M37" i="87"/>
  <c r="AA25" i="91"/>
  <c r="Z158" i="82"/>
  <c r="O129" i="93"/>
  <c r="X129" i="83"/>
  <c r="AA79" i="89"/>
  <c r="Q159" i="82"/>
  <c r="Q81" i="91"/>
  <c r="AA116" i="84"/>
  <c r="AA143" i="94"/>
  <c r="X19" i="82"/>
  <c r="L86" i="81"/>
  <c r="Q115" i="85"/>
  <c r="AA150" i="85"/>
  <c r="O108" i="82"/>
  <c r="AB53" i="87"/>
  <c r="P151" i="85"/>
  <c r="N156" i="94"/>
  <c r="L125" i="84"/>
  <c r="P167" i="82"/>
  <c r="M23" i="84"/>
  <c r="AB94" i="93"/>
  <c r="Z132" i="89"/>
  <c r="P99" i="87"/>
  <c r="Q154" i="94"/>
  <c r="O15" i="91"/>
  <c r="Z110" i="90"/>
  <c r="O124" i="74"/>
  <c r="X21" i="93"/>
  <c r="L83" i="91"/>
  <c r="AA160" i="90"/>
  <c r="L104" i="92"/>
  <c r="Z90" i="85"/>
  <c r="Y111" i="92"/>
  <c r="Y104" i="83"/>
  <c r="Z120" i="82"/>
  <c r="P135" i="91"/>
  <c r="AA119" i="93"/>
  <c r="Q154" i="89"/>
  <c r="X126" i="81"/>
  <c r="L164" i="82"/>
  <c r="X99" i="84"/>
  <c r="N84" i="81"/>
  <c r="AA106" i="90"/>
  <c r="P84" i="83"/>
  <c r="O122" i="89"/>
  <c r="O98" i="94"/>
  <c r="O59" i="90"/>
  <c r="M33" i="88"/>
  <c r="Y107" i="93"/>
  <c r="Q9" i="83"/>
  <c r="AA27" i="83"/>
  <c r="AB122" i="92"/>
  <c r="Z142" i="92"/>
  <c r="P107" i="90"/>
  <c r="O120" i="91"/>
  <c r="Z156" i="82"/>
  <c r="Y86" i="89"/>
  <c r="Q70" i="85"/>
  <c r="O67" i="85"/>
  <c r="O65" i="91"/>
  <c r="X59" i="84"/>
  <c r="AB119" i="81"/>
  <c r="O109" i="83"/>
  <c r="X83" i="85"/>
  <c r="Y158" i="92"/>
  <c r="L92" i="81"/>
  <c r="P45" i="91"/>
  <c r="AB73" i="84"/>
  <c r="Y161" i="84"/>
  <c r="AB152" i="90"/>
  <c r="N159" i="74"/>
  <c r="O113" i="94"/>
  <c r="Q33" i="89"/>
  <c r="AB23" i="84"/>
  <c r="Z103" i="74"/>
  <c r="X67" i="74"/>
  <c r="L127" i="88"/>
  <c r="O47" i="81"/>
  <c r="AB161" i="85"/>
  <c r="AB152" i="87"/>
  <c r="X128" i="84"/>
  <c r="AB158" i="84"/>
  <c r="O101" i="92"/>
  <c r="X167" i="81"/>
  <c r="X49" i="92"/>
  <c r="Y118" i="82"/>
  <c r="Y73" i="93"/>
  <c r="O136" i="94"/>
  <c r="Q113" i="82"/>
  <c r="Z49" i="84"/>
  <c r="X158" i="93"/>
  <c r="AB145" i="85"/>
  <c r="Z29" i="83"/>
  <c r="Q120" i="81"/>
  <c r="X100" i="91"/>
  <c r="Q37" i="81"/>
  <c r="P163" i="74"/>
  <c r="Z123" i="90"/>
  <c r="Y131" i="87"/>
  <c r="Q49" i="85"/>
  <c r="O61" i="83"/>
  <c r="P109" i="83"/>
  <c r="P81" i="85"/>
  <c r="O66" i="91"/>
  <c r="AB73" i="93"/>
  <c r="X160" i="82"/>
  <c r="X100" i="84"/>
  <c r="Q155" i="85"/>
  <c r="Y137" i="88"/>
  <c r="N66" i="93"/>
  <c r="AA9" i="81"/>
  <c r="AB101" i="82"/>
  <c r="Q29" i="81"/>
  <c r="Z115" i="87"/>
  <c r="L137" i="87"/>
  <c r="L143" i="90"/>
  <c r="O45" i="88"/>
  <c r="P136" i="82"/>
  <c r="P51" i="89"/>
  <c r="Z88" i="81"/>
  <c r="Q132" i="93"/>
  <c r="X116" i="91"/>
  <c r="AA75" i="89"/>
  <c r="Z109" i="93"/>
  <c r="X159" i="88"/>
  <c r="Q128" i="87"/>
  <c r="AA110" i="85"/>
  <c r="Y93" i="92"/>
  <c r="L151" i="93"/>
  <c r="Z157" i="89"/>
  <c r="Z53" i="90"/>
  <c r="X51" i="89"/>
  <c r="Q137" i="94"/>
  <c r="L134" i="88"/>
  <c r="X45" i="81"/>
  <c r="L164" i="74"/>
  <c r="Z81" i="90"/>
  <c r="P13" i="84"/>
  <c r="Z132" i="92"/>
  <c r="Q117" i="82"/>
  <c r="Z139" i="93"/>
  <c r="Q135" i="94"/>
  <c r="Q117" i="89"/>
  <c r="Z152" i="82"/>
  <c r="X154" i="81"/>
  <c r="O61" i="89"/>
  <c r="L140" i="93"/>
  <c r="Z57" i="87"/>
  <c r="N63" i="85"/>
  <c r="AA158" i="90"/>
  <c r="Y142" i="91"/>
  <c r="Y45" i="81"/>
  <c r="Q78" i="92"/>
  <c r="X139" i="85"/>
  <c r="M31" i="83"/>
  <c r="X9" i="91"/>
  <c r="P66" i="87"/>
  <c r="P59" i="88"/>
  <c r="P21" i="82"/>
  <c r="P135" i="93"/>
  <c r="O145" i="82"/>
  <c r="L94" i="89"/>
  <c r="Y160" i="81"/>
  <c r="AA73" i="93"/>
  <c r="Z33" i="83"/>
  <c r="O132" i="82"/>
  <c r="Z104" i="94"/>
  <c r="AA152" i="85"/>
  <c r="P59" i="85"/>
  <c r="Q118" i="92"/>
  <c r="AB13" i="74"/>
  <c r="Z131" i="91"/>
  <c r="X137" i="91"/>
  <c r="Z170" i="91"/>
  <c r="Q165" i="88"/>
  <c r="P68" i="94"/>
  <c r="X73" i="83"/>
  <c r="X81" i="85"/>
  <c r="AA101" i="93"/>
  <c r="AA120" i="87"/>
  <c r="X97" i="92"/>
  <c r="Z29" i="92"/>
  <c r="Q99" i="81"/>
  <c r="M57" i="85"/>
  <c r="AB163" i="82"/>
  <c r="X87" i="85"/>
  <c r="Y166" i="90"/>
  <c r="N129" i="90"/>
  <c r="X117" i="93"/>
  <c r="P106" i="81"/>
  <c r="AA122" i="87"/>
  <c r="AB120" i="91"/>
  <c r="Z78" i="87"/>
  <c r="X95" i="92"/>
  <c r="P108" i="90"/>
  <c r="O130" i="87"/>
  <c r="AA145" i="84"/>
  <c r="O94" i="88"/>
  <c r="P103" i="89"/>
  <c r="Z136" i="93"/>
  <c r="P45" i="94"/>
  <c r="AB81" i="88"/>
  <c r="X76" i="74"/>
  <c r="Q11" i="81"/>
  <c r="M29" i="84"/>
  <c r="Y35" i="85"/>
  <c r="AA85" i="90"/>
  <c r="L114" i="85"/>
  <c r="Y139" i="89"/>
  <c r="Q51" i="82"/>
  <c r="O68" i="88"/>
  <c r="O11" i="89"/>
  <c r="Y160" i="90"/>
  <c r="X68" i="83"/>
  <c r="Z86" i="83"/>
  <c r="X49" i="84"/>
  <c r="X83" i="91"/>
  <c r="X136" i="94"/>
  <c r="Z146" i="87"/>
  <c r="Z84" i="81"/>
  <c r="AA111" i="87"/>
  <c r="Y69" i="89"/>
  <c r="AA78" i="90"/>
  <c r="O95" i="87"/>
  <c r="Q103" i="92"/>
  <c r="Q136" i="81"/>
  <c r="Z31" i="83"/>
  <c r="X162" i="90"/>
  <c r="P106" i="74"/>
  <c r="X156" i="85"/>
  <c r="P158" i="90"/>
  <c r="P17" i="83"/>
  <c r="Y102" i="91"/>
  <c r="Y25" i="91"/>
  <c r="Y130" i="92"/>
  <c r="AA119" i="89"/>
  <c r="Y53" i="84"/>
  <c r="X134" i="84"/>
  <c r="Q45" i="82"/>
  <c r="X102" i="87"/>
  <c r="X139" i="84"/>
  <c r="P85" i="93"/>
  <c r="Y148" i="82"/>
  <c r="Q71" i="87"/>
  <c r="O59" i="89"/>
  <c r="P72" i="93"/>
  <c r="P17" i="89"/>
  <c r="Y11" i="87"/>
  <c r="O140" i="84"/>
  <c r="AA166" i="91"/>
  <c r="Q102" i="83"/>
  <c r="O126" i="92"/>
  <c r="P86" i="87"/>
  <c r="Y90" i="88"/>
  <c r="P115" i="83"/>
  <c r="AB81" i="91"/>
  <c r="Z71" i="83"/>
  <c r="AA150" i="93"/>
  <c r="P160" i="89"/>
  <c r="P57" i="81"/>
  <c r="AB154" i="92"/>
  <c r="AB106" i="88"/>
  <c r="Z153" i="87"/>
  <c r="O35" i="92"/>
  <c r="AA95" i="85"/>
  <c r="L153" i="85"/>
  <c r="AA100" i="92"/>
  <c r="L143" i="88"/>
  <c r="P23" i="89"/>
  <c r="AA151" i="84"/>
  <c r="Q134" i="83"/>
  <c r="AB145" i="94"/>
  <c r="O89" i="88"/>
  <c r="Q133" i="83"/>
  <c r="O131" i="90"/>
  <c r="Z88" i="74"/>
  <c r="O35" i="89"/>
  <c r="M49" i="74"/>
  <c r="AA150" i="82"/>
  <c r="Z140" i="91"/>
  <c r="X142" i="87"/>
  <c r="Y47" i="90"/>
  <c r="AB83" i="92"/>
  <c r="X161" i="83"/>
  <c r="L116" i="87"/>
  <c r="N63" i="91"/>
  <c r="O53" i="81"/>
  <c r="AA9" i="87"/>
  <c r="Z133" i="92"/>
  <c r="AA91" i="83"/>
  <c r="P51" i="91"/>
  <c r="Z161" i="84"/>
  <c r="O102" i="91"/>
  <c r="AB109" i="83"/>
  <c r="O118" i="88"/>
  <c r="Y159" i="85"/>
  <c r="AA29" i="74"/>
  <c r="Y132" i="93"/>
  <c r="Y98" i="94"/>
  <c r="Y116" i="74"/>
  <c r="X47" i="89"/>
  <c r="Z23" i="90"/>
  <c r="AA65" i="92"/>
  <c r="AB112" i="92"/>
  <c r="AA49" i="91"/>
  <c r="O122" i="87"/>
  <c r="AA37" i="91"/>
  <c r="AA98" i="91"/>
  <c r="Y137" i="92"/>
  <c r="Q37" i="85"/>
  <c r="O157" i="81"/>
  <c r="M45" i="82"/>
  <c r="P53" i="81"/>
  <c r="Q73" i="84"/>
  <c r="AA166" i="74"/>
  <c r="Q106" i="74"/>
  <c r="N96" i="82"/>
  <c r="L97" i="85"/>
  <c r="AB120" i="74"/>
  <c r="L137" i="94"/>
  <c r="Y100" i="88"/>
  <c r="AB160" i="87"/>
  <c r="O83" i="87"/>
  <c r="Q13" i="87"/>
  <c r="Q72" i="81"/>
  <c r="Q129" i="89"/>
  <c r="AB17" i="91"/>
  <c r="O55" i="93"/>
  <c r="Q120" i="88"/>
  <c r="Y72" i="93"/>
  <c r="P130" i="92"/>
  <c r="P138" i="93"/>
  <c r="X163" i="82"/>
  <c r="L119" i="88"/>
  <c r="Z97" i="89"/>
  <c r="AB69" i="74"/>
  <c r="AB116" i="74"/>
  <c r="O115" i="88"/>
  <c r="AA94" i="92"/>
  <c r="Q130" i="81"/>
  <c r="N27" i="85"/>
  <c r="Y141" i="93"/>
  <c r="Q70" i="74"/>
  <c r="AB123" i="88"/>
  <c r="AB111" i="91"/>
  <c r="Q85" i="93"/>
  <c r="AA143" i="89"/>
  <c r="O13" i="90"/>
  <c r="AA155" i="85"/>
  <c r="L155" i="94"/>
  <c r="X118" i="74"/>
  <c r="L77" i="85"/>
  <c r="P130" i="93"/>
  <c r="N165" i="85"/>
  <c r="Q43" i="92"/>
  <c r="P122" i="84"/>
  <c r="O19" i="81"/>
  <c r="AA70" i="88"/>
  <c r="Q75" i="89"/>
  <c r="X86" i="88"/>
  <c r="Z162" i="74"/>
  <c r="AA146" i="94"/>
  <c r="AA158" i="84"/>
  <c r="P106" i="82"/>
  <c r="N120" i="74"/>
  <c r="AB135" i="84"/>
  <c r="AB160" i="91"/>
  <c r="X37" i="84"/>
  <c r="P82" i="82"/>
  <c r="Q110" i="89"/>
  <c r="O78" i="90"/>
  <c r="AA119" i="74"/>
  <c r="Z66" i="89"/>
  <c r="AA127" i="87"/>
  <c r="O131" i="91"/>
  <c r="L123" i="88"/>
  <c r="Q105" i="87"/>
  <c r="O123" i="87"/>
  <c r="Q105" i="85"/>
  <c r="O117" i="84"/>
  <c r="Z67" i="74"/>
  <c r="AA72" i="81"/>
  <c r="Y103" i="93"/>
  <c r="P155" i="91"/>
  <c r="AB113" i="81"/>
  <c r="Z15" i="82"/>
  <c r="Q158" i="88"/>
  <c r="Y53" i="91"/>
  <c r="AB107" i="92"/>
  <c r="Y87" i="92"/>
  <c r="M11" i="74"/>
  <c r="Y74" i="93"/>
  <c r="L69" i="83"/>
  <c r="Y111" i="82"/>
  <c r="O61" i="87"/>
  <c r="Q129" i="93"/>
  <c r="X86" i="83"/>
  <c r="O152" i="82"/>
  <c r="P127" i="81"/>
  <c r="P133" i="85"/>
  <c r="O135" i="88"/>
  <c r="L142" i="92"/>
  <c r="X99" i="90"/>
  <c r="Z161" i="94"/>
  <c r="P160" i="90"/>
  <c r="N84" i="93"/>
  <c r="AB117" i="82"/>
  <c r="Q145" i="90"/>
  <c r="AB109" i="74"/>
  <c r="AA159" i="82"/>
  <c r="X110" i="92"/>
  <c r="M9" i="85"/>
  <c r="Q11" i="88"/>
  <c r="X108" i="91"/>
  <c r="Q162" i="83"/>
  <c r="P94" i="89"/>
  <c r="N153" i="81"/>
  <c r="Y41" i="84"/>
  <c r="P94" i="88"/>
  <c r="AB15" i="84"/>
  <c r="N135" i="88"/>
  <c r="Q162" i="88"/>
  <c r="O65" i="89"/>
  <c r="Q115" i="88"/>
  <c r="AB113" i="91"/>
  <c r="M49" i="89"/>
  <c r="X82" i="89"/>
  <c r="Z87" i="81"/>
  <c r="Y160" i="83"/>
  <c r="Y21" i="90"/>
  <c r="O130" i="84"/>
  <c r="X89" i="87"/>
  <c r="Y150" i="74"/>
  <c r="AA132" i="91"/>
  <c r="X165" i="85"/>
  <c r="AB67" i="84"/>
  <c r="Y146" i="90"/>
  <c r="Y86" i="74"/>
  <c r="Q117" i="83"/>
  <c r="AA98" i="90"/>
  <c r="Q79" i="90"/>
  <c r="Q68" i="88"/>
  <c r="Z23" i="81"/>
  <c r="X96" i="84"/>
  <c r="Z150" i="87"/>
  <c r="AB105" i="81"/>
  <c r="M45" i="83"/>
  <c r="Z11" i="92"/>
  <c r="AA167" i="85"/>
  <c r="P92" i="82"/>
  <c r="X78" i="85"/>
  <c r="X154" i="87"/>
  <c r="AA130" i="92"/>
  <c r="P127" i="74"/>
  <c r="AA127" i="84"/>
  <c r="Q133" i="93"/>
  <c r="X83" i="83"/>
  <c r="P128" i="81"/>
  <c r="P66" i="84"/>
  <c r="O75" i="94"/>
  <c r="P118" i="90"/>
  <c r="N102" i="93"/>
  <c r="Q37" i="87"/>
  <c r="AA76" i="91"/>
  <c r="N33" i="94"/>
  <c r="P53" i="84"/>
  <c r="Y136" i="81"/>
  <c r="AA21" i="93"/>
  <c r="X75" i="82"/>
  <c r="Y53" i="87"/>
  <c r="AA166" i="82"/>
  <c r="Z145" i="89"/>
  <c r="X31" i="84"/>
  <c r="N159" i="83"/>
  <c r="Z25" i="91"/>
  <c r="Q138" i="83"/>
  <c r="P122" i="90"/>
  <c r="P158" i="83"/>
  <c r="Y126" i="94"/>
  <c r="M45" i="92"/>
  <c r="P165" i="90"/>
  <c r="Z120" i="89"/>
  <c r="AB65" i="83"/>
  <c r="AA13" i="89"/>
  <c r="L85" i="74"/>
  <c r="X157" i="85"/>
  <c r="L103" i="93"/>
  <c r="X165" i="74"/>
  <c r="L130" i="89"/>
  <c r="P93" i="83"/>
  <c r="Z81" i="82"/>
  <c r="L141" i="89"/>
  <c r="P146" i="74"/>
  <c r="Z59" i="82"/>
  <c r="P159" i="89"/>
  <c r="O114" i="90"/>
  <c r="L73" i="90"/>
  <c r="L140" i="90"/>
  <c r="Z27" i="81"/>
  <c r="X123" i="87"/>
  <c r="M9" i="74"/>
  <c r="Y114" i="92"/>
  <c r="O118" i="89"/>
  <c r="AB83" i="82"/>
  <c r="Z95" i="93"/>
  <c r="AA111" i="81"/>
  <c r="Q17" i="93"/>
  <c r="AA85" i="82"/>
  <c r="X27" i="89"/>
  <c r="AA53" i="74"/>
  <c r="Y120" i="90"/>
  <c r="O27" i="82"/>
  <c r="O89" i="90"/>
  <c r="AA53" i="85"/>
  <c r="Q166" i="85"/>
  <c r="L101" i="82"/>
  <c r="Q122" i="81"/>
  <c r="O72" i="89"/>
  <c r="X163" i="91"/>
  <c r="O164" i="84"/>
  <c r="O97" i="74"/>
  <c r="L109" i="83"/>
  <c r="L156" i="93"/>
  <c r="N51" i="87"/>
  <c r="P82" i="74"/>
  <c r="X122" i="93"/>
  <c r="X98" i="89"/>
  <c r="Y84" i="82"/>
  <c r="Q127" i="89"/>
  <c r="X134" i="90"/>
  <c r="Q66" i="82"/>
  <c r="O123" i="89"/>
  <c r="X71" i="81"/>
  <c r="X98" i="90"/>
  <c r="AB120" i="87"/>
  <c r="L112" i="94"/>
  <c r="P106" i="89"/>
  <c r="O88" i="82"/>
  <c r="AA144" i="90"/>
  <c r="P143" i="74"/>
  <c r="Z137" i="89"/>
  <c r="Z9" i="87"/>
  <c r="O156" i="81"/>
  <c r="AA134" i="87"/>
  <c r="AA89" i="92"/>
  <c r="M51" i="88"/>
  <c r="Z67" i="81"/>
  <c r="X150" i="84"/>
  <c r="O94" i="94"/>
  <c r="M41" i="88"/>
  <c r="M35" i="88"/>
  <c r="AA115" i="88"/>
  <c r="P157" i="93"/>
  <c r="AB75" i="87"/>
  <c r="M15" i="82"/>
  <c r="P113" i="87"/>
  <c r="L73" i="94"/>
  <c r="AB157" i="82"/>
  <c r="Z77" i="83"/>
  <c r="X61" i="90"/>
  <c r="X103" i="87"/>
  <c r="AB126" i="74"/>
  <c r="Z96" i="94"/>
  <c r="Q31" i="90"/>
  <c r="O160" i="84"/>
  <c r="Y97" i="94"/>
  <c r="O139" i="94"/>
  <c r="Z128" i="87"/>
  <c r="AA73" i="83"/>
  <c r="L155" i="89"/>
  <c r="O27" i="90"/>
  <c r="X82" i="74"/>
  <c r="Z74" i="90"/>
  <c r="L142" i="85"/>
  <c r="AB138" i="92"/>
  <c r="AA93" i="93"/>
  <c r="X65" i="90"/>
  <c r="X73" i="84"/>
  <c r="X143" i="74"/>
  <c r="X31" i="83"/>
  <c r="Y160" i="74"/>
  <c r="Z23" i="91"/>
  <c r="N15" i="92"/>
  <c r="Y157" i="83"/>
  <c r="Y19" i="82"/>
  <c r="M17" i="85"/>
  <c r="P73" i="87"/>
  <c r="P166" i="83"/>
  <c r="P137" i="92"/>
  <c r="AA101" i="87"/>
  <c r="P161" i="88"/>
  <c r="AA148" i="83"/>
  <c r="Z31" i="82"/>
  <c r="L78" i="90"/>
  <c r="AA83" i="90"/>
  <c r="X82" i="92"/>
  <c r="AA127" i="88"/>
  <c r="Y118" i="94"/>
  <c r="Z162" i="93"/>
  <c r="P141" i="92"/>
  <c r="P37" i="91"/>
  <c r="Q61" i="87"/>
  <c r="Q166" i="74"/>
  <c r="AB162" i="83"/>
  <c r="L72" i="81"/>
  <c r="AA113" i="93"/>
  <c r="Q132" i="84"/>
  <c r="Y120" i="81"/>
  <c r="L128" i="89"/>
  <c r="Q148" i="81"/>
  <c r="X110" i="83"/>
  <c r="AA49" i="84"/>
  <c r="N96" i="90"/>
  <c r="X21" i="84"/>
  <c r="AA162" i="89"/>
  <c r="O31" i="83"/>
  <c r="AB136" i="87"/>
  <c r="N45" i="74"/>
  <c r="O104" i="94"/>
  <c r="N153" i="84"/>
  <c r="Q101" i="89"/>
  <c r="O133" i="85"/>
  <c r="Z55" i="90"/>
  <c r="P123" i="92"/>
  <c r="Y148" i="94"/>
  <c r="P19" i="82"/>
  <c r="Y140" i="84"/>
  <c r="P129" i="94"/>
  <c r="Y81" i="81"/>
  <c r="P85" i="92"/>
  <c r="AA156" i="82"/>
  <c r="AA17" i="84"/>
  <c r="AA99" i="83"/>
  <c r="AA13" i="85"/>
  <c r="M35" i="83"/>
  <c r="Z13" i="89"/>
  <c r="X154" i="94"/>
  <c r="AB92" i="88"/>
  <c r="N144" i="84"/>
  <c r="AA78" i="89"/>
  <c r="AB113" i="92"/>
  <c r="N99" i="83"/>
  <c r="L90" i="85"/>
  <c r="AB99" i="81"/>
  <c r="X89" i="91"/>
  <c r="AA138" i="85"/>
  <c r="L166" i="93"/>
  <c r="M27" i="89"/>
  <c r="Y91" i="89"/>
  <c r="X126" i="91"/>
  <c r="N39" i="88"/>
  <c r="N147" i="94"/>
  <c r="P101" i="74"/>
  <c r="Z125" i="94"/>
  <c r="N45" i="87"/>
  <c r="X139" i="74"/>
  <c r="Y113" i="85"/>
  <c r="AA107" i="93"/>
  <c r="Q104" i="93"/>
  <c r="M17" i="74"/>
  <c r="X144" i="85"/>
  <c r="AB141" i="89"/>
  <c r="Z167" i="94"/>
  <c r="Q114" i="91"/>
  <c r="Z37" i="82"/>
  <c r="L117" i="85"/>
  <c r="AA141" i="74"/>
  <c r="Q45" i="81"/>
  <c r="N87" i="92"/>
  <c r="Q147" i="93"/>
  <c r="Q97" i="82"/>
  <c r="Z166" i="93"/>
  <c r="Z29" i="89"/>
  <c r="AB70" i="90"/>
  <c r="Q137" i="83"/>
  <c r="O99" i="92"/>
  <c r="Q127" i="83"/>
  <c r="N72" i="94"/>
  <c r="P111" i="82"/>
  <c r="Q21" i="90"/>
  <c r="P133" i="87"/>
  <c r="L64" i="90"/>
  <c r="O167" i="89"/>
  <c r="Q139" i="93"/>
  <c r="Q89" i="82"/>
  <c r="Z136" i="88"/>
  <c r="X147" i="93"/>
  <c r="Z143" i="74"/>
  <c r="Q93" i="81"/>
  <c r="AA104" i="88"/>
  <c r="X15" i="83"/>
  <c r="P120" i="84"/>
  <c r="X91" i="91"/>
  <c r="AB85" i="94"/>
  <c r="AB110" i="92"/>
  <c r="AB68" i="91"/>
  <c r="X119" i="83"/>
  <c r="M19" i="85"/>
  <c r="P166" i="90"/>
  <c r="Q160" i="88"/>
  <c r="Z31" i="84"/>
  <c r="Q116" i="85"/>
  <c r="Y43" i="74"/>
  <c r="Y105" i="91"/>
  <c r="Q95" i="92"/>
  <c r="M49" i="87"/>
  <c r="O86" i="82"/>
  <c r="AA75" i="94"/>
  <c r="L113" i="84"/>
  <c r="Y85" i="92"/>
  <c r="Z21" i="87"/>
  <c r="AA164" i="74"/>
  <c r="AA33" i="85"/>
  <c r="O137" i="82"/>
  <c r="P130" i="74"/>
  <c r="AA152" i="91"/>
  <c r="AA109" i="88"/>
  <c r="P120" i="74"/>
  <c r="AB121" i="74"/>
  <c r="Z84" i="90"/>
  <c r="L150" i="84"/>
  <c r="P132" i="90"/>
  <c r="P150" i="94"/>
  <c r="O33" i="87"/>
  <c r="AB83" i="81"/>
  <c r="O23" i="89"/>
  <c r="Z108" i="94"/>
  <c r="AA45" i="87"/>
  <c r="Q136" i="83"/>
  <c r="AA132" i="84"/>
  <c r="O121" i="89"/>
  <c r="M49" i="93"/>
  <c r="Q100" i="94"/>
  <c r="Q68" i="81"/>
  <c r="N135" i="93"/>
  <c r="O158" i="83"/>
  <c r="P121" i="92"/>
  <c r="X131" i="81"/>
  <c r="O112" i="81"/>
  <c r="AA102" i="82"/>
  <c r="AA37" i="83"/>
  <c r="AA127" i="74"/>
  <c r="O146" i="93"/>
  <c r="Y139" i="91"/>
  <c r="X47" i="83"/>
  <c r="O95" i="81"/>
  <c r="Q125" i="82"/>
  <c r="Y77" i="89"/>
  <c r="L84" i="93"/>
  <c r="AA68" i="81"/>
  <c r="Q109" i="85"/>
  <c r="P69" i="88"/>
  <c r="X41" i="81"/>
  <c r="Q109" i="74"/>
  <c r="X115" i="74"/>
  <c r="X114" i="88"/>
  <c r="Y105" i="84"/>
  <c r="O146" i="84"/>
  <c r="P158" i="74"/>
  <c r="P78" i="92"/>
  <c r="O78" i="74"/>
  <c r="AB79" i="74"/>
  <c r="Z25" i="92"/>
  <c r="AA129" i="92"/>
  <c r="AB161" i="91"/>
  <c r="AA83" i="83"/>
  <c r="X162" i="81"/>
  <c r="AB129" i="84"/>
  <c r="Q51" i="89"/>
  <c r="X77" i="85"/>
  <c r="Q127" i="85"/>
  <c r="L138" i="90"/>
  <c r="N9" i="88"/>
  <c r="Y15" i="89"/>
  <c r="O129" i="84"/>
  <c r="O29" i="93"/>
  <c r="P143" i="94"/>
  <c r="P121" i="82"/>
  <c r="Q17" i="88"/>
  <c r="Z21" i="81"/>
  <c r="AA31" i="89"/>
  <c r="Q146" i="90"/>
  <c r="N81" i="83"/>
  <c r="X77" i="87"/>
  <c r="Z151" i="74"/>
  <c r="Z85" i="94"/>
  <c r="O19" i="85"/>
  <c r="O9" i="84"/>
  <c r="X125" i="81"/>
  <c r="X87" i="91"/>
  <c r="L63" i="83"/>
  <c r="AB129" i="91"/>
  <c r="Q23" i="88"/>
  <c r="O47" i="82"/>
  <c r="L161" i="89"/>
  <c r="Q114" i="90"/>
  <c r="X158" i="81"/>
  <c r="AA99" i="91"/>
  <c r="N45" i="90"/>
  <c r="X116" i="82"/>
  <c r="O160" i="90"/>
  <c r="Z114" i="89"/>
  <c r="X124" i="88"/>
  <c r="L63" i="92"/>
  <c r="AB102" i="87"/>
  <c r="AA116" i="82"/>
  <c r="AA107" i="94"/>
  <c r="AA85" i="85"/>
  <c r="X35" i="83"/>
  <c r="P65" i="84"/>
  <c r="AB47" i="74"/>
  <c r="O161" i="88"/>
  <c r="AA95" i="74"/>
  <c r="Z144" i="88"/>
  <c r="P147" i="88"/>
  <c r="P129" i="93"/>
  <c r="Z98" i="74"/>
  <c r="O100" i="90"/>
  <c r="M43" i="90"/>
  <c r="AA39" i="84"/>
  <c r="Z64" i="92"/>
  <c r="P159" i="81"/>
  <c r="X103" i="84"/>
  <c r="X43" i="82"/>
  <c r="P167" i="88"/>
  <c r="Z155" i="88"/>
  <c r="Z139" i="82"/>
  <c r="O161" i="93"/>
  <c r="N162" i="74"/>
  <c r="AB139" i="83"/>
  <c r="AA73" i="89"/>
  <c r="AB153" i="91"/>
  <c r="Q150" i="83"/>
  <c r="AA77" i="85"/>
  <c r="Q75" i="87"/>
  <c r="AB160" i="85"/>
  <c r="O29" i="89"/>
  <c r="P112" i="85"/>
  <c r="X150" i="82"/>
  <c r="L161" i="93"/>
  <c r="Z152" i="91"/>
  <c r="AA31" i="91"/>
  <c r="Q148" i="74"/>
  <c r="AB90" i="81"/>
  <c r="AA35" i="83"/>
  <c r="Z33" i="85"/>
  <c r="Q154" i="88"/>
  <c r="AB136" i="92"/>
  <c r="X105" i="94"/>
  <c r="AA86" i="82"/>
  <c r="AB67" i="89"/>
  <c r="P121" i="83"/>
  <c r="Z126" i="85"/>
  <c r="O39" i="90"/>
  <c r="Z166" i="89"/>
  <c r="Z61" i="94"/>
  <c r="X155" i="84"/>
  <c r="AB159" i="93"/>
  <c r="O99" i="84"/>
  <c r="Q82" i="83"/>
  <c r="Z146" i="90"/>
  <c r="X159" i="82"/>
  <c r="AB105" i="94"/>
  <c r="AB92" i="84"/>
  <c r="AA15" i="94"/>
  <c r="AA157" i="90"/>
  <c r="Z99" i="88"/>
  <c r="P129" i="81"/>
  <c r="O121" i="87"/>
  <c r="O84" i="94"/>
  <c r="X35" i="92"/>
  <c r="X84" i="82"/>
  <c r="Z152" i="81"/>
  <c r="L88" i="94"/>
  <c r="AA135" i="84"/>
  <c r="L66" i="85"/>
  <c r="Q91" i="92"/>
  <c r="Y84" i="88"/>
  <c r="Q59" i="87"/>
  <c r="AB86" i="91"/>
  <c r="AB150" i="82"/>
  <c r="O116" i="85"/>
  <c r="P156" i="84"/>
  <c r="N108" i="93"/>
  <c r="AA41" i="88"/>
  <c r="P161" i="87"/>
  <c r="AA164" i="94"/>
  <c r="N105" i="84"/>
  <c r="Z89" i="85"/>
  <c r="P35" i="89"/>
  <c r="O45" i="87"/>
  <c r="X163" i="83"/>
  <c r="Y67" i="82"/>
  <c r="N75" i="82"/>
  <c r="X95" i="94"/>
  <c r="O132" i="87"/>
  <c r="AB118" i="90"/>
  <c r="P134" i="87"/>
  <c r="X133" i="89"/>
  <c r="Y23" i="83"/>
  <c r="X45" i="84"/>
  <c r="Y142" i="85"/>
  <c r="Z134" i="92"/>
  <c r="Q39" i="84"/>
  <c r="P156" i="74"/>
  <c r="X151" i="83"/>
  <c r="Q124" i="92"/>
  <c r="AA23" i="87"/>
  <c r="AA150" i="90"/>
  <c r="Q143" i="89"/>
  <c r="P11" i="87"/>
  <c r="Q13" i="81"/>
  <c r="AA112" i="89"/>
  <c r="Y71" i="88"/>
  <c r="Z116" i="91"/>
  <c r="P145" i="89"/>
  <c r="Z94" i="83"/>
  <c r="Z82" i="83"/>
  <c r="AB167" i="82"/>
  <c r="Z164" i="92"/>
  <c r="N99" i="90"/>
  <c r="X143" i="90"/>
  <c r="X121" i="81"/>
  <c r="X138" i="85"/>
  <c r="L103" i="81"/>
  <c r="AA127" i="83"/>
  <c r="L70" i="90"/>
  <c r="N81" i="88"/>
  <c r="Z94" i="91"/>
  <c r="L126" i="92"/>
  <c r="AA19" i="88"/>
  <c r="Q84" i="90"/>
  <c r="AA101" i="83"/>
  <c r="Y151" i="90"/>
  <c r="O140" i="92"/>
  <c r="AB86" i="84"/>
  <c r="O139" i="93"/>
  <c r="P111" i="94"/>
  <c r="Q143" i="85"/>
  <c r="Q99" i="91"/>
  <c r="X106" i="81"/>
  <c r="AB25" i="89"/>
  <c r="Q77" i="85"/>
  <c r="Y27" i="93"/>
  <c r="AB17" i="85"/>
  <c r="Q37" i="92"/>
  <c r="P120" i="90"/>
  <c r="AB102" i="91"/>
  <c r="M25" i="94"/>
  <c r="L167" i="92"/>
  <c r="X99" i="82"/>
  <c r="AA146" i="82"/>
  <c r="L99" i="82"/>
  <c r="Q57" i="93"/>
  <c r="Y95" i="94"/>
  <c r="X138" i="74"/>
  <c r="AB31" i="88"/>
  <c r="P70" i="94"/>
  <c r="Y154" i="83"/>
  <c r="P98" i="87"/>
  <c r="P100" i="87"/>
  <c r="Q125" i="91"/>
  <c r="P95" i="85"/>
  <c r="Z108" i="81"/>
  <c r="X33" i="83"/>
  <c r="Z66" i="84"/>
  <c r="P136" i="90"/>
  <c r="X17" i="81"/>
  <c r="Z75" i="74"/>
  <c r="AA94" i="74"/>
  <c r="O23" i="88"/>
  <c r="Z84" i="91"/>
  <c r="N63" i="82"/>
  <c r="AB119" i="83"/>
  <c r="AA125" i="81"/>
  <c r="Y31" i="93"/>
  <c r="Q118" i="82"/>
  <c r="O61" i="74"/>
  <c r="AB103" i="93"/>
  <c r="AA145" i="93"/>
  <c r="L139" i="85"/>
  <c r="X150" i="88"/>
  <c r="Y104" i="91"/>
  <c r="P128" i="82"/>
  <c r="O27" i="88"/>
  <c r="P45" i="87"/>
  <c r="Y160" i="84"/>
  <c r="AB147" i="90"/>
  <c r="AB129" i="92"/>
  <c r="Y111" i="83"/>
  <c r="Y65" i="83"/>
  <c r="X153" i="74"/>
  <c r="AA97" i="92"/>
  <c r="Z55" i="87"/>
  <c r="Q73" i="74"/>
  <c r="L102" i="81"/>
  <c r="P113" i="92"/>
  <c r="Q23" i="93"/>
  <c r="Q105" i="92"/>
  <c r="P78" i="74"/>
  <c r="X163" i="93"/>
  <c r="Y119" i="91"/>
  <c r="M31" i="93"/>
  <c r="Y156" i="82"/>
  <c r="P125" i="89"/>
  <c r="Z92" i="89"/>
  <c r="Y102" i="89"/>
  <c r="Y95" i="84"/>
  <c r="Y128" i="81"/>
  <c r="Y151" i="81"/>
  <c r="AB79" i="84"/>
  <c r="Q143" i="94"/>
  <c r="O120" i="87"/>
  <c r="Y76" i="82"/>
  <c r="O79" i="74"/>
  <c r="X108" i="84"/>
  <c r="X111" i="88"/>
  <c r="P39" i="90"/>
  <c r="P23" i="85"/>
  <c r="Y9" i="93"/>
  <c r="Z112" i="74"/>
  <c r="O150" i="84"/>
  <c r="L132" i="93"/>
  <c r="O119" i="81"/>
  <c r="Y158" i="93"/>
  <c r="AB61" i="91"/>
  <c r="AA122" i="89"/>
  <c r="P123" i="82"/>
  <c r="Z63" i="83"/>
  <c r="X25" i="87"/>
  <c r="L160" i="84"/>
  <c r="AB164" i="93"/>
  <c r="Y19" i="88"/>
  <c r="AB99" i="87"/>
  <c r="N78" i="74"/>
  <c r="P147" i="84"/>
  <c r="AB146" i="82"/>
  <c r="P70" i="81"/>
  <c r="AA107" i="90"/>
  <c r="Q129" i="85"/>
  <c r="L116" i="88"/>
  <c r="Z57" i="91"/>
  <c r="AB70" i="93"/>
  <c r="L141" i="83"/>
  <c r="AB80" i="89"/>
  <c r="Z112" i="89"/>
  <c r="Z77" i="92"/>
  <c r="Q65" i="83"/>
  <c r="AA145" i="94"/>
  <c r="AB140" i="93"/>
  <c r="Z17" i="83"/>
  <c r="P75" i="82"/>
  <c r="AA78" i="74"/>
  <c r="Y92" i="87"/>
  <c r="X29" i="89"/>
  <c r="AB19" i="92"/>
  <c r="L138" i="88"/>
  <c r="AB41" i="89"/>
  <c r="X41" i="90"/>
  <c r="P141" i="81"/>
  <c r="Q55" i="74"/>
  <c r="Z117" i="94"/>
  <c r="Z86" i="82"/>
  <c r="AA118" i="92"/>
  <c r="P35" i="82"/>
  <c r="AA124" i="84"/>
  <c r="O53" i="94"/>
  <c r="Z69" i="74"/>
  <c r="AA45" i="83"/>
  <c r="L153" i="87"/>
  <c r="P150" i="88"/>
  <c r="P158" i="85"/>
  <c r="M55" i="81"/>
  <c r="Z158" i="87"/>
  <c r="X76" i="90"/>
  <c r="AB129" i="94"/>
  <c r="AA65" i="82"/>
  <c r="AB132" i="90"/>
  <c r="AB64" i="87"/>
  <c r="P73" i="85"/>
  <c r="Y45" i="90"/>
  <c r="Y118" i="74"/>
  <c r="X97" i="93"/>
  <c r="Z150" i="74"/>
  <c r="M35" i="93"/>
  <c r="O101" i="84"/>
  <c r="O99" i="83"/>
  <c r="Q45" i="83"/>
  <c r="L102" i="85"/>
  <c r="P81" i="93"/>
  <c r="Z86" i="91"/>
  <c r="AA68" i="90"/>
  <c r="AB114" i="84"/>
  <c r="Q113" i="88"/>
  <c r="L132" i="84"/>
  <c r="L141" i="90"/>
  <c r="Y144" i="88"/>
  <c r="O92" i="92"/>
  <c r="Q115" i="91"/>
  <c r="AA149" i="90"/>
  <c r="L110" i="82"/>
  <c r="Z55" i="91"/>
  <c r="P47" i="91"/>
  <c r="AB143" i="90"/>
  <c r="AA111" i="93"/>
  <c r="Y67" i="90"/>
  <c r="AB35" i="85"/>
  <c r="Z147" i="82"/>
  <c r="Q151" i="88"/>
  <c r="AB29" i="93"/>
  <c r="P88" i="83"/>
  <c r="AB90" i="91"/>
  <c r="O66" i="94"/>
  <c r="P93" i="94"/>
  <c r="L96" i="85"/>
  <c r="Q70" i="90"/>
  <c r="O129" i="85"/>
  <c r="Z85" i="84"/>
  <c r="AB69" i="81"/>
  <c r="P130" i="81"/>
  <c r="AA78" i="92"/>
  <c r="X69" i="91"/>
  <c r="Q149" i="74"/>
  <c r="Z149" i="92"/>
  <c r="Y130" i="82"/>
  <c r="Q130" i="82"/>
  <c r="X117" i="81"/>
  <c r="X120" i="83"/>
  <c r="P41" i="81"/>
  <c r="O131" i="81"/>
  <c r="AA74" i="74"/>
  <c r="AB91" i="91"/>
  <c r="N114" i="92"/>
  <c r="N138" i="81"/>
  <c r="X51" i="93"/>
  <c r="L130" i="82"/>
  <c r="Q96" i="84"/>
  <c r="P74" i="74"/>
  <c r="Y122" i="83"/>
  <c r="Z125" i="84"/>
  <c r="X43" i="91"/>
  <c r="X135" i="93"/>
  <c r="Z78" i="89"/>
  <c r="Y122" i="94"/>
  <c r="Q164" i="92"/>
  <c r="P134" i="89"/>
  <c r="L115" i="90"/>
  <c r="X81" i="83"/>
  <c r="Y137" i="90"/>
  <c r="M35" i="85"/>
  <c r="L78" i="89"/>
  <c r="N159" i="84"/>
  <c r="X23" i="92"/>
  <c r="X114" i="92"/>
  <c r="X86" i="92"/>
  <c r="AA109" i="81"/>
  <c r="Z145" i="87"/>
  <c r="O123" i="92"/>
  <c r="AB55" i="82"/>
  <c r="L110" i="85"/>
  <c r="L75" i="88"/>
  <c r="AB149" i="94"/>
  <c r="AB156" i="82"/>
  <c r="Q99" i="82"/>
  <c r="Z53" i="85"/>
  <c r="O43" i="84"/>
  <c r="Y84" i="91"/>
  <c r="Z130" i="81"/>
  <c r="O132" i="88"/>
  <c r="AB41" i="90"/>
  <c r="P57" i="90"/>
  <c r="O147" i="84"/>
  <c r="Q87" i="82"/>
  <c r="O112" i="89"/>
  <c r="Y91" i="81"/>
  <c r="L71" i="93"/>
  <c r="Z25" i="94"/>
  <c r="Y166" i="82"/>
  <c r="Q76" i="90"/>
  <c r="N75" i="94"/>
  <c r="X93" i="84"/>
  <c r="Y73" i="81"/>
  <c r="P45" i="83"/>
  <c r="X154" i="91"/>
  <c r="O138" i="81"/>
  <c r="AB89" i="87"/>
  <c r="O132" i="93"/>
  <c r="X91" i="84"/>
  <c r="X115" i="85"/>
  <c r="Y15" i="94"/>
  <c r="N102" i="92"/>
  <c r="P119" i="91"/>
  <c r="Q74" i="91"/>
  <c r="Z78" i="81"/>
  <c r="Y135" i="94"/>
  <c r="Y67" i="87"/>
  <c r="P81" i="83"/>
  <c r="AA157" i="94"/>
  <c r="X75" i="83"/>
  <c r="P156" i="89"/>
  <c r="X85" i="81"/>
  <c r="P160" i="92"/>
  <c r="AA128" i="89"/>
  <c r="P114" i="81"/>
  <c r="O134" i="89"/>
  <c r="X123" i="84"/>
  <c r="P120" i="92"/>
  <c r="N33" i="89"/>
  <c r="Z133" i="74"/>
  <c r="O144" i="93"/>
  <c r="AB83" i="93"/>
  <c r="N165" i="87"/>
  <c r="P112" i="83"/>
  <c r="Q164" i="93"/>
  <c r="L86" i="85"/>
  <c r="AB113" i="88"/>
  <c r="L120" i="82"/>
  <c r="O111" i="87"/>
  <c r="AB142" i="81"/>
  <c r="L161" i="84"/>
  <c r="AB154" i="94"/>
  <c r="O81" i="91"/>
  <c r="AA37" i="74"/>
  <c r="Q49" i="92"/>
  <c r="Y135" i="82"/>
  <c r="Q108" i="94"/>
  <c r="O157" i="87"/>
  <c r="X43" i="74"/>
  <c r="AA13" i="82"/>
  <c r="Q59" i="92"/>
  <c r="P144" i="88"/>
  <c r="Z117" i="93"/>
  <c r="AA27" i="88"/>
  <c r="AA117" i="88"/>
  <c r="X59" i="93"/>
  <c r="Y9" i="89"/>
  <c r="AB118" i="91"/>
  <c r="M51" i="87"/>
  <c r="X125" i="88"/>
  <c r="Q159" i="93"/>
  <c r="AA148" i="92"/>
  <c r="X110" i="85"/>
  <c r="O105" i="74"/>
  <c r="Y145" i="93"/>
  <c r="X102" i="85"/>
  <c r="P103" i="85"/>
  <c r="P37" i="74"/>
  <c r="Q140" i="85"/>
  <c r="X53" i="74"/>
  <c r="AB114" i="88"/>
  <c r="Y122" i="88"/>
  <c r="O82" i="94"/>
  <c r="AA81" i="87"/>
  <c r="P49" i="91"/>
  <c r="Y76" i="92"/>
  <c r="X74" i="82"/>
  <c r="P120" i="94"/>
  <c r="Z140" i="85"/>
  <c r="O85" i="82"/>
  <c r="M41" i="89"/>
  <c r="AB122" i="82"/>
  <c r="AA153" i="87"/>
  <c r="AA143" i="92"/>
  <c r="O53" i="89"/>
  <c r="M43" i="82"/>
  <c r="AB98" i="92"/>
  <c r="P141" i="85"/>
  <c r="L162" i="87"/>
  <c r="AA114" i="87"/>
  <c r="Q113" i="94"/>
  <c r="AA97" i="82"/>
  <c r="AB130" i="83"/>
  <c r="Y98" i="88"/>
  <c r="Y11" i="94"/>
  <c r="X138" i="87"/>
  <c r="AA157" i="84"/>
  <c r="O15" i="88"/>
  <c r="Y120" i="83"/>
  <c r="N165" i="84"/>
  <c r="Z21" i="94"/>
  <c r="Y59" i="87"/>
  <c r="X83" i="87"/>
  <c r="Z57" i="92"/>
  <c r="Q119" i="74"/>
  <c r="O142" i="87"/>
  <c r="O21" i="90"/>
  <c r="AB163" i="89"/>
  <c r="Y21" i="85"/>
  <c r="Z115" i="74"/>
  <c r="Z154" i="89"/>
  <c r="AA78" i="88"/>
  <c r="O157" i="74"/>
  <c r="L76" i="74"/>
  <c r="Y90" i="94"/>
  <c r="X118" i="81"/>
  <c r="Y99" i="81"/>
  <c r="Q39" i="74"/>
  <c r="AB116" i="88"/>
  <c r="O89" i="82"/>
  <c r="Q19" i="82"/>
  <c r="Q45" i="91"/>
  <c r="X73" i="82"/>
  <c r="AB163" i="87"/>
  <c r="AB119" i="82"/>
  <c r="AB146" i="90"/>
  <c r="AB156" i="92"/>
  <c r="Z45" i="83"/>
  <c r="AB78" i="83"/>
  <c r="L154" i="89"/>
  <c r="AA75" i="93"/>
  <c r="O82" i="85"/>
  <c r="Y33" i="92"/>
  <c r="M33" i="74"/>
  <c r="Q119" i="82"/>
  <c r="N21" i="88"/>
  <c r="AA81" i="93"/>
  <c r="Z101" i="87"/>
  <c r="L127" i="89"/>
  <c r="AB151" i="85"/>
  <c r="Z105" i="84"/>
  <c r="Z25" i="84"/>
  <c r="Y140" i="85"/>
  <c r="Q59" i="85"/>
  <c r="AA84" i="90"/>
  <c r="P141" i="83"/>
  <c r="AB96" i="81"/>
  <c r="Z104" i="85"/>
  <c r="P87" i="94"/>
  <c r="Y51" i="92"/>
  <c r="O73" i="85"/>
  <c r="Z29" i="74"/>
  <c r="AB45" i="82"/>
  <c r="O53" i="82"/>
  <c r="Q140" i="91"/>
  <c r="X99" i="94"/>
  <c r="P31" i="83"/>
  <c r="Y91" i="84"/>
  <c r="O83" i="92"/>
  <c r="AB160" i="84"/>
  <c r="Z113" i="90"/>
  <c r="P124" i="81"/>
  <c r="O116" i="82"/>
  <c r="O159" i="87"/>
  <c r="X158" i="87"/>
  <c r="O122" i="84"/>
  <c r="L166" i="90"/>
  <c r="Q100" i="85"/>
  <c r="Y33" i="85"/>
  <c r="L98" i="89"/>
  <c r="P84" i="84"/>
  <c r="L138" i="74"/>
  <c r="AA70" i="91"/>
  <c r="X159" i="91"/>
  <c r="Q134" i="94"/>
  <c r="X63" i="81"/>
  <c r="Y76" i="74"/>
  <c r="AB166" i="94"/>
  <c r="AA115" i="87"/>
  <c r="Q85" i="88"/>
  <c r="Z149" i="81"/>
  <c r="AB127" i="94"/>
  <c r="P125" i="83"/>
  <c r="Q63" i="91"/>
  <c r="L150" i="92"/>
  <c r="N165" i="88"/>
  <c r="AA72" i="85"/>
  <c r="Z47" i="81"/>
  <c r="O156" i="87"/>
  <c r="AB61" i="81"/>
  <c r="Z93" i="85"/>
  <c r="Y143" i="83"/>
  <c r="X21" i="88"/>
  <c r="P29" i="83"/>
  <c r="AB104" i="84"/>
  <c r="Y162" i="87"/>
  <c r="Q29" i="84"/>
  <c r="X102" i="92"/>
  <c r="N123" i="94"/>
  <c r="N63" i="92"/>
  <c r="P96" i="89"/>
  <c r="Y19" i="83"/>
  <c r="AB141" i="92"/>
  <c r="N81" i="93"/>
  <c r="Z84" i="82"/>
  <c r="X121" i="83"/>
  <c r="X160" i="88"/>
  <c r="L140" i="83"/>
  <c r="AB152" i="91"/>
  <c r="Z15" i="94"/>
  <c r="AA86" i="91"/>
  <c r="Q91" i="74"/>
  <c r="Y142" i="82"/>
  <c r="Q144" i="84"/>
  <c r="Y11" i="88"/>
  <c r="Z78" i="92"/>
  <c r="Y35" i="74"/>
  <c r="N123" i="93"/>
  <c r="Y88" i="84"/>
  <c r="Y47" i="82"/>
  <c r="Z13" i="94"/>
  <c r="X120" i="74"/>
  <c r="X85" i="85"/>
  <c r="O77" i="93"/>
  <c r="L114" i="89"/>
  <c r="P119" i="85"/>
  <c r="O90" i="83"/>
  <c r="L129" i="93"/>
  <c r="Q140" i="84"/>
  <c r="P55" i="81"/>
  <c r="L132" i="94"/>
  <c r="Y127" i="90"/>
  <c r="X82" i="93"/>
  <c r="X89" i="74"/>
  <c r="X86" i="89"/>
  <c r="O130" i="83"/>
  <c r="Z107" i="81"/>
  <c r="P137" i="74"/>
  <c r="Y98" i="81"/>
  <c r="AB153" i="84"/>
  <c r="Z25" i="90"/>
  <c r="M35" i="89"/>
  <c r="X141" i="81"/>
  <c r="L132" i="74"/>
  <c r="Q65" i="89"/>
  <c r="AB17" i="90"/>
  <c r="Y53" i="92"/>
  <c r="AB109" i="84"/>
  <c r="Q119" i="92"/>
  <c r="AB81" i="74"/>
  <c r="O74" i="93"/>
  <c r="P98" i="74"/>
  <c r="O129" i="82"/>
  <c r="O127" i="94"/>
  <c r="AA145" i="91"/>
  <c r="Y94" i="93"/>
  <c r="Y154" i="84"/>
  <c r="Y149" i="82"/>
  <c r="Y111" i="74"/>
  <c r="AA109" i="84"/>
  <c r="AA142" i="82"/>
  <c r="O27" i="91"/>
  <c r="X165" i="92"/>
  <c r="AB47" i="83"/>
  <c r="L101" i="89"/>
  <c r="AB105" i="84"/>
  <c r="X77" i="83"/>
  <c r="Q106" i="88"/>
  <c r="AB143" i="87"/>
  <c r="P47" i="89"/>
  <c r="N69" i="87"/>
  <c r="Y92" i="93"/>
  <c r="P119" i="93"/>
  <c r="X112" i="83"/>
  <c r="P23" i="84"/>
  <c r="Q87" i="93"/>
  <c r="P29" i="92"/>
  <c r="P73" i="83"/>
  <c r="Q25" i="81"/>
  <c r="M19" i="83"/>
  <c r="L147" i="84"/>
  <c r="P134" i="85"/>
  <c r="AA25" i="83"/>
  <c r="AB102" i="88"/>
  <c r="X166" i="92"/>
  <c r="L74" i="82"/>
  <c r="O89" i="87"/>
  <c r="X15" i="87"/>
  <c r="Q78" i="74"/>
  <c r="AB110" i="94"/>
  <c r="Z120" i="91"/>
  <c r="AB63" i="83"/>
  <c r="Q157" i="89"/>
  <c r="Z129" i="84"/>
  <c r="Z65" i="84"/>
  <c r="X143" i="88"/>
  <c r="O23" i="93"/>
  <c r="AB153" i="90"/>
  <c r="P129" i="89"/>
  <c r="P69" i="90"/>
  <c r="Y121" i="89"/>
  <c r="L157" i="90"/>
  <c r="Y13" i="74"/>
  <c r="Y27" i="82"/>
  <c r="Q100" i="74"/>
  <c r="Y73" i="90"/>
  <c r="AB89" i="88"/>
  <c r="Y159" i="87"/>
  <c r="Y131" i="84"/>
  <c r="O162" i="81"/>
  <c r="N162" i="91"/>
  <c r="P71" i="74"/>
  <c r="X152" i="88"/>
  <c r="Q47" i="94"/>
  <c r="Y31" i="82"/>
  <c r="X71" i="89"/>
  <c r="P137" i="84"/>
  <c r="AB154" i="87"/>
  <c r="X132" i="83"/>
  <c r="Y119" i="82"/>
  <c r="AA148" i="87"/>
  <c r="AA129" i="94"/>
  <c r="Z21" i="90"/>
  <c r="Q132" i="81"/>
  <c r="AA146" i="84"/>
  <c r="AA153" i="91"/>
  <c r="Y131" i="85"/>
  <c r="X159" i="85"/>
  <c r="Z108" i="90"/>
  <c r="X85" i="82"/>
  <c r="Z139" i="89"/>
  <c r="Q70" i="89"/>
  <c r="Z159" i="83"/>
  <c r="Y128" i="91"/>
  <c r="Q127" i="91"/>
  <c r="Q156" i="82"/>
  <c r="L110" i="84"/>
  <c r="Q94" i="82"/>
  <c r="Q64" i="85"/>
  <c r="X76" i="92"/>
  <c r="X167" i="92"/>
  <c r="Y112" i="91"/>
  <c r="N39" i="81"/>
  <c r="AA100" i="85"/>
  <c r="AB156" i="83"/>
  <c r="X87" i="87"/>
  <c r="Y146" i="93"/>
  <c r="AB106" i="93"/>
  <c r="Q140" i="93"/>
  <c r="Y125" i="82"/>
  <c r="Q127" i="94"/>
  <c r="Q83" i="84"/>
  <c r="Q164" i="87"/>
  <c r="AB57" i="84"/>
  <c r="O43" i="83"/>
  <c r="L89" i="92"/>
  <c r="L94" i="82"/>
  <c r="O95" i="93"/>
  <c r="AA17" i="87"/>
  <c r="Q19" i="89"/>
  <c r="AA61" i="83"/>
  <c r="AA142" i="81"/>
  <c r="Y101" i="82"/>
  <c r="Q91" i="87"/>
  <c r="Q114" i="87"/>
  <c r="AA131" i="82"/>
  <c r="Z73" i="92"/>
  <c r="AA143" i="81"/>
  <c r="P160" i="81"/>
  <c r="Z114" i="91"/>
  <c r="L117" i="81"/>
  <c r="Y13" i="87"/>
  <c r="Z157" i="94"/>
  <c r="N162" i="85"/>
  <c r="M13" i="89"/>
  <c r="Z124" i="84"/>
  <c r="M15" i="81"/>
  <c r="AB123" i="82"/>
  <c r="Z167" i="85"/>
  <c r="P126" i="90"/>
  <c r="L92" i="82"/>
  <c r="N96" i="81"/>
  <c r="Q43" i="94"/>
  <c r="P19" i="88"/>
  <c r="P74" i="94"/>
  <c r="X21" i="83"/>
  <c r="Z127" i="90"/>
  <c r="AB37" i="81"/>
  <c r="X119" i="92"/>
  <c r="Z158" i="91"/>
  <c r="Z127" i="83"/>
  <c r="P31" i="85"/>
  <c r="L142" i="82"/>
  <c r="Y156" i="89"/>
  <c r="Y98" i="90"/>
  <c r="P70" i="74"/>
  <c r="Q118" i="74"/>
  <c r="P152" i="92"/>
  <c r="P151" i="89"/>
  <c r="Z98" i="94"/>
  <c r="AA141" i="83"/>
  <c r="Y133" i="84"/>
  <c r="AB92" i="82"/>
  <c r="AA126" i="92"/>
  <c r="AB147" i="84"/>
  <c r="AB93" i="92"/>
  <c r="O112" i="85"/>
  <c r="X113" i="89"/>
  <c r="O45" i="93"/>
  <c r="Z99" i="92"/>
  <c r="Y33" i="82"/>
  <c r="Q162" i="90"/>
  <c r="N15" i="87"/>
  <c r="L94" i="92"/>
  <c r="X161" i="81"/>
  <c r="P161" i="83"/>
  <c r="P67" i="91"/>
  <c r="Y13" i="81"/>
  <c r="AA113" i="94"/>
  <c r="Q31" i="88"/>
  <c r="O127" i="92"/>
  <c r="P98" i="94"/>
  <c r="Z100" i="93"/>
  <c r="O99" i="93"/>
  <c r="AA29" i="92"/>
  <c r="AA29" i="90"/>
  <c r="AB160" i="82"/>
  <c r="AA66" i="94"/>
  <c r="Q113" i="93"/>
  <c r="Y116" i="82"/>
  <c r="Y103" i="94"/>
  <c r="AA13" i="84"/>
  <c r="L95" i="88"/>
  <c r="O98" i="81"/>
  <c r="Y155" i="91"/>
  <c r="L111" i="81"/>
  <c r="AA35" i="81"/>
  <c r="N168" i="91"/>
  <c r="Y87" i="87"/>
  <c r="AA153" i="94"/>
  <c r="Z153" i="93"/>
  <c r="Y55" i="90"/>
  <c r="X72" i="81"/>
  <c r="AA145" i="87"/>
  <c r="M49" i="85"/>
  <c r="X132" i="74"/>
  <c r="AA95" i="81"/>
  <c r="L162" i="92"/>
  <c r="AB15" i="74"/>
  <c r="X83" i="74"/>
  <c r="Z148" i="83"/>
  <c r="O126" i="81"/>
  <c r="Q90" i="88"/>
  <c r="L127" i="82"/>
  <c r="AB25" i="88"/>
  <c r="O65" i="82"/>
  <c r="O97" i="90"/>
  <c r="AA53" i="89"/>
  <c r="Q129" i="91"/>
  <c r="Y118" i="83"/>
  <c r="Y63" i="94"/>
  <c r="Q110" i="90"/>
  <c r="L97" i="94"/>
  <c r="Y15" i="91"/>
  <c r="O114" i="94"/>
  <c r="Y155" i="89"/>
  <c r="X89" i="89"/>
  <c r="P9" i="83"/>
  <c r="O72" i="91"/>
  <c r="X138" i="81"/>
  <c r="N150" i="84"/>
  <c r="P108" i="84"/>
  <c r="AA59" i="87"/>
  <c r="AB17" i="94"/>
  <c r="P27" i="93"/>
  <c r="Y124" i="89"/>
  <c r="L137" i="88"/>
  <c r="Q159" i="81"/>
  <c r="AA31" i="87"/>
  <c r="AA49" i="92"/>
  <c r="Y73" i="91"/>
  <c r="Y21" i="82"/>
  <c r="O119" i="93"/>
  <c r="Q121" i="74"/>
  <c r="L117" i="82"/>
  <c r="P102" i="85"/>
  <c r="Y63" i="90"/>
  <c r="AA165" i="81"/>
  <c r="AB55" i="89"/>
  <c r="Q157" i="85"/>
  <c r="L146" i="85"/>
  <c r="X166" i="81"/>
  <c r="P133" i="83"/>
  <c r="Q127" i="74"/>
  <c r="X119" i="85"/>
  <c r="Z55" i="93"/>
  <c r="AA74" i="89"/>
  <c r="Y133" i="92"/>
  <c r="Q98" i="82"/>
  <c r="O72" i="74"/>
  <c r="AB135" i="93"/>
  <c r="AA71" i="74"/>
  <c r="Z142" i="81"/>
  <c r="P70" i="82"/>
  <c r="O115" i="92"/>
  <c r="AB76" i="93"/>
  <c r="AA76" i="88"/>
  <c r="Q104" i="83"/>
  <c r="M39" i="89"/>
  <c r="AA137" i="84"/>
  <c r="O96" i="94"/>
  <c r="P133" i="90"/>
  <c r="X161" i="87"/>
  <c r="O72" i="87"/>
  <c r="Q27" i="83"/>
  <c r="AA19" i="85"/>
  <c r="M37" i="88"/>
  <c r="X80" i="91"/>
  <c r="X102" i="82"/>
  <c r="P57" i="93"/>
  <c r="AB78" i="87"/>
  <c r="Z89" i="90"/>
  <c r="AB23" i="87"/>
  <c r="L105" i="83"/>
  <c r="P166" i="88"/>
  <c r="Q135" i="92"/>
  <c r="Z15" i="89"/>
  <c r="X154" i="88"/>
  <c r="N81" i="85"/>
  <c r="L164" i="89"/>
  <c r="X136" i="92"/>
  <c r="Z152" i="92"/>
  <c r="O156" i="92"/>
  <c r="Z19" i="82"/>
  <c r="AB146" i="74"/>
  <c r="O154" i="85"/>
  <c r="O69" i="87"/>
  <c r="Q112" i="88"/>
  <c r="X147" i="87"/>
  <c r="O110" i="94"/>
  <c r="P66" i="82"/>
  <c r="X145" i="84"/>
  <c r="L66" i="89"/>
  <c r="Y136" i="88"/>
  <c r="Y100" i="74"/>
  <c r="AB68" i="87"/>
  <c r="L103" i="90"/>
  <c r="AB129" i="85"/>
  <c r="O135" i="84"/>
  <c r="Q103" i="90"/>
  <c r="AA77" i="84"/>
  <c r="L101" i="81"/>
  <c r="AA11" i="92"/>
  <c r="L79" i="89"/>
  <c r="AB90" i="93"/>
  <c r="Y141" i="81"/>
  <c r="Y65" i="82"/>
  <c r="O81" i="89"/>
  <c r="Y85" i="84"/>
  <c r="X127" i="91"/>
  <c r="X118" i="92"/>
  <c r="Z151" i="85"/>
  <c r="Y45" i="88"/>
  <c r="Q123" i="92"/>
  <c r="P92" i="92"/>
  <c r="Y100" i="94"/>
  <c r="M59" i="92"/>
  <c r="AA166" i="81"/>
  <c r="P77" i="87"/>
  <c r="AB31" i="93"/>
  <c r="Q156" i="85"/>
  <c r="AB68" i="93"/>
  <c r="Z96" i="89"/>
  <c r="AB15" i="91"/>
  <c r="O57" i="74"/>
  <c r="N27" i="81"/>
  <c r="Y70" i="92"/>
  <c r="L118" i="85"/>
  <c r="L106" i="82"/>
  <c r="L167" i="88"/>
  <c r="AB41" i="74"/>
  <c r="O148" i="93"/>
  <c r="AB51" i="88"/>
  <c r="AB98" i="81"/>
  <c r="L81" i="92"/>
  <c r="Q154" i="74"/>
  <c r="N27" i="88"/>
  <c r="Q53" i="90"/>
  <c r="L65" i="93"/>
  <c r="O51" i="94"/>
  <c r="Q155" i="81"/>
  <c r="Z126" i="88"/>
  <c r="Z43" i="89"/>
  <c r="X77" i="89"/>
  <c r="Y11" i="85"/>
  <c r="X79" i="94"/>
  <c r="Q53" i="88"/>
  <c r="X87" i="93"/>
  <c r="AA120" i="94"/>
  <c r="P150" i="90"/>
  <c r="O106" i="92"/>
  <c r="X80" i="88"/>
  <c r="Y37" i="87"/>
  <c r="P113" i="81"/>
  <c r="O149" i="90"/>
  <c r="Z162" i="94"/>
  <c r="L64" i="88"/>
  <c r="AB102" i="74"/>
  <c r="AB71" i="83"/>
  <c r="P155" i="88"/>
  <c r="Y144" i="87"/>
  <c r="L150" i="88"/>
  <c r="Z61" i="84"/>
  <c r="M57" i="84"/>
  <c r="P23" i="91"/>
  <c r="Y131" i="90"/>
  <c r="AA102" i="94"/>
  <c r="AB149" i="89"/>
  <c r="P43" i="84"/>
  <c r="L160" i="89"/>
  <c r="Z123" i="88"/>
  <c r="X147" i="84"/>
  <c r="X84" i="91"/>
  <c r="AB76" i="84"/>
  <c r="O163" i="81"/>
  <c r="N111" i="82"/>
  <c r="AA150" i="84"/>
  <c r="P45" i="82"/>
  <c r="Q125" i="83"/>
  <c r="P95" i="93"/>
  <c r="Z126" i="92"/>
  <c r="X82" i="83"/>
  <c r="AB162" i="90"/>
  <c r="L114" i="93"/>
  <c r="Y55" i="81"/>
  <c r="L131" i="89"/>
  <c r="N9" i="91"/>
  <c r="Q65" i="84"/>
  <c r="X123" i="88"/>
  <c r="P121" i="87"/>
  <c r="P31" i="88"/>
  <c r="Y115" i="93"/>
  <c r="Q75" i="83"/>
  <c r="Q63" i="85"/>
  <c r="Z82" i="82"/>
  <c r="Q121" i="83"/>
  <c r="P21" i="94"/>
  <c r="AB108" i="92"/>
  <c r="N15" i="90"/>
  <c r="Z142" i="93"/>
  <c r="O92" i="88"/>
  <c r="O130" i="85"/>
  <c r="Z51" i="90"/>
  <c r="X115" i="82"/>
  <c r="P23" i="82"/>
  <c r="AB133" i="92"/>
  <c r="X130" i="94"/>
  <c r="Z120" i="88"/>
  <c r="Y55" i="92"/>
  <c r="N117" i="74"/>
  <c r="Z105" i="91"/>
  <c r="X149" i="81"/>
  <c r="Y80" i="81"/>
  <c r="AB97" i="74"/>
  <c r="AA135" i="83"/>
  <c r="L98" i="92"/>
  <c r="L95" i="89"/>
  <c r="Y149" i="91"/>
  <c r="O81" i="84"/>
  <c r="L155" i="83"/>
  <c r="P51" i="88"/>
  <c r="P75" i="90"/>
  <c r="O135" i="83"/>
  <c r="Z109" i="92"/>
  <c r="Z147" i="74"/>
  <c r="O15" i="83"/>
  <c r="O141" i="88"/>
  <c r="Q134" i="91"/>
  <c r="P138" i="82"/>
  <c r="L70" i="84"/>
  <c r="Y55" i="83"/>
  <c r="X83" i="81"/>
  <c r="O97" i="94"/>
  <c r="Z146" i="85"/>
  <c r="O25" i="89"/>
  <c r="O96" i="90"/>
  <c r="Q91" i="85"/>
  <c r="Y86" i="87"/>
  <c r="X167" i="91"/>
  <c r="Z64" i="91"/>
  <c r="O116" i="94"/>
  <c r="AB116" i="91"/>
  <c r="Y92" i="94"/>
  <c r="AA148" i="82"/>
  <c r="N81" i="91"/>
  <c r="X162" i="87"/>
  <c r="Z9" i="89"/>
  <c r="X94" i="87"/>
  <c r="Z76" i="87"/>
  <c r="Y117" i="82"/>
  <c r="X51" i="74"/>
  <c r="Q83" i="83"/>
  <c r="AB126" i="93"/>
  <c r="X92" i="88"/>
  <c r="AB66" i="91"/>
  <c r="O155" i="85"/>
  <c r="AA150" i="74"/>
  <c r="X148" i="83"/>
  <c r="Z13" i="84"/>
  <c r="Y86" i="94"/>
  <c r="P112" i="74"/>
  <c r="Z147" i="89"/>
  <c r="X100" i="81"/>
  <c r="AA75" i="91"/>
  <c r="Q78" i="89"/>
  <c r="P161" i="90"/>
  <c r="Y57" i="81"/>
  <c r="AA120" i="85"/>
  <c r="P148" i="88"/>
  <c r="O165" i="93"/>
  <c r="Y143" i="74"/>
  <c r="Y79" i="88"/>
  <c r="AA69" i="89"/>
  <c r="Z69" i="82"/>
  <c r="Z167" i="84"/>
  <c r="O152" i="87"/>
  <c r="AB132" i="81"/>
  <c r="AA150" i="92"/>
  <c r="Y152" i="81"/>
  <c r="L113" i="93"/>
  <c r="AA72" i="90"/>
  <c r="Y112" i="94"/>
  <c r="X72" i="92"/>
  <c r="L120" i="85"/>
  <c r="Q133" i="94"/>
  <c r="L148" i="89"/>
  <c r="Z74" i="94"/>
  <c r="AA29" i="82"/>
  <c r="L141" i="87"/>
  <c r="O130" i="92"/>
  <c r="O160" i="81"/>
  <c r="P100" i="84"/>
  <c r="P143" i="85"/>
  <c r="Y98" i="89"/>
  <c r="O82" i="81"/>
  <c r="Y127" i="88"/>
  <c r="O160" i="94"/>
  <c r="M41" i="82"/>
  <c r="Q136" i="90"/>
  <c r="P11" i="88"/>
  <c r="L122" i="81"/>
  <c r="AB61" i="94"/>
  <c r="X70" i="87"/>
  <c r="P102" i="93"/>
  <c r="Q143" i="88"/>
  <c r="AB73" i="90"/>
  <c r="Y128" i="82"/>
  <c r="AB98" i="83"/>
  <c r="P153" i="94"/>
  <c r="AB131" i="94"/>
  <c r="AB29" i="92"/>
  <c r="P29" i="94"/>
  <c r="L127" i="87"/>
  <c r="Q99" i="94"/>
  <c r="AB152" i="83"/>
  <c r="O78" i="87"/>
  <c r="Y153" i="92"/>
  <c r="O167" i="93"/>
  <c r="Y82" i="85"/>
  <c r="L68" i="88"/>
  <c r="AA80" i="81"/>
  <c r="O88" i="83"/>
  <c r="Y92" i="74"/>
  <c r="Q132" i="85"/>
  <c r="P165" i="82"/>
  <c r="AB162" i="87"/>
  <c r="AA17" i="90"/>
  <c r="N33" i="87"/>
  <c r="P35" i="74"/>
  <c r="X155" i="88"/>
  <c r="M53" i="89"/>
  <c r="Y134" i="88"/>
  <c r="AA145" i="92"/>
  <c r="P45" i="88"/>
  <c r="P109" i="82"/>
  <c r="Z75" i="82"/>
  <c r="AA47" i="91"/>
  <c r="Q136" i="74"/>
  <c r="Q96" i="83"/>
  <c r="X131" i="83"/>
  <c r="L80" i="74"/>
  <c r="L71" i="84"/>
  <c r="P43" i="81"/>
  <c r="P92" i="88"/>
  <c r="Z167" i="74"/>
  <c r="P129" i="82"/>
  <c r="M49" i="83"/>
  <c r="AA82" i="89"/>
  <c r="X116" i="90"/>
  <c r="AB107" i="82"/>
  <c r="O72" i="92"/>
  <c r="Q161" i="88"/>
  <c r="Z119" i="87"/>
  <c r="L163" i="82"/>
  <c r="AA136" i="84"/>
  <c r="AA64" i="91"/>
  <c r="M41" i="90"/>
  <c r="L72" i="82"/>
  <c r="X75" i="88"/>
  <c r="X31" i="91"/>
  <c r="AA122" i="94"/>
  <c r="X69" i="88"/>
  <c r="Y37" i="74"/>
  <c r="L117" i="88"/>
  <c r="AB39" i="87"/>
  <c r="Y35" i="91"/>
  <c r="P115" i="93"/>
  <c r="AB145" i="87"/>
  <c r="O129" i="81"/>
  <c r="X27" i="90"/>
  <c r="O137" i="84"/>
  <c r="M37" i="90"/>
  <c r="Q15" i="81"/>
  <c r="AA138" i="82"/>
  <c r="AB159" i="83"/>
  <c r="AB61" i="82"/>
  <c r="Z101" i="89"/>
  <c r="AA95" i="91"/>
  <c r="N75" i="89"/>
  <c r="N129" i="91"/>
  <c r="P156" i="85"/>
  <c r="AB134" i="92"/>
  <c r="P74" i="87"/>
  <c r="L139" i="83"/>
  <c r="Y80" i="87"/>
  <c r="O49" i="94"/>
  <c r="Z127" i="84"/>
  <c r="AB82" i="83"/>
  <c r="Z69" i="89"/>
  <c r="N51" i="90"/>
  <c r="O64" i="74"/>
  <c r="O85" i="84"/>
  <c r="Y98" i="74"/>
  <c r="AA59" i="83"/>
  <c r="Z163" i="93"/>
  <c r="Y83" i="90"/>
  <c r="X114" i="85"/>
  <c r="P69" i="87"/>
  <c r="X75" i="84"/>
  <c r="Z9" i="94"/>
  <c r="Q59" i="94"/>
  <c r="AB137" i="81"/>
  <c r="Z72" i="82"/>
  <c r="O124" i="92"/>
  <c r="Z80" i="74"/>
  <c r="X79" i="81"/>
  <c r="Q160" i="89"/>
  <c r="AA110" i="84"/>
  <c r="Z65" i="81"/>
  <c r="X148" i="91"/>
  <c r="L125" i="83"/>
  <c r="X144" i="83"/>
  <c r="Q111" i="87"/>
  <c r="Q145" i="92"/>
  <c r="AB33" i="88"/>
  <c r="AA96" i="85"/>
  <c r="X126" i="89"/>
  <c r="Y66" i="93"/>
  <c r="Q76" i="91"/>
  <c r="AA125" i="74"/>
  <c r="Q21" i="81"/>
  <c r="L90" i="92"/>
  <c r="AA155" i="88"/>
  <c r="AB13" i="94"/>
  <c r="P84" i="85"/>
  <c r="Z118" i="85"/>
  <c r="O76" i="87"/>
  <c r="X156" i="84"/>
  <c r="X162" i="93"/>
  <c r="L70" i="74"/>
  <c r="Y153" i="89"/>
  <c r="Z106" i="93"/>
  <c r="AB76" i="74"/>
  <c r="P117" i="92"/>
  <c r="N75" i="81"/>
  <c r="AA61" i="93"/>
  <c r="P53" i="94"/>
  <c r="Y79" i="81"/>
  <c r="O31" i="82"/>
  <c r="Q110" i="83"/>
  <c r="N39" i="90"/>
  <c r="O33" i="85"/>
  <c r="Z47" i="94"/>
  <c r="Y100" i="84"/>
  <c r="P126" i="87"/>
  <c r="AB74" i="89"/>
  <c r="O160" i="82"/>
  <c r="AB75" i="84"/>
  <c r="Q69" i="88"/>
  <c r="AB98" i="84"/>
  <c r="P89" i="93"/>
  <c r="X90" i="83"/>
  <c r="AB141" i="82"/>
  <c r="X79" i="85"/>
  <c r="P158" i="94"/>
  <c r="AB63" i="85"/>
  <c r="P165" i="92"/>
  <c r="Q84" i="82"/>
  <c r="Y74" i="83"/>
  <c r="AA109" i="94"/>
  <c r="L147" i="88"/>
  <c r="O94" i="84"/>
  <c r="L100" i="90"/>
  <c r="X81" i="74"/>
  <c r="Y78" i="87"/>
  <c r="AA85" i="87"/>
  <c r="Y85" i="85"/>
  <c r="P163" i="93"/>
  <c r="L138" i="92"/>
  <c r="O138" i="91"/>
  <c r="Z75" i="81"/>
  <c r="O137" i="89"/>
  <c r="Y154" i="88"/>
  <c r="AB39" i="81"/>
  <c r="L111" i="84"/>
  <c r="O152" i="91"/>
  <c r="L150" i="94"/>
  <c r="Z160" i="93"/>
  <c r="L63" i="93"/>
  <c r="P109" i="81"/>
  <c r="Y139" i="93"/>
  <c r="X108" i="93"/>
  <c r="AA39" i="92"/>
  <c r="Q155" i="84"/>
  <c r="O23" i="87"/>
  <c r="AB9" i="82"/>
  <c r="Q19" i="93"/>
  <c r="Y156" i="84"/>
  <c r="L153" i="82"/>
  <c r="O134" i="83"/>
  <c r="AB71" i="82"/>
  <c r="Q164" i="81"/>
  <c r="O135" i="85"/>
  <c r="AB136" i="93"/>
  <c r="L129" i="94"/>
  <c r="Z49" i="74"/>
  <c r="X161" i="93"/>
  <c r="L84" i="85"/>
  <c r="Q84" i="81"/>
  <c r="O108" i="89"/>
  <c r="AA27" i="91"/>
  <c r="X13" i="83"/>
  <c r="X153" i="87"/>
  <c r="Y100" i="81"/>
  <c r="M15" i="94"/>
  <c r="O161" i="74"/>
  <c r="L130" i="93"/>
  <c r="AA23" i="89"/>
  <c r="AB139" i="91"/>
  <c r="O108" i="94"/>
  <c r="L158" i="81"/>
  <c r="X74" i="90"/>
  <c r="Q9" i="94"/>
  <c r="P115" i="87"/>
  <c r="AA55" i="81"/>
  <c r="X37" i="90"/>
  <c r="AB151" i="92"/>
  <c r="AB142" i="83"/>
  <c r="N141" i="83"/>
  <c r="L149" i="85"/>
  <c r="L141" i="85"/>
  <c r="Q108" i="91"/>
  <c r="X119" i="89"/>
  <c r="Y94" i="88"/>
  <c r="P72" i="87"/>
  <c r="P125" i="94"/>
  <c r="Z111" i="74"/>
  <c r="AB122" i="83"/>
  <c r="Q9" i="89"/>
  <c r="Q31" i="91"/>
  <c r="X69" i="92"/>
  <c r="AB141" i="81"/>
  <c r="Y31" i="90"/>
  <c r="Y154" i="85"/>
  <c r="AB77" i="83"/>
  <c r="L142" i="94"/>
  <c r="P145" i="92"/>
  <c r="Y73" i="94"/>
  <c r="Z21" i="91"/>
  <c r="X82" i="82"/>
  <c r="AB85" i="74"/>
  <c r="L135" i="87"/>
  <c r="P166" i="89"/>
  <c r="O132" i="89"/>
  <c r="O159" i="94"/>
  <c r="X74" i="89"/>
  <c r="Y45" i="91"/>
  <c r="X55" i="93"/>
  <c r="Y123" i="90"/>
  <c r="AA152" i="93"/>
  <c r="Z139" i="92"/>
  <c r="L125" i="87"/>
  <c r="Z27" i="90"/>
  <c r="AA86" i="81"/>
  <c r="AB61" i="87"/>
  <c r="O157" i="93"/>
  <c r="P15" i="90"/>
  <c r="M55" i="85"/>
  <c r="Y106" i="89"/>
  <c r="P121" i="89"/>
  <c r="Q31" i="83"/>
  <c r="AA138" i="88"/>
  <c r="O35" i="83"/>
  <c r="AA101" i="82"/>
  <c r="Z155" i="94"/>
  <c r="Z110" i="87"/>
  <c r="O66" i="90"/>
  <c r="Y68" i="74"/>
  <c r="AB134" i="87"/>
  <c r="Z35" i="82"/>
  <c r="Q47" i="82"/>
  <c r="Z139" i="87"/>
  <c r="Y103" i="84"/>
  <c r="Q108" i="81"/>
  <c r="Q17" i="94"/>
  <c r="AA109" i="93"/>
  <c r="Y149" i="93"/>
  <c r="O133" i="82"/>
  <c r="P95" i="87"/>
  <c r="AA27" i="84"/>
  <c r="L163" i="90"/>
  <c r="O78" i="92"/>
  <c r="O145" i="89"/>
  <c r="Z162" i="81"/>
  <c r="Y9" i="88"/>
  <c r="P15" i="85"/>
  <c r="O132" i="83"/>
  <c r="Q158" i="81"/>
  <c r="O148" i="84"/>
  <c r="AB165" i="94"/>
  <c r="Q106" i="87"/>
  <c r="Y88" i="92"/>
  <c r="Z126" i="89"/>
  <c r="Z71" i="87"/>
  <c r="L136" i="83"/>
  <c r="Y121" i="81"/>
  <c r="O65" i="93"/>
  <c r="Z83" i="82"/>
  <c r="AB154" i="85"/>
  <c r="P127" i="83"/>
  <c r="L96" i="84"/>
  <c r="P155" i="89"/>
  <c r="L118" i="74"/>
  <c r="AB105" i="89"/>
  <c r="P105" i="84"/>
  <c r="Y53" i="90"/>
  <c r="X136" i="85"/>
  <c r="L104" i="93"/>
  <c r="L81" i="88"/>
  <c r="Q136" i="91"/>
  <c r="P53" i="90"/>
  <c r="X85" i="89"/>
  <c r="Z51" i="82"/>
  <c r="X72" i="93"/>
  <c r="Y71" i="87"/>
  <c r="M39" i="94"/>
  <c r="Z156" i="85"/>
  <c r="P150" i="84"/>
  <c r="Y149" i="74"/>
  <c r="M33" i="85"/>
  <c r="AB144" i="87"/>
  <c r="Y37" i="84"/>
  <c r="Q122" i="91"/>
  <c r="Q112" i="92"/>
  <c r="Q23" i="89"/>
  <c r="Z157" i="93"/>
  <c r="O157" i="89"/>
  <c r="P70" i="85"/>
  <c r="AA37" i="90"/>
  <c r="Q65" i="90"/>
  <c r="AB85" i="82"/>
  <c r="Z79" i="94"/>
  <c r="O107" i="83"/>
  <c r="AA100" i="74"/>
  <c r="AB41" i="91"/>
  <c r="X41" i="94"/>
  <c r="AA70" i="82"/>
  <c r="P118" i="89"/>
  <c r="L146" i="89"/>
  <c r="AB83" i="87"/>
  <c r="P77" i="83"/>
  <c r="L148" i="88"/>
  <c r="L123" i="84"/>
  <c r="AB143" i="83"/>
  <c r="O23" i="84"/>
  <c r="Z145" i="81"/>
  <c r="Y13" i="91"/>
  <c r="AA119" i="82"/>
  <c r="AA101" i="92"/>
  <c r="O89" i="92"/>
  <c r="P87" i="91"/>
  <c r="Z43" i="84"/>
  <c r="X132" i="84"/>
  <c r="O70" i="93"/>
  <c r="X150" i="90"/>
  <c r="P19" i="89"/>
  <c r="P101" i="94"/>
  <c r="P106" i="83"/>
  <c r="Y106" i="87"/>
  <c r="X15" i="81"/>
  <c r="X153" i="84"/>
  <c r="AB11" i="89"/>
  <c r="X103" i="94"/>
  <c r="Y49" i="93"/>
  <c r="M9" i="88"/>
  <c r="L76" i="81"/>
  <c r="Y136" i="83"/>
  <c r="P53" i="85"/>
  <c r="O124" i="82"/>
  <c r="X86" i="84"/>
  <c r="P101" i="91"/>
  <c r="AA130" i="87"/>
  <c r="Y138" i="93"/>
  <c r="Y123" i="91"/>
  <c r="P64" i="89"/>
  <c r="Q132" i="89"/>
  <c r="AB122" i="81"/>
  <c r="P140" i="85"/>
  <c r="L108" i="84"/>
  <c r="AA126" i="90"/>
  <c r="AA161" i="94"/>
  <c r="O122" i="85"/>
  <c r="AB55" i="90"/>
  <c r="N150" i="81"/>
  <c r="AA11" i="84"/>
  <c r="O158" i="91"/>
  <c r="AB133" i="81"/>
  <c r="Z74" i="87"/>
  <c r="AA157" i="91"/>
  <c r="Z86" i="84"/>
  <c r="Q114" i="88"/>
  <c r="AA160" i="91"/>
  <c r="O137" i="83"/>
  <c r="P112" i="92"/>
  <c r="X101" i="94"/>
  <c r="X29" i="81"/>
  <c r="X23" i="94"/>
  <c r="AA108" i="83"/>
  <c r="Z130" i="88"/>
  <c r="AA13" i="74"/>
  <c r="Z9" i="93"/>
  <c r="Q137" i="88"/>
  <c r="Y86" i="88"/>
  <c r="O65" i="81"/>
  <c r="Y90" i="74"/>
  <c r="AA74" i="92"/>
  <c r="O125" i="89"/>
  <c r="Y43" i="92"/>
  <c r="AB94" i="83"/>
  <c r="O132" i="90"/>
  <c r="O109" i="92"/>
  <c r="M39" i="83"/>
  <c r="P76" i="90"/>
  <c r="AA149" i="83"/>
  <c r="N39" i="91"/>
  <c r="L147" i="81"/>
  <c r="AA17" i="88"/>
  <c r="O87" i="82"/>
  <c r="AB33" i="90"/>
  <c r="Z13" i="92"/>
  <c r="N120" i="90"/>
  <c r="Q19" i="85"/>
  <c r="O68" i="87"/>
  <c r="L98" i="90"/>
  <c r="Q137" i="89"/>
  <c r="O130" i="89"/>
  <c r="L154" i="74"/>
  <c r="Z69" i="81"/>
  <c r="L156" i="83"/>
  <c r="O101" i="81"/>
  <c r="L120" i="83"/>
  <c r="Y90" i="91"/>
  <c r="Q143" i="92"/>
  <c r="M23" i="82"/>
  <c r="X15" i="90"/>
  <c r="Z70" i="91"/>
  <c r="Y64" i="89"/>
  <c r="AB146" i="81"/>
  <c r="Q41" i="88"/>
  <c r="Q121" i="88"/>
  <c r="P161" i="89"/>
  <c r="L151" i="83"/>
  <c r="O159" i="83"/>
  <c r="AA19" i="83"/>
  <c r="L70" i="89"/>
  <c r="Z152" i="93"/>
  <c r="L163" i="85"/>
  <c r="Q88" i="94"/>
  <c r="P96" i="81"/>
  <c r="AA72" i="92"/>
  <c r="P127" i="93"/>
  <c r="AA73" i="88"/>
  <c r="M49" i="81"/>
  <c r="O154" i="91"/>
  <c r="AA152" i="74"/>
  <c r="AA87" i="91"/>
  <c r="Y13" i="92"/>
  <c r="N132" i="81"/>
  <c r="P73" i="82"/>
  <c r="AB53" i="85"/>
  <c r="Z92" i="94"/>
  <c r="P145" i="82"/>
  <c r="Y41" i="92"/>
  <c r="O19" i="94"/>
  <c r="X9" i="87"/>
  <c r="Q122" i="88"/>
  <c r="Z103" i="87"/>
  <c r="L77" i="90"/>
  <c r="Y133" i="81"/>
  <c r="N99" i="94"/>
  <c r="O149" i="84"/>
  <c r="N9" i="92"/>
  <c r="M59" i="89"/>
  <c r="AA53" i="83"/>
  <c r="AB126" i="83"/>
  <c r="P47" i="93"/>
  <c r="X152" i="81"/>
  <c r="O125" i="83"/>
  <c r="O84" i="88"/>
  <c r="X107" i="90"/>
  <c r="AA39" i="83"/>
  <c r="Z72" i="87"/>
  <c r="X125" i="87"/>
  <c r="Z137" i="74"/>
  <c r="Q95" i="94"/>
  <c r="X70" i="88"/>
  <c r="O148" i="74"/>
  <c r="P77" i="81"/>
  <c r="P97" i="81"/>
  <c r="O102" i="88"/>
  <c r="X125" i="90"/>
  <c r="AA118" i="81"/>
  <c r="X163" i="94"/>
  <c r="AB75" i="74"/>
  <c r="Y77" i="88"/>
  <c r="AA64" i="81"/>
  <c r="O108" i="91"/>
  <c r="O131" i="84"/>
  <c r="X89" i="85"/>
  <c r="P134" i="83"/>
  <c r="O76" i="93"/>
  <c r="Q159" i="94"/>
  <c r="Q95" i="84"/>
  <c r="Q92" i="88"/>
  <c r="AA141" i="82"/>
  <c r="P31" i="84"/>
  <c r="AA138" i="94"/>
  <c r="Q144" i="87"/>
  <c r="X129" i="88"/>
  <c r="L167" i="82"/>
  <c r="AB98" i="87"/>
  <c r="Y99" i="83"/>
  <c r="AA25" i="84"/>
  <c r="P124" i="87"/>
  <c r="Z73" i="88"/>
  <c r="X87" i="82"/>
  <c r="L158" i="94"/>
  <c r="Y84" i="74"/>
  <c r="Y78" i="81"/>
  <c r="Y145" i="88"/>
  <c r="N162" i="93"/>
  <c r="AA155" i="84"/>
  <c r="Y85" i="83"/>
  <c r="AB55" i="74"/>
  <c r="L162" i="85"/>
  <c r="L77" i="84"/>
  <c r="L144" i="85"/>
  <c r="Y108" i="89"/>
  <c r="L80" i="82"/>
  <c r="Z103" i="91"/>
  <c r="Y59" i="85"/>
  <c r="N69" i="91"/>
  <c r="L120" i="74"/>
  <c r="P139" i="74"/>
  <c r="O146" i="89"/>
  <c r="Z66" i="90"/>
  <c r="Q151" i="93"/>
  <c r="N81" i="94"/>
  <c r="L106" i="93"/>
  <c r="AB69" i="90"/>
  <c r="Y80" i="83"/>
  <c r="O15" i="87"/>
  <c r="Z41" i="93"/>
  <c r="O96" i="81"/>
  <c r="Q45" i="89"/>
  <c r="O69" i="92"/>
  <c r="L67" i="92"/>
  <c r="AA141" i="89"/>
  <c r="Y158" i="89"/>
  <c r="Q111" i="92"/>
  <c r="AA128" i="88"/>
  <c r="L163" i="92"/>
  <c r="Y162" i="91"/>
  <c r="P137" i="93"/>
  <c r="P33" i="82"/>
  <c r="Y114" i="89"/>
  <c r="N51" i="83"/>
  <c r="Q166" i="94"/>
  <c r="AB129" i="93"/>
  <c r="N66" i="82"/>
  <c r="AA25" i="81"/>
  <c r="P128" i="87"/>
  <c r="AB120" i="85"/>
  <c r="P106" i="94"/>
  <c r="Y91" i="92"/>
  <c r="Z71" i="81"/>
  <c r="X11" i="85"/>
  <c r="O35" i="74"/>
  <c r="Y135" i="87"/>
  <c r="Y150" i="85"/>
  <c r="Q160" i="83"/>
  <c r="O138" i="83"/>
  <c r="P102" i="92"/>
  <c r="L88" i="81"/>
  <c r="X121" i="84"/>
  <c r="P77" i="94"/>
  <c r="L104" i="89"/>
  <c r="Y152" i="91"/>
  <c r="X82" i="94"/>
  <c r="P113" i="93"/>
  <c r="Q112" i="85"/>
  <c r="X127" i="92"/>
  <c r="Y139" i="85"/>
  <c r="AB153" i="83"/>
  <c r="L134" i="81"/>
  <c r="N153" i="89"/>
  <c r="P92" i="93"/>
  <c r="Q101" i="87"/>
  <c r="M53" i="92"/>
  <c r="L73" i="74"/>
  <c r="O128" i="94"/>
  <c r="AA67" i="92"/>
  <c r="AB100" i="81"/>
  <c r="Q111" i="90"/>
  <c r="O31" i="85"/>
  <c r="X67" i="85"/>
  <c r="Z15" i="90"/>
  <c r="O144" i="84"/>
  <c r="M13" i="81"/>
  <c r="L139" i="94"/>
  <c r="P113" i="91"/>
  <c r="Z113" i="92"/>
  <c r="L145" i="83"/>
  <c r="Q109" i="88"/>
  <c r="Y139" i="82"/>
  <c r="O79" i="91"/>
  <c r="AB161" i="74"/>
  <c r="AA35" i="93"/>
  <c r="Q95" i="74"/>
  <c r="AA71" i="83"/>
  <c r="Y125" i="88"/>
  <c r="P121" i="81"/>
  <c r="P154" i="91"/>
  <c r="X124" i="81"/>
  <c r="AA135" i="88"/>
  <c r="Z138" i="91"/>
  <c r="Q133" i="74"/>
  <c r="L74" i="93"/>
  <c r="X84" i="93"/>
  <c r="L65" i="81"/>
  <c r="Y63" i="83"/>
  <c r="P122" i="89"/>
  <c r="Z74" i="82"/>
  <c r="X155" i="85"/>
  <c r="Q39" i="94"/>
  <c r="Q123" i="91"/>
  <c r="AA106" i="85"/>
  <c r="X110" i="81"/>
  <c r="AA74" i="91"/>
  <c r="Y21" i="89"/>
  <c r="O129" i="94"/>
  <c r="AA55" i="93"/>
  <c r="Q90" i="94"/>
  <c r="N162" i="87"/>
  <c r="O65" i="94"/>
  <c r="Y149" i="89"/>
  <c r="Q120" i="74"/>
  <c r="X157" i="93"/>
  <c r="AA89" i="88"/>
  <c r="AA105" i="87"/>
  <c r="Z75" i="94"/>
  <c r="X132" i="81"/>
  <c r="Y149" i="87"/>
  <c r="AB123" i="89"/>
  <c r="L94" i="87"/>
  <c r="AA109" i="85"/>
  <c r="O128" i="83"/>
  <c r="P142" i="91"/>
  <c r="AB86" i="74"/>
  <c r="O72" i="83"/>
  <c r="Y146" i="92"/>
  <c r="Q110" i="88"/>
  <c r="X9" i="89"/>
  <c r="O151" i="87"/>
  <c r="L134" i="93"/>
  <c r="P9" i="85"/>
  <c r="Z162" i="89"/>
  <c r="X153" i="90"/>
  <c r="X51" i="85"/>
  <c r="O151" i="89"/>
  <c r="AB123" i="74"/>
  <c r="Q75" i="74"/>
  <c r="N114" i="83"/>
  <c r="L74" i="90"/>
  <c r="Z41" i="74"/>
  <c r="O23" i="90"/>
  <c r="P127" i="87"/>
  <c r="Y95" i="93"/>
  <c r="Y103" i="89"/>
  <c r="X86" i="87"/>
  <c r="X141" i="90"/>
  <c r="Y68" i="89"/>
  <c r="AA112" i="92"/>
  <c r="Q110" i="94"/>
  <c r="O160" i="87"/>
  <c r="Q92" i="89"/>
  <c r="N75" i="83"/>
  <c r="O134" i="90"/>
  <c r="Z134" i="94"/>
  <c r="P43" i="93"/>
  <c r="P45" i="84"/>
  <c r="AB27" i="81"/>
  <c r="L99" i="90"/>
  <c r="P123" i="89"/>
  <c r="Y89" i="83"/>
  <c r="Q134" i="89"/>
  <c r="N129" i="83"/>
  <c r="AA98" i="87"/>
  <c r="X115" i="84"/>
  <c r="AA139" i="84"/>
  <c r="X144" i="91"/>
  <c r="N129" i="93"/>
  <c r="X153" i="88"/>
  <c r="Q130" i="89"/>
  <c r="O167" i="84"/>
  <c r="N99" i="93"/>
  <c r="Z23" i="74"/>
  <c r="AA122" i="83"/>
  <c r="AA94" i="81"/>
  <c r="Q135" i="91"/>
  <c r="AA66" i="93"/>
  <c r="Y150" i="83"/>
  <c r="M17" i="93"/>
  <c r="Z154" i="92"/>
  <c r="Q133" i="85"/>
  <c r="O85" i="91"/>
  <c r="Y53" i="94"/>
  <c r="L152" i="93"/>
  <c r="Z11" i="88"/>
  <c r="AA11" i="85"/>
  <c r="L149" i="87"/>
  <c r="L85" i="94"/>
  <c r="P138" i="91"/>
  <c r="Z105" i="92"/>
  <c r="AA156" i="88"/>
  <c r="P45" i="90"/>
  <c r="AB124" i="92"/>
  <c r="Y148" i="88"/>
  <c r="X74" i="81"/>
  <c r="O78" i="91"/>
  <c r="Y88" i="82"/>
  <c r="N114" i="74"/>
  <c r="AA161" i="85"/>
  <c r="X27" i="74"/>
  <c r="AB148" i="88"/>
  <c r="Z65" i="83"/>
  <c r="AB121" i="94"/>
  <c r="AB74" i="82"/>
  <c r="O72" i="85"/>
  <c r="M25" i="74"/>
  <c r="X132" i="89"/>
  <c r="Q154" i="87"/>
  <c r="P159" i="94"/>
  <c r="Q21" i="74"/>
  <c r="O137" i="90"/>
  <c r="O83" i="88"/>
  <c r="X45" i="90"/>
  <c r="Y157" i="87"/>
  <c r="L114" i="74"/>
  <c r="Z78" i="82"/>
  <c r="Z43" i="93"/>
  <c r="Z97" i="94"/>
  <c r="X94" i="82"/>
  <c r="Q72" i="74"/>
  <c r="Q39" i="88"/>
  <c r="Y127" i="85"/>
  <c r="AB47" i="84"/>
  <c r="M23" i="87"/>
  <c r="Y130" i="91"/>
  <c r="X67" i="83"/>
  <c r="X73" i="81"/>
  <c r="Y15" i="90"/>
  <c r="P25" i="92"/>
  <c r="Q135" i="93"/>
  <c r="X151" i="85"/>
  <c r="Z63" i="91"/>
  <c r="Z154" i="90"/>
  <c r="N75" i="84"/>
  <c r="AA149" i="89"/>
  <c r="X31" i="90"/>
  <c r="X25" i="92"/>
  <c r="Q45" i="88"/>
  <c r="L79" i="87"/>
  <c r="AB135" i="74"/>
  <c r="L164" i="92"/>
  <c r="Q146" i="74"/>
  <c r="X35" i="85"/>
  <c r="N159" i="91"/>
  <c r="Z167" i="90"/>
  <c r="O41" i="93"/>
  <c r="AA104" i="81"/>
  <c r="Q63" i="84"/>
  <c r="AB49" i="85"/>
  <c r="L115" i="87"/>
  <c r="Y71" i="90"/>
  <c r="P111" i="93"/>
  <c r="P130" i="91"/>
  <c r="X78" i="93"/>
  <c r="Q152" i="88"/>
  <c r="AB130" i="74"/>
  <c r="X158" i="89"/>
  <c r="O106" i="94"/>
  <c r="X43" i="94"/>
  <c r="AA152" i="89"/>
  <c r="AB113" i="87"/>
  <c r="X151" i="74"/>
  <c r="P93" i="87"/>
  <c r="Q162" i="93"/>
  <c r="Y11" i="74"/>
  <c r="AB11" i="88"/>
  <c r="P76" i="87"/>
  <c r="Y115" i="89"/>
  <c r="P134" i="84"/>
  <c r="AB74" i="90"/>
  <c r="Q55" i="84"/>
  <c r="O106" i="91"/>
  <c r="P154" i="83"/>
  <c r="Z25" i="89"/>
  <c r="P57" i="74"/>
  <c r="Z78" i="93"/>
  <c r="Z134" i="91"/>
  <c r="O64" i="87"/>
  <c r="O77" i="88"/>
  <c r="AB124" i="82"/>
  <c r="AA19" i="94"/>
  <c r="AA128" i="92"/>
  <c r="Y129" i="82"/>
  <c r="AB23" i="88"/>
  <c r="Y157" i="92"/>
  <c r="Z151" i="90"/>
  <c r="X141" i="74"/>
  <c r="O141" i="92"/>
  <c r="AA88" i="81"/>
  <c r="O132" i="91"/>
  <c r="P153" i="82"/>
  <c r="AA138" i="93"/>
  <c r="AB59" i="85"/>
  <c r="AB161" i="87"/>
  <c r="X88" i="85"/>
  <c r="O88" i="90"/>
  <c r="L160" i="93"/>
  <c r="Z41" i="87"/>
  <c r="X154" i="85"/>
  <c r="Z72" i="94"/>
  <c r="AB150" i="88"/>
  <c r="Q47" i="83"/>
  <c r="O144" i="92"/>
  <c r="Y19" i="92"/>
  <c r="AB145" i="91"/>
  <c r="Z152" i="74"/>
  <c r="Z126" i="93"/>
  <c r="AB86" i="81"/>
  <c r="P99" i="94"/>
  <c r="Q67" i="90"/>
  <c r="M35" i="91"/>
  <c r="O103" i="91"/>
  <c r="Y139" i="92"/>
  <c r="P100" i="92"/>
  <c r="P167" i="94"/>
  <c r="L109" i="87"/>
  <c r="Q89" i="87"/>
  <c r="X72" i="90"/>
  <c r="P158" i="91"/>
  <c r="Z37" i="84"/>
  <c r="N117" i="85"/>
  <c r="AB45" i="92"/>
  <c r="P126" i="74"/>
  <c r="O79" i="90"/>
  <c r="Q142" i="92"/>
  <c r="X130" i="84"/>
  <c r="Y117" i="81"/>
  <c r="AB77" i="88"/>
  <c r="AA64" i="90"/>
  <c r="AB41" i="94"/>
  <c r="L139" i="88"/>
  <c r="Q124" i="90"/>
  <c r="N153" i="92"/>
  <c r="Q33" i="92"/>
  <c r="AB23" i="89"/>
  <c r="M27" i="93"/>
  <c r="O93" i="84"/>
  <c r="Z17" i="87"/>
  <c r="L120" i="88"/>
  <c r="AA27" i="93"/>
  <c r="AB138" i="90"/>
  <c r="AB15" i="90"/>
  <c r="N120" i="89"/>
  <c r="L63" i="94"/>
  <c r="O71" i="83"/>
  <c r="AA9" i="74"/>
  <c r="N111" i="91"/>
  <c r="P128" i="94"/>
  <c r="Y137" i="85"/>
  <c r="Y150" i="89"/>
  <c r="AB141" i="91"/>
  <c r="Y25" i="92"/>
  <c r="AB23" i="91"/>
  <c r="P76" i="88"/>
  <c r="O71" i="74"/>
  <c r="N111" i="93"/>
  <c r="O105" i="93"/>
  <c r="X156" i="88"/>
  <c r="Y146" i="89"/>
  <c r="AB154" i="74"/>
  <c r="X109" i="89"/>
  <c r="Q113" i="90"/>
  <c r="M35" i="74"/>
  <c r="AB131" i="90"/>
  <c r="Y112" i="83"/>
  <c r="N78" i="90"/>
  <c r="L102" i="87"/>
  <c r="X141" i="87"/>
  <c r="AB25" i="92"/>
  <c r="P146" i="94"/>
  <c r="Q74" i="84"/>
  <c r="O49" i="82"/>
  <c r="N93" i="83"/>
  <c r="AA113" i="91"/>
  <c r="AB35" i="74"/>
  <c r="AA88" i="89"/>
  <c r="AB99" i="92"/>
  <c r="M19" i="94"/>
  <c r="Q21" i="94"/>
  <c r="AA129" i="93"/>
  <c r="Y9" i="81"/>
  <c r="Q102" i="74"/>
  <c r="AA130" i="91"/>
  <c r="Q108" i="88"/>
  <c r="X73" i="88"/>
  <c r="Q80" i="88"/>
  <c r="AA144" i="83"/>
  <c r="Y130" i="88"/>
  <c r="Q102" i="82"/>
  <c r="P55" i="85"/>
  <c r="AA123" i="83"/>
  <c r="Y21" i="88"/>
  <c r="AA135" i="87"/>
  <c r="X15" i="74"/>
  <c r="Y11" i="93"/>
  <c r="P75" i="74"/>
  <c r="O91" i="81"/>
  <c r="AA144" i="93"/>
  <c r="Z96" i="84"/>
  <c r="AB92" i="74"/>
  <c r="L147" i="90"/>
  <c r="Q107" i="89"/>
  <c r="Z47" i="88"/>
  <c r="AA122" i="92"/>
  <c r="L124" i="74"/>
  <c r="Z107" i="92"/>
  <c r="L70" i="83"/>
  <c r="AA120" i="81"/>
  <c r="AA154" i="83"/>
  <c r="X143" i="82"/>
  <c r="Y9" i="94"/>
  <c r="P148" i="94"/>
  <c r="AA109" i="74"/>
  <c r="Y124" i="84"/>
  <c r="X49" i="93"/>
  <c r="AB129" i="83"/>
  <c r="Q33" i="84"/>
  <c r="P102" i="81"/>
  <c r="O71" i="89"/>
  <c r="Y29" i="90"/>
  <c r="Y29" i="94"/>
  <c r="P113" i="90"/>
  <c r="O113" i="89"/>
  <c r="AB131" i="74"/>
  <c r="Z117" i="91"/>
  <c r="X15" i="88"/>
  <c r="X150" i="83"/>
  <c r="O136" i="87"/>
  <c r="P166" i="84"/>
  <c r="M47" i="85"/>
  <c r="AA125" i="83"/>
  <c r="Q126" i="74"/>
  <c r="L133" i="92"/>
  <c r="O72" i="94"/>
  <c r="X11" i="82"/>
  <c r="O156" i="91"/>
  <c r="Q84" i="84"/>
  <c r="AB85" i="85"/>
  <c r="X143" i="87"/>
  <c r="AB141" i="84"/>
  <c r="X105" i="89"/>
  <c r="Z100" i="82"/>
  <c r="P63" i="83"/>
  <c r="N96" i="84"/>
  <c r="Q146" i="87"/>
  <c r="AA146" i="90"/>
  <c r="P150" i="91"/>
  <c r="X111" i="90"/>
  <c r="Q140" i="87"/>
  <c r="P111" i="90"/>
  <c r="O77" i="82"/>
  <c r="P15" i="82"/>
  <c r="N69" i="84"/>
  <c r="X47" i="88"/>
  <c r="X33" i="82"/>
  <c r="Q109" i="81"/>
  <c r="P152" i="91"/>
  <c r="AB86" i="88"/>
  <c r="Q155" i="87"/>
  <c r="AA15" i="87"/>
  <c r="L155" i="93"/>
  <c r="L86" i="87"/>
  <c r="M39" i="93"/>
  <c r="O133" i="93"/>
  <c r="X158" i="82"/>
  <c r="O27" i="92"/>
  <c r="AB149" i="88"/>
  <c r="N162" i="89"/>
  <c r="Y126" i="92"/>
  <c r="Q77" i="90"/>
  <c r="AA159" i="83"/>
  <c r="AA113" i="90"/>
  <c r="Z89" i="82"/>
  <c r="AB51" i="89"/>
  <c r="Y13" i="89"/>
  <c r="AA80" i="91"/>
  <c r="X155" i="90"/>
  <c r="Q139" i="82"/>
  <c r="X165" i="81"/>
  <c r="P79" i="87"/>
  <c r="Q65" i="88"/>
  <c r="L93" i="89"/>
  <c r="Q53" i="81"/>
  <c r="X86" i="85"/>
  <c r="Y75" i="90"/>
  <c r="X9" i="84"/>
  <c r="AA145" i="85"/>
  <c r="Z120" i="81"/>
  <c r="Y61" i="94"/>
  <c r="AB107" i="84"/>
  <c r="Y75" i="93"/>
  <c r="P75" i="84"/>
  <c r="Y84" i="90"/>
  <c r="P141" i="89"/>
  <c r="P79" i="90"/>
  <c r="AB87" i="90"/>
  <c r="L152" i="90"/>
  <c r="O15" i="84"/>
  <c r="Q137" i="90"/>
  <c r="AA67" i="74"/>
  <c r="X146" i="84"/>
  <c r="Z96" i="81"/>
  <c r="Y156" i="91"/>
  <c r="X11" i="74"/>
  <c r="Y150" i="93"/>
  <c r="L133" i="84"/>
  <c r="M11" i="91"/>
  <c r="O79" i="88"/>
  <c r="X92" i="84"/>
  <c r="Z87" i="89"/>
  <c r="Y153" i="83"/>
  <c r="X166" i="74"/>
  <c r="Z103" i="82"/>
  <c r="N90" i="88"/>
  <c r="O39" i="89"/>
  <c r="N144" i="88"/>
  <c r="Y29" i="85"/>
  <c r="Z127" i="82"/>
  <c r="P122" i="85"/>
  <c r="Q63" i="88"/>
  <c r="Y114" i="93"/>
  <c r="L138" i="94"/>
  <c r="X129" i="90"/>
  <c r="L111" i="89"/>
  <c r="X91" i="87"/>
  <c r="P89" i="87"/>
  <c r="P66" i="89"/>
  <c r="AA9" i="82"/>
  <c r="Q79" i="89"/>
  <c r="P150" i="89"/>
  <c r="AB74" i="84"/>
  <c r="Z158" i="85"/>
  <c r="Z15" i="81"/>
  <c r="AB69" i="88"/>
  <c r="Y162" i="93"/>
  <c r="O122" i="92"/>
  <c r="Z139" i="90"/>
  <c r="AA160" i="89"/>
  <c r="Y9" i="92"/>
  <c r="M29" i="94"/>
  <c r="AB110" i="85"/>
  <c r="L98" i="94"/>
  <c r="X51" i="84"/>
  <c r="Y15" i="93"/>
  <c r="X55" i="83"/>
  <c r="Q74" i="92"/>
  <c r="Y21" i="84"/>
  <c r="Y126" i="90"/>
  <c r="Y161" i="88"/>
  <c r="Y74" i="89"/>
  <c r="Y33" i="84"/>
  <c r="Z71" i="90"/>
  <c r="X120" i="81"/>
  <c r="Q11" i="83"/>
  <c r="AB29" i="74"/>
  <c r="P103" i="83"/>
  <c r="AB142" i="92"/>
  <c r="Z146" i="92"/>
  <c r="AA136" i="85"/>
  <c r="N63" i="74"/>
  <c r="AB153" i="85"/>
  <c r="P70" i="87"/>
  <c r="Z74" i="84"/>
  <c r="X98" i="94"/>
  <c r="Q146" i="88"/>
  <c r="Z81" i="85"/>
  <c r="Q75" i="81"/>
  <c r="X148" i="74"/>
  <c r="X21" i="74"/>
  <c r="P74" i="90"/>
  <c r="AB117" i="89"/>
  <c r="Q74" i="74"/>
  <c r="Q77" i="83"/>
  <c r="O17" i="89"/>
  <c r="Y87" i="89"/>
  <c r="Q120" i="90"/>
  <c r="Z160" i="88"/>
  <c r="AA77" i="82"/>
  <c r="O124" i="88"/>
  <c r="AB72" i="90"/>
  <c r="Z144" i="83"/>
  <c r="Y161" i="74"/>
  <c r="AB146" i="94"/>
  <c r="Z107" i="94"/>
  <c r="Q103" i="93"/>
  <c r="AB126" i="92"/>
  <c r="L67" i="85"/>
  <c r="O25" i="85"/>
  <c r="AA121" i="83"/>
  <c r="O66" i="83"/>
  <c r="AA126" i="81"/>
  <c r="P27" i="82"/>
  <c r="Z130" i="89"/>
  <c r="Z25" i="74"/>
  <c r="Y146" i="84"/>
  <c r="O114" i="88"/>
  <c r="P69" i="85"/>
  <c r="Z138" i="87"/>
  <c r="L133" i="82"/>
  <c r="Y49" i="84"/>
  <c r="O78" i="83"/>
  <c r="Y76" i="89"/>
  <c r="O99" i="74"/>
  <c r="AA130" i="93"/>
  <c r="AB142" i="87"/>
  <c r="Q117" i="92"/>
  <c r="Z68" i="94"/>
  <c r="Y84" i="93"/>
  <c r="Q106" i="85"/>
  <c r="Q63" i="74"/>
  <c r="P73" i="81"/>
  <c r="Y17" i="90"/>
  <c r="AA9" i="92"/>
  <c r="Z53" i="94"/>
  <c r="AB150" i="90"/>
  <c r="P67" i="88"/>
  <c r="O59" i="84"/>
  <c r="Z90" i="94"/>
  <c r="Y132" i="82"/>
  <c r="P74" i="92"/>
  <c r="L104" i="83"/>
  <c r="L76" i="94"/>
  <c r="Z123" i="87"/>
  <c r="Z17" i="82"/>
  <c r="P25" i="84"/>
  <c r="X85" i="94"/>
  <c r="M59" i="90"/>
  <c r="Y106" i="93"/>
  <c r="X140" i="88"/>
  <c r="Q69" i="92"/>
  <c r="O100" i="88"/>
  <c r="L156" i="87"/>
  <c r="AB75" i="85"/>
  <c r="AB73" i="87"/>
  <c r="AA92" i="89"/>
  <c r="O109" i="87"/>
  <c r="Z75" i="87"/>
  <c r="AB111" i="81"/>
  <c r="P127" i="94"/>
  <c r="AB155" i="94"/>
  <c r="X102" i="89"/>
  <c r="O156" i="74"/>
  <c r="O17" i="82"/>
  <c r="M21" i="82"/>
  <c r="Y37" i="85"/>
  <c r="Y96" i="74"/>
  <c r="X161" i="92"/>
  <c r="O64" i="91"/>
  <c r="X63" i="85"/>
  <c r="L124" i="92"/>
  <c r="AB15" i="94"/>
  <c r="X166" i="85"/>
  <c r="AB113" i="74"/>
  <c r="Z84" i="94"/>
  <c r="Z96" i="83"/>
  <c r="P96" i="84"/>
  <c r="Y140" i="94"/>
  <c r="Q112" i="87"/>
  <c r="AB118" i="85"/>
  <c r="Z122" i="87"/>
  <c r="X129" i="94"/>
  <c r="X137" i="82"/>
  <c r="AA77" i="89"/>
  <c r="Y35" i="89"/>
  <c r="P126" i="82"/>
  <c r="X159" i="89"/>
  <c r="AA160" i="83"/>
  <c r="L96" i="94"/>
  <c r="Q160" i="94"/>
  <c r="X27" i="87"/>
  <c r="Q100" i="93"/>
  <c r="L156" i="74"/>
  <c r="P21" i="93"/>
  <c r="O95" i="84"/>
  <c r="Q141" i="85"/>
  <c r="O153" i="83"/>
  <c r="Y91" i="88"/>
  <c r="Q140" i="92"/>
  <c r="Y85" i="91"/>
  <c r="Q13" i="89"/>
  <c r="Z65" i="87"/>
  <c r="L77" i="93"/>
  <c r="X104" i="92"/>
  <c r="O47" i="84"/>
  <c r="O119" i="90"/>
  <c r="L159" i="92"/>
  <c r="Z114" i="85"/>
  <c r="Z39" i="83"/>
  <c r="O21" i="84"/>
  <c r="AA86" i="94"/>
  <c r="AA137" i="81"/>
  <c r="AB126" i="81"/>
  <c r="Y39" i="88"/>
  <c r="P35" i="90"/>
  <c r="AB150" i="84"/>
  <c r="O119" i="87"/>
  <c r="P113" i="88"/>
  <c r="Z137" i="88"/>
  <c r="X41" i="92"/>
  <c r="O86" i="74"/>
  <c r="P146" i="92"/>
  <c r="AB31" i="83"/>
  <c r="AA25" i="94"/>
  <c r="AA29" i="87"/>
  <c r="O147" i="81"/>
  <c r="Q21" i="82"/>
  <c r="Q83" i="92"/>
  <c r="Z106" i="92"/>
  <c r="O87" i="85"/>
  <c r="L164" i="81"/>
  <c r="AB13" i="85"/>
  <c r="Q125" i="88"/>
  <c r="Y77" i="74"/>
  <c r="L85" i="84"/>
  <c r="P137" i="94"/>
  <c r="AA166" i="89"/>
  <c r="Y68" i="85"/>
  <c r="O115" i="93"/>
  <c r="Z33" i="91"/>
  <c r="Z13" i="74"/>
  <c r="AB83" i="85"/>
  <c r="Y140" i="74"/>
  <c r="L79" i="91"/>
  <c r="O21" i="81"/>
  <c r="AA123" i="84"/>
  <c r="L82" i="84"/>
  <c r="Q103" i="91"/>
  <c r="AB96" i="90"/>
  <c r="AA19" i="74"/>
  <c r="N111" i="87"/>
  <c r="Q11" i="93"/>
  <c r="AA103" i="87"/>
  <c r="Y135" i="90"/>
  <c r="O135" i="93"/>
  <c r="L131" i="83"/>
  <c r="Y161" i="94"/>
  <c r="Q121" i="84"/>
  <c r="M13" i="94"/>
  <c r="Q37" i="84"/>
  <c r="L155" i="74"/>
  <c r="Q120" i="85"/>
  <c r="X53" i="84"/>
  <c r="L69" i="90"/>
  <c r="Y45" i="83"/>
  <c r="Q76" i="74"/>
  <c r="Y120" i="91"/>
  <c r="Y134" i="87"/>
  <c r="Q150" i="88"/>
  <c r="Q119" i="87"/>
  <c r="Z53" i="81"/>
  <c r="M25" i="87"/>
  <c r="Z144" i="82"/>
  <c r="AB149" i="74"/>
  <c r="AB157" i="93"/>
  <c r="O76" i="94"/>
  <c r="Y157" i="81"/>
  <c r="Q163" i="91"/>
  <c r="Z73" i="93"/>
  <c r="AB77" i="84"/>
  <c r="Z79" i="84"/>
  <c r="Y140" i="87"/>
  <c r="Z25" i="88"/>
  <c r="AB15" i="83"/>
  <c r="P87" i="81"/>
  <c r="N132" i="91"/>
  <c r="Y109" i="82"/>
  <c r="L63" i="74"/>
  <c r="O100" i="85"/>
  <c r="Q64" i="92"/>
  <c r="X23" i="88"/>
  <c r="O25" i="87"/>
  <c r="Q120" i="82"/>
  <c r="X109" i="84"/>
  <c r="X71" i="91"/>
  <c r="O111" i="83"/>
  <c r="P11" i="85"/>
  <c r="Q156" i="81"/>
  <c r="AA153" i="93"/>
  <c r="O136" i="89"/>
  <c r="AA27" i="92"/>
  <c r="O80" i="92"/>
  <c r="Z142" i="91"/>
  <c r="L120" i="89"/>
  <c r="X161" i="88"/>
  <c r="L136" i="92"/>
  <c r="O116" i="90"/>
  <c r="Y86" i="83"/>
  <c r="AB80" i="84"/>
  <c r="Y140" i="91"/>
  <c r="AB108" i="94"/>
  <c r="Q31" i="82"/>
  <c r="P76" i="93"/>
  <c r="O160" i="88"/>
  <c r="L119" i="93"/>
  <c r="P148" i="89"/>
  <c r="P96" i="85"/>
  <c r="Q17" i="85"/>
  <c r="Z146" i="84"/>
  <c r="Q83" i="88"/>
  <c r="Z150" i="94"/>
  <c r="Y84" i="84"/>
  <c r="N93" i="93"/>
  <c r="AA64" i="92"/>
  <c r="O121" i="93"/>
  <c r="AA111" i="88"/>
  <c r="X148" i="94"/>
  <c r="Z99" i="83"/>
  <c r="Q116" i="90"/>
  <c r="P163" i="89"/>
  <c r="P142" i="85"/>
  <c r="Z19" i="87"/>
  <c r="P94" i="87"/>
  <c r="P53" i="83"/>
  <c r="AB90" i="87"/>
  <c r="O68" i="84"/>
  <c r="P164" i="90"/>
  <c r="L85" i="81"/>
  <c r="O116" i="74"/>
  <c r="AB90" i="84"/>
  <c r="Y65" i="74"/>
  <c r="P159" i="90"/>
  <c r="O134" i="93"/>
  <c r="AB139" i="90"/>
  <c r="X99" i="81"/>
  <c r="Y168" i="91"/>
  <c r="Y124" i="90"/>
  <c r="Y149" i="83"/>
  <c r="Z155" i="74"/>
  <c r="AA81" i="88"/>
  <c r="Q157" i="82"/>
  <c r="O144" i="87"/>
  <c r="X19" i="88"/>
  <c r="Z67" i="87"/>
  <c r="AA139" i="88"/>
  <c r="L91" i="74"/>
  <c r="Y9" i="87"/>
  <c r="X37" i="91"/>
  <c r="P159" i="82"/>
  <c r="Q82" i="84"/>
  <c r="L136" i="82"/>
  <c r="AA156" i="83"/>
  <c r="Z27" i="88"/>
  <c r="AA133" i="93"/>
  <c r="Y57" i="82"/>
  <c r="L110" i="92"/>
  <c r="P169" i="91"/>
  <c r="N141" i="91"/>
  <c r="X69" i="94"/>
  <c r="Z11" i="83"/>
  <c r="P87" i="74"/>
  <c r="Y25" i="94"/>
  <c r="P93" i="89"/>
  <c r="X75" i="90"/>
  <c r="P71" i="88"/>
  <c r="AA66" i="82"/>
  <c r="L136" i="94"/>
  <c r="P80" i="91"/>
  <c r="X31" i="94"/>
  <c r="L114" i="83"/>
  <c r="Z71" i="93"/>
  <c r="L99" i="93"/>
  <c r="AB79" i="82"/>
  <c r="Q21" i="92"/>
  <c r="X57" i="84"/>
  <c r="N129" i="94"/>
  <c r="Y140" i="89"/>
  <c r="AB27" i="92"/>
  <c r="P133" i="89"/>
  <c r="X17" i="91"/>
  <c r="P111" i="92"/>
  <c r="AA141" i="81"/>
  <c r="P89" i="90"/>
  <c r="L69" i="92"/>
  <c r="AA23" i="74"/>
  <c r="Z82" i="88"/>
  <c r="O111" i="82"/>
  <c r="AB156" i="91"/>
  <c r="L124" i="87"/>
  <c r="Q57" i="74"/>
  <c r="X86" i="94"/>
  <c r="AB143" i="74"/>
  <c r="Z116" i="87"/>
  <c r="AA100" i="87"/>
  <c r="AB152" i="89"/>
  <c r="Y72" i="94"/>
  <c r="Q134" i="88"/>
  <c r="O67" i="74"/>
  <c r="AB72" i="93"/>
  <c r="Y86" i="85"/>
  <c r="Z75" i="85"/>
  <c r="Q68" i="93"/>
  <c r="Z23" i="85"/>
  <c r="Y157" i="85"/>
  <c r="L67" i="74"/>
  <c r="P96" i="74"/>
  <c r="Y110" i="85"/>
  <c r="M59" i="88"/>
  <c r="O84" i="85"/>
  <c r="O93" i="81"/>
  <c r="X100" i="92"/>
  <c r="O107" i="89"/>
  <c r="X146" i="93"/>
  <c r="X91" i="82"/>
  <c r="Z142" i="89"/>
  <c r="Q150" i="81"/>
  <c r="L107" i="93"/>
  <c r="Z139" i="81"/>
  <c r="Y31" i="92"/>
  <c r="AA87" i="85"/>
  <c r="X111" i="89"/>
  <c r="Y72" i="83"/>
  <c r="L110" i="83"/>
  <c r="Q140" i="90"/>
  <c r="AB125" i="90"/>
  <c r="Y51" i="74"/>
  <c r="AA80" i="94"/>
  <c r="L128" i="93"/>
  <c r="Y116" i="90"/>
  <c r="P122" i="94"/>
  <c r="Y142" i="93"/>
  <c r="L102" i="92"/>
  <c r="AA82" i="94"/>
  <c r="AA133" i="83"/>
  <c r="O138" i="90"/>
  <c r="O47" i="91"/>
  <c r="X117" i="82"/>
  <c r="Z78" i="88"/>
  <c r="AA71" i="85"/>
  <c r="O41" i="87"/>
  <c r="Q39" i="81"/>
  <c r="Y129" i="84"/>
  <c r="AB152" i="81"/>
  <c r="AB136" i="83"/>
  <c r="P76" i="94"/>
  <c r="L75" i="85"/>
  <c r="O107" i="92"/>
  <c r="L154" i="87"/>
  <c r="M61" i="87"/>
  <c r="P152" i="84"/>
  <c r="O127" i="89"/>
  <c r="P81" i="89"/>
  <c r="O97" i="92"/>
  <c r="P97" i="94"/>
  <c r="N21" i="92"/>
  <c r="N63" i="94"/>
  <c r="P152" i="89"/>
  <c r="AA80" i="87"/>
  <c r="O73" i="88"/>
  <c r="AB25" i="74"/>
  <c r="M35" i="81"/>
  <c r="Z130" i="85"/>
  <c r="AB11" i="74"/>
  <c r="Y99" i="91"/>
  <c r="O141" i="85"/>
  <c r="Y45" i="85"/>
  <c r="Z140" i="93"/>
  <c r="P82" i="89"/>
  <c r="L71" i="85"/>
  <c r="Q81" i="84"/>
  <c r="AB93" i="84"/>
  <c r="AB109" i="87"/>
  <c r="P109" i="85"/>
  <c r="Y41" i="74"/>
  <c r="L152" i="88"/>
  <c r="AA73" i="94"/>
  <c r="P136" i="87"/>
  <c r="X107" i="83"/>
  <c r="Q29" i="82"/>
  <c r="Z33" i="89"/>
  <c r="AB157" i="83"/>
  <c r="P29" i="84"/>
  <c r="L126" i="89"/>
  <c r="X37" i="87"/>
  <c r="AB138" i="83"/>
  <c r="X74" i="88"/>
  <c r="O85" i="92"/>
  <c r="Q78" i="87"/>
  <c r="N138" i="85"/>
  <c r="X140" i="89"/>
  <c r="X151" i="82"/>
  <c r="P161" i="84"/>
  <c r="Y143" i="81"/>
  <c r="Q130" i="74"/>
  <c r="Y133" i="89"/>
  <c r="P137" i="85"/>
  <c r="O106" i="87"/>
  <c r="AB99" i="93"/>
  <c r="Y87" i="82"/>
  <c r="Q107" i="85"/>
  <c r="Q83" i="81"/>
  <c r="P86" i="84"/>
  <c r="L160" i="94"/>
  <c r="M41" i="91"/>
  <c r="P155" i="93"/>
  <c r="Y75" i="91"/>
  <c r="O70" i="89"/>
  <c r="AB153" i="93"/>
  <c r="O142" i="84"/>
  <c r="X129" i="91"/>
  <c r="O94" i="90"/>
  <c r="Y96" i="88"/>
  <c r="X90" i="93"/>
  <c r="P19" i="83"/>
  <c r="AA31" i="93"/>
  <c r="L65" i="85"/>
  <c r="Q27" i="82"/>
  <c r="AB114" i="83"/>
  <c r="X123" i="94"/>
  <c r="Z117" i="74"/>
  <c r="Z83" i="74"/>
  <c r="Q107" i="83"/>
  <c r="Y163" i="81"/>
  <c r="Z164" i="93"/>
  <c r="Q108" i="90"/>
  <c r="AB29" i="89"/>
  <c r="AB103" i="82"/>
  <c r="X140" i="91"/>
  <c r="AB74" i="87"/>
  <c r="L164" i="94"/>
  <c r="Y41" i="88"/>
  <c r="Z127" i="87"/>
  <c r="Y85" i="90"/>
  <c r="AB103" i="84"/>
  <c r="L81" i="84"/>
  <c r="P19" i="91"/>
  <c r="L97" i="88"/>
  <c r="Y157" i="94"/>
  <c r="Y19" i="81"/>
  <c r="AA108" i="88"/>
  <c r="O35" i="84"/>
  <c r="P80" i="87"/>
  <c r="Y98" i="93"/>
  <c r="O136" i="83"/>
  <c r="AA37" i="81"/>
  <c r="Y25" i="81"/>
  <c r="AB106" i="74"/>
  <c r="M53" i="83"/>
  <c r="X78" i="91"/>
  <c r="P9" i="81"/>
  <c r="AA151" i="82"/>
  <c r="O154" i="83"/>
  <c r="Z110" i="93"/>
  <c r="AB137" i="82"/>
  <c r="O99" i="87"/>
  <c r="X159" i="74"/>
  <c r="AA85" i="81"/>
  <c r="AB85" i="92"/>
  <c r="O33" i="92"/>
  <c r="Z77" i="90"/>
  <c r="Z23" i="94"/>
  <c r="X105" i="85"/>
  <c r="AB77" i="74"/>
  <c r="AB77" i="92"/>
  <c r="P109" i="90"/>
  <c r="P152" i="81"/>
  <c r="P77" i="92"/>
  <c r="L112" i="93"/>
  <c r="AB63" i="74"/>
  <c r="P136" i="83"/>
  <c r="L166" i="89"/>
  <c r="Z156" i="92"/>
  <c r="M47" i="81"/>
  <c r="N91" i="91"/>
  <c r="AB146" i="91"/>
  <c r="Y64" i="81"/>
  <c r="X126" i="92"/>
  <c r="AA53" i="81"/>
  <c r="P144" i="82"/>
  <c r="O120" i="93"/>
  <c r="M43" i="89"/>
  <c r="Y49" i="81"/>
  <c r="AB122" i="87"/>
  <c r="P143" i="88"/>
  <c r="P140" i="91"/>
  <c r="Q33" i="88"/>
  <c r="Z55" i="85"/>
  <c r="Q124" i="82"/>
  <c r="X45" i="82"/>
  <c r="AA115" i="92"/>
  <c r="Z131" i="94"/>
  <c r="L130" i="94"/>
  <c r="P164" i="94"/>
  <c r="Q109" i="84"/>
  <c r="Z21" i="93"/>
  <c r="Y110" i="90"/>
  <c r="AB158" i="94"/>
  <c r="Q72" i="84"/>
  <c r="O127" i="85"/>
  <c r="O94" i="87"/>
  <c r="L78" i="83"/>
  <c r="O102" i="94"/>
  <c r="X135" i="82"/>
  <c r="Y109" i="87"/>
  <c r="Z156" i="91"/>
  <c r="Y71" i="93"/>
  <c r="AA43" i="87"/>
  <c r="AA85" i="94"/>
  <c r="L127" i="94"/>
  <c r="O96" i="82"/>
  <c r="AB73" i="91"/>
  <c r="Q152" i="87"/>
  <c r="AA21" i="90"/>
  <c r="Q141" i="88"/>
  <c r="X100" i="90"/>
  <c r="L161" i="74"/>
  <c r="AB166" i="81"/>
  <c r="X29" i="82"/>
  <c r="AB148" i="87"/>
  <c r="M17" i="88"/>
  <c r="X119" i="93"/>
  <c r="Q132" i="90"/>
  <c r="AA131" i="83"/>
  <c r="AA163" i="88"/>
  <c r="AA53" i="88"/>
  <c r="Z158" i="84"/>
  <c r="Z15" i="74"/>
  <c r="AB120" i="94"/>
  <c r="P151" i="83"/>
  <c r="P129" i="85"/>
  <c r="Z101" i="90"/>
  <c r="O123" i="84"/>
  <c r="X133" i="81"/>
  <c r="AA75" i="83"/>
  <c r="X152" i="89"/>
  <c r="Q61" i="85"/>
  <c r="X116" i="83"/>
  <c r="Q120" i="89"/>
  <c r="L117" i="90"/>
  <c r="L78" i="94"/>
  <c r="Y72" i="82"/>
  <c r="Q9" i="91"/>
  <c r="M9" i="82"/>
  <c r="P148" i="83"/>
  <c r="Z101" i="84"/>
  <c r="X69" i="84"/>
  <c r="P85" i="74"/>
  <c r="O74" i="88"/>
  <c r="AA51" i="74"/>
  <c r="L69" i="82"/>
  <c r="L80" i="93"/>
  <c r="Y104" i="81"/>
  <c r="L85" i="87"/>
  <c r="P69" i="81"/>
  <c r="AB83" i="89"/>
  <c r="AA67" i="83"/>
  <c r="N150" i="94"/>
  <c r="L120" i="81"/>
  <c r="M11" i="81"/>
  <c r="L84" i="74"/>
  <c r="O166" i="85"/>
  <c r="L142" i="81"/>
  <c r="O39" i="91"/>
  <c r="Z151" i="82"/>
  <c r="AB110" i="93"/>
  <c r="Y153" i="82"/>
  <c r="AB104" i="83"/>
  <c r="L159" i="85"/>
  <c r="AB147" i="81"/>
  <c r="L91" i="94"/>
  <c r="Z21" i="89"/>
  <c r="X117" i="89"/>
  <c r="AA120" i="93"/>
  <c r="AA71" i="84"/>
  <c r="P143" i="93"/>
  <c r="AB144" i="74"/>
  <c r="P100" i="88"/>
  <c r="AA98" i="92"/>
  <c r="L83" i="82"/>
  <c r="P72" i="91"/>
  <c r="N120" i="87"/>
  <c r="Z70" i="94"/>
  <c r="O33" i="88"/>
  <c r="L96" i="83"/>
  <c r="Q142" i="85"/>
  <c r="Y49" i="92"/>
  <c r="Z86" i="92"/>
  <c r="Y145" i="81"/>
  <c r="O66" i="92"/>
  <c r="P39" i="88"/>
  <c r="L125" i="92"/>
  <c r="Z87" i="90"/>
  <c r="AB65" i="88"/>
  <c r="P25" i="87"/>
  <c r="Y77" i="81"/>
  <c r="O161" i="85"/>
  <c r="Z135" i="82"/>
  <c r="Q37" i="91"/>
  <c r="L126" i="82"/>
  <c r="AA104" i="85"/>
  <c r="O9" i="91"/>
  <c r="Q84" i="94"/>
  <c r="X105" i="91"/>
  <c r="Q98" i="87"/>
  <c r="Z156" i="89"/>
  <c r="M43" i="84"/>
  <c r="M17" i="81"/>
  <c r="N114" i="88"/>
  <c r="L159" i="94"/>
  <c r="AB126" i="89"/>
  <c r="O130" i="88"/>
  <c r="M23" i="83"/>
  <c r="O9" i="92"/>
  <c r="X162" i="88"/>
  <c r="Z93" i="93"/>
  <c r="Y139" i="90"/>
  <c r="P31" i="89"/>
  <c r="Q93" i="82"/>
  <c r="Q71" i="88"/>
  <c r="N132" i="94"/>
  <c r="O124" i="84"/>
  <c r="X9" i="92"/>
  <c r="Q103" i="83"/>
  <c r="Z47" i="84"/>
  <c r="L158" i="74"/>
  <c r="P156" i="94"/>
  <c r="O117" i="87"/>
  <c r="M11" i="83"/>
  <c r="L148" i="74"/>
  <c r="L78" i="87"/>
  <c r="Q106" i="90"/>
  <c r="Y108" i="83"/>
  <c r="Y89" i="91"/>
  <c r="AB119" i="88"/>
  <c r="P137" i="83"/>
  <c r="O103" i="94"/>
  <c r="Z160" i="74"/>
  <c r="M27" i="81"/>
  <c r="AB100" i="74"/>
  <c r="L158" i="89"/>
  <c r="AA96" i="94"/>
  <c r="AA29" i="94"/>
  <c r="L79" i="74"/>
  <c r="Q66" i="84"/>
  <c r="AA134" i="85"/>
  <c r="O107" i="93"/>
  <c r="AB74" i="92"/>
  <c r="N78" i="89"/>
  <c r="P73" i="89"/>
  <c r="O83" i="85"/>
  <c r="P29" i="90"/>
  <c r="Q152" i="83"/>
  <c r="Y69" i="84"/>
  <c r="Q90" i="87"/>
  <c r="L143" i="93"/>
  <c r="Y37" i="88"/>
  <c r="O61" i="91"/>
  <c r="AB117" i="83"/>
  <c r="Q115" i="89"/>
  <c r="Z17" i="89"/>
  <c r="O110" i="87"/>
  <c r="X25" i="82"/>
  <c r="P65" i="85"/>
  <c r="P71" i="82"/>
  <c r="O104" i="84"/>
  <c r="N153" i="90"/>
  <c r="X61" i="88"/>
  <c r="AA132" i="85"/>
  <c r="N126" i="83"/>
  <c r="N63" i="89"/>
  <c r="O39" i="85"/>
  <c r="O118" i="84"/>
  <c r="Z82" i="90"/>
  <c r="AA128" i="94"/>
  <c r="L78" i="92"/>
  <c r="X90" i="84"/>
  <c r="O107" i="82"/>
  <c r="AA111" i="91"/>
  <c r="O153" i="94"/>
  <c r="M37" i="91"/>
  <c r="AB131" i="93"/>
  <c r="X134" i="91"/>
  <c r="O80" i="83"/>
  <c r="Y80" i="91"/>
  <c r="L145" i="82"/>
  <c r="Q73" i="83"/>
  <c r="O154" i="88"/>
  <c r="AB61" i="85"/>
  <c r="Z86" i="87"/>
  <c r="P29" i="82"/>
  <c r="Z31" i="87"/>
  <c r="Y156" i="92"/>
  <c r="Z100" i="87"/>
  <c r="AB27" i="83"/>
  <c r="AB112" i="87"/>
  <c r="AA72" i="87"/>
  <c r="O71" i="90"/>
  <c r="AA165" i="85"/>
  <c r="X81" i="81"/>
  <c r="X135" i="90"/>
  <c r="Q111" i="94"/>
  <c r="Z133" i="91"/>
  <c r="Z135" i="81"/>
  <c r="L165" i="81"/>
  <c r="N78" i="91"/>
  <c r="Y149" i="88"/>
  <c r="AA21" i="74"/>
  <c r="O144" i="88"/>
  <c r="P124" i="82"/>
  <c r="Y95" i="83"/>
  <c r="X51" i="88"/>
  <c r="Z154" i="88"/>
  <c r="P149" i="82"/>
  <c r="Z111" i="92"/>
  <c r="Y97" i="83"/>
  <c r="Z92" i="93"/>
  <c r="N135" i="74"/>
  <c r="AA76" i="81"/>
  <c r="P92" i="74"/>
  <c r="Y35" i="92"/>
  <c r="Q96" i="90"/>
  <c r="L123" i="81"/>
  <c r="AB148" i="91"/>
  <c r="X87" i="92"/>
  <c r="Q82" i="93"/>
  <c r="X61" i="94"/>
  <c r="AB142" i="94"/>
  <c r="AB147" i="89"/>
  <c r="O73" i="92"/>
  <c r="P120" i="81"/>
  <c r="P41" i="83"/>
  <c r="X21" i="85"/>
  <c r="AB19" i="94"/>
  <c r="Y15" i="85"/>
  <c r="O135" i="94"/>
  <c r="O33" i="91"/>
  <c r="O69" i="88"/>
  <c r="AA119" i="83"/>
  <c r="O113" i="81"/>
  <c r="Y47" i="74"/>
  <c r="Q79" i="82"/>
  <c r="N45" i="84"/>
  <c r="O77" i="85"/>
  <c r="Z126" i="83"/>
  <c r="AA165" i="93"/>
  <c r="O94" i="92"/>
  <c r="Z81" i="89"/>
  <c r="L68" i="90"/>
  <c r="X109" i="92"/>
  <c r="AB88" i="92"/>
  <c r="Y112" i="87"/>
  <c r="Q82" i="91"/>
  <c r="L67" i="91"/>
  <c r="L161" i="90"/>
  <c r="Z91" i="83"/>
  <c r="Z94" i="90"/>
  <c r="X67" i="93"/>
  <c r="N150" i="93"/>
  <c r="X77" i="94"/>
  <c r="O82" i="84"/>
  <c r="M27" i="88"/>
  <c r="L63" i="82"/>
  <c r="L138" i="89"/>
  <c r="P67" i="93"/>
  <c r="P70" i="92"/>
  <c r="Z77" i="81"/>
  <c r="M15" i="87"/>
  <c r="P139" i="83"/>
  <c r="X153" i="92"/>
  <c r="O74" i="81"/>
  <c r="O31" i="91"/>
  <c r="AB72" i="92"/>
  <c r="Y137" i="91"/>
  <c r="O139" i="92"/>
  <c r="L108" i="74"/>
  <c r="O142" i="74"/>
  <c r="O47" i="85"/>
  <c r="X72" i="74"/>
  <c r="P77" i="91"/>
  <c r="N162" i="81"/>
  <c r="M19" i="82"/>
  <c r="AA84" i="82"/>
  <c r="AB127" i="88"/>
  <c r="X69" i="82"/>
  <c r="L109" i="82"/>
  <c r="Z76" i="88"/>
  <c r="AB103" i="74"/>
  <c r="P23" i="87"/>
  <c r="X9" i="90"/>
  <c r="Q162" i="94"/>
  <c r="L129" i="74"/>
  <c r="AB31" i="82"/>
  <c r="AB64" i="91"/>
  <c r="Z43" i="92"/>
  <c r="P161" i="93"/>
  <c r="O152" i="83"/>
  <c r="Y156" i="85"/>
  <c r="L74" i="83"/>
  <c r="Q17" i="87"/>
  <c r="AB19" i="83"/>
  <c r="X80" i="81"/>
  <c r="L103" i="92"/>
  <c r="P31" i="92"/>
  <c r="AB72" i="89"/>
  <c r="L107" i="82"/>
  <c r="L153" i="92"/>
  <c r="Z141" i="93"/>
  <c r="Q84" i="87"/>
  <c r="L154" i="84"/>
  <c r="Q119" i="91"/>
  <c r="AB152" i="92"/>
  <c r="Q90" i="74"/>
  <c r="O88" i="88"/>
  <c r="Y167" i="84"/>
  <c r="AB144" i="82"/>
  <c r="Z131" i="81"/>
  <c r="O130" i="82"/>
  <c r="Y129" i="90"/>
  <c r="Q130" i="85"/>
  <c r="X135" i="88"/>
  <c r="Q61" i="89"/>
  <c r="Q161" i="93"/>
  <c r="Z147" i="87"/>
  <c r="Y130" i="87"/>
  <c r="O120" i="92"/>
  <c r="O27" i="83"/>
  <c r="Q76" i="94"/>
  <c r="L110" i="93"/>
  <c r="O154" i="81"/>
  <c r="Y83" i="91"/>
  <c r="Y118" i="85"/>
  <c r="AA154" i="92"/>
  <c r="P80" i="90"/>
  <c r="L73" i="82"/>
  <c r="Q153" i="81"/>
  <c r="Y97" i="93"/>
  <c r="O75" i="90"/>
  <c r="L120" i="93"/>
  <c r="AB102" i="93"/>
  <c r="AA131" i="84"/>
  <c r="Z27" i="92"/>
  <c r="Z80" i="81"/>
  <c r="Z145" i="88"/>
  <c r="O122" i="81"/>
  <c r="X98" i="84"/>
  <c r="AA82" i="81"/>
  <c r="AA45" i="94"/>
  <c r="P155" i="82"/>
  <c r="AA35" i="91"/>
  <c r="L151" i="88"/>
  <c r="L138" i="87"/>
  <c r="Q49" i="93"/>
  <c r="Z137" i="90"/>
  <c r="AA13" i="93"/>
  <c r="X131" i="88"/>
  <c r="O39" i="88"/>
  <c r="AB121" i="93"/>
  <c r="P136" i="91"/>
  <c r="AA160" i="87"/>
  <c r="AA151" i="83"/>
  <c r="O73" i="93"/>
  <c r="X23" i="85"/>
  <c r="AB80" i="82"/>
  <c r="Y114" i="90"/>
  <c r="AA21" i="85"/>
  <c r="Z29" i="81"/>
  <c r="Z78" i="94"/>
  <c r="Y130" i="81"/>
  <c r="Z154" i="93"/>
  <c r="Y11" i="83"/>
  <c r="AB155" i="88"/>
  <c r="Q150" i="74"/>
  <c r="Y113" i="88"/>
  <c r="P110" i="82"/>
  <c r="AA79" i="90"/>
  <c r="AA33" i="93"/>
  <c r="P139" i="89"/>
  <c r="X107" i="89"/>
  <c r="Z124" i="88"/>
  <c r="Q13" i="88"/>
  <c r="Z83" i="88"/>
  <c r="P159" i="83"/>
  <c r="L103" i="85"/>
  <c r="O129" i="88"/>
  <c r="X103" i="91"/>
  <c r="AB39" i="92"/>
  <c r="O63" i="84"/>
  <c r="L142" i="89"/>
  <c r="Z119" i="82"/>
  <c r="AA135" i="90"/>
  <c r="X83" i="90"/>
  <c r="M55" i="74"/>
  <c r="AA13" i="81"/>
  <c r="X53" i="82"/>
  <c r="O102" i="93"/>
  <c r="AB92" i="94"/>
  <c r="Q142" i="93"/>
  <c r="AB37" i="87"/>
  <c r="Q87" i="74"/>
  <c r="L92" i="89"/>
  <c r="AB111" i="92"/>
  <c r="Y124" i="92"/>
  <c r="Y128" i="84"/>
  <c r="Z85" i="90"/>
  <c r="Y29" i="83"/>
  <c r="P108" i="88"/>
  <c r="Z27" i="74"/>
  <c r="X41" i="74"/>
  <c r="Q92" i="87"/>
  <c r="AA55" i="92"/>
  <c r="M53" i="93"/>
  <c r="P11" i="84"/>
  <c r="Z74" i="83"/>
  <c r="Y82" i="91"/>
  <c r="AB70" i="89"/>
  <c r="AA99" i="74"/>
  <c r="AB121" i="89"/>
  <c r="AB160" i="92"/>
  <c r="X123" i="91"/>
  <c r="O155" i="74"/>
  <c r="L82" i="83"/>
  <c r="AA81" i="84"/>
  <c r="Y55" i="85"/>
  <c r="Q77" i="93"/>
  <c r="Y13" i="84"/>
  <c r="O76" i="83"/>
  <c r="P17" i="88"/>
  <c r="Q157" i="90"/>
  <c r="N57" i="81"/>
  <c r="AA156" i="94"/>
  <c r="Z109" i="87"/>
  <c r="X80" i="82"/>
  <c r="AA64" i="74"/>
  <c r="X76" i="84"/>
  <c r="X25" i="94"/>
  <c r="Q150" i="89"/>
  <c r="AA141" i="90"/>
  <c r="L118" i="89"/>
  <c r="AB69" i="93"/>
  <c r="AB132" i="91"/>
  <c r="Y69" i="94"/>
  <c r="AB35" i="88"/>
  <c r="O155" i="81"/>
  <c r="AA104" i="89"/>
  <c r="O134" i="88"/>
  <c r="P13" i="90"/>
  <c r="P9" i="90"/>
  <c r="Q70" i="82"/>
  <c r="AA127" i="94"/>
  <c r="Q84" i="83"/>
  <c r="AB123" i="92"/>
  <c r="Y153" i="94"/>
  <c r="Z69" i="91"/>
  <c r="O79" i="82"/>
  <c r="Q96" i="85"/>
  <c r="AA68" i="82"/>
  <c r="Y78" i="82"/>
  <c r="AA86" i="88"/>
  <c r="X64" i="92"/>
  <c r="AA159" i="84"/>
  <c r="AB120" i="84"/>
  <c r="Y148" i="90"/>
  <c r="AA119" i="81"/>
  <c r="Q78" i="81"/>
  <c r="AA110" i="82"/>
  <c r="O23" i="94"/>
  <c r="Z124" i="93"/>
  <c r="P129" i="90"/>
  <c r="AB15" i="88"/>
  <c r="Q35" i="88"/>
  <c r="Q72" i="88"/>
  <c r="AB167" i="83"/>
  <c r="L155" i="84"/>
  <c r="O70" i="81"/>
  <c r="X77" i="81"/>
  <c r="Q85" i="94"/>
  <c r="L144" i="90"/>
  <c r="AB15" i="92"/>
  <c r="Y79" i="93"/>
  <c r="Q17" i="91"/>
  <c r="P51" i="83"/>
  <c r="Y158" i="84"/>
  <c r="O165" i="81"/>
  <c r="L116" i="82"/>
  <c r="P141" i="90"/>
  <c r="X97" i="82"/>
  <c r="Y149" i="85"/>
  <c r="P68" i="87"/>
  <c r="X115" i="89"/>
  <c r="P149" i="93"/>
  <c r="AB131" i="84"/>
  <c r="L150" i="85"/>
  <c r="Y148" i="89"/>
  <c r="X65" i="91"/>
  <c r="Q129" i="92"/>
  <c r="Y148" i="87"/>
  <c r="O166" i="74"/>
  <c r="X25" i="90"/>
  <c r="X64" i="82"/>
  <c r="Z67" i="92"/>
  <c r="N95" i="91"/>
  <c r="Z127" i="91"/>
  <c r="Q55" i="92"/>
  <c r="P101" i="81"/>
  <c r="M23" i="93"/>
  <c r="AB160" i="81"/>
  <c r="AB154" i="84"/>
  <c r="X130" i="83"/>
  <c r="P109" i="87"/>
  <c r="P91" i="85"/>
  <c r="Q64" i="82"/>
  <c r="AB165" i="87"/>
  <c r="P75" i="91"/>
  <c r="Q85" i="90"/>
  <c r="Y81" i="85"/>
  <c r="AB66" i="92"/>
  <c r="Q87" i="89"/>
  <c r="Q124" i="81"/>
  <c r="Z86" i="89"/>
  <c r="L81" i="82"/>
  <c r="AA59" i="92"/>
  <c r="X86" i="82"/>
  <c r="X128" i="94"/>
  <c r="X141" i="93"/>
  <c r="O114" i="87"/>
  <c r="X70" i="81"/>
  <c r="X98" i="85"/>
  <c r="O81" i="90"/>
  <c r="O67" i="81"/>
  <c r="X159" i="87"/>
  <c r="X9" i="88"/>
  <c r="Q49" i="84"/>
  <c r="AB154" i="90"/>
  <c r="AB105" i="83"/>
  <c r="L162" i="84"/>
  <c r="N63" i="87"/>
  <c r="X73" i="74"/>
  <c r="L86" i="89"/>
  <c r="L101" i="87"/>
  <c r="AB139" i="81"/>
  <c r="M23" i="89"/>
  <c r="O15" i="82"/>
  <c r="Z120" i="94"/>
  <c r="L84" i="87"/>
  <c r="P142" i="74"/>
  <c r="L101" i="94"/>
  <c r="Z121" i="85"/>
  <c r="N84" i="85"/>
  <c r="L115" i="83"/>
  <c r="L125" i="74"/>
  <c r="Q33" i="91"/>
  <c r="Z91" i="88"/>
  <c r="Q41" i="83"/>
  <c r="Q109" i="91"/>
  <c r="Z143" i="94"/>
  <c r="Y145" i="74"/>
  <c r="O150" i="81"/>
  <c r="M55" i="83"/>
  <c r="O152" i="92"/>
  <c r="X76" i="81"/>
  <c r="Q39" i="91"/>
  <c r="Z161" i="89"/>
  <c r="O162" i="90"/>
  <c r="AB107" i="87"/>
  <c r="L98" i="93"/>
  <c r="O51" i="93"/>
  <c r="P19" i="94"/>
  <c r="O71" i="82"/>
  <c r="N9" i="87"/>
  <c r="Z96" i="82"/>
  <c r="L139" i="90"/>
  <c r="L133" i="94"/>
  <c r="O165" i="84"/>
  <c r="Q81" i="89"/>
  <c r="L99" i="83"/>
  <c r="X83" i="89"/>
  <c r="N69" i="82"/>
  <c r="O159" i="92"/>
  <c r="N156" i="88"/>
  <c r="P133" i="84"/>
  <c r="AB145" i="81"/>
  <c r="Y41" i="90"/>
  <c r="O166" i="92"/>
  <c r="O29" i="91"/>
  <c r="Q158" i="94"/>
  <c r="Y134" i="92"/>
  <c r="O153" i="92"/>
  <c r="Z51" i="89"/>
  <c r="L84" i="82"/>
  <c r="O145" i="84"/>
  <c r="N165" i="91"/>
  <c r="AB109" i="93"/>
  <c r="AB109" i="85"/>
  <c r="P78" i="90"/>
  <c r="X31" i="93"/>
  <c r="O144" i="85"/>
  <c r="AB110" i="82"/>
  <c r="P63" i="90"/>
  <c r="Q9" i="88"/>
  <c r="L141" i="82"/>
  <c r="AB70" i="82"/>
  <c r="P108" i="74"/>
  <c r="Z71" i="92"/>
  <c r="N156" i="90"/>
  <c r="X135" i="74"/>
  <c r="Q82" i="85"/>
  <c r="P161" i="92"/>
  <c r="M25" i="89"/>
  <c r="AA25" i="93"/>
  <c r="L152" i="87"/>
  <c r="Q100" i="81"/>
  <c r="P73" i="94"/>
  <c r="X109" i="85"/>
  <c r="X90" i="82"/>
  <c r="AA98" i="74"/>
  <c r="L110" i="87"/>
  <c r="L149" i="81"/>
  <c r="P150" i="85"/>
  <c r="Q160" i="91"/>
  <c r="L78" i="74"/>
  <c r="Z120" i="92"/>
  <c r="AB100" i="94"/>
  <c r="Z97" i="90"/>
  <c r="AB125" i="85"/>
  <c r="L131" i="81"/>
  <c r="P91" i="87"/>
  <c r="Z133" i="94"/>
  <c r="Z51" i="88"/>
  <c r="Z109" i="89"/>
  <c r="O104" i="85"/>
  <c r="AA164" i="81"/>
  <c r="Z120" i="93"/>
  <c r="Q153" i="74"/>
  <c r="L110" i="74"/>
  <c r="AB158" i="89"/>
  <c r="P77" i="89"/>
  <c r="AB140" i="74"/>
  <c r="O138" i="93"/>
  <c r="Q164" i="91"/>
  <c r="X85" i="93"/>
  <c r="L157" i="94"/>
  <c r="O103" i="92"/>
  <c r="Z118" i="94"/>
  <c r="Q158" i="84"/>
  <c r="Z76" i="74"/>
  <c r="AB143" i="84"/>
  <c r="AA17" i="82"/>
  <c r="Q11" i="91"/>
  <c r="Q23" i="74"/>
  <c r="AA73" i="91"/>
  <c r="Z113" i="93"/>
  <c r="Y97" i="92"/>
  <c r="Z85" i="88"/>
  <c r="AB21" i="92"/>
  <c r="Z67" i="90"/>
  <c r="L72" i="90"/>
  <c r="Q81" i="88"/>
  <c r="P157" i="88"/>
  <c r="X131" i="90"/>
  <c r="O165" i="91"/>
  <c r="Y148" i="74"/>
  <c r="Q108" i="87"/>
  <c r="Q116" i="83"/>
  <c r="N96" i="83"/>
  <c r="P149" i="81"/>
  <c r="X99" i="88"/>
  <c r="N72" i="74"/>
  <c r="AB159" i="88"/>
  <c r="X113" i="90"/>
  <c r="X95" i="88"/>
  <c r="L65" i="92"/>
  <c r="AB112" i="94"/>
  <c r="AA122" i="88"/>
  <c r="Y79" i="83"/>
  <c r="L94" i="90"/>
  <c r="O11" i="93"/>
  <c r="X103" i="93"/>
  <c r="M27" i="85"/>
  <c r="P160" i="91"/>
  <c r="Y25" i="87"/>
  <c r="AB43" i="74"/>
  <c r="Y100" i="87"/>
  <c r="O98" i="92"/>
  <c r="Q156" i="92"/>
  <c r="AA84" i="81"/>
  <c r="X74" i="91"/>
  <c r="Y157" i="91"/>
  <c r="P158" i="84"/>
  <c r="AA64" i="88"/>
  <c r="Y59" i="94"/>
  <c r="AA122" i="84"/>
  <c r="L117" i="87"/>
  <c r="O104" i="91"/>
  <c r="Z127" i="88"/>
  <c r="X151" i="84"/>
  <c r="Z74" i="74"/>
  <c r="X88" i="81"/>
  <c r="O103" i="82"/>
  <c r="AB140" i="87"/>
  <c r="P157" i="89"/>
  <c r="Y106" i="91"/>
  <c r="Z101" i="91"/>
  <c r="N102" i="81"/>
  <c r="Y74" i="84"/>
  <c r="Q131" i="94"/>
  <c r="AA141" i="94"/>
  <c r="Y147" i="88"/>
  <c r="X106" i="91"/>
  <c r="O160" i="74"/>
  <c r="X74" i="74"/>
  <c r="Z139" i="88"/>
  <c r="P94" i="92"/>
  <c r="Q86" i="90"/>
  <c r="O107" i="85"/>
  <c r="AA69" i="88"/>
  <c r="O112" i="84"/>
  <c r="Q147" i="85"/>
  <c r="AB70" i="85"/>
  <c r="L131" i="88"/>
  <c r="AB128" i="83"/>
  <c r="N144" i="83"/>
  <c r="M55" i="93"/>
  <c r="Y71" i="89"/>
  <c r="Q107" i="94"/>
  <c r="P79" i="91"/>
  <c r="M51" i="83"/>
  <c r="M59" i="91"/>
  <c r="AA65" i="81"/>
  <c r="AB131" i="89"/>
  <c r="AB150" i="93"/>
  <c r="Z88" i="88"/>
  <c r="Q87" i="92"/>
  <c r="X76" i="88"/>
  <c r="L124" i="88"/>
  <c r="AA104" i="92"/>
  <c r="O114" i="82"/>
  <c r="X79" i="88"/>
  <c r="AA82" i="93"/>
  <c r="Z83" i="90"/>
  <c r="Z136" i="74"/>
  <c r="P115" i="84"/>
  <c r="Q122" i="93"/>
  <c r="Q134" i="81"/>
  <c r="X152" i="82"/>
  <c r="X128" i="90"/>
  <c r="Y142" i="94"/>
  <c r="L161" i="87"/>
  <c r="AA108" i="87"/>
  <c r="X29" i="85"/>
  <c r="P154" i="85"/>
  <c r="Q74" i="94"/>
  <c r="Y15" i="92"/>
  <c r="AB64" i="84"/>
  <c r="AB39" i="84"/>
  <c r="L106" i="87"/>
  <c r="X13" i="93"/>
  <c r="AA140" i="83"/>
  <c r="O73" i="91"/>
  <c r="Q133" i="82"/>
  <c r="X69" i="83"/>
  <c r="O113" i="82"/>
  <c r="AA123" i="92"/>
  <c r="Y129" i="88"/>
  <c r="L83" i="84"/>
  <c r="Y25" i="88"/>
  <c r="Y135" i="74"/>
  <c r="AB71" i="87"/>
  <c r="O158" i="88"/>
  <c r="M41" i="87"/>
  <c r="O155" i="87"/>
  <c r="Z33" i="87"/>
  <c r="O97" i="82"/>
  <c r="Q65" i="82"/>
  <c r="L146" i="84"/>
  <c r="X153" i="93"/>
  <c r="O37" i="91"/>
  <c r="Y131" i="92"/>
  <c r="X92" i="83"/>
  <c r="O165" i="87"/>
  <c r="AB99" i="91"/>
  <c r="Q41" i="90"/>
  <c r="Y130" i="74"/>
  <c r="AA69" i="83"/>
  <c r="O105" i="90"/>
  <c r="L148" i="87"/>
  <c r="Q88" i="93"/>
  <c r="N45" i="92"/>
  <c r="L82" i="93"/>
  <c r="Z127" i="92"/>
  <c r="P146" i="91"/>
  <c r="P72" i="85"/>
  <c r="O81" i="82"/>
  <c r="X73" i="92"/>
  <c r="Q151" i="92"/>
  <c r="X75" i="74"/>
  <c r="Y17" i="87"/>
  <c r="Q104" i="81"/>
  <c r="O120" i="89"/>
  <c r="O91" i="93"/>
  <c r="O134" i="94"/>
  <c r="Z31" i="90"/>
  <c r="X138" i="91"/>
  <c r="X159" i="81"/>
  <c r="Z39" i="89"/>
  <c r="X156" i="89"/>
  <c r="Z98" i="85"/>
  <c r="P51" i="94"/>
  <c r="AB86" i="82"/>
  <c r="Y35" i="81"/>
  <c r="Q41" i="93"/>
  <c r="N69" i="94"/>
  <c r="Q158" i="74"/>
  <c r="X43" i="89"/>
  <c r="N162" i="88"/>
  <c r="Y73" i="85"/>
  <c r="Y109" i="88"/>
  <c r="AB138" i="74"/>
  <c r="P75" i="93"/>
  <c r="M29" i="81"/>
  <c r="O49" i="83"/>
  <c r="Z39" i="82"/>
  <c r="L77" i="88"/>
  <c r="X81" i="89"/>
  <c r="X143" i="91"/>
  <c r="Z35" i="88"/>
  <c r="P158" i="81"/>
  <c r="Y159" i="94"/>
  <c r="Q72" i="92"/>
  <c r="AA114" i="89"/>
  <c r="O114" i="85"/>
  <c r="AB86" i="87"/>
  <c r="N99" i="84"/>
  <c r="AA147" i="87"/>
  <c r="P158" i="82"/>
  <c r="AA122" i="90"/>
  <c r="P35" i="85"/>
  <c r="Y77" i="83"/>
  <c r="O151" i="83"/>
  <c r="AA95" i="82"/>
  <c r="M17" i="82"/>
  <c r="AB128" i="92"/>
  <c r="AA66" i="81"/>
  <c r="Q31" i="84"/>
  <c r="Z133" i="82"/>
  <c r="L97" i="83"/>
  <c r="Q131" i="74"/>
  <c r="O11" i="82"/>
  <c r="Q124" i="94"/>
  <c r="P39" i="91"/>
  <c r="AB139" i="93"/>
  <c r="N15" i="74"/>
  <c r="N132" i="88"/>
  <c r="AB156" i="87"/>
  <c r="N165" i="83"/>
  <c r="P86" i="83"/>
  <c r="Q72" i="91"/>
  <c r="M59" i="94"/>
  <c r="AA130" i="82"/>
  <c r="AB25" i="82"/>
  <c r="Y129" i="74"/>
  <c r="O39" i="87"/>
  <c r="AA15" i="90"/>
  <c r="O155" i="83"/>
  <c r="Z83" i="83"/>
  <c r="Q97" i="88"/>
  <c r="X72" i="84"/>
  <c r="X119" i="91"/>
  <c r="L97" i="90"/>
  <c r="Z76" i="92"/>
  <c r="P97" i="84"/>
  <c r="M9" i="94"/>
  <c r="AA110" i="87"/>
  <c r="X27" i="83"/>
  <c r="O156" i="94"/>
  <c r="Q156" i="89"/>
  <c r="AA163" i="84"/>
  <c r="Y124" i="82"/>
  <c r="X69" i="90"/>
  <c r="O138" i="74"/>
  <c r="O98" i="93"/>
  <c r="Y19" i="74"/>
  <c r="Z161" i="92"/>
  <c r="X132" i="94"/>
  <c r="L136" i="81"/>
  <c r="Q41" i="91"/>
  <c r="L89" i="83"/>
  <c r="N72" i="87"/>
  <c r="AB13" i="84"/>
  <c r="O77" i="90"/>
  <c r="O141" i="81"/>
  <c r="AB123" i="91"/>
  <c r="AB101" i="91"/>
  <c r="L159" i="82"/>
  <c r="P155" i="84"/>
  <c r="Z139" i="91"/>
  <c r="Y85" i="89"/>
  <c r="Z111" i="82"/>
  <c r="Y161" i="92"/>
  <c r="AA64" i="83"/>
  <c r="N153" i="91"/>
  <c r="L102" i="93"/>
  <c r="O39" i="84"/>
  <c r="P77" i="93"/>
  <c r="AB150" i="92"/>
  <c r="N141" i="85"/>
  <c r="AA131" i="81"/>
  <c r="X68" i="92"/>
  <c r="AA83" i="89"/>
  <c r="X93" i="91"/>
  <c r="Y68" i="90"/>
  <c r="O13" i="88"/>
  <c r="Y127" i="94"/>
  <c r="Y96" i="81"/>
  <c r="Z81" i="91"/>
  <c r="Q143" i="81"/>
  <c r="X107" i="82"/>
  <c r="P21" i="84"/>
  <c r="P149" i="84"/>
  <c r="AB153" i="74"/>
  <c r="AA132" i="93"/>
  <c r="X155" i="89"/>
  <c r="X84" i="90"/>
  <c r="AA106" i="83"/>
  <c r="AA70" i="90"/>
  <c r="O75" i="81"/>
  <c r="P142" i="84"/>
  <c r="Q96" i="88"/>
  <c r="Y149" i="90"/>
  <c r="Q86" i="83"/>
  <c r="Q76" i="84"/>
  <c r="Y134" i="82"/>
  <c r="O55" i="83"/>
  <c r="AA75" i="85"/>
  <c r="O33" i="83"/>
  <c r="P120" i="89"/>
  <c r="P130" i="94"/>
  <c r="AB121" i="82"/>
  <c r="X167" i="89"/>
  <c r="AB122" i="84"/>
  <c r="L92" i="84"/>
  <c r="N69" i="90"/>
  <c r="AA84" i="85"/>
  <c r="O158" i="74"/>
  <c r="X168" i="91"/>
  <c r="AB33" i="89"/>
  <c r="O121" i="81"/>
  <c r="Z68" i="91"/>
  <c r="P165" i="89"/>
  <c r="Q102" i="89"/>
  <c r="Y128" i="90"/>
  <c r="O77" i="89"/>
  <c r="L167" i="93"/>
  <c r="Y139" i="74"/>
  <c r="P117" i="89"/>
  <c r="Z114" i="84"/>
  <c r="Q118" i="89"/>
  <c r="N150" i="88"/>
  <c r="Q31" i="89"/>
  <c r="L95" i="92"/>
  <c r="AA158" i="85"/>
  <c r="AB144" i="83"/>
  <c r="O47" i="92"/>
  <c r="Z98" i="91"/>
  <c r="P125" i="81"/>
  <c r="Q149" i="84"/>
  <c r="P37" i="89"/>
  <c r="O133" i="89"/>
  <c r="N159" i="90"/>
  <c r="Y74" i="91"/>
  <c r="Y78" i="88"/>
  <c r="O110" i="88"/>
  <c r="P104" i="85"/>
  <c r="X92" i="82"/>
  <c r="Y91" i="85"/>
  <c r="AA74" i="93"/>
  <c r="O125" i="82"/>
  <c r="Q80" i="89"/>
  <c r="AB90" i="83"/>
  <c r="O148" i="83"/>
  <c r="Y82" i="90"/>
  <c r="Q43" i="85"/>
  <c r="Z155" i="82"/>
  <c r="Y101" i="81"/>
  <c r="P82" i="93"/>
  <c r="Q47" i="93"/>
  <c r="P33" i="87"/>
  <c r="Z70" i="82"/>
  <c r="L129" i="90"/>
  <c r="O165" i="85"/>
  <c r="P70" i="91"/>
  <c r="O143" i="91"/>
  <c r="Z35" i="91"/>
  <c r="AB70" i="92"/>
  <c r="X11" i="92"/>
  <c r="O64" i="92"/>
  <c r="AA90" i="81"/>
  <c r="M41" i="94"/>
  <c r="AA101" i="88"/>
  <c r="O137" i="94"/>
  <c r="N159" i="87"/>
  <c r="O43" i="82"/>
  <c r="L71" i="90"/>
  <c r="M27" i="87"/>
  <c r="O11" i="90"/>
  <c r="X115" i="90"/>
  <c r="N147" i="84"/>
  <c r="L155" i="85"/>
  <c r="Y110" i="94"/>
  <c r="O138" i="87"/>
  <c r="O143" i="81"/>
  <c r="AA102" i="74"/>
  <c r="P158" i="93"/>
  <c r="L68" i="81"/>
  <c r="Y39" i="87"/>
  <c r="AB33" i="93"/>
  <c r="O112" i="90"/>
  <c r="Q72" i="85"/>
  <c r="X75" i="91"/>
  <c r="Z159" i="82"/>
  <c r="L148" i="94"/>
  <c r="AB9" i="90"/>
  <c r="Z15" i="92"/>
  <c r="L84" i="90"/>
  <c r="AA135" i="74"/>
  <c r="AA156" i="92"/>
  <c r="Z104" i="87"/>
  <c r="P157" i="90"/>
  <c r="AA143" i="74"/>
  <c r="P27" i="83"/>
  <c r="O155" i="93"/>
  <c r="AA98" i="93"/>
  <c r="AB142" i="91"/>
  <c r="AA144" i="84"/>
  <c r="O117" i="74"/>
  <c r="L146" i="90"/>
  <c r="AB70" i="87"/>
  <c r="N162" i="82"/>
  <c r="Y83" i="82"/>
  <c r="N72" i="92"/>
  <c r="AB134" i="82"/>
  <c r="Z96" i="87"/>
  <c r="X145" i="85"/>
  <c r="AB53" i="94"/>
  <c r="Y104" i="74"/>
  <c r="AB152" i="82"/>
  <c r="AA151" i="92"/>
  <c r="Z150" i="90"/>
  <c r="Z89" i="89"/>
  <c r="AB51" i="90"/>
  <c r="AA70" i="93"/>
  <c r="O149" i="87"/>
  <c r="O67" i="94"/>
  <c r="O84" i="81"/>
  <c r="Y135" i="84"/>
  <c r="O91" i="84"/>
  <c r="AA111" i="92"/>
  <c r="P63" i="74"/>
  <c r="Y89" i="85"/>
  <c r="AA31" i="90"/>
  <c r="L118" i="92"/>
  <c r="AA156" i="81"/>
  <c r="AA155" i="90"/>
  <c r="Y160" i="85"/>
  <c r="O98" i="85"/>
  <c r="AB79" i="91"/>
  <c r="Z92" i="83"/>
  <c r="Q65" i="94"/>
  <c r="AA158" i="88"/>
  <c r="L154" i="92"/>
  <c r="L68" i="84"/>
  <c r="AB65" i="85"/>
  <c r="X132" i="92"/>
  <c r="O140" i="82"/>
  <c r="Y9" i="84"/>
  <c r="X118" i="93"/>
  <c r="P97" i="88"/>
  <c r="X111" i="83"/>
  <c r="O88" i="92"/>
  <c r="Q137" i="82"/>
  <c r="Z141" i="92"/>
  <c r="Z66" i="94"/>
  <c r="AA31" i="94"/>
  <c r="O165" i="83"/>
  <c r="Q11" i="87"/>
  <c r="AB126" i="87"/>
  <c r="O161" i="89"/>
  <c r="P73" i="93"/>
  <c r="AA83" i="87"/>
  <c r="L157" i="74"/>
  <c r="Q76" i="82"/>
  <c r="O35" i="87"/>
  <c r="N108" i="87"/>
  <c r="Y74" i="81"/>
  <c r="X19" i="87"/>
  <c r="Y144" i="85"/>
  <c r="L166" i="87"/>
  <c r="O37" i="83"/>
  <c r="Q134" i="85"/>
  <c r="AA106" i="89"/>
  <c r="Y9" i="85"/>
  <c r="AB115" i="81"/>
  <c r="X29" i="84"/>
  <c r="Q111" i="91"/>
  <c r="P150" i="82"/>
  <c r="O111" i="93"/>
  <c r="O13" i="93"/>
  <c r="X90" i="91"/>
  <c r="O19" i="92"/>
  <c r="X152" i="74"/>
  <c r="X94" i="88"/>
  <c r="P128" i="93"/>
  <c r="O77" i="81"/>
  <c r="X80" i="83"/>
  <c r="X82" i="84"/>
  <c r="Q132" i="83"/>
  <c r="L130" i="84"/>
  <c r="N141" i="88"/>
  <c r="O131" i="89"/>
  <c r="O140" i="85"/>
  <c r="AA160" i="81"/>
  <c r="Z163" i="81"/>
  <c r="L110" i="88"/>
  <c r="AA17" i="81"/>
  <c r="Y70" i="90"/>
  <c r="L88" i="93"/>
  <c r="AB80" i="93"/>
  <c r="Z142" i="82"/>
  <c r="P84" i="90"/>
  <c r="AB136" i="84"/>
  <c r="Z101" i="85"/>
  <c r="L77" i="83"/>
  <c r="Q71" i="85"/>
  <c r="Y68" i="82"/>
  <c r="X19" i="84"/>
  <c r="AA161" i="74"/>
  <c r="AA153" i="74"/>
  <c r="M35" i="90"/>
  <c r="Q74" i="93"/>
  <c r="AA163" i="91"/>
  <c r="Y51" i="85"/>
  <c r="X66" i="85"/>
  <c r="L90" i="90"/>
  <c r="Q115" i="81"/>
  <c r="Q155" i="89"/>
  <c r="Q80" i="85"/>
  <c r="O86" i="93"/>
  <c r="Q25" i="92"/>
  <c r="X77" i="92"/>
  <c r="P49" i="94"/>
  <c r="Y117" i="74"/>
  <c r="X132" i="82"/>
  <c r="P69" i="83"/>
  <c r="Z132" i="74"/>
  <c r="M45" i="94"/>
  <c r="AB95" i="92"/>
  <c r="P90" i="93"/>
  <c r="Z105" i="93"/>
  <c r="Q126" i="91"/>
  <c r="O154" i="94"/>
  <c r="O21" i="74"/>
  <c r="O19" i="83"/>
  <c r="O149" i="92"/>
  <c r="AB135" i="91"/>
  <c r="AB110" i="81"/>
  <c r="AA17" i="83"/>
  <c r="X110" i="88"/>
  <c r="AB31" i="85"/>
  <c r="AB114" i="89"/>
  <c r="O122" i="90"/>
  <c r="AA136" i="82"/>
  <c r="L121" i="92"/>
  <c r="AB17" i="87"/>
  <c r="AB21" i="74"/>
  <c r="Q98" i="84"/>
  <c r="X35" i="88"/>
  <c r="P100" i="74"/>
  <c r="AB123" i="94"/>
  <c r="X154" i="92"/>
  <c r="Q71" i="84"/>
  <c r="N90" i="82"/>
  <c r="AA120" i="88"/>
  <c r="Q146" i="93"/>
  <c r="O97" i="89"/>
  <c r="Y75" i="81"/>
  <c r="L115" i="92"/>
  <c r="AA159" i="74"/>
  <c r="AB89" i="92"/>
  <c r="Z73" i="74"/>
  <c r="Y55" i="84"/>
  <c r="L72" i="94"/>
  <c r="AB11" i="82"/>
  <c r="Y74" i="74"/>
  <c r="X113" i="94"/>
  <c r="AB147" i="91"/>
  <c r="Y131" i="93"/>
  <c r="X136" i="84"/>
  <c r="P110" i="83"/>
  <c r="AA73" i="87"/>
  <c r="Q126" i="94"/>
  <c r="Y15" i="83"/>
  <c r="Y134" i="93"/>
  <c r="AB156" i="88"/>
  <c r="P63" i="85"/>
  <c r="Z143" i="93"/>
  <c r="L150" i="74"/>
  <c r="O47" i="74"/>
  <c r="O153" i="81"/>
  <c r="Q55" i="94"/>
  <c r="X157" i="82"/>
  <c r="P132" i="93"/>
  <c r="X160" i="81"/>
  <c r="P129" i="74"/>
  <c r="Y91" i="94"/>
  <c r="Y31" i="83"/>
  <c r="M47" i="84"/>
  <c r="X64" i="90"/>
  <c r="Q82" i="89"/>
  <c r="M59" i="93"/>
  <c r="O97" i="84"/>
  <c r="AB101" i="89"/>
  <c r="Q33" i="87"/>
  <c r="O43" i="91"/>
  <c r="X120" i="89"/>
  <c r="X33" i="85"/>
  <c r="AB148" i="81"/>
  <c r="X71" i="87"/>
  <c r="P76" i="83"/>
  <c r="AB115" i="85"/>
  <c r="L132" i="92"/>
  <c r="X100" i="87"/>
  <c r="M43" i="88"/>
  <c r="O107" i="84"/>
  <c r="X95" i="89"/>
  <c r="X128" i="89"/>
  <c r="Z73" i="89"/>
  <c r="Y158" i="94"/>
  <c r="AB55" i="81"/>
  <c r="O104" i="93"/>
  <c r="Z25" i="87"/>
  <c r="L96" i="87"/>
  <c r="Q25" i="84"/>
  <c r="P165" i="84"/>
  <c r="AB31" i="90"/>
  <c r="Z156" i="94"/>
  <c r="P82" i="87"/>
  <c r="N105" i="81"/>
  <c r="P72" i="74"/>
  <c r="X45" i="85"/>
  <c r="X132" i="91"/>
  <c r="Z134" i="83"/>
  <c r="L144" i="93"/>
  <c r="Z29" i="88"/>
  <c r="AB167" i="89"/>
  <c r="Z144" i="93"/>
  <c r="AA73" i="85"/>
  <c r="AA142" i="93"/>
  <c r="O79" i="81"/>
  <c r="Q144" i="92"/>
  <c r="X123" i="83"/>
  <c r="L131" i="94"/>
  <c r="AA69" i="93"/>
  <c r="O9" i="82"/>
  <c r="Q70" i="87"/>
  <c r="Q86" i="87"/>
  <c r="AB142" i="90"/>
  <c r="Y147" i="93"/>
  <c r="Y155" i="93"/>
  <c r="Y93" i="74"/>
  <c r="N141" i="87"/>
  <c r="L75" i="83"/>
  <c r="M19" i="74"/>
  <c r="Z76" i="81"/>
  <c r="AA76" i="89"/>
  <c r="Q139" i="91"/>
  <c r="N153" i="93"/>
  <c r="O31" i="92"/>
  <c r="X73" i="93"/>
  <c r="L153" i="93"/>
  <c r="L74" i="87"/>
  <c r="P80" i="93"/>
  <c r="Y43" i="82"/>
  <c r="O150" i="91"/>
  <c r="O129" i="91"/>
  <c r="Z33" i="81"/>
  <c r="P128" i="74"/>
  <c r="AA23" i="83"/>
  <c r="AA109" i="82"/>
  <c r="AB72" i="82"/>
  <c r="Z82" i="81"/>
  <c r="O131" i="94"/>
  <c r="O145" i="83"/>
  <c r="L151" i="87"/>
  <c r="AA123" i="93"/>
  <c r="O116" i="93"/>
  <c r="O93" i="92"/>
  <c r="AB131" i="92"/>
  <c r="Q85" i="83"/>
  <c r="X19" i="94"/>
  <c r="L101" i="83"/>
  <c r="Q154" i="83"/>
  <c r="P13" i="85"/>
  <c r="P63" i="82"/>
  <c r="O154" i="93"/>
  <c r="P76" i="91"/>
  <c r="L145" i="88"/>
  <c r="X72" i="94"/>
  <c r="Q125" i="90"/>
  <c r="Q106" i="94"/>
  <c r="O92" i="89"/>
  <c r="P157" i="83"/>
  <c r="P57" i="82"/>
  <c r="L147" i="92"/>
  <c r="Y153" i="84"/>
  <c r="Y23" i="94"/>
  <c r="X131" i="92"/>
  <c r="M37" i="85"/>
  <c r="AA43" i="93"/>
  <c r="L73" i="87"/>
  <c r="O138" i="84"/>
  <c r="O88" i="81"/>
  <c r="Q79" i="93"/>
  <c r="L109" i="85"/>
  <c r="N129" i="82"/>
  <c r="AB93" i="81"/>
  <c r="AB96" i="82"/>
  <c r="Q111" i="93"/>
  <c r="O155" i="90"/>
  <c r="P70" i="88"/>
  <c r="L143" i="74"/>
  <c r="O15" i="81"/>
  <c r="L83" i="92"/>
  <c r="Z39" i="85"/>
  <c r="P70" i="83"/>
  <c r="AA137" i="88"/>
  <c r="L134" i="94"/>
  <c r="X112" i="84"/>
  <c r="Y11" i="84"/>
  <c r="M21" i="83"/>
  <c r="X160" i="85"/>
  <c r="P82" i="81"/>
  <c r="O85" i="89"/>
  <c r="P79" i="89"/>
  <c r="P21" i="91"/>
  <c r="N165" i="82"/>
  <c r="Y165" i="74"/>
  <c r="O141" i="94"/>
  <c r="L150" i="87"/>
  <c r="Q29" i="90"/>
  <c r="Q37" i="89"/>
  <c r="X71" i="83"/>
  <c r="N132" i="87"/>
  <c r="Z150" i="93"/>
  <c r="Q90" i="89"/>
  <c r="P163" i="91"/>
  <c r="Q121" i="93"/>
  <c r="AB136" i="90"/>
  <c r="AB105" i="93"/>
  <c r="AA82" i="85"/>
  <c r="N153" i="94"/>
  <c r="Q41" i="81"/>
  <c r="O99" i="94"/>
  <c r="AB39" i="82"/>
  <c r="Q147" i="89"/>
  <c r="Q130" i="90"/>
  <c r="Y99" i="87"/>
  <c r="Q141" i="92"/>
  <c r="Y150" i="87"/>
  <c r="Y64" i="84"/>
  <c r="Z130" i="84"/>
  <c r="L101" i="88"/>
  <c r="P129" i="87"/>
  <c r="Q148" i="92"/>
  <c r="Q83" i="89"/>
  <c r="Y31" i="88"/>
  <c r="Z165" i="87"/>
  <c r="AB74" i="83"/>
  <c r="O116" i="89"/>
  <c r="L129" i="83"/>
  <c r="O92" i="81"/>
  <c r="X146" i="89"/>
  <c r="L109" i="92"/>
  <c r="L157" i="87"/>
  <c r="Q13" i="94"/>
  <c r="O79" i="84"/>
  <c r="L63" i="87"/>
  <c r="Z65" i="93"/>
  <c r="L79" i="93"/>
  <c r="AA33" i="92"/>
  <c r="L154" i="83"/>
  <c r="N51" i="88"/>
  <c r="L76" i="90"/>
  <c r="Q158" i="87"/>
  <c r="L77" i="89"/>
  <c r="L149" i="94"/>
  <c r="O83" i="74"/>
  <c r="X79" i="92"/>
  <c r="Z17" i="85"/>
  <c r="O128" i="82"/>
  <c r="X53" i="90"/>
  <c r="L72" i="87"/>
  <c r="AA102" i="93"/>
  <c r="L80" i="81"/>
  <c r="O115" i="82"/>
  <c r="Z33" i="84"/>
  <c r="AA100" i="81"/>
  <c r="AA121" i="94"/>
  <c r="M15" i="91"/>
  <c r="X49" i="91"/>
  <c r="O49" i="74"/>
  <c r="N135" i="87"/>
  <c r="P146" i="85"/>
  <c r="AA122" i="74"/>
  <c r="Z155" i="90"/>
  <c r="AA147" i="89"/>
  <c r="L96" i="74"/>
  <c r="AA159" i="81"/>
  <c r="L144" i="83"/>
  <c r="Q130" i="93"/>
  <c r="L86" i="93"/>
  <c r="X84" i="85"/>
  <c r="P65" i="90"/>
  <c r="P157" i="85"/>
  <c r="Z11" i="84"/>
  <c r="Z70" i="90"/>
  <c r="X33" i="94"/>
  <c r="P155" i="87"/>
  <c r="AB51" i="94"/>
  <c r="Z101" i="82"/>
  <c r="Q78" i="91"/>
  <c r="L145" i="74"/>
  <c r="L95" i="87"/>
  <c r="P108" i="91"/>
  <c r="X67" i="90"/>
  <c r="Y109" i="84"/>
  <c r="N72" i="85"/>
  <c r="AB71" i="92"/>
  <c r="L147" i="74"/>
  <c r="O161" i="90"/>
  <c r="Y57" i="88"/>
  <c r="O106" i="82"/>
  <c r="L157" i="82"/>
  <c r="X146" i="91"/>
  <c r="O99" i="90"/>
  <c r="X39" i="74"/>
  <c r="M25" i="85"/>
  <c r="AA101" i="94"/>
  <c r="AB84" i="94"/>
  <c r="O133" i="87"/>
  <c r="Z81" i="84"/>
  <c r="Q77" i="88"/>
  <c r="P80" i="82"/>
  <c r="Z85" i="83"/>
  <c r="AA152" i="81"/>
  <c r="P129" i="83"/>
  <c r="L136" i="88"/>
  <c r="L161" i="85"/>
  <c r="Q130" i="87"/>
  <c r="X136" i="89"/>
  <c r="L140" i="92"/>
  <c r="N15" i="85"/>
  <c r="X27" i="85"/>
  <c r="AA66" i="87"/>
  <c r="Z17" i="84"/>
  <c r="AA154" i="87"/>
  <c r="Q160" i="87"/>
  <c r="AB17" i="74"/>
  <c r="O159" i="93"/>
  <c r="P130" i="82"/>
  <c r="Z78" i="90"/>
  <c r="O114" i="91"/>
  <c r="O53" i="87"/>
  <c r="M19" i="90"/>
  <c r="O127" i="82"/>
  <c r="Q39" i="83"/>
  <c r="Z145" i="91"/>
  <c r="Z73" i="81"/>
  <c r="Q97" i="74"/>
  <c r="O162" i="94"/>
  <c r="AA160" i="93"/>
  <c r="Z135" i="91"/>
  <c r="O120" i="88"/>
  <c r="AA155" i="93"/>
  <c r="AA81" i="74"/>
  <c r="Z124" i="83"/>
  <c r="O97" i="85"/>
  <c r="O137" i="93"/>
  <c r="AA92" i="84"/>
  <c r="P78" i="81"/>
  <c r="Q47" i="91"/>
  <c r="P156" i="92"/>
  <c r="Q162" i="85"/>
  <c r="Y37" i="90"/>
  <c r="AB120" i="81"/>
  <c r="X127" i="93"/>
  <c r="Q73" i="94"/>
  <c r="Q96" i="87"/>
  <c r="P139" i="87"/>
  <c r="Q27" i="74"/>
  <c r="L134" i="84"/>
  <c r="O73" i="81"/>
  <c r="P57" i="84"/>
  <c r="Q39" i="92"/>
  <c r="Y97" i="87"/>
  <c r="Y85" i="82"/>
  <c r="L158" i="85"/>
  <c r="Z70" i="85"/>
  <c r="AB82" i="88"/>
  <c r="AB53" i="92"/>
  <c r="P81" i="74"/>
  <c r="O117" i="93"/>
  <c r="Z19" i="88"/>
  <c r="X70" i="74"/>
  <c r="AA133" i="91"/>
  <c r="M31" i="90"/>
  <c r="L165" i="83"/>
  <c r="L112" i="83"/>
  <c r="P61" i="90"/>
  <c r="X84" i="88"/>
  <c r="Q97" i="89"/>
  <c r="N150" i="91"/>
  <c r="Z124" i="92"/>
  <c r="AA68" i="88"/>
  <c r="AB110" i="89"/>
  <c r="Q67" i="82"/>
  <c r="AB80" i="85"/>
  <c r="O142" i="92"/>
  <c r="Y134" i="94"/>
  <c r="Q70" i="81"/>
  <c r="M49" i="90"/>
  <c r="AA136" i="88"/>
  <c r="L112" i="81"/>
  <c r="X144" i="87"/>
  <c r="P128" i="89"/>
  <c r="O138" i="94"/>
  <c r="AB73" i="94"/>
  <c r="Y68" i="93"/>
  <c r="Y133" i="87"/>
  <c r="N27" i="93"/>
  <c r="X41" i="91"/>
  <c r="Y144" i="83"/>
  <c r="O29" i="82"/>
  <c r="P74" i="91"/>
  <c r="L79" i="81"/>
  <c r="P157" i="87"/>
  <c r="X144" i="81"/>
  <c r="X79" i="74"/>
  <c r="AA137" i="94"/>
  <c r="Q98" i="89"/>
  <c r="O112" i="82"/>
  <c r="AA160" i="84"/>
  <c r="O39" i="82"/>
  <c r="AB27" i="93"/>
  <c r="Q17" i="84"/>
  <c r="L101" i="84"/>
  <c r="AA27" i="82"/>
  <c r="Z129" i="92"/>
  <c r="Q99" i="92"/>
  <c r="Z77" i="84"/>
  <c r="Z123" i="83"/>
  <c r="X11" i="94"/>
  <c r="O75" i="82"/>
  <c r="O74" i="83"/>
  <c r="O157" i="94"/>
  <c r="M53" i="82"/>
  <c r="AA77" i="90"/>
  <c r="AA27" i="94"/>
  <c r="Z73" i="84"/>
  <c r="M61" i="85"/>
  <c r="Q137" i="84"/>
  <c r="Z155" i="85"/>
  <c r="O156" i="83"/>
  <c r="Y31" i="74"/>
  <c r="Y17" i="84"/>
  <c r="AA69" i="91"/>
  <c r="Z41" i="89"/>
  <c r="L81" i="89"/>
  <c r="X135" i="87"/>
  <c r="Z90" i="93"/>
  <c r="N120" i="93"/>
  <c r="Q126" i="85"/>
  <c r="L71" i="94"/>
  <c r="Z90" i="91"/>
  <c r="Q126" i="88"/>
  <c r="Y66" i="92"/>
  <c r="Z84" i="93"/>
  <c r="P139" i="93"/>
  <c r="O9" i="90"/>
  <c r="Z72" i="90"/>
  <c r="L85" i="93"/>
  <c r="Q15" i="89"/>
  <c r="M61" i="88"/>
  <c r="X127" i="88"/>
  <c r="N27" i="87"/>
  <c r="O74" i="87"/>
  <c r="Z101" i="93"/>
  <c r="Q97" i="94"/>
  <c r="L154" i="85"/>
  <c r="X137" i="87"/>
  <c r="P123" i="91"/>
  <c r="AB94" i="87"/>
  <c r="AB152" i="93"/>
  <c r="Y135" i="92"/>
  <c r="AB73" i="85"/>
  <c r="Y71" i="84"/>
  <c r="Q49" i="81"/>
  <c r="AB39" i="93"/>
  <c r="O106" i="90"/>
  <c r="P160" i="83"/>
  <c r="P27" i="90"/>
  <c r="Q85" i="82"/>
  <c r="X55" i="88"/>
  <c r="N15" i="82"/>
  <c r="P147" i="90"/>
  <c r="Y99" i="94"/>
  <c r="Z137" i="94"/>
  <c r="X47" i="87"/>
  <c r="AA51" i="90"/>
  <c r="AB31" i="74"/>
  <c r="O147" i="94"/>
  <c r="N105" i="90"/>
  <c r="O74" i="84"/>
  <c r="Z132" i="93"/>
  <c r="P85" i="88"/>
  <c r="AB113" i="90"/>
  <c r="X88" i="88"/>
  <c r="Y33" i="89"/>
  <c r="P154" i="74"/>
  <c r="X78" i="84"/>
  <c r="P147" i="85"/>
  <c r="Z75" i="92"/>
  <c r="AB97" i="92"/>
  <c r="L122" i="92"/>
  <c r="P144" i="74"/>
  <c r="Y78" i="92"/>
  <c r="Q97" i="92"/>
  <c r="AA72" i="84"/>
  <c r="AB122" i="94"/>
  <c r="M47" i="94"/>
  <c r="Y39" i="91"/>
  <c r="P13" i="82"/>
  <c r="AA31" i="82"/>
  <c r="AA137" i="82"/>
  <c r="X88" i="94"/>
  <c r="P108" i="89"/>
  <c r="AB151" i="81"/>
  <c r="AA11" i="90"/>
  <c r="Q126" i="81"/>
  <c r="Q148" i="91"/>
  <c r="AB136" i="89"/>
  <c r="AB129" i="81"/>
  <c r="L142" i="93"/>
  <c r="O162" i="87"/>
  <c r="AB122" i="74"/>
  <c r="P97" i="92"/>
  <c r="Q152" i="82"/>
  <c r="P47" i="83"/>
  <c r="Q27" i="89"/>
  <c r="Y150" i="92"/>
  <c r="M49" i="92"/>
  <c r="AB100" i="91"/>
  <c r="N84" i="74"/>
  <c r="Y131" i="74"/>
  <c r="O71" i="84"/>
  <c r="Y57" i="74"/>
  <c r="Z66" i="83"/>
  <c r="AB110" i="90"/>
  <c r="AA71" i="94"/>
  <c r="N96" i="88"/>
  <c r="L157" i="83"/>
  <c r="O102" i="85"/>
  <c r="O31" i="88"/>
  <c r="P21" i="81"/>
  <c r="X170" i="91"/>
  <c r="Y9" i="82"/>
  <c r="Y116" i="92"/>
  <c r="O161" i="94"/>
  <c r="AA118" i="94"/>
  <c r="AB81" i="92"/>
  <c r="AA77" i="93"/>
  <c r="AB82" i="84"/>
  <c r="AB142" i="88"/>
  <c r="AA154" i="84"/>
  <c r="N159" i="94"/>
  <c r="AB21" i="84"/>
  <c r="Z121" i="89"/>
  <c r="AA114" i="74"/>
  <c r="Y89" i="93"/>
  <c r="O143" i="74"/>
  <c r="O41" i="84"/>
  <c r="Y158" i="82"/>
  <c r="Y128" i="93"/>
  <c r="P148" i="85"/>
  <c r="M55" i="82"/>
  <c r="Y81" i="90"/>
  <c r="X164" i="88"/>
  <c r="P9" i="89"/>
  <c r="AB123" i="93"/>
  <c r="X147" i="74"/>
  <c r="L123" i="74"/>
  <c r="X160" i="94"/>
  <c r="AA107" i="83"/>
  <c r="AB133" i="94"/>
  <c r="O85" i="74"/>
  <c r="O150" i="89"/>
  <c r="Z72" i="83"/>
  <c r="AB45" i="88"/>
  <c r="L96" i="88"/>
  <c r="AB133" i="84"/>
  <c r="L70" i="81"/>
  <c r="AB75" i="88"/>
  <c r="Z59" i="83"/>
  <c r="L134" i="90"/>
  <c r="Y55" i="82"/>
  <c r="AB122" i="85"/>
  <c r="Y90" i="92"/>
  <c r="P69" i="84"/>
  <c r="O91" i="94"/>
  <c r="Z111" i="93"/>
  <c r="Y76" i="88"/>
  <c r="P130" i="85"/>
  <c r="Y59" i="82"/>
  <c r="Q73" i="87"/>
  <c r="L65" i="94"/>
  <c r="N114" i="81"/>
  <c r="AB154" i="93"/>
  <c r="Z153" i="94"/>
  <c r="P161" i="94"/>
  <c r="Y138" i="90"/>
  <c r="O64" i="88"/>
  <c r="L154" i="82"/>
  <c r="Q43" i="81"/>
  <c r="P76" i="84"/>
  <c r="AB158" i="88"/>
  <c r="X17" i="74"/>
  <c r="P142" i="82"/>
  <c r="Q129" i="94"/>
  <c r="AB25" i="90"/>
  <c r="AA84" i="87"/>
  <c r="AA72" i="74"/>
  <c r="Y141" i="92"/>
  <c r="X77" i="84"/>
  <c r="O108" i="81"/>
  <c r="P136" i="92"/>
  <c r="X139" i="94"/>
  <c r="P153" i="89"/>
  <c r="Z129" i="85"/>
  <c r="X79" i="87"/>
  <c r="Q87" i="84"/>
  <c r="X85" i="74"/>
  <c r="AB123" i="84"/>
  <c r="Y55" i="89"/>
  <c r="O153" i="85"/>
  <c r="Q43" i="82"/>
  <c r="AA108" i="84"/>
  <c r="O76" i="74"/>
  <c r="Y121" i="87"/>
  <c r="X75" i="81"/>
  <c r="Q121" i="91"/>
  <c r="P131" i="82"/>
  <c r="O72" i="81"/>
  <c r="N126" i="82"/>
  <c r="L136" i="93"/>
  <c r="L135" i="94"/>
  <c r="Z76" i="83"/>
  <c r="X159" i="94"/>
  <c r="AA160" i="82"/>
  <c r="Q79" i="88"/>
  <c r="Y138" i="89"/>
  <c r="X134" i="81"/>
  <c r="L138" i="81"/>
  <c r="Q131" i="87"/>
  <c r="AA132" i="89"/>
  <c r="AB63" i="94"/>
  <c r="X119" i="90"/>
  <c r="AA93" i="89"/>
  <c r="Z121" i="84"/>
  <c r="O88" i="84"/>
  <c r="AA153" i="83"/>
  <c r="AA59" i="89"/>
  <c r="P25" i="74"/>
  <c r="AB79" i="81"/>
  <c r="O121" i="82"/>
  <c r="Y161" i="85"/>
  <c r="X127" i="90"/>
  <c r="P131" i="85"/>
  <c r="Y97" i="85"/>
  <c r="Q45" i="94"/>
  <c r="L97" i="82"/>
  <c r="N132" i="83"/>
  <c r="AA11" i="94"/>
  <c r="P127" i="82"/>
  <c r="Q165" i="89"/>
  <c r="Z99" i="89"/>
  <c r="Z130" i="90"/>
  <c r="Q63" i="90"/>
  <c r="AB77" i="91"/>
  <c r="Q99" i="83"/>
  <c r="AB57" i="88"/>
  <c r="AA61" i="89"/>
  <c r="X151" i="92"/>
  <c r="L71" i="81"/>
  <c r="Y159" i="93"/>
  <c r="Y109" i="85"/>
  <c r="X17" i="90"/>
  <c r="Q95" i="85"/>
  <c r="P137" i="82"/>
  <c r="M29" i="92"/>
  <c r="AA76" i="93"/>
  <c r="AB129" i="88"/>
  <c r="P73" i="88"/>
  <c r="L143" i="92"/>
  <c r="P74" i="83"/>
  <c r="P122" i="74"/>
  <c r="L98" i="85"/>
  <c r="P81" i="87"/>
  <c r="P91" i="94"/>
  <c r="L152" i="85"/>
  <c r="X78" i="88"/>
  <c r="Q107" i="93"/>
  <c r="L98" i="83"/>
  <c r="Y122" i="82"/>
  <c r="X35" i="74"/>
  <c r="AA141" i="85"/>
  <c r="X152" i="93"/>
  <c r="P93" i="90"/>
  <c r="Z149" i="91"/>
  <c r="N144" i="91"/>
  <c r="N159" i="88"/>
  <c r="Z150" i="89"/>
  <c r="Y159" i="82"/>
  <c r="X89" i="90"/>
  <c r="Z17" i="94"/>
  <c r="AB41" i="81"/>
  <c r="M13" i="91"/>
  <c r="AA11" i="83"/>
  <c r="Y127" i="91"/>
  <c r="Q70" i="84"/>
  <c r="Q101" i="74"/>
  <c r="M31" i="82"/>
  <c r="X103" i="85"/>
  <c r="Z116" i="89"/>
  <c r="N78" i="82"/>
  <c r="AA113" i="85"/>
  <c r="AB79" i="93"/>
  <c r="L101" i="92"/>
  <c r="X146" i="81"/>
  <c r="AB82" i="92"/>
  <c r="Z159" i="89"/>
  <c r="Z113" i="84"/>
  <c r="Y94" i="92"/>
  <c r="Q86" i="91"/>
  <c r="AB131" i="82"/>
  <c r="X72" i="88"/>
  <c r="Q158" i="93"/>
  <c r="O133" i="92"/>
  <c r="M47" i="90"/>
  <c r="AA19" i="81"/>
  <c r="O161" i="81"/>
  <c r="L127" i="90"/>
  <c r="AB23" i="93"/>
  <c r="O33" i="93"/>
  <c r="O59" i="92"/>
  <c r="M43" i="85"/>
  <c r="AB35" i="91"/>
  <c r="AB99" i="88"/>
  <c r="P154" i="84"/>
  <c r="N21" i="91"/>
  <c r="AA17" i="92"/>
  <c r="P71" i="91"/>
  <c r="N108" i="83"/>
  <c r="P96" i="83"/>
  <c r="L137" i="83"/>
  <c r="Q122" i="74"/>
  <c r="Y101" i="93"/>
  <c r="AA161" i="87"/>
  <c r="P130" i="89"/>
  <c r="Q129" i="88"/>
  <c r="AB154" i="89"/>
  <c r="AB27" i="85"/>
  <c r="Z47" i="93"/>
  <c r="AA11" i="81"/>
  <c r="N87" i="81"/>
  <c r="P83" i="88"/>
  <c r="AA55" i="88"/>
  <c r="Q69" i="89"/>
  <c r="Q111" i="74"/>
  <c r="Q73" i="85"/>
  <c r="Z155" i="84"/>
  <c r="AB98" i="74"/>
  <c r="O11" i="74"/>
  <c r="O129" i="89"/>
  <c r="AA67" i="90"/>
  <c r="M47" i="83"/>
  <c r="O99" i="91"/>
  <c r="O73" i="84"/>
  <c r="Q138" i="92"/>
  <c r="AA108" i="82"/>
  <c r="AB134" i="94"/>
  <c r="AA130" i="83"/>
  <c r="Y148" i="83"/>
  <c r="Y107" i="74"/>
  <c r="AA77" i="74"/>
  <c r="Y33" i="94"/>
  <c r="O85" i="88"/>
  <c r="Y73" i="89"/>
  <c r="AA86" i="93"/>
  <c r="M37" i="84"/>
  <c r="P100" i="83"/>
  <c r="Q147" i="81"/>
  <c r="L144" i="74"/>
  <c r="AA98" i="84"/>
  <c r="O70" i="87"/>
  <c r="P129" i="84"/>
  <c r="Y150" i="90"/>
  <c r="M53" i="85"/>
  <c r="AA148" i="93"/>
  <c r="P9" i="84"/>
  <c r="P147" i="83"/>
  <c r="O141" i="90"/>
  <c r="Z156" i="84"/>
  <c r="P13" i="74"/>
  <c r="Q147" i="90"/>
  <c r="Q78" i="90"/>
  <c r="P64" i="90"/>
  <c r="O126" i="94"/>
  <c r="AB51" i="74"/>
  <c r="X156" i="82"/>
  <c r="Z100" i="94"/>
  <c r="O90" i="94"/>
  <c r="P43" i="89"/>
  <c r="X145" i="92"/>
  <c r="AB132" i="83"/>
  <c r="Y91" i="93"/>
  <c r="L109" i="90"/>
  <c r="AB132" i="84"/>
  <c r="X101" i="74"/>
  <c r="N51" i="91"/>
  <c r="O151" i="81"/>
  <c r="X79" i="93"/>
  <c r="X158" i="88"/>
  <c r="Z161" i="81"/>
  <c r="Z113" i="85"/>
  <c r="P151" i="82"/>
  <c r="L71" i="87"/>
  <c r="Y163" i="90"/>
  <c r="Y134" i="91"/>
  <c r="AB143" i="91"/>
  <c r="Z163" i="87"/>
  <c r="O142" i="94"/>
  <c r="Y136" i="74"/>
  <c r="P21" i="92"/>
  <c r="X124" i="94"/>
  <c r="Z148" i="74"/>
  <c r="O142" i="83"/>
  <c r="Y137" i="84"/>
  <c r="X148" i="82"/>
  <c r="X82" i="88"/>
  <c r="Z123" i="92"/>
  <c r="M25" i="84"/>
  <c r="AB159" i="92"/>
  <c r="Q145" i="91"/>
  <c r="Y93" i="87"/>
  <c r="AB80" i="94"/>
  <c r="O123" i="81"/>
  <c r="AB152" i="94"/>
  <c r="AA25" i="89"/>
  <c r="AA23" i="88"/>
  <c r="Q134" i="74"/>
  <c r="Z75" i="84"/>
  <c r="O76" i="91"/>
  <c r="Q81" i="94"/>
  <c r="Q21" i="91"/>
  <c r="P109" i="88"/>
  <c r="O29" i="88"/>
  <c r="Y146" i="82"/>
  <c r="AB109" i="89"/>
  <c r="X71" i="74"/>
  <c r="X78" i="81"/>
  <c r="AB21" i="89"/>
  <c r="Q75" i="92"/>
  <c r="AA170" i="91"/>
  <c r="P158" i="88"/>
  <c r="AB125" i="94"/>
  <c r="O119" i="89"/>
  <c r="AB155" i="84"/>
  <c r="AB161" i="93"/>
  <c r="P99" i="84"/>
  <c r="Y80" i="90"/>
  <c r="Q29" i="91"/>
  <c r="O59" i="87"/>
  <c r="P71" i="87"/>
  <c r="AA108" i="92"/>
  <c r="Z39" i="87"/>
  <c r="O141" i="87"/>
  <c r="Q51" i="94"/>
  <c r="AA151" i="89"/>
  <c r="O111" i="90"/>
  <c r="N78" i="84"/>
  <c r="L156" i="90"/>
  <c r="L161" i="88"/>
  <c r="Z132" i="88"/>
  <c r="Z39" i="94"/>
  <c r="O15" i="90"/>
  <c r="N75" i="90"/>
  <c r="AB140" i="88"/>
  <c r="L129" i="84"/>
  <c r="Y130" i="84"/>
  <c r="O13" i="81"/>
  <c r="O79" i="94"/>
  <c r="Z102" i="74"/>
  <c r="O139" i="91"/>
  <c r="Y81" i="93"/>
  <c r="Q78" i="84"/>
  <c r="AB100" i="92"/>
  <c r="AA33" i="81"/>
  <c r="O144" i="89"/>
  <c r="Y105" i="93"/>
  <c r="L100" i="89"/>
  <c r="P154" i="82"/>
  <c r="AB76" i="89"/>
  <c r="AB98" i="93"/>
  <c r="N144" i="74"/>
  <c r="L69" i="84"/>
  <c r="Z97" i="93"/>
  <c r="Y27" i="88"/>
  <c r="AB153" i="92"/>
  <c r="AA126" i="89"/>
  <c r="L133" i="90"/>
  <c r="Z9" i="74"/>
  <c r="O125" i="74"/>
  <c r="P151" i="88"/>
  <c r="P134" i="94"/>
  <c r="O94" i="93"/>
  <c r="Y134" i="83"/>
  <c r="Z70" i="93"/>
  <c r="AA80" i="84"/>
  <c r="L122" i="88"/>
  <c r="Y80" i="89"/>
  <c r="O151" i="82"/>
  <c r="O86" i="84"/>
  <c r="AA117" i="82"/>
  <c r="Q27" i="92"/>
  <c r="X57" i="83"/>
  <c r="AA29" i="83"/>
  <c r="Q71" i="94"/>
  <c r="O113" i="87"/>
  <c r="L96" i="82"/>
  <c r="AB47" i="85"/>
  <c r="Q35" i="89"/>
  <c r="P74" i="84"/>
  <c r="Z136" i="87"/>
  <c r="Q113" i="91"/>
  <c r="Y15" i="84"/>
  <c r="Y79" i="89"/>
  <c r="P152" i="85"/>
  <c r="L151" i="84"/>
  <c r="Z17" i="81"/>
  <c r="L94" i="85"/>
  <c r="X107" i="93"/>
  <c r="Q144" i="85"/>
  <c r="Q165" i="81"/>
  <c r="X57" i="82"/>
  <c r="Y133" i="83"/>
  <c r="AA141" i="88"/>
  <c r="Q19" i="92"/>
  <c r="N156" i="87"/>
  <c r="O129" i="90"/>
  <c r="O164" i="83"/>
  <c r="Z85" i="85"/>
  <c r="X84" i="74"/>
  <c r="L77" i="87"/>
  <c r="P83" i="93"/>
  <c r="Z72" i="74"/>
  <c r="AA101" i="74"/>
  <c r="Q63" i="92"/>
  <c r="O108" i="92"/>
  <c r="Q123" i="89"/>
  <c r="AB125" i="84"/>
  <c r="P165" i="87"/>
  <c r="Z159" i="88"/>
  <c r="Y160" i="82"/>
  <c r="Q145" i="93"/>
  <c r="O112" i="74"/>
  <c r="M53" i="91"/>
  <c r="Z78" i="84"/>
  <c r="X79" i="82"/>
  <c r="Z45" i="90"/>
  <c r="M49" i="88"/>
  <c r="Z9" i="82"/>
  <c r="Y79" i="94"/>
  <c r="P123" i="85"/>
  <c r="L96" i="81"/>
  <c r="Q159" i="87"/>
  <c r="Q85" i="92"/>
  <c r="L128" i="94"/>
  <c r="X149" i="83"/>
  <c r="Z93" i="87"/>
  <c r="Z31" i="74"/>
  <c r="O159" i="81"/>
  <c r="AA65" i="91"/>
  <c r="AB157" i="87"/>
  <c r="Q74" i="90"/>
  <c r="L158" i="87"/>
  <c r="AB159" i="82"/>
  <c r="Y21" i="81"/>
  <c r="AA37" i="84"/>
  <c r="P163" i="84"/>
  <c r="Y160" i="93"/>
  <c r="P69" i="91"/>
  <c r="N99" i="89"/>
  <c r="X59" i="81"/>
  <c r="P114" i="85"/>
  <c r="Q150" i="93"/>
  <c r="Q79" i="94"/>
  <c r="AB11" i="91"/>
  <c r="L141" i="88"/>
  <c r="AA83" i="88"/>
  <c r="X105" i="82"/>
  <c r="N153" i="74"/>
  <c r="AA113" i="81"/>
  <c r="O59" i="85"/>
  <c r="Z137" i="81"/>
  <c r="N156" i="85"/>
  <c r="Z149" i="83"/>
  <c r="AB125" i="88"/>
  <c r="P126" i="85"/>
  <c r="N117" i="89"/>
  <c r="O106" i="83"/>
  <c r="AA69" i="74"/>
  <c r="P148" i="74"/>
  <c r="Z72" i="85"/>
  <c r="P128" i="90"/>
  <c r="Y135" i="83"/>
  <c r="N138" i="89"/>
  <c r="X137" i="83"/>
  <c r="O111" i="91"/>
  <c r="X145" i="83"/>
  <c r="X73" i="89"/>
  <c r="Z151" i="89"/>
  <c r="Z61" i="74"/>
  <c r="AB121" i="88"/>
  <c r="X27" i="93"/>
  <c r="X59" i="89"/>
  <c r="O142" i="85"/>
  <c r="Q157" i="83"/>
  <c r="X167" i="93"/>
  <c r="M35" i="94"/>
  <c r="Q99" i="74"/>
  <c r="Y92" i="84"/>
  <c r="P122" i="91"/>
  <c r="Z157" i="91"/>
  <c r="AA78" i="93"/>
  <c r="O100" i="81"/>
  <c r="Y88" i="74"/>
  <c r="O86" i="89"/>
  <c r="AB57" i="89"/>
  <c r="O63" i="91"/>
  <c r="Y97" i="89"/>
  <c r="AA108" i="94"/>
  <c r="Y11" i="92"/>
  <c r="P13" i="93"/>
  <c r="L84" i="84"/>
  <c r="P137" i="89"/>
  <c r="O59" i="74"/>
  <c r="Z75" i="83"/>
  <c r="AB127" i="81"/>
  <c r="X160" i="84"/>
  <c r="P170" i="91"/>
  <c r="Q55" i="81"/>
  <c r="AB145" i="89"/>
  <c r="AB169" i="91"/>
  <c r="P64" i="91"/>
  <c r="P121" i="90"/>
  <c r="AB131" i="81"/>
  <c r="O66" i="81"/>
  <c r="P163" i="90"/>
  <c r="AB92" i="87"/>
  <c r="M57" i="93"/>
  <c r="N126" i="89"/>
  <c r="AB166" i="83"/>
  <c r="AB80" i="87"/>
  <c r="O105" i="94"/>
  <c r="AA115" i="90"/>
  <c r="X29" i="83"/>
  <c r="AA156" i="85"/>
  <c r="N21" i="90"/>
  <c r="N144" i="94"/>
  <c r="AA94" i="89"/>
  <c r="P82" i="94"/>
  <c r="Y152" i="88"/>
  <c r="Q77" i="74"/>
  <c r="Z158" i="93"/>
  <c r="Q165" i="84"/>
  <c r="Z140" i="90"/>
  <c r="P156" i="83"/>
  <c r="Y146" i="88"/>
  <c r="P104" i="92"/>
  <c r="O165" i="90"/>
  <c r="Y27" i="87"/>
  <c r="X120" i="90"/>
  <c r="AB137" i="94"/>
  <c r="L164" i="90"/>
  <c r="Q139" i="83"/>
  <c r="P136" i="89"/>
  <c r="L103" i="88"/>
  <c r="Y99" i="82"/>
  <c r="AA77" i="92"/>
  <c r="P131" i="89"/>
  <c r="Z145" i="90"/>
  <c r="Q155" i="93"/>
  <c r="AB142" i="93"/>
  <c r="O25" i="91"/>
  <c r="Z23" i="89"/>
  <c r="Q125" i="74"/>
  <c r="Q144" i="82"/>
  <c r="P51" i="84"/>
  <c r="Y153" i="91"/>
  <c r="L139" i="92"/>
  <c r="P13" i="91"/>
  <c r="O163" i="91"/>
  <c r="X107" i="92"/>
  <c r="Z131" i="93"/>
  <c r="X98" i="93"/>
  <c r="N138" i="74"/>
  <c r="Y82" i="84"/>
  <c r="O112" i="93"/>
  <c r="L157" i="81"/>
  <c r="O68" i="82"/>
  <c r="O63" i="93"/>
  <c r="O73" i="82"/>
  <c r="P131" i="84"/>
  <c r="X129" i="74"/>
  <c r="Z115" i="92"/>
  <c r="X151" i="91"/>
  <c r="Q160" i="82"/>
  <c r="Q49" i="89"/>
  <c r="O128" i="84"/>
  <c r="AB73" i="92"/>
  <c r="AA100" i="91"/>
  <c r="Q43" i="74"/>
  <c r="Z163" i="88"/>
  <c r="AB29" i="84"/>
  <c r="Q156" i="90"/>
  <c r="X41" i="89"/>
  <c r="Y17" i="91"/>
  <c r="Z154" i="74"/>
  <c r="X35" i="87"/>
  <c r="AB126" i="94"/>
  <c r="AA153" i="92"/>
  <c r="L81" i="83"/>
  <c r="L83" i="93"/>
  <c r="O33" i="89"/>
  <c r="AB108" i="84"/>
  <c r="P151" i="91"/>
  <c r="O135" i="82"/>
  <c r="AA72" i="93"/>
  <c r="AB68" i="83"/>
  <c r="X13" i="81"/>
  <c r="P166" i="87"/>
  <c r="Y70" i="81"/>
  <c r="Z121" i="88"/>
  <c r="AA15" i="82"/>
  <c r="O77" i="94"/>
  <c r="P137" i="87"/>
  <c r="X144" i="90"/>
  <c r="AA114" i="81"/>
  <c r="Z23" i="87"/>
  <c r="Y150" i="81"/>
  <c r="Z128" i="90"/>
  <c r="L112" i="82"/>
  <c r="Q37" i="93"/>
  <c r="Y159" i="81"/>
  <c r="L100" i="83"/>
  <c r="Y64" i="91"/>
  <c r="AB150" i="81"/>
  <c r="M15" i="92"/>
  <c r="Q71" i="83"/>
  <c r="X17" i="85"/>
  <c r="X77" i="91"/>
  <c r="AA79" i="93"/>
  <c r="AB92" i="90"/>
  <c r="Q122" i="85"/>
  <c r="Z149" i="88"/>
  <c r="AA85" i="74"/>
  <c r="Y100" i="82"/>
  <c r="AA115" i="74"/>
  <c r="Y71" i="85"/>
  <c r="P15" i="84"/>
  <c r="Y147" i="74"/>
  <c r="Y66" i="85"/>
  <c r="X111" i="87"/>
  <c r="L80" i="89"/>
  <c r="L83" i="94"/>
  <c r="P90" i="84"/>
  <c r="AA129" i="90"/>
  <c r="L160" i="90"/>
  <c r="AA152" i="94"/>
  <c r="X155" i="82"/>
  <c r="AA153" i="85"/>
  <c r="Y135" i="91"/>
  <c r="O145" i="94"/>
  <c r="N129" i="87"/>
  <c r="Y67" i="81"/>
  <c r="P135" i="84"/>
  <c r="AB101" i="93"/>
  <c r="Q147" i="83"/>
  <c r="Y145" i="89"/>
  <c r="O74" i="90"/>
  <c r="Z63" i="93"/>
  <c r="O61" i="84"/>
  <c r="Y151" i="87"/>
  <c r="N138" i="84"/>
  <c r="AB9" i="94"/>
  <c r="P73" i="74"/>
  <c r="AA138" i="87"/>
  <c r="Q76" i="89"/>
  <c r="Z141" i="89"/>
  <c r="Z70" i="84"/>
  <c r="AA31" i="81"/>
  <c r="Y152" i="82"/>
  <c r="Z98" i="83"/>
  <c r="AB79" i="89"/>
  <c r="O35" i="85"/>
  <c r="P153" i="87"/>
  <c r="L141" i="81"/>
  <c r="X128" i="74"/>
  <c r="Z94" i="87"/>
  <c r="X82" i="87"/>
  <c r="Z133" i="87"/>
  <c r="AB128" i="91"/>
  <c r="P135" i="92"/>
  <c r="P101" i="83"/>
  <c r="X111" i="92"/>
  <c r="P91" i="91"/>
  <c r="AB97" i="87"/>
  <c r="Q86" i="85"/>
  <c r="Y155" i="92"/>
  <c r="X165" i="93"/>
  <c r="AA15" i="92"/>
  <c r="N27" i="94"/>
  <c r="Z115" i="90"/>
  <c r="P11" i="92"/>
  <c r="X93" i="88"/>
  <c r="Z145" i="94"/>
  <c r="Y104" i="89"/>
  <c r="M55" i="91"/>
  <c r="O98" i="90"/>
  <c r="O109" i="94"/>
  <c r="Y144" i="89"/>
  <c r="Z93" i="91"/>
  <c r="O66" i="87"/>
  <c r="AB126" i="90"/>
  <c r="P101" i="90"/>
  <c r="L82" i="91"/>
  <c r="AA149" i="94"/>
  <c r="Z45" i="85"/>
  <c r="AB43" i="84"/>
  <c r="O13" i="92"/>
  <c r="Q107" i="84"/>
  <c r="AB31" i="81"/>
  <c r="AA121" i="87"/>
  <c r="AB81" i="81"/>
  <c r="P73" i="91"/>
  <c r="M9" i="90"/>
  <c r="AB125" i="74"/>
  <c r="Z79" i="87"/>
  <c r="P131" i="88"/>
  <c r="P88" i="84"/>
  <c r="Y138" i="83"/>
  <c r="Q110" i="84"/>
  <c r="Z21" i="74"/>
  <c r="Z100" i="84"/>
  <c r="L154" i="94"/>
  <c r="M37" i="93"/>
  <c r="Z9" i="90"/>
  <c r="O167" i="92"/>
  <c r="X9" i="85"/>
  <c r="AA41" i="83"/>
  <c r="Y118" i="87"/>
  <c r="P132" i="91"/>
  <c r="Q153" i="82"/>
  <c r="X59" i="74"/>
  <c r="Q113" i="84"/>
  <c r="P150" i="74"/>
  <c r="M29" i="93"/>
  <c r="AB9" i="83"/>
  <c r="X11" i="93"/>
  <c r="Q151" i="82"/>
  <c r="AB167" i="93"/>
  <c r="L82" i="87"/>
  <c r="O127" i="81"/>
  <c r="P148" i="87"/>
  <c r="P69" i="93"/>
  <c r="Y144" i="81"/>
  <c r="Y96" i="89"/>
  <c r="AB139" i="84"/>
  <c r="X82" i="81"/>
  <c r="AB102" i="85"/>
  <c r="X69" i="87"/>
  <c r="L140" i="74"/>
  <c r="O49" i="89"/>
  <c r="Z63" i="92"/>
  <c r="O88" i="94"/>
  <c r="L162" i="89"/>
  <c r="P104" i="83"/>
  <c r="AB78" i="94"/>
  <c r="X87" i="89"/>
  <c r="AA155" i="83"/>
  <c r="O59" i="94"/>
  <c r="O149" i="85"/>
  <c r="Z77" i="82"/>
  <c r="Z121" i="92"/>
  <c r="Q37" i="90"/>
  <c r="AA124" i="93"/>
  <c r="Z141" i="74"/>
  <c r="N90" i="81"/>
  <c r="O19" i="87"/>
  <c r="L95" i="85"/>
  <c r="X84" i="94"/>
  <c r="AA97" i="88"/>
  <c r="O84" i="90"/>
  <c r="Z142" i="74"/>
  <c r="X81" i="82"/>
  <c r="O39" i="81"/>
  <c r="AB17" i="83"/>
  <c r="AB160" i="94"/>
  <c r="L90" i="74"/>
  <c r="O35" i="88"/>
  <c r="AA150" i="81"/>
  <c r="Z111" i="87"/>
  <c r="Q162" i="91"/>
  <c r="Q149" i="93"/>
  <c r="L94" i="81"/>
  <c r="O55" i="88"/>
  <c r="Y66" i="88"/>
  <c r="Q70" i="91"/>
  <c r="M59" i="85"/>
  <c r="AA23" i="90"/>
  <c r="Q86" i="89"/>
  <c r="O135" i="89"/>
  <c r="P80" i="83"/>
  <c r="P77" i="74"/>
  <c r="N93" i="87"/>
  <c r="AB74" i="91"/>
  <c r="O107" i="91"/>
  <c r="Q39" i="87"/>
  <c r="Y72" i="89"/>
  <c r="AB37" i="91"/>
  <c r="Y132" i="94"/>
  <c r="Y75" i="85"/>
  <c r="Y15" i="87"/>
  <c r="Z51" i="93"/>
  <c r="X134" i="89"/>
  <c r="O91" i="92"/>
  <c r="P99" i="93"/>
  <c r="AB86" i="92"/>
  <c r="O63" i="85"/>
  <c r="M31" i="85"/>
  <c r="Q25" i="88"/>
  <c r="AB146" i="92"/>
  <c r="M19" i="93"/>
  <c r="AB148" i="74"/>
  <c r="O9" i="83"/>
  <c r="AB130" i="92"/>
  <c r="AB78" i="88"/>
  <c r="AB106" i="94"/>
  <c r="AB160" i="88"/>
  <c r="P163" i="87"/>
  <c r="P37" i="88"/>
  <c r="Z153" i="89"/>
  <c r="AA17" i="93"/>
  <c r="Q37" i="88"/>
  <c r="O29" i="92"/>
  <c r="Z133" i="84"/>
  <c r="L150" i="83"/>
  <c r="X76" i="89"/>
  <c r="AB157" i="89"/>
  <c r="Q132" i="92"/>
  <c r="P132" i="83"/>
  <c r="O112" i="88"/>
  <c r="Z137" i="87"/>
  <c r="X74" i="84"/>
  <c r="Q155" i="90"/>
  <c r="P96" i="87"/>
  <c r="Z99" i="94"/>
  <c r="M21" i="92"/>
  <c r="AA79" i="92"/>
  <c r="N123" i="82"/>
  <c r="O130" i="90"/>
  <c r="L124" i="81"/>
  <c r="L134" i="82"/>
  <c r="AA165" i="87"/>
  <c r="AA69" i="85"/>
  <c r="L150" i="89"/>
  <c r="AA112" i="91"/>
  <c r="Z128" i="91"/>
  <c r="O11" i="84"/>
  <c r="L122" i="85"/>
  <c r="X136" i="93"/>
  <c r="L85" i="91"/>
  <c r="AB146" i="83"/>
  <c r="P138" i="92"/>
  <c r="Z157" i="88"/>
  <c r="N117" i="84"/>
  <c r="P41" i="85"/>
  <c r="AA79" i="94"/>
  <c r="Z77" i="88"/>
  <c r="N144" i="81"/>
  <c r="X106" i="83"/>
  <c r="Z72" i="88"/>
  <c r="Z104" i="88"/>
  <c r="O70" i="91"/>
  <c r="Z164" i="89"/>
  <c r="AA72" i="94"/>
  <c r="P80" i="89"/>
  <c r="Y124" i="81"/>
  <c r="Z137" i="91"/>
  <c r="P94" i="85"/>
  <c r="L140" i="85"/>
  <c r="AA100" i="83"/>
  <c r="M37" i="94"/>
  <c r="AA97" i="93"/>
  <c r="P81" i="84"/>
  <c r="X65" i="93"/>
  <c r="Z125" i="93"/>
  <c r="P144" i="84"/>
  <c r="Q157" i="87"/>
  <c r="AB164" i="94"/>
  <c r="Y31" i="89"/>
  <c r="P104" i="91"/>
  <c r="Z151" i="94"/>
  <c r="P166" i="91"/>
  <c r="AB84" i="81"/>
  <c r="P138" i="84"/>
  <c r="L153" i="89"/>
  <c r="O146" i="74"/>
  <c r="AA37" i="87"/>
  <c r="N75" i="93"/>
  <c r="P139" i="85"/>
  <c r="O35" i="94"/>
  <c r="AB11" i="92"/>
  <c r="AA129" i="87"/>
  <c r="AB138" i="84"/>
  <c r="Z63" i="85"/>
  <c r="AB31" i="87"/>
  <c r="Z29" i="84"/>
  <c r="O80" i="87"/>
  <c r="Y83" i="81"/>
  <c r="O103" i="85"/>
  <c r="AA122" i="81"/>
  <c r="L78" i="81"/>
  <c r="Q158" i="85"/>
  <c r="Y120" i="84"/>
  <c r="P84" i="88"/>
  <c r="O135" i="74"/>
  <c r="Q47" i="92"/>
  <c r="AA55" i="94"/>
  <c r="O149" i="94"/>
  <c r="Y96" i="92"/>
  <c r="Y154" i="82"/>
  <c r="Z80" i="82"/>
  <c r="X47" i="85"/>
  <c r="AA118" i="74"/>
  <c r="L152" i="74"/>
  <c r="X81" i="92"/>
  <c r="O163" i="85"/>
  <c r="X137" i="92"/>
  <c r="Y25" i="74"/>
  <c r="Y150" i="88"/>
  <c r="Q101" i="85"/>
  <c r="O41" i="82"/>
  <c r="O131" i="82"/>
  <c r="AB17" i="81"/>
  <c r="P155" i="74"/>
  <c r="P136" i="88"/>
  <c r="AB82" i="93"/>
  <c r="Z19" i="92"/>
  <c r="Q110" i="87"/>
  <c r="X158" i="83"/>
  <c r="Y144" i="94"/>
  <c r="X118" i="94"/>
  <c r="Y15" i="81"/>
  <c r="AB82" i="91"/>
  <c r="M43" i="94"/>
  <c r="AA79" i="88"/>
  <c r="P76" i="92"/>
  <c r="O136" i="85"/>
  <c r="Y105" i="92"/>
  <c r="O9" i="87"/>
  <c r="Q19" i="91"/>
  <c r="O139" i="88"/>
  <c r="Y43" i="90"/>
  <c r="L145" i="85"/>
  <c r="X15" i="85"/>
  <c r="L156" i="89"/>
  <c r="P43" i="91"/>
  <c r="P79" i="93"/>
  <c r="P164" i="89"/>
  <c r="X17" i="84"/>
  <c r="AA86" i="84"/>
  <c r="P59" i="92"/>
  <c r="AA142" i="74"/>
  <c r="X87" i="94"/>
  <c r="X150" i="93"/>
  <c r="L156" i="81"/>
  <c r="Q146" i="94"/>
  <c r="AB154" i="91"/>
  <c r="X121" i="85"/>
  <c r="AA83" i="93"/>
  <c r="Y136" i="93"/>
  <c r="AA121" i="88"/>
  <c r="O132" i="94"/>
  <c r="Z144" i="74"/>
  <c r="AA107" i="89"/>
  <c r="L72" i="74"/>
  <c r="Z11" i="74"/>
  <c r="N15" i="89"/>
  <c r="P116" i="94"/>
  <c r="L93" i="90"/>
  <c r="L149" i="74"/>
  <c r="X167" i="82"/>
  <c r="M35" i="82"/>
  <c r="Z112" i="93"/>
  <c r="Z125" i="90"/>
  <c r="Q131" i="92"/>
  <c r="Q100" i="88"/>
  <c r="Z19" i="89"/>
  <c r="AA11" i="89"/>
  <c r="AA160" i="85"/>
  <c r="Y110" i="81"/>
  <c r="AB86" i="94"/>
  <c r="L66" i="94"/>
  <c r="Q165" i="92"/>
  <c r="P11" i="91"/>
  <c r="AB17" i="84"/>
  <c r="X13" i="89"/>
  <c r="Q98" i="85"/>
  <c r="Z70" i="92"/>
  <c r="X75" i="87"/>
  <c r="Y166" i="88"/>
  <c r="AB134" i="74"/>
  <c r="Q9" i="74"/>
  <c r="Z82" i="91"/>
  <c r="O102" i="81"/>
  <c r="L137" i="90"/>
  <c r="X124" i="90"/>
  <c r="AB152" i="85"/>
  <c r="P153" i="74"/>
  <c r="O91" i="74"/>
  <c r="AA74" i="87"/>
  <c r="Z82" i="93"/>
  <c r="Y111" i="87"/>
  <c r="M15" i="84"/>
  <c r="O9" i="93"/>
  <c r="AA98" i="82"/>
  <c r="X17" i="88"/>
  <c r="AB82" i="82"/>
  <c r="Y154" i="93"/>
  <c r="L136" i="87"/>
  <c r="Z86" i="88"/>
  <c r="Z160" i="89"/>
  <c r="X127" i="74"/>
  <c r="O41" i="74"/>
  <c r="X64" i="85"/>
  <c r="X134" i="85"/>
  <c r="X120" i="91"/>
  <c r="X47" i="82"/>
  <c r="O81" i="85"/>
  <c r="N123" i="84"/>
  <c r="AA74" i="88"/>
  <c r="AA151" i="90"/>
  <c r="Q83" i="93"/>
  <c r="AB147" i="83"/>
  <c r="Y108" i="74"/>
  <c r="Z73" i="91"/>
  <c r="X76" i="87"/>
  <c r="Y84" i="85"/>
  <c r="P59" i="74"/>
  <c r="AB13" i="89"/>
  <c r="O110" i="74"/>
  <c r="X81" i="93"/>
  <c r="X144" i="93"/>
  <c r="Y77" i="92"/>
  <c r="AA90" i="87"/>
  <c r="P37" i="83"/>
  <c r="Z132" i="87"/>
  <c r="O63" i="81"/>
  <c r="P95" i="88"/>
  <c r="Y75" i="74"/>
  <c r="N69" i="83"/>
  <c r="AA101" i="91"/>
  <c r="AA70" i="94"/>
  <c r="P19" i="81"/>
  <c r="Z158" i="89"/>
  <c r="Y143" i="85"/>
  <c r="O113" i="74"/>
  <c r="O145" i="74"/>
  <c r="Q153" i="83"/>
  <c r="AB111" i="89"/>
  <c r="AA143" i="93"/>
  <c r="M45" i="93"/>
  <c r="P39" i="85"/>
  <c r="Y80" i="94"/>
  <c r="AA9" i="83"/>
  <c r="O63" i="74"/>
  <c r="P133" i="74"/>
  <c r="AB23" i="74"/>
  <c r="P77" i="82"/>
  <c r="X141" i="89"/>
  <c r="Q84" i="85"/>
  <c r="AB138" i="91"/>
  <c r="Y81" i="92"/>
  <c r="AB33" i="87"/>
  <c r="Q55" i="89"/>
  <c r="O147" i="90"/>
  <c r="Y23" i="93"/>
  <c r="Z110" i="89"/>
  <c r="O117" i="92"/>
  <c r="AB89" i="82"/>
  <c r="AB78" i="92"/>
  <c r="X131" i="87"/>
  <c r="N111" i="88"/>
  <c r="Y72" i="90"/>
  <c r="X78" i="94"/>
  <c r="Q157" i="81"/>
  <c r="AA11" i="91"/>
  <c r="Z37" i="85"/>
  <c r="Y154" i="87"/>
  <c r="M29" i="83"/>
  <c r="Q109" i="90"/>
  <c r="AB95" i="88"/>
  <c r="AA146" i="81"/>
  <c r="Y147" i="89"/>
  <c r="P152" i="83"/>
  <c r="O19" i="89"/>
  <c r="Y138" i="92"/>
  <c r="X156" i="94"/>
  <c r="Y43" i="87"/>
  <c r="AA93" i="91"/>
  <c r="Y138" i="74"/>
  <c r="AB69" i="83"/>
  <c r="Y169" i="91"/>
  <c r="P15" i="94"/>
  <c r="O155" i="84"/>
  <c r="Y9" i="83"/>
  <c r="O134" i="87"/>
  <c r="X164" i="83"/>
  <c r="O103" i="81"/>
  <c r="AB79" i="92"/>
  <c r="AB114" i="90"/>
  <c r="Z144" i="91"/>
  <c r="Y134" i="85"/>
  <c r="O43" i="94"/>
  <c r="L158" i="83"/>
  <c r="Q15" i="93"/>
  <c r="X91" i="90"/>
  <c r="AA31" i="83"/>
  <c r="AB67" i="83"/>
  <c r="O151" i="84"/>
  <c r="AB79" i="88"/>
  <c r="L100" i="74"/>
  <c r="P115" i="82"/>
  <c r="Y76" i="81"/>
  <c r="L67" i="81"/>
  <c r="O143" i="90"/>
  <c r="AA21" i="89"/>
  <c r="Y47" i="81"/>
  <c r="P59" i="94"/>
  <c r="Y41" i="93"/>
  <c r="Y156" i="87"/>
  <c r="Y148" i="93"/>
  <c r="AA29" i="93"/>
  <c r="X156" i="81"/>
  <c r="O74" i="91"/>
  <c r="Q123" i="74"/>
  <c r="O71" i="91"/>
  <c r="Z139" i="83"/>
  <c r="X29" i="94"/>
  <c r="N27" i="74"/>
  <c r="Z162" i="88"/>
  <c r="P99" i="85"/>
  <c r="O156" i="82"/>
  <c r="X147" i="89"/>
  <c r="P75" i="83"/>
  <c r="Q25" i="90"/>
  <c r="P148" i="84"/>
  <c r="Z122" i="85"/>
  <c r="AB159" i="74"/>
  <c r="AA167" i="83"/>
  <c r="AB85" i="91"/>
  <c r="Y93" i="90"/>
  <c r="AA160" i="74"/>
  <c r="AA158" i="81"/>
  <c r="P133" i="88"/>
  <c r="Q15" i="83"/>
  <c r="L75" i="81"/>
  <c r="Y83" i="94"/>
  <c r="X75" i="94"/>
  <c r="AA70" i="87"/>
  <c r="L82" i="92"/>
  <c r="N156" i="74"/>
  <c r="X151" i="87"/>
  <c r="Q71" i="92"/>
  <c r="Z79" i="81"/>
  <c r="Y80" i="93"/>
  <c r="O114" i="92"/>
  <c r="M21" i="89"/>
  <c r="O85" i="93"/>
  <c r="O128" i="92"/>
  <c r="Z129" i="74"/>
  <c r="AB133" i="93"/>
  <c r="Y47" i="85"/>
  <c r="P79" i="84"/>
  <c r="L79" i="88"/>
  <c r="P72" i="89"/>
  <c r="AB137" i="74"/>
  <c r="Z82" i="94"/>
  <c r="O147" i="87"/>
  <c r="Z135" i="88"/>
  <c r="L122" i="91"/>
  <c r="AB151" i="90"/>
  <c r="P61" i="81"/>
  <c r="X147" i="92"/>
  <c r="Z19" i="91"/>
  <c r="P131" i="81"/>
  <c r="Z140" i="89"/>
  <c r="Z103" i="94"/>
  <c r="AB129" i="74"/>
  <c r="Z155" i="93"/>
  <c r="L122" i="87"/>
  <c r="P121" i="74"/>
  <c r="P109" i="93"/>
  <c r="AA144" i="74"/>
  <c r="AB161" i="88"/>
  <c r="N159" i="93"/>
  <c r="P125" i="85"/>
  <c r="Z133" i="93"/>
  <c r="L160" i="83"/>
  <c r="Z74" i="93"/>
  <c r="O71" i="93"/>
  <c r="AB49" i="87"/>
  <c r="Y130" i="94"/>
  <c r="X13" i="85"/>
  <c r="X85" i="90"/>
  <c r="Q93" i="92"/>
  <c r="AA130" i="89"/>
  <c r="X37" i="83"/>
  <c r="X96" i="82"/>
  <c r="Q140" i="74"/>
  <c r="O83" i="93"/>
  <c r="Z126" i="94"/>
  <c r="X108" i="87"/>
  <c r="O110" i="83"/>
  <c r="Z131" i="83"/>
  <c r="AA113" i="82"/>
  <c r="Z21" i="92"/>
  <c r="O119" i="84"/>
  <c r="O102" i="83"/>
  <c r="AB159" i="87"/>
  <c r="P147" i="92"/>
  <c r="Q142" i="87"/>
  <c r="P100" i="91"/>
  <c r="AB122" i="88"/>
  <c r="O153" i="90"/>
  <c r="N165" i="94"/>
  <c r="X135" i="94"/>
  <c r="X133" i="84"/>
  <c r="Q92" i="81"/>
  <c r="M11" i="82"/>
  <c r="AB69" i="82"/>
  <c r="N9" i="89"/>
  <c r="P69" i="92"/>
  <c r="Y121" i="92"/>
  <c r="Z55" i="94"/>
  <c r="AB123" i="81"/>
  <c r="L76" i="91"/>
  <c r="O156" i="84"/>
  <c r="O82" i="91"/>
  <c r="O13" i="84"/>
  <c r="Q49" i="82"/>
  <c r="Q160" i="93"/>
  <c r="Q39" i="82"/>
  <c r="Y156" i="74"/>
  <c r="Q148" i="82"/>
  <c r="Q105" i="94"/>
  <c r="O148" i="92"/>
  <c r="AB145" i="82"/>
  <c r="N156" i="81"/>
  <c r="X104" i="94"/>
  <c r="AA109" i="90"/>
  <c r="Y121" i="82"/>
  <c r="O63" i="92"/>
  <c r="Q83" i="85"/>
  <c r="Y140" i="90"/>
  <c r="N150" i="90"/>
  <c r="X78" i="82"/>
  <c r="X41" i="83"/>
  <c r="P74" i="88"/>
  <c r="Z27" i="82"/>
  <c r="AA118" i="90"/>
  <c r="Z127" i="93"/>
  <c r="P134" i="82"/>
  <c r="Q112" i="83"/>
  <c r="Y23" i="74"/>
  <c r="L66" i="87"/>
  <c r="L71" i="88"/>
  <c r="P134" i="81"/>
  <c r="O83" i="89"/>
  <c r="O72" i="93"/>
  <c r="Q77" i="92"/>
  <c r="Y113" i="94"/>
  <c r="AB124" i="81"/>
  <c r="P137" i="88"/>
  <c r="L115" i="88"/>
  <c r="Y132" i="83"/>
  <c r="Z53" i="89"/>
  <c r="Q17" i="82"/>
  <c r="L144" i="87"/>
  <c r="Z161" i="74"/>
  <c r="X43" i="81"/>
  <c r="Y85" i="94"/>
  <c r="Y130" i="89"/>
  <c r="AB157" i="88"/>
  <c r="O162" i="91"/>
  <c r="O96" i="92"/>
  <c r="L141" i="93"/>
  <c r="Y27" i="81"/>
  <c r="O136" i="91"/>
  <c r="Q142" i="89"/>
  <c r="Y100" i="83"/>
  <c r="X27" i="92"/>
  <c r="O71" i="85"/>
  <c r="AB74" i="94"/>
  <c r="Q67" i="88"/>
  <c r="Y141" i="88"/>
  <c r="X81" i="88"/>
  <c r="AA77" i="94"/>
  <c r="Z107" i="84"/>
  <c r="Y47" i="89"/>
  <c r="P99" i="91"/>
  <c r="P17" i="82"/>
  <c r="Y112" i="92"/>
  <c r="O79" i="87"/>
  <c r="N78" i="83"/>
  <c r="O152" i="81"/>
  <c r="M55" i="88"/>
  <c r="P96" i="90"/>
  <c r="Q97" i="90"/>
  <c r="AA85" i="92"/>
  <c r="M31" i="92"/>
  <c r="P159" i="84"/>
  <c r="Z19" i="85"/>
  <c r="Z13" i="88"/>
  <c r="L152" i="81"/>
  <c r="P17" i="84"/>
  <c r="Q135" i="84"/>
  <c r="Y133" i="74"/>
  <c r="L140" i="89"/>
  <c r="Z132" i="90"/>
  <c r="AB161" i="81"/>
  <c r="O151" i="85"/>
  <c r="P145" i="90"/>
  <c r="Y70" i="91"/>
  <c r="O157" i="82"/>
  <c r="O76" i="89"/>
  <c r="Z86" i="94"/>
  <c r="AB74" i="81"/>
  <c r="Z159" i="74"/>
  <c r="P138" i="94"/>
  <c r="Y61" i="93"/>
  <c r="Y112" i="88"/>
  <c r="P140" i="94"/>
  <c r="P31" i="82"/>
  <c r="X163" i="92"/>
  <c r="AB124" i="87"/>
  <c r="X112" i="88"/>
  <c r="Z9" i="81"/>
  <c r="P136" i="93"/>
  <c r="O134" i="92"/>
  <c r="AB72" i="85"/>
  <c r="L152" i="94"/>
  <c r="L100" i="85"/>
  <c r="AA59" i="82"/>
  <c r="L83" i="90"/>
  <c r="P71" i="89"/>
  <c r="AB74" i="93"/>
  <c r="Y127" i="82"/>
  <c r="L75" i="91"/>
  <c r="O161" i="84"/>
  <c r="Y29" i="87"/>
  <c r="N78" i="85"/>
  <c r="AB153" i="87"/>
  <c r="Q147" i="84"/>
  <c r="X13" i="82"/>
  <c r="P86" i="93"/>
  <c r="Y141" i="90"/>
  <c r="Y107" i="82"/>
  <c r="X156" i="91"/>
  <c r="N105" i="89"/>
  <c r="N150" i="74"/>
  <c r="AB160" i="93"/>
  <c r="P85" i="85"/>
  <c r="P110" i="84"/>
  <c r="X51" i="92"/>
  <c r="X150" i="87"/>
  <c r="AB65" i="92"/>
  <c r="Z76" i="82"/>
  <c r="O133" i="90"/>
  <c r="L98" i="87"/>
  <c r="N99" i="85"/>
  <c r="N138" i="90"/>
  <c r="L131" i="82"/>
  <c r="P72" i="82"/>
  <c r="AA153" i="84"/>
  <c r="O11" i="88"/>
  <c r="AB163" i="74"/>
  <c r="Z99" i="93"/>
  <c r="P96" i="88"/>
  <c r="O120" i="85"/>
  <c r="AB150" i="74"/>
  <c r="Q15" i="90"/>
  <c r="Q161" i="84"/>
  <c r="P142" i="90"/>
  <c r="P145" i="83"/>
  <c r="O17" i="93"/>
  <c r="L149" i="89"/>
  <c r="X115" i="81"/>
  <c r="X94" i="84"/>
  <c r="L137" i="93"/>
  <c r="Q166" i="89"/>
  <c r="P129" i="92"/>
  <c r="AB23" i="85"/>
  <c r="Q138" i="82"/>
  <c r="Q108" i="92"/>
  <c r="X59" i="83"/>
  <c r="L151" i="94"/>
  <c r="AA105" i="90"/>
  <c r="P141" i="87"/>
  <c r="AA149" i="74"/>
  <c r="Y83" i="93"/>
  <c r="Q135" i="89"/>
  <c r="Q64" i="88"/>
  <c r="Y102" i="81"/>
  <c r="AB67" i="82"/>
  <c r="O43" i="92"/>
  <c r="Z144" i="81"/>
  <c r="Y152" i="89"/>
  <c r="N63" i="93"/>
  <c r="Q105" i="83"/>
  <c r="Z21" i="85"/>
  <c r="AA80" i="85"/>
  <c r="AB103" i="90"/>
  <c r="X19" i="89"/>
  <c r="Q154" i="93"/>
  <c r="N9" i="83"/>
  <c r="P23" i="90"/>
  <c r="O157" i="85"/>
  <c r="M29" i="91"/>
  <c r="P76" i="85"/>
  <c r="O96" i="84"/>
  <c r="P142" i="92"/>
  <c r="O161" i="92"/>
  <c r="P160" i="94"/>
  <c r="P87" i="87"/>
  <c r="X105" i="83"/>
  <c r="AB77" i="87"/>
  <c r="X88" i="74"/>
  <c r="Q129" i="87"/>
  <c r="Q27" i="84"/>
  <c r="Z27" i="84"/>
  <c r="O106" i="81"/>
  <c r="Z163" i="85"/>
  <c r="AA158" i="89"/>
  <c r="AA147" i="85"/>
  <c r="P153" i="90"/>
  <c r="P86" i="74"/>
  <c r="Z147" i="91"/>
  <c r="M19" i="89"/>
  <c r="N159" i="81"/>
  <c r="Y115" i="74"/>
  <c r="Z143" i="88"/>
  <c r="L76" i="87"/>
  <c r="Z112" i="81"/>
  <c r="P87" i="85"/>
  <c r="O105" i="81"/>
  <c r="Z143" i="89"/>
  <c r="N108" i="81"/>
  <c r="X112" i="82"/>
  <c r="L71" i="91"/>
  <c r="Z75" i="88"/>
  <c r="Q43" i="84"/>
  <c r="Q143" i="74"/>
  <c r="M21" i="93"/>
  <c r="Y159" i="89"/>
  <c r="O124" i="91"/>
  <c r="AA139" i="74"/>
  <c r="O97" i="87"/>
  <c r="X149" i="88"/>
  <c r="N51" i="81"/>
  <c r="P124" i="88"/>
  <c r="Z134" i="82"/>
  <c r="Z13" i="81"/>
  <c r="Z113" i="94"/>
  <c r="M59" i="82"/>
  <c r="AB133" i="83"/>
  <c r="Z136" i="83"/>
  <c r="M61" i="92"/>
  <c r="Q86" i="92"/>
  <c r="AB149" i="84"/>
  <c r="Y161" i="83"/>
  <c r="L70" i="88"/>
  <c r="Q98" i="90"/>
  <c r="Q110" i="92"/>
  <c r="X33" i="90"/>
  <c r="P13" i="87"/>
  <c r="AA118" i="84"/>
  <c r="Q76" i="87"/>
  <c r="O153" i="82"/>
  <c r="AA31" i="88"/>
  <c r="Y156" i="90"/>
  <c r="O66" i="88"/>
  <c r="Q55" i="82"/>
  <c r="Q33" i="85"/>
  <c r="Y101" i="87"/>
  <c r="O147" i="82"/>
  <c r="AB101" i="88"/>
  <c r="P69" i="94"/>
  <c r="AA102" i="90"/>
  <c r="O113" i="91"/>
  <c r="P49" i="89"/>
  <c r="Y120" i="94"/>
  <c r="Q149" i="83"/>
  <c r="P149" i="87"/>
  <c r="L115" i="89"/>
  <c r="P134" i="88"/>
  <c r="P159" i="74"/>
  <c r="L72" i="93"/>
  <c r="Y165" i="85"/>
  <c r="X57" i="93"/>
  <c r="Q163" i="84"/>
  <c r="O83" i="94"/>
  <c r="P112" i="89"/>
  <c r="AB141" i="74"/>
  <c r="AB33" i="91"/>
  <c r="P49" i="84"/>
  <c r="X21" i="89"/>
  <c r="AA148" i="88"/>
  <c r="AA31" i="92"/>
  <c r="AB21" i="85"/>
  <c r="L127" i="74"/>
  <c r="Q13" i="90"/>
  <c r="L138" i="93"/>
  <c r="X139" i="88"/>
  <c r="Q11" i="82"/>
  <c r="Q150" i="84"/>
  <c r="Z105" i="90"/>
  <c r="P82" i="88"/>
  <c r="L68" i="93"/>
  <c r="O101" i="91"/>
  <c r="O162" i="88"/>
  <c r="P71" i="93"/>
  <c r="X121" i="87"/>
  <c r="L70" i="92"/>
  <c r="Z116" i="84"/>
  <c r="O84" i="92"/>
  <c r="AB134" i="81"/>
  <c r="AA113" i="92"/>
  <c r="Q134" i="92"/>
  <c r="P80" i="88"/>
  <c r="L88" i="89"/>
  <c r="AA49" i="87"/>
  <c r="AA71" i="81"/>
  <c r="Q137" i="81"/>
  <c r="Q100" i="91"/>
  <c r="X69" i="85"/>
  <c r="Z77" i="93"/>
  <c r="AA99" i="87"/>
  <c r="L112" i="90"/>
  <c r="AB13" i="88"/>
  <c r="O71" i="87"/>
  <c r="P119" i="82"/>
  <c r="X81" i="94"/>
  <c r="AB11" i="81"/>
  <c r="L95" i="84"/>
  <c r="Y68" i="94"/>
  <c r="N63" i="81"/>
  <c r="O154" i="84"/>
  <c r="AB83" i="88"/>
  <c r="O158" i="84"/>
  <c r="AA131" i="88"/>
  <c r="P94" i="82"/>
  <c r="X119" i="84"/>
  <c r="AB97" i="84"/>
  <c r="O19" i="93"/>
  <c r="Z121" i="82"/>
  <c r="AA76" i="87"/>
  <c r="P130" i="90"/>
  <c r="L148" i="90"/>
  <c r="Q76" i="88"/>
  <c r="O37" i="81"/>
  <c r="AA13" i="91"/>
  <c r="O100" i="82"/>
  <c r="P157" i="84"/>
  <c r="X78" i="92"/>
  <c r="M47" i="93"/>
  <c r="Y151" i="94"/>
  <c r="P124" i="74"/>
  <c r="X123" i="81"/>
  <c r="AB15" i="87"/>
  <c r="Y162" i="83"/>
  <c r="Y76" i="93"/>
  <c r="AB71" i="88"/>
  <c r="O114" i="74"/>
  <c r="L163" i="81"/>
  <c r="AB161" i="94"/>
  <c r="AA71" i="91"/>
  <c r="M13" i="93"/>
  <c r="Q85" i="87"/>
  <c r="Q145" i="74"/>
  <c r="Y134" i="84"/>
  <c r="Y131" i="82"/>
  <c r="AB109" i="92"/>
  <c r="Z128" i="83"/>
  <c r="P78" i="82"/>
  <c r="Z74" i="92"/>
  <c r="P131" i="92"/>
  <c r="Z154" i="83"/>
  <c r="Q31" i="81"/>
  <c r="O98" i="87"/>
  <c r="O55" i="87"/>
  <c r="AA19" i="82"/>
  <c r="Y69" i="82"/>
  <c r="L145" i="81"/>
  <c r="Z135" i="85"/>
  <c r="Z71" i="74"/>
  <c r="P73" i="90"/>
  <c r="X152" i="92"/>
  <c r="AB81" i="85"/>
  <c r="AA147" i="74"/>
  <c r="M23" i="88"/>
  <c r="Y112" i="81"/>
  <c r="X98" i="82"/>
  <c r="Q101" i="83"/>
  <c r="Q154" i="82"/>
  <c r="N150" i="92"/>
  <c r="O142" i="82"/>
  <c r="AB47" i="92"/>
  <c r="X83" i="84"/>
  <c r="L150" i="93"/>
  <c r="AB83" i="84"/>
  <c r="AA85" i="84"/>
  <c r="N69" i="89"/>
  <c r="Z135" i="89"/>
  <c r="X15" i="89"/>
  <c r="AB156" i="81"/>
  <c r="AB21" i="91"/>
  <c r="AA111" i="84"/>
  <c r="P112" i="88"/>
  <c r="O156" i="88"/>
  <c r="AB110" i="74"/>
  <c r="Z159" i="91"/>
  <c r="L155" i="88"/>
  <c r="L113" i="88"/>
  <c r="O83" i="84"/>
  <c r="Q76" i="92"/>
  <c r="L139" i="87"/>
  <c r="AA158" i="93"/>
  <c r="L148" i="93"/>
  <c r="Y158" i="74"/>
  <c r="N153" i="83"/>
  <c r="X76" i="91"/>
  <c r="Z76" i="89"/>
  <c r="Q21" i="89"/>
  <c r="Q148" i="89"/>
  <c r="Z118" i="90"/>
  <c r="Q90" i="84"/>
  <c r="Y78" i="90"/>
  <c r="AA69" i="94"/>
  <c r="Y81" i="74"/>
  <c r="P148" i="92"/>
  <c r="L121" i="74"/>
  <c r="Y112" i="85"/>
  <c r="M53" i="94"/>
  <c r="Y136" i="84"/>
  <c r="X141" i="88"/>
  <c r="AA128" i="87"/>
  <c r="AB64" i="82"/>
  <c r="N132" i="85"/>
  <c r="Z166" i="87"/>
  <c r="O13" i="85"/>
  <c r="X160" i="74"/>
  <c r="X71" i="94"/>
  <c r="N150" i="87"/>
  <c r="N27" i="90"/>
  <c r="O116" i="87"/>
  <c r="O73" i="74"/>
  <c r="Y148" i="84"/>
  <c r="X104" i="82"/>
  <c r="P158" i="87"/>
  <c r="O96" i="93"/>
  <c r="Y160" i="89"/>
  <c r="P84" i="89"/>
  <c r="N105" i="91"/>
  <c r="Z59" i="87"/>
  <c r="Q81" i="82"/>
  <c r="AB91" i="94"/>
  <c r="Z149" i="84"/>
  <c r="Z80" i="93"/>
  <c r="AA89" i="74"/>
  <c r="L67" i="84"/>
  <c r="L141" i="84"/>
  <c r="P74" i="93"/>
  <c r="X88" i="90"/>
  <c r="O80" i="84"/>
  <c r="X138" i="92"/>
  <c r="AA157" i="89"/>
  <c r="Q55" i="91"/>
  <c r="O99" i="81"/>
  <c r="AA125" i="89"/>
  <c r="AB109" i="94"/>
  <c r="L111" i="85"/>
  <c r="O125" i="88"/>
  <c r="AA155" i="87"/>
  <c r="L110" i="89"/>
  <c r="L109" i="89"/>
  <c r="P68" i="85"/>
  <c r="Q128" i="94"/>
  <c r="AA157" i="85"/>
  <c r="L77" i="92"/>
  <c r="AA142" i="91"/>
  <c r="Y76" i="90"/>
  <c r="O146" i="94"/>
  <c r="P149" i="83"/>
  <c r="Z123" i="84"/>
  <c r="N147" i="89"/>
  <c r="AB13" i="93"/>
  <c r="Q157" i="84"/>
  <c r="Q83" i="87"/>
  <c r="Q80" i="90"/>
  <c r="O137" i="92"/>
  <c r="AA142" i="92"/>
  <c r="L113" i="89"/>
  <c r="AB15" i="93"/>
  <c r="M9" i="81"/>
  <c r="P130" i="84"/>
  <c r="AA84" i="92"/>
  <c r="O125" i="91"/>
  <c r="Q114" i="82"/>
  <c r="O21" i="88"/>
  <c r="M17" i="92"/>
  <c r="Y17" i="83"/>
  <c r="X25" i="81"/>
  <c r="P101" i="92"/>
  <c r="Y125" i="85"/>
  <c r="N144" i="92"/>
  <c r="AA126" i="93"/>
  <c r="X140" i="94"/>
  <c r="O74" i="85"/>
  <c r="Z88" i="82"/>
  <c r="Q93" i="93"/>
  <c r="O147" i="92"/>
  <c r="O149" i="89"/>
  <c r="AB140" i="92"/>
  <c r="O85" i="94"/>
  <c r="Z130" i="94"/>
  <c r="O94" i="82"/>
  <c r="O142" i="81"/>
  <c r="L138" i="82"/>
  <c r="AA27" i="90"/>
  <c r="X102" i="93"/>
  <c r="AB76" i="85"/>
  <c r="Q149" i="87"/>
  <c r="X127" i="83"/>
  <c r="Q145" i="89"/>
  <c r="O150" i="85"/>
  <c r="O66" i="93"/>
  <c r="AB112" i="81"/>
  <c r="Q161" i="91"/>
  <c r="P144" i="94"/>
  <c r="Y94" i="83"/>
  <c r="AB144" i="81"/>
  <c r="X81" i="91"/>
  <c r="AB149" i="85"/>
  <c r="Z140" i="74"/>
  <c r="M31" i="89"/>
  <c r="O39" i="92"/>
  <c r="Y27" i="83"/>
  <c r="L130" i="81"/>
  <c r="AA142" i="83"/>
  <c r="O105" i="85"/>
  <c r="AA119" i="90"/>
  <c r="AB76" i="81"/>
  <c r="AB157" i="85"/>
  <c r="AA74" i="90"/>
  <c r="AA123" i="81"/>
  <c r="P151" i="84"/>
  <c r="Y155" i="94"/>
  <c r="L111" i="83"/>
  <c r="L81" i="94"/>
  <c r="Z148" i="91"/>
  <c r="X161" i="94"/>
  <c r="Y111" i="91"/>
  <c r="AA23" i="93"/>
  <c r="AB66" i="93"/>
  <c r="AA129" i="81"/>
  <c r="Y140" i="83"/>
  <c r="AA97" i="90"/>
  <c r="Y153" i="74"/>
  <c r="L131" i="87"/>
  <c r="O149" i="93"/>
  <c r="AA13" i="94"/>
  <c r="X156" i="74"/>
  <c r="Y69" i="88"/>
  <c r="AA132" i="83"/>
  <c r="X151" i="89"/>
  <c r="M13" i="83"/>
  <c r="Z97" i="88"/>
  <c r="L103" i="83"/>
  <c r="Q81" i="93"/>
  <c r="AB76" i="94"/>
  <c r="X149" i="90"/>
  <c r="Q161" i="85"/>
  <c r="AB85" i="84"/>
  <c r="AA70" i="74"/>
  <c r="O74" i="89"/>
  <c r="Q156" i="88"/>
  <c r="AB39" i="89"/>
  <c r="Y17" i="81"/>
  <c r="P134" i="90"/>
  <c r="AB112" i="93"/>
  <c r="Z143" i="91"/>
  <c r="Z134" i="84"/>
  <c r="Y150" i="94"/>
  <c r="L82" i="90"/>
  <c r="Q80" i="94"/>
  <c r="O110" i="82"/>
  <c r="Y120" i="82"/>
  <c r="X131" i="85"/>
  <c r="O59" i="88"/>
  <c r="AB140" i="85"/>
  <c r="O143" i="83"/>
  <c r="Z157" i="92"/>
  <c r="X126" i="87"/>
  <c r="Y155" i="74"/>
  <c r="N126" i="93"/>
  <c r="Q160" i="85"/>
  <c r="Q13" i="91"/>
  <c r="L160" i="81"/>
  <c r="X150" i="89"/>
  <c r="L79" i="90"/>
  <c r="O27" i="87"/>
  <c r="O139" i="84"/>
  <c r="AB77" i="89"/>
  <c r="Z23" i="83"/>
  <c r="Z131" i="84"/>
  <c r="AA101" i="85"/>
  <c r="M55" i="92"/>
  <c r="Q158" i="91"/>
  <c r="P71" i="90"/>
  <c r="Q150" i="90"/>
  <c r="L140" i="84"/>
  <c r="L93" i="74"/>
  <c r="AB64" i="90"/>
  <c r="M37" i="89"/>
  <c r="L73" i="85"/>
  <c r="L139" i="74"/>
  <c r="P84" i="74"/>
  <c r="AA39" i="88"/>
  <c r="O13" i="91"/>
  <c r="Q11" i="90"/>
  <c r="N150" i="82"/>
  <c r="O9" i="88"/>
  <c r="L145" i="90"/>
  <c r="Z72" i="91"/>
  <c r="Z152" i="89"/>
  <c r="AA70" i="81"/>
  <c r="Q90" i="83"/>
  <c r="Y160" i="92"/>
  <c r="Y82" i="87"/>
  <c r="AA15" i="85"/>
  <c r="O134" i="91"/>
  <c r="Y151" i="85"/>
  <c r="L137" i="92"/>
  <c r="AA84" i="89"/>
  <c r="Q99" i="84"/>
  <c r="L104" i="81"/>
  <c r="L156" i="85"/>
  <c r="O113" i="93"/>
  <c r="O160" i="92"/>
  <c r="Y160" i="87"/>
  <c r="X105" i="84"/>
  <c r="O75" i="89"/>
  <c r="P13" i="94"/>
  <c r="N93" i="85"/>
  <c r="AA142" i="94"/>
  <c r="AB108" i="83"/>
  <c r="Q147" i="94"/>
  <c r="L135" i="83"/>
  <c r="Q93" i="89"/>
  <c r="Y126" i="74"/>
  <c r="L136" i="90"/>
  <c r="O107" i="81"/>
  <c r="Y87" i="81"/>
  <c r="Z99" i="81"/>
  <c r="AA79" i="91"/>
  <c r="AB69" i="91"/>
  <c r="AB96" i="88"/>
  <c r="AA132" i="92"/>
  <c r="Y72" i="87"/>
  <c r="Q74" i="83"/>
  <c r="Y71" i="91"/>
  <c r="Q71" i="93"/>
  <c r="Q161" i="92"/>
  <c r="Q149" i="92"/>
  <c r="Q156" i="83"/>
  <c r="Z158" i="83"/>
  <c r="L93" i="84"/>
  <c r="AA154" i="74"/>
  <c r="P11" i="93"/>
  <c r="Z72" i="81"/>
  <c r="AA157" i="92"/>
  <c r="Y145" i="94"/>
  <c r="AB130" i="89"/>
  <c r="Q140" i="82"/>
  <c r="Q73" i="89"/>
  <c r="X23" i="87"/>
  <c r="AA139" i="90"/>
  <c r="O59" i="91"/>
  <c r="Z78" i="74"/>
  <c r="X142" i="93"/>
  <c r="Y69" i="90"/>
  <c r="P75" i="88"/>
  <c r="N21" i="83"/>
  <c r="Q11" i="92"/>
  <c r="O136" i="88"/>
  <c r="AB74" i="85"/>
  <c r="AA61" i="82"/>
  <c r="AB70" i="81"/>
  <c r="Y142" i="81"/>
  <c r="X37" i="81"/>
  <c r="X51" i="83"/>
  <c r="Q9" i="87"/>
  <c r="Y151" i="88"/>
  <c r="O21" i="94"/>
  <c r="L79" i="84"/>
  <c r="O158" i="82"/>
  <c r="AB112" i="91"/>
  <c r="L92" i="74"/>
  <c r="N111" i="89"/>
  <c r="L142" i="74"/>
  <c r="Y81" i="84"/>
  <c r="Y159" i="83"/>
  <c r="AA51" i="81"/>
  <c r="X163" i="84"/>
  <c r="O147" i="83"/>
  <c r="Y131" i="88"/>
  <c r="X164" i="93"/>
  <c r="X68" i="81"/>
  <c r="O120" i="94"/>
  <c r="AB162" i="81"/>
  <c r="P29" i="85"/>
  <c r="Y127" i="87"/>
  <c r="AB160" i="89"/>
  <c r="AA61" i="90"/>
  <c r="AA127" i="89"/>
  <c r="Y129" i="83"/>
  <c r="AB29" i="83"/>
  <c r="Y9" i="90"/>
  <c r="P11" i="83"/>
  <c r="AA161" i="88"/>
  <c r="P156" i="82"/>
  <c r="O135" i="91"/>
  <c r="P133" i="81"/>
  <c r="Y80" i="88"/>
  <c r="AB86" i="89"/>
  <c r="P23" i="74"/>
  <c r="L147" i="93"/>
  <c r="Q99" i="87"/>
  <c r="P83" i="94"/>
  <c r="L153" i="74"/>
  <c r="P67" i="82"/>
  <c r="L85" i="90"/>
  <c r="P89" i="83"/>
  <c r="Z9" i="88"/>
  <c r="Z98" i="88"/>
  <c r="Z51" i="81"/>
  <c r="Q130" i="84"/>
  <c r="O105" i="92"/>
  <c r="Y70" i="89"/>
  <c r="O167" i="83"/>
  <c r="Y128" i="87"/>
  <c r="Y146" i="74"/>
  <c r="AB75" i="83"/>
  <c r="Z11" i="94"/>
  <c r="P119" i="94"/>
  <c r="O106" i="93"/>
  <c r="X114" i="90"/>
  <c r="AB130" i="81"/>
  <c r="Y150" i="91"/>
  <c r="Q132" i="74"/>
  <c r="P15" i="89"/>
  <c r="P29" i="93"/>
  <c r="Y13" i="93"/>
  <c r="L135" i="81"/>
  <c r="X155" i="92"/>
  <c r="AA78" i="91"/>
  <c r="O162" i="93"/>
  <c r="P112" i="87"/>
  <c r="Q139" i="81"/>
  <c r="L113" i="81"/>
  <c r="AA39" i="82"/>
  <c r="O132" i="85"/>
  <c r="O17" i="90"/>
  <c r="L133" i="93"/>
  <c r="Q158" i="83"/>
  <c r="Z71" i="89"/>
  <c r="AA79" i="85"/>
  <c r="O104" i="81"/>
  <c r="Q73" i="93"/>
  <c r="O121" i="92"/>
  <c r="AB98" i="85"/>
  <c r="M11" i="84"/>
  <c r="O84" i="84"/>
  <c r="O148" i="88"/>
  <c r="AA63" i="90"/>
  <c r="P81" i="91"/>
  <c r="Y157" i="93"/>
  <c r="Q116" i="84"/>
  <c r="O92" i="84"/>
  <c r="Y153" i="85"/>
  <c r="P142" i="93"/>
  <c r="X79" i="84"/>
  <c r="O133" i="74"/>
  <c r="Q156" i="87"/>
  <c r="AA116" i="89"/>
  <c r="L161" i="81"/>
  <c r="O108" i="90"/>
  <c r="O146" i="83"/>
  <c r="M61" i="91"/>
  <c r="Y76" i="84"/>
  <c r="X93" i="87"/>
  <c r="Y99" i="85"/>
  <c r="Y21" i="93"/>
  <c r="Y155" i="87"/>
  <c r="Q115" i="93"/>
  <c r="P111" i="87"/>
  <c r="X114" i="93"/>
  <c r="X31" i="87"/>
  <c r="Z13" i="90"/>
  <c r="N165" i="74"/>
  <c r="O138" i="85"/>
  <c r="Q98" i="93"/>
  <c r="Y135" i="93"/>
  <c r="Y154" i="91"/>
  <c r="AA121" i="89"/>
  <c r="M49" i="82"/>
  <c r="O110" i="81"/>
  <c r="Q37" i="74"/>
  <c r="AB134" i="88"/>
  <c r="AB64" i="85"/>
  <c r="Q144" i="88"/>
  <c r="P161" i="74"/>
  <c r="O25" i="82"/>
  <c r="M61" i="90"/>
  <c r="Y13" i="83"/>
  <c r="X135" i="81"/>
  <c r="O147" i="88"/>
  <c r="O98" i="82"/>
  <c r="P25" i="88"/>
  <c r="Q153" i="92"/>
  <c r="AB13" i="90"/>
  <c r="Z88" i="85"/>
  <c r="Y25" i="83"/>
  <c r="Y86" i="92"/>
  <c r="AB21" i="90"/>
  <c r="Z76" i="93"/>
  <c r="O165" i="74"/>
  <c r="L86" i="88"/>
  <c r="Q161" i="90"/>
  <c r="AA153" i="90"/>
  <c r="O134" i="85"/>
  <c r="O138" i="92"/>
  <c r="AA80" i="83"/>
  <c r="O105" i="84"/>
  <c r="AA74" i="82"/>
  <c r="Y17" i="88"/>
  <c r="L121" i="83"/>
  <c r="Z37" i="88"/>
  <c r="P9" i="87"/>
  <c r="Z131" i="85"/>
  <c r="Q104" i="91"/>
  <c r="AA156" i="89"/>
  <c r="O145" i="91"/>
  <c r="O113" i="90"/>
  <c r="M47" i="92"/>
  <c r="AB97" i="88"/>
  <c r="Z161" i="85"/>
  <c r="AA159" i="88"/>
  <c r="Y71" i="94"/>
  <c r="AB29" i="87"/>
  <c r="AB131" i="88"/>
  <c r="L159" i="89"/>
  <c r="M27" i="74"/>
  <c r="L79" i="92"/>
  <c r="Y70" i="82"/>
  <c r="N15" i="81"/>
  <c r="AB35" i="83"/>
  <c r="AA85" i="93"/>
  <c r="AB102" i="90"/>
  <c r="L129" i="81"/>
  <c r="L139" i="82"/>
  <c r="AB15" i="85"/>
  <c r="Z115" i="91"/>
  <c r="M13" i="88"/>
  <c r="O72" i="82"/>
  <c r="AA73" i="92"/>
  <c r="Y49" i="82"/>
  <c r="Y70" i="87"/>
  <c r="AA19" i="87"/>
  <c r="AB148" i="90"/>
  <c r="AB21" i="81"/>
  <c r="L99" i="94"/>
  <c r="AA137" i="87"/>
  <c r="P128" i="83"/>
  <c r="AB83" i="94"/>
  <c r="X29" i="93"/>
  <c r="P9" i="91"/>
  <c r="Q139" i="87"/>
  <c r="AB159" i="91"/>
  <c r="AA61" i="85"/>
  <c r="Q29" i="85"/>
  <c r="X83" i="92"/>
  <c r="O152" i="90"/>
  <c r="Q55" i="93"/>
  <c r="L153" i="83"/>
  <c r="AA140" i="94"/>
  <c r="Q147" i="82"/>
  <c r="O109" i="93"/>
  <c r="AB17" i="88"/>
  <c r="O111" i="92"/>
  <c r="O118" i="92"/>
  <c r="P79" i="94"/>
  <c r="O155" i="92"/>
  <c r="AB37" i="82"/>
  <c r="AA109" i="87"/>
  <c r="AA85" i="89"/>
  <c r="Y128" i="83"/>
  <c r="Y51" i="81"/>
  <c r="Q82" i="81"/>
  <c r="Q11" i="94"/>
  <c r="AB27" i="87"/>
  <c r="P164" i="81"/>
  <c r="N39" i="83"/>
  <c r="M39" i="87"/>
  <c r="Q65" i="91"/>
  <c r="O90" i="82"/>
  <c r="P106" i="92"/>
  <c r="P105" i="94"/>
  <c r="Z65" i="88"/>
  <c r="P85" i="83"/>
  <c r="Y149" i="92"/>
  <c r="AA79" i="84"/>
  <c r="Q49" i="88"/>
  <c r="M9" i="91"/>
  <c r="AB127" i="93"/>
  <c r="AB13" i="91"/>
  <c r="AB31" i="89"/>
  <c r="Q87" i="90"/>
  <c r="N114" i="91"/>
  <c r="X90" i="85"/>
  <c r="AB19" i="81"/>
  <c r="M25" i="83"/>
  <c r="AB13" i="87"/>
  <c r="AA72" i="82"/>
  <c r="Y61" i="85"/>
  <c r="Z92" i="82"/>
  <c r="N78" i="92"/>
  <c r="AB154" i="82"/>
  <c r="P163" i="92"/>
  <c r="M55" i="90"/>
  <c r="X122" i="83"/>
  <c r="P87" i="82"/>
  <c r="AB37" i="92"/>
  <c r="Q37" i="94"/>
  <c r="Z53" i="74"/>
  <c r="P21" i="90"/>
  <c r="L139" i="89"/>
  <c r="X116" i="88"/>
  <c r="L111" i="90"/>
  <c r="P132" i="87"/>
  <c r="O160" i="93"/>
  <c r="AB117" i="87"/>
  <c r="X121" i="93"/>
  <c r="X135" i="89"/>
  <c r="AA147" i="91"/>
  <c r="Q15" i="84"/>
  <c r="X79" i="90"/>
  <c r="Z126" i="87"/>
  <c r="Q67" i="91"/>
  <c r="X13" i="74"/>
  <c r="Y78" i="83"/>
  <c r="AB97" i="85"/>
  <c r="Z101" i="81"/>
  <c r="Z84" i="92"/>
  <c r="L157" i="93"/>
  <c r="L137" i="85"/>
  <c r="Y19" i="89"/>
  <c r="N156" i="89"/>
  <c r="AA107" i="88"/>
  <c r="Z85" i="81"/>
  <c r="AA75" i="82"/>
  <c r="AA112" i="83"/>
  <c r="AB130" i="87"/>
  <c r="Z149" i="87"/>
  <c r="Y143" i="82"/>
  <c r="AB136" i="94"/>
  <c r="AB159" i="90"/>
  <c r="L75" i="90"/>
  <c r="Z78" i="85"/>
  <c r="P156" i="88"/>
  <c r="Y43" i="84"/>
  <c r="X149" i="93"/>
  <c r="P162" i="91"/>
  <c r="Z98" i="82"/>
  <c r="Z33" i="88"/>
  <c r="AB147" i="94"/>
  <c r="P72" i="84"/>
  <c r="Q9" i="90"/>
  <c r="X78" i="74"/>
  <c r="Q144" i="93"/>
  <c r="Z127" i="94"/>
  <c r="X164" i="87"/>
  <c r="Z80" i="85"/>
  <c r="Z124" i="87"/>
  <c r="X29" i="88"/>
  <c r="O72" i="88"/>
  <c r="Q126" i="87"/>
  <c r="Z159" i="94"/>
  <c r="AB68" i="89"/>
  <c r="Q112" i="81"/>
  <c r="O100" i="74"/>
  <c r="Y147" i="92"/>
  <c r="Y31" i="84"/>
  <c r="Z142" i="85"/>
  <c r="L129" i="88"/>
  <c r="Y97" i="84"/>
  <c r="X115" i="93"/>
  <c r="AA131" i="85"/>
  <c r="N9" i="74"/>
  <c r="O94" i="83"/>
  <c r="O126" i="83"/>
  <c r="AA164" i="91"/>
  <c r="AB130" i="84"/>
  <c r="AA23" i="81"/>
  <c r="Y9" i="74"/>
  <c r="Q153" i="90"/>
  <c r="Y13" i="85"/>
  <c r="Z9" i="83"/>
  <c r="AB89" i="84"/>
  <c r="Y70" i="88"/>
  <c r="X133" i="92"/>
  <c r="L126" i="93"/>
  <c r="O100" i="87"/>
  <c r="AA102" i="92"/>
  <c r="X108" i="92"/>
  <c r="O77" i="92"/>
  <c r="Q154" i="85"/>
  <c r="L73" i="83"/>
  <c r="Z85" i="92"/>
  <c r="X29" i="90"/>
  <c r="Q146" i="84"/>
  <c r="Y145" i="87"/>
  <c r="AA78" i="94"/>
  <c r="Y75" i="87"/>
  <c r="AB73" i="88"/>
  <c r="Q165" i="74"/>
  <c r="AA152" i="88"/>
  <c r="Q29" i="83"/>
  <c r="Q43" i="88"/>
  <c r="O155" i="91"/>
  <c r="Q94" i="93"/>
  <c r="M61" i="84"/>
  <c r="AB127" i="90"/>
  <c r="Y146" i="87"/>
  <c r="X102" i="90"/>
  <c r="AB71" i="85"/>
  <c r="Q112" i="74"/>
  <c r="AB93" i="85"/>
  <c r="AA131" i="87"/>
  <c r="AB147" i="82"/>
  <c r="P55" i="88"/>
  <c r="AB13" i="92"/>
  <c r="Z130" i="92"/>
  <c r="Y161" i="87"/>
  <c r="O111" i="84"/>
  <c r="Y157" i="88"/>
  <c r="P97" i="74"/>
  <c r="X140" i="87"/>
  <c r="O27" i="81"/>
  <c r="Y63" i="82"/>
  <c r="P88" i="89"/>
  <c r="AB146" i="84"/>
  <c r="O76" i="88"/>
  <c r="Y124" i="91"/>
  <c r="M29" i="85"/>
  <c r="P80" i="85"/>
  <c r="O80" i="91"/>
  <c r="O155" i="94"/>
  <c r="Y135" i="88"/>
  <c r="L137" i="74"/>
  <c r="P80" i="74"/>
  <c r="Q150" i="92"/>
  <c r="O100" i="84"/>
  <c r="Z97" i="92"/>
  <c r="P142" i="89"/>
  <c r="M21" i="84"/>
  <c r="Y163" i="93"/>
  <c r="L98" i="81"/>
  <c r="Q159" i="84"/>
  <c r="AB154" i="83"/>
  <c r="Y132" i="89"/>
  <c r="Q31" i="93"/>
  <c r="Z27" i="93"/>
  <c r="N108" i="92"/>
  <c r="O117" i="94"/>
  <c r="O101" i="93"/>
  <c r="Z101" i="74"/>
  <c r="N165" i="81"/>
  <c r="Z108" i="83"/>
  <c r="L108" i="92"/>
  <c r="Y155" i="83"/>
  <c r="Y19" i="91"/>
  <c r="AA133" i="90"/>
  <c r="Q71" i="74"/>
  <c r="Z76" i="84"/>
  <c r="Q112" i="84"/>
  <c r="Y57" i="89"/>
  <c r="L143" i="82"/>
  <c r="X136" i="83"/>
  <c r="AA155" i="81"/>
  <c r="L149" i="84"/>
  <c r="AB71" i="93"/>
  <c r="O150" i="93"/>
  <c r="P138" i="74"/>
  <c r="Z90" i="87"/>
  <c r="Y72" i="81"/>
  <c r="L86" i="94"/>
  <c r="Q83" i="91"/>
  <c r="P138" i="83"/>
  <c r="Q161" i="74"/>
  <c r="X166" i="93"/>
  <c r="AB27" i="90"/>
  <c r="Q86" i="74"/>
  <c r="Q13" i="83"/>
  <c r="O79" i="83"/>
  <c r="Z101" i="92"/>
  <c r="Z43" i="94"/>
  <c r="M19" i="88"/>
  <c r="P78" i="85"/>
  <c r="N75" i="85"/>
  <c r="AB154" i="88"/>
  <c r="L160" i="92"/>
  <c r="Q49" i="83"/>
  <c r="Q41" i="84"/>
  <c r="L143" i="89"/>
  <c r="AA134" i="90"/>
  <c r="Y31" i="81"/>
  <c r="P75" i="87"/>
  <c r="O159" i="91"/>
  <c r="P126" i="92"/>
  <c r="AA23" i="92"/>
  <c r="P151" i="90"/>
  <c r="O152" i="93"/>
  <c r="Z81" i="93"/>
  <c r="P102" i="91"/>
  <c r="N114" i="85"/>
  <c r="Q103" i="74"/>
  <c r="AA136" i="81"/>
  <c r="AB75" i="93"/>
  <c r="X139" i="87"/>
  <c r="Y101" i="91"/>
  <c r="AA11" i="87"/>
  <c r="AB153" i="94"/>
  <c r="O131" i="74"/>
  <c r="O37" i="92"/>
  <c r="O13" i="89"/>
  <c r="P153" i="84"/>
  <c r="AA152" i="83"/>
  <c r="Z159" i="90"/>
  <c r="Y96" i="83"/>
  <c r="AA131" i="89"/>
  <c r="Y83" i="88"/>
  <c r="M13" i="84"/>
  <c r="L78" i="88"/>
  <c r="AA70" i="84"/>
  <c r="X27" i="81"/>
  <c r="Z71" i="82"/>
  <c r="AA43" i="89"/>
  <c r="AA87" i="74"/>
  <c r="P63" i="89"/>
  <c r="M25" i="81"/>
  <c r="Z85" i="91"/>
  <c r="L96" i="89"/>
  <c r="Q93" i="83"/>
  <c r="AB55" i="94"/>
  <c r="P21" i="89"/>
  <c r="AA73" i="74"/>
  <c r="P124" i="85"/>
  <c r="Q90" i="92"/>
  <c r="AB111" i="74"/>
  <c r="O98" i="89"/>
  <c r="AB167" i="81"/>
  <c r="Z104" i="82"/>
  <c r="Z75" i="90"/>
  <c r="AB158" i="82"/>
  <c r="AB149" i="82"/>
  <c r="AA137" i="91"/>
  <c r="Q138" i="88"/>
  <c r="O151" i="93"/>
  <c r="Q116" i="82"/>
  <c r="M59" i="83"/>
  <c r="Q72" i="87"/>
  <c r="Z101" i="94"/>
  <c r="L81" i="85"/>
  <c r="X80" i="84"/>
  <c r="Z119" i="84"/>
  <c r="L148" i="85"/>
  <c r="L166" i="84"/>
  <c r="P23" i="83"/>
  <c r="AB17" i="93"/>
  <c r="AB33" i="83"/>
  <c r="X91" i="89"/>
  <c r="AA23" i="85"/>
  <c r="AB152" i="74"/>
  <c r="O27" i="94"/>
  <c r="L151" i="82"/>
  <c r="O142" i="89"/>
  <c r="P53" i="82"/>
  <c r="O140" i="74"/>
  <c r="AA130" i="84"/>
  <c r="Z108" i="89"/>
  <c r="Q164" i="90"/>
  <c r="AB83" i="90"/>
  <c r="X31" i="81"/>
  <c r="N27" i="92"/>
  <c r="AA144" i="88"/>
  <c r="L138" i="84"/>
  <c r="AA19" i="93"/>
  <c r="AA134" i="91"/>
  <c r="Y139" i="83"/>
  <c r="AB125" i="91"/>
  <c r="O63" i="90"/>
  <c r="P51" i="81"/>
  <c r="L131" i="93"/>
  <c r="AA132" i="90"/>
  <c r="Z21" i="84"/>
  <c r="Y134" i="90"/>
  <c r="P47" i="82"/>
  <c r="P27" i="85"/>
  <c r="Q69" i="91"/>
  <c r="AB96" i="89"/>
  <c r="O33" i="90"/>
  <c r="Z109" i="83"/>
  <c r="P23" i="88"/>
  <c r="O148" i="89"/>
  <c r="Q29" i="89"/>
  <c r="AB43" i="94"/>
  <c r="Y138" i="82"/>
  <c r="X143" i="94"/>
  <c r="P160" i="82"/>
  <c r="AA158" i="87"/>
  <c r="Z102" i="88"/>
  <c r="X15" i="84"/>
  <c r="L152" i="84"/>
  <c r="X80" i="93"/>
  <c r="Z111" i="84"/>
  <c r="N150" i="89"/>
  <c r="O156" i="85"/>
  <c r="L85" i="88"/>
  <c r="Q74" i="87"/>
  <c r="Z137" i="93"/>
  <c r="P146" i="88"/>
  <c r="O75" i="91"/>
  <c r="Y133" i="82"/>
  <c r="Z157" i="85"/>
  <c r="M29" i="74"/>
  <c r="M23" i="90"/>
  <c r="P68" i="90"/>
  <c r="M39" i="81"/>
  <c r="O33" i="81"/>
  <c r="X149" i="92"/>
  <c r="AB150" i="87"/>
  <c r="Y112" i="93"/>
  <c r="Z61" i="88"/>
  <c r="P61" i="92"/>
  <c r="X109" i="81"/>
  <c r="O130" i="94"/>
  <c r="O108" i="83"/>
  <c r="P123" i="81"/>
  <c r="P130" i="88"/>
  <c r="M11" i="93"/>
  <c r="Y137" i="83"/>
  <c r="AA134" i="89"/>
  <c r="Z55" i="89"/>
  <c r="O100" i="83"/>
  <c r="M43" i="81"/>
  <c r="AA75" i="81"/>
  <c r="X47" i="84"/>
  <c r="Z100" i="89"/>
  <c r="N96" i="92"/>
  <c r="Q89" i="83"/>
  <c r="L129" i="87"/>
  <c r="X57" i="87"/>
  <c r="O168" i="91"/>
  <c r="Y31" i="87"/>
  <c r="P61" i="74"/>
  <c r="Q86" i="81"/>
  <c r="O69" i="90"/>
  <c r="Y93" i="94"/>
  <c r="L84" i="94"/>
  <c r="L151" i="81"/>
  <c r="Z138" i="94"/>
  <c r="Z61" i="93"/>
  <c r="Q80" i="91"/>
  <c r="Y113" i="74"/>
  <c r="Z81" i="94"/>
  <c r="Q19" i="81"/>
  <c r="Z166" i="94"/>
  <c r="Q116" i="88"/>
  <c r="L100" i="92"/>
  <c r="N132" i="74"/>
  <c r="Z11" i="89"/>
  <c r="AB92" i="81"/>
  <c r="Q29" i="88"/>
  <c r="O94" i="74"/>
  <c r="Q142" i="81"/>
  <c r="Q70" i="88"/>
  <c r="Y145" i="84"/>
  <c r="M43" i="92"/>
  <c r="Z122" i="93"/>
  <c r="O29" i="85"/>
  <c r="O146" i="82"/>
  <c r="Z77" i="91"/>
  <c r="L89" i="85"/>
  <c r="Z73" i="90"/>
  <c r="AA135" i="93"/>
  <c r="Y134" i="89"/>
  <c r="L125" i="81"/>
  <c r="O55" i="92"/>
  <c r="AA160" i="92"/>
  <c r="Y75" i="84"/>
  <c r="L143" i="81"/>
  <c r="Z9" i="85"/>
  <c r="AB72" i="91"/>
  <c r="Q165" i="94"/>
  <c r="L140" i="82"/>
  <c r="X129" i="81"/>
  <c r="O140" i="93"/>
  <c r="AB98" i="90"/>
  <c r="Q101" i="91"/>
  <c r="O31" i="90"/>
  <c r="AA126" i="91"/>
  <c r="N81" i="92"/>
  <c r="O97" i="81"/>
  <c r="P99" i="83"/>
  <c r="X140" i="93"/>
  <c r="L154" i="88"/>
  <c r="AA82" i="84"/>
  <c r="M39" i="90"/>
  <c r="O107" i="90"/>
  <c r="X93" i="94"/>
  <c r="M49" i="91"/>
  <c r="Q93" i="88"/>
  <c r="AB133" i="90"/>
  <c r="AB72" i="88"/>
  <c r="X87" i="84"/>
  <c r="Z149" i="85"/>
  <c r="Z43" i="83"/>
  <c r="L133" i="81"/>
  <c r="P88" i="87"/>
  <c r="Z134" i="90"/>
  <c r="Z144" i="92"/>
  <c r="O101" i="82"/>
  <c r="AA132" i="81"/>
  <c r="AA150" i="88"/>
  <c r="X25" i="85"/>
  <c r="O13" i="82"/>
  <c r="N132" i="90"/>
  <c r="Z151" i="83"/>
  <c r="M29" i="82"/>
  <c r="AB147" i="85"/>
  <c r="O76" i="85"/>
  <c r="Q90" i="81"/>
  <c r="O37" i="74"/>
  <c r="L77" i="91"/>
  <c r="Q141" i="74"/>
  <c r="P83" i="91"/>
  <c r="Z146" i="88"/>
  <c r="O80" i="88"/>
  <c r="O39" i="74"/>
  <c r="AA35" i="82"/>
  <c r="Q96" i="81"/>
  <c r="Y45" i="87"/>
  <c r="AA29" i="91"/>
  <c r="L148" i="84"/>
  <c r="O53" i="93"/>
  <c r="L87" i="82"/>
  <c r="L136" i="85"/>
  <c r="AA133" i="92"/>
  <c r="L108" i="93"/>
  <c r="AA79" i="87"/>
  <c r="Y73" i="84"/>
  <c r="Q33" i="81"/>
  <c r="O140" i="88"/>
  <c r="Y88" i="89"/>
  <c r="P134" i="93"/>
  <c r="AA139" i="81"/>
  <c r="L125" i="88"/>
  <c r="AB125" i="89"/>
  <c r="Z138" i="83"/>
  <c r="O35" i="90"/>
  <c r="X100" i="94"/>
  <c r="Q106" i="92"/>
  <c r="O126" i="87"/>
  <c r="AB45" i="83"/>
  <c r="N9" i="84"/>
  <c r="Q96" i="93"/>
  <c r="L108" i="82"/>
  <c r="O78" i="81"/>
  <c r="O154" i="82"/>
  <c r="O165" i="92"/>
  <c r="O141" i="74"/>
  <c r="X71" i="90"/>
  <c r="Y23" i="90"/>
  <c r="AB128" i="84"/>
  <c r="M13" i="87"/>
  <c r="Y164" i="82"/>
  <c r="O122" i="94"/>
  <c r="Q100" i="84"/>
  <c r="Z81" i="87"/>
  <c r="L130" i="88"/>
  <c r="O160" i="85"/>
  <c r="AA81" i="82"/>
  <c r="L132" i="89"/>
  <c r="Z109" i="94"/>
  <c r="AA75" i="87"/>
  <c r="P140" i="93"/>
  <c r="AB130" i="85"/>
  <c r="N105" i="94"/>
  <c r="Y86" i="91"/>
  <c r="M47" i="74"/>
  <c r="AB124" i="89"/>
  <c r="AA136" i="74"/>
  <c r="X116" i="87"/>
  <c r="Z17" i="92"/>
  <c r="X15" i="82"/>
  <c r="O63" i="87"/>
  <c r="Q86" i="82"/>
  <c r="P145" i="91"/>
  <c r="O100" i="89"/>
  <c r="N144" i="87"/>
  <c r="X39" i="83"/>
  <c r="Z89" i="83"/>
  <c r="N111" i="74"/>
  <c r="AA13" i="90"/>
  <c r="X169" i="91"/>
  <c r="L145" i="92"/>
  <c r="P133" i="91"/>
  <c r="Q118" i="91"/>
  <c r="M23" i="74"/>
  <c r="X71" i="93"/>
  <c r="L151" i="90"/>
  <c r="O55" i="90"/>
  <c r="X120" i="84"/>
  <c r="O51" i="89"/>
  <c r="AA162" i="91"/>
  <c r="X155" i="94"/>
  <c r="AB117" i="74"/>
  <c r="L63" i="88"/>
  <c r="Q119" i="89"/>
  <c r="X146" i="87"/>
  <c r="O82" i="92"/>
  <c r="Q149" i="88"/>
  <c r="L86" i="82"/>
  <c r="L144" i="82"/>
  <c r="Q84" i="93"/>
  <c r="AB71" i="84"/>
  <c r="L76" i="88"/>
  <c r="X166" i="87"/>
  <c r="N141" i="89"/>
  <c r="Z161" i="82"/>
  <c r="X129" i="89"/>
  <c r="O29" i="81"/>
  <c r="Z80" i="92"/>
  <c r="X121" i="91"/>
  <c r="Y27" i="92"/>
  <c r="AB94" i="92"/>
  <c r="O76" i="84"/>
  <c r="O81" i="93"/>
  <c r="O119" i="74"/>
  <c r="P132" i="92"/>
  <c r="Y98" i="83"/>
  <c r="Q152" i="93"/>
  <c r="O39" i="83"/>
  <c r="X147" i="94"/>
  <c r="X72" i="85"/>
  <c r="Q96" i="94"/>
  <c r="Y100" i="85"/>
  <c r="X76" i="93"/>
  <c r="X123" i="85"/>
  <c r="Q142" i="91"/>
  <c r="O77" i="83"/>
  <c r="O98" i="83"/>
  <c r="AA21" i="82"/>
  <c r="O15" i="92"/>
  <c r="AB145" i="84"/>
  <c r="Q143" i="83"/>
  <c r="AA61" i="81"/>
  <c r="Q162" i="87"/>
  <c r="L80" i="85"/>
  <c r="O74" i="94"/>
  <c r="AB25" i="94"/>
  <c r="Z81" i="81"/>
  <c r="O94" i="85"/>
  <c r="Z95" i="90"/>
  <c r="O15" i="85"/>
  <c r="L67" i="88"/>
  <c r="O37" i="94"/>
  <c r="O152" i="88"/>
  <c r="Z161" i="93"/>
  <c r="L74" i="81"/>
  <c r="Q147" i="87"/>
  <c r="Z83" i="92"/>
  <c r="O115" i="74"/>
  <c r="Z57" i="90"/>
  <c r="X84" i="84"/>
  <c r="AB164" i="90"/>
  <c r="AB84" i="93"/>
  <c r="O9" i="81"/>
  <c r="X53" i="92"/>
  <c r="Q47" i="87"/>
  <c r="P153" i="88"/>
  <c r="Y29" i="74"/>
  <c r="Q131" i="82"/>
  <c r="AA97" i="89"/>
  <c r="O59" i="82"/>
  <c r="O148" i="91"/>
  <c r="Q120" i="84"/>
  <c r="P120" i="87"/>
  <c r="O105" i="89"/>
  <c r="Q86" i="93"/>
  <c r="Q55" i="83"/>
  <c r="Q158" i="92"/>
  <c r="O112" i="94"/>
  <c r="Q96" i="89"/>
  <c r="Z98" i="81"/>
  <c r="Q105" i="82"/>
  <c r="Y111" i="93"/>
  <c r="Y75" i="94"/>
  <c r="X142" i="83"/>
  <c r="P131" i="93"/>
  <c r="AB84" i="82"/>
  <c r="O80" i="89"/>
  <c r="Q155" i="94"/>
  <c r="Y96" i="84"/>
  <c r="X98" i="87"/>
  <c r="L69" i="85"/>
  <c r="P133" i="93"/>
  <c r="Q153" i="87"/>
  <c r="Q55" i="87"/>
  <c r="P82" i="83"/>
  <c r="P79" i="83"/>
  <c r="O150" i="88"/>
  <c r="L74" i="88"/>
  <c r="AB81" i="94"/>
  <c r="L142" i="90"/>
  <c r="Q43" i="91"/>
  <c r="AB124" i="74"/>
  <c r="O159" i="90"/>
  <c r="Q144" i="81"/>
  <c r="AA76" i="82"/>
  <c r="O91" i="88"/>
  <c r="Y77" i="94"/>
  <c r="L68" i="85"/>
  <c r="M41" i="84"/>
  <c r="Z31" i="93"/>
  <c r="AB94" i="88"/>
  <c r="O139" i="85"/>
  <c r="X19" i="92"/>
  <c r="P108" i="81"/>
  <c r="Q41" i="85"/>
  <c r="Y70" i="83"/>
  <c r="AB120" i="89"/>
  <c r="Y161" i="82"/>
  <c r="AA158" i="82"/>
  <c r="X31" i="82"/>
  <c r="L157" i="92"/>
  <c r="P113" i="82"/>
  <c r="Z114" i="74"/>
  <c r="L113" i="83"/>
  <c r="AB108" i="89"/>
  <c r="X157" i="84"/>
  <c r="P101" i="88"/>
  <c r="Y72" i="74"/>
  <c r="N15" i="83"/>
  <c r="Z120" i="83"/>
  <c r="O149" i="74"/>
  <c r="Q72" i="94"/>
  <c r="AB39" i="90"/>
  <c r="O150" i="90"/>
  <c r="L132" i="81"/>
  <c r="Q17" i="83"/>
  <c r="X134" i="82"/>
  <c r="Z133" i="89"/>
  <c r="Q80" i="83"/>
  <c r="AB69" i="84"/>
  <c r="X138" i="88"/>
  <c r="M47" i="89"/>
  <c r="X83" i="82"/>
  <c r="X72" i="87"/>
  <c r="AB66" i="88"/>
  <c r="Y145" i="85"/>
  <c r="N111" i="83"/>
  <c r="AB96" i="92"/>
  <c r="AA27" i="87"/>
  <c r="Y72" i="88"/>
  <c r="Z160" i="90"/>
  <c r="AA84" i="93"/>
  <c r="Q153" i="94"/>
  <c r="L145" i="84"/>
  <c r="L105" i="88"/>
  <c r="Y133" i="91"/>
  <c r="AA155" i="94"/>
  <c r="M19" i="92"/>
  <c r="X9" i="93"/>
  <c r="O128" i="89"/>
  <c r="Q154" i="92"/>
  <c r="O111" i="81"/>
  <c r="P70" i="93"/>
  <c r="Q147" i="88"/>
  <c r="L145" i="87"/>
  <c r="Z145" i="92"/>
  <c r="AB78" i="81"/>
  <c r="X70" i="92"/>
  <c r="AB87" i="94"/>
  <c r="Q151" i="90"/>
  <c r="O15" i="74"/>
  <c r="Z76" i="91"/>
  <c r="AB129" i="89"/>
  <c r="L116" i="89"/>
  <c r="Z101" i="83"/>
  <c r="Z101" i="88"/>
  <c r="X83" i="93"/>
  <c r="N108" i="94"/>
  <c r="O104" i="74"/>
  <c r="AB76" i="91"/>
  <c r="Q126" i="90"/>
  <c r="N129" i="92"/>
  <c r="L144" i="84"/>
  <c r="AA82" i="87"/>
  <c r="O97" i="91"/>
  <c r="AB57" i="94"/>
  <c r="AB135" i="85"/>
  <c r="AB17" i="89"/>
  <c r="P86" i="85"/>
  <c r="O133" i="94"/>
  <c r="X161" i="89"/>
  <c r="Z149" i="82"/>
  <c r="AB11" i="84"/>
  <c r="AA130" i="94"/>
  <c r="Y13" i="82"/>
  <c r="AB108" i="87"/>
  <c r="AA117" i="93"/>
  <c r="Q85" i="85"/>
  <c r="N66" i="84"/>
  <c r="L140" i="81"/>
  <c r="M37" i="83"/>
  <c r="Q84" i="88"/>
  <c r="Q75" i="94"/>
  <c r="Q98" i="83"/>
  <c r="AA74" i="81"/>
  <c r="O101" i="90"/>
  <c r="L118" i="90"/>
  <c r="AA128" i="74"/>
  <c r="L140" i="88"/>
  <c r="O119" i="85"/>
  <c r="O70" i="92"/>
  <c r="Z131" i="89"/>
  <c r="AA39" i="94"/>
  <c r="O157" i="88"/>
  <c r="O114" i="89"/>
  <c r="O43" i="89"/>
  <c r="Q160" i="90"/>
  <c r="P85" i="94"/>
  <c r="P140" i="74"/>
  <c r="X19" i="91"/>
  <c r="Z74" i="85"/>
  <c r="P71" i="83"/>
  <c r="P119" i="89"/>
  <c r="O63" i="83"/>
  <c r="N75" i="92"/>
  <c r="Q165" i="90"/>
  <c r="AB43" i="82"/>
  <c r="X158" i="84"/>
  <c r="Q87" i="87"/>
  <c r="X37" i="88"/>
  <c r="O23" i="81"/>
  <c r="Y141" i="85"/>
  <c r="Z160" i="83"/>
  <c r="Q152" i="94"/>
  <c r="AB155" i="74"/>
  <c r="P147" i="91"/>
  <c r="Q13" i="74"/>
  <c r="Z15" i="83"/>
  <c r="Z161" i="87"/>
  <c r="X71" i="82"/>
  <c r="P159" i="85"/>
  <c r="Q141" i="89"/>
  <c r="O85" i="85"/>
  <c r="Y25" i="93"/>
  <c r="Q39" i="90"/>
  <c r="O121" i="84"/>
  <c r="Y142" i="74"/>
  <c r="Y71" i="92"/>
  <c r="O99" i="89"/>
  <c r="L160" i="82"/>
  <c r="Z150" i="84"/>
  <c r="AA145" i="89"/>
  <c r="L144" i="81"/>
  <c r="N9" i="82"/>
  <c r="AA161" i="84"/>
  <c r="AB19" i="91"/>
  <c r="Y146" i="81"/>
  <c r="AB69" i="85"/>
  <c r="Y141" i="87"/>
  <c r="L115" i="94"/>
  <c r="P108" i="94"/>
  <c r="Q75" i="85"/>
  <c r="O104" i="90"/>
  <c r="Z156" i="90"/>
  <c r="Z80" i="88"/>
  <c r="O109" i="74"/>
  <c r="X100" i="85"/>
  <c r="AA70" i="85"/>
  <c r="Q77" i="81"/>
  <c r="Y69" i="81"/>
  <c r="Y154" i="92"/>
  <c r="P99" i="88"/>
  <c r="AB161" i="83"/>
  <c r="X74" i="83"/>
  <c r="AB121" i="85"/>
  <c r="Y82" i="89"/>
  <c r="X142" i="92"/>
  <c r="Y152" i="74"/>
  <c r="X147" i="81"/>
  <c r="AA35" i="84"/>
  <c r="P71" i="85"/>
  <c r="L80" i="87"/>
  <c r="X122" i="90"/>
  <c r="AA134" i="81"/>
  <c r="Q94" i="88"/>
  <c r="Y55" i="93"/>
  <c r="Z110" i="88"/>
  <c r="Q29" i="74"/>
  <c r="L129" i="89"/>
  <c r="AA81" i="89"/>
  <c r="Z99" i="85"/>
  <c r="Z25" i="82"/>
  <c r="L135" i="92"/>
  <c r="Q115" i="94"/>
  <c r="Z135" i="94"/>
  <c r="P147" i="94"/>
  <c r="Y78" i="93"/>
  <c r="AB76" i="88"/>
  <c r="AB80" i="90"/>
  <c r="Q33" i="93"/>
  <c r="X95" i="83"/>
  <c r="Z129" i="83"/>
  <c r="Y59" i="83"/>
  <c r="M17" i="90"/>
  <c r="Q37" i="83"/>
  <c r="O119" i="94"/>
  <c r="M21" i="85"/>
  <c r="X161" i="90"/>
  <c r="O126" i="82"/>
  <c r="O151" i="88"/>
  <c r="P92" i="85"/>
  <c r="Z13" i="91"/>
  <c r="AA151" i="87"/>
  <c r="Y78" i="74"/>
  <c r="O108" i="74"/>
  <c r="O41" i="85"/>
  <c r="L167" i="94"/>
  <c r="L147" i="87"/>
  <c r="P96" i="93"/>
  <c r="X17" i="93"/>
  <c r="O91" i="89"/>
  <c r="O86" i="94"/>
  <c r="O75" i="93"/>
  <c r="P146" i="87"/>
  <c r="X104" i="83"/>
  <c r="AA139" i="94"/>
  <c r="Y25" i="89"/>
  <c r="AA67" i="81"/>
  <c r="AA131" i="93"/>
  <c r="P15" i="83"/>
  <c r="AA78" i="85"/>
  <c r="AA76" i="94"/>
  <c r="AA130" i="88"/>
  <c r="P83" i="87"/>
  <c r="O90" i="91"/>
  <c r="P80" i="81"/>
  <c r="Z142" i="90"/>
  <c r="AA146" i="74"/>
  <c r="AA73" i="84"/>
  <c r="AA136" i="92"/>
  <c r="AB70" i="84"/>
  <c r="P111" i="91"/>
  <c r="P156" i="91"/>
  <c r="N165" i="90"/>
  <c r="P39" i="84"/>
  <c r="O70" i="84"/>
  <c r="O119" i="91"/>
  <c r="AB111" i="93"/>
  <c r="X99" i="89"/>
  <c r="O106" i="74"/>
  <c r="Y29" i="81"/>
  <c r="Z113" i="91"/>
  <c r="O138" i="82"/>
  <c r="Z100" i="74"/>
  <c r="Y123" i="88"/>
  <c r="N141" i="74"/>
  <c r="O80" i="93"/>
  <c r="X113" i="82"/>
  <c r="N72" i="93"/>
  <c r="Z76" i="94"/>
  <c r="L148" i="92"/>
  <c r="Y21" i="92"/>
  <c r="AA137" i="92"/>
  <c r="Q84" i="91"/>
  <c r="Y84" i="83"/>
  <c r="Z154" i="91"/>
  <c r="Y81" i="94"/>
  <c r="Q15" i="74"/>
  <c r="Q122" i="82"/>
  <c r="Z77" i="87"/>
  <c r="AB155" i="90"/>
  <c r="M11" i="89"/>
  <c r="X106" i="74"/>
  <c r="O141" i="82"/>
  <c r="Q147" i="91"/>
  <c r="L76" i="83"/>
  <c r="O67" i="90"/>
  <c r="AB98" i="82"/>
  <c r="AA130" i="74"/>
  <c r="O129" i="74"/>
  <c r="L72" i="83"/>
  <c r="O80" i="94"/>
  <c r="O114" i="83"/>
  <c r="O17" i="84"/>
  <c r="Q152" i="84"/>
  <c r="N9" i="90"/>
  <c r="N15" i="94"/>
  <c r="AB25" i="91"/>
  <c r="X70" i="89"/>
  <c r="Q82" i="92"/>
  <c r="O43" i="88"/>
  <c r="Q78" i="88"/>
  <c r="AB127" i="89"/>
  <c r="M25" i="91"/>
  <c r="AB137" i="87"/>
  <c r="AA35" i="85"/>
  <c r="AB130" i="94"/>
  <c r="X9" i="81"/>
  <c r="AB111" i="87"/>
  <c r="Z121" i="90"/>
  <c r="AA96" i="93"/>
  <c r="AB155" i="81"/>
  <c r="AB71" i="81"/>
  <c r="Y155" i="85"/>
  <c r="X25" i="91"/>
  <c r="Z81" i="83"/>
  <c r="AA31" i="84"/>
  <c r="Q136" i="84"/>
  <c r="AA97" i="85"/>
  <c r="P86" i="89"/>
  <c r="X125" i="92"/>
  <c r="Q25" i="83"/>
  <c r="Q69" i="93"/>
  <c r="AB93" i="87"/>
  <c r="P117" i="93"/>
  <c r="Y146" i="94"/>
  <c r="Z49" i="85"/>
  <c r="AA53" i="91"/>
  <c r="L69" i="74"/>
  <c r="L113" i="94"/>
  <c r="Q33" i="82"/>
  <c r="X150" i="94"/>
  <c r="Z147" i="83"/>
  <c r="X65" i="92"/>
  <c r="N114" i="90"/>
  <c r="Q25" i="74"/>
  <c r="Y160" i="94"/>
  <c r="Q142" i="88"/>
  <c r="AB142" i="74"/>
  <c r="L150" i="90"/>
  <c r="L85" i="85"/>
  <c r="Y123" i="94"/>
  <c r="M25" i="82"/>
  <c r="Y167" i="94"/>
  <c r="Z153" i="82"/>
  <c r="Z86" i="90"/>
  <c r="L69" i="91"/>
  <c r="O102" i="82"/>
  <c r="Z64" i="90"/>
  <c r="X53" i="94"/>
  <c r="O114" i="84"/>
  <c r="AA141" i="93"/>
  <c r="Q61" i="84"/>
  <c r="Q112" i="91"/>
  <c r="P25" i="90"/>
  <c r="X53" i="83"/>
  <c r="L135" i="85"/>
  <c r="N72" i="84"/>
  <c r="AA81" i="92"/>
  <c r="M17" i="91"/>
  <c r="L137" i="81"/>
  <c r="Z94" i="89"/>
  <c r="Q63" i="89"/>
  <c r="Y43" i="93"/>
  <c r="Q155" i="82"/>
  <c r="M27" i="82"/>
  <c r="O153" i="89"/>
  <c r="P109" i="94"/>
  <c r="L76" i="82"/>
  <c r="Q86" i="84"/>
  <c r="AA134" i="83"/>
  <c r="Z84" i="87"/>
  <c r="O77" i="91"/>
  <c r="AA88" i="84"/>
  <c r="Q126" i="92"/>
  <c r="L132" i="82"/>
  <c r="N144" i="85"/>
  <c r="Q150" i="87"/>
  <c r="AB75" i="90"/>
  <c r="Q116" i="91"/>
  <c r="M29" i="87"/>
  <c r="O163" i="82"/>
  <c r="P84" i="93"/>
  <c r="O108" i="85"/>
  <c r="X95" i="91"/>
  <c r="Q142" i="83"/>
  <c r="Y107" i="81"/>
  <c r="Q156" i="94"/>
  <c r="L153" i="81"/>
  <c r="Z129" i="81"/>
  <c r="M55" i="84"/>
  <c r="AA11" i="88"/>
  <c r="AA99" i="88"/>
  <c r="P29" i="74"/>
  <c r="L151" i="89"/>
  <c r="Y39" i="81"/>
  <c r="P157" i="92"/>
  <c r="AA88" i="85"/>
  <c r="Y154" i="90"/>
  <c r="O33" i="74"/>
  <c r="O37" i="93"/>
  <c r="P85" i="90"/>
  <c r="AB93" i="89"/>
  <c r="N141" i="92"/>
  <c r="AA133" i="81"/>
  <c r="AB51" i="93"/>
  <c r="P76" i="82"/>
  <c r="N87" i="89"/>
  <c r="AA74" i="83"/>
  <c r="P168" i="91"/>
  <c r="X156" i="93"/>
  <c r="AB123" i="83"/>
  <c r="P68" i="82"/>
  <c r="AB57" i="91"/>
  <c r="AB17" i="82"/>
  <c r="Q100" i="90"/>
  <c r="AB19" i="87"/>
  <c r="O112" i="87"/>
  <c r="Z89" i="93"/>
  <c r="P81" i="82"/>
  <c r="O103" i="87"/>
  <c r="X112" i="92"/>
  <c r="Q43" i="89"/>
  <c r="L64" i="81"/>
  <c r="X23" i="89"/>
  <c r="Q27" i="87"/>
  <c r="Y137" i="74"/>
  <c r="AB53" i="74"/>
  <c r="O33" i="82"/>
  <c r="Q135" i="81"/>
  <c r="O150" i="94"/>
  <c r="X31" i="88"/>
  <c r="O82" i="83"/>
  <c r="P157" i="82"/>
  <c r="M19" i="87"/>
  <c r="O157" i="91"/>
  <c r="M51" i="91"/>
  <c r="N81" i="84"/>
  <c r="AA19" i="90"/>
  <c r="O59" i="93"/>
  <c r="Z71" i="88"/>
  <c r="AB140" i="89"/>
  <c r="L139" i="81"/>
  <c r="X142" i="85"/>
  <c r="O69" i="83"/>
  <c r="P152" i="93"/>
  <c r="AA73" i="81"/>
  <c r="Q162" i="92"/>
  <c r="AB47" i="82"/>
  <c r="AB19" i="89"/>
  <c r="Z125" i="81"/>
  <c r="Z130" i="74"/>
  <c r="O71" i="94"/>
  <c r="Z13" i="93"/>
  <c r="AA160" i="94"/>
  <c r="X17" i="83"/>
  <c r="P51" i="93"/>
  <c r="Z77" i="89"/>
  <c r="X25" i="84"/>
  <c r="M45" i="89"/>
  <c r="L127" i="85"/>
  <c r="Q72" i="83"/>
  <c r="N147" i="83"/>
  <c r="Q107" i="90"/>
  <c r="AB132" i="89"/>
  <c r="Z85" i="93"/>
  <c r="P79" i="92"/>
  <c r="AA69" i="87"/>
  <c r="AA9" i="84"/>
  <c r="L70" i="91"/>
  <c r="O43" i="93"/>
  <c r="Z158" i="88"/>
  <c r="Q72" i="93"/>
  <c r="O158" i="85"/>
  <c r="O129" i="92"/>
  <c r="X102" i="91"/>
  <c r="O108" i="84"/>
  <c r="X69" i="93"/>
  <c r="Z145" i="83"/>
  <c r="P86" i="91"/>
  <c r="Z51" i="94"/>
  <c r="Y29" i="91"/>
  <c r="X149" i="84"/>
  <c r="O11" i="83"/>
  <c r="AA112" i="87"/>
  <c r="P83" i="82"/>
  <c r="AB127" i="91"/>
  <c r="AB86" i="83"/>
  <c r="L75" i="82"/>
  <c r="AA82" i="88"/>
  <c r="O126" i="88"/>
  <c r="Y82" i="81"/>
  <c r="P97" i="83"/>
  <c r="X137" i="88"/>
  <c r="Q133" i="90"/>
  <c r="Y74" i="87"/>
  <c r="O61" i="92"/>
  <c r="O127" i="83"/>
  <c r="Q141" i="84"/>
  <c r="AB81" i="90"/>
  <c r="Z81" i="92"/>
  <c r="L152" i="82"/>
  <c r="AA154" i="90"/>
  <c r="M13" i="92"/>
  <c r="AA142" i="89"/>
  <c r="AB11" i="85"/>
  <c r="Y49" i="94"/>
  <c r="O33" i="94"/>
  <c r="Z79" i="74"/>
  <c r="AB69" i="92"/>
  <c r="AB108" i="90"/>
  <c r="AB151" i="84"/>
  <c r="M11" i="85"/>
  <c r="P78" i="89"/>
  <c r="P99" i="74"/>
  <c r="AB45" i="94"/>
  <c r="Q63" i="93"/>
  <c r="O70" i="74"/>
  <c r="O136" i="81"/>
  <c r="AA75" i="92"/>
  <c r="AA84" i="88"/>
  <c r="L136" i="89"/>
  <c r="Z130" i="93"/>
  <c r="X13" i="88"/>
  <c r="O17" i="88"/>
  <c r="Q110" i="93"/>
  <c r="X159" i="90"/>
  <c r="Y45" i="89"/>
  <c r="Y47" i="87"/>
  <c r="P29" i="88"/>
  <c r="X143" i="84"/>
  <c r="AA139" i="92"/>
  <c r="P31" i="91"/>
  <c r="Q146" i="89"/>
  <c r="AB158" i="87"/>
  <c r="AB9" i="81"/>
  <c r="N72" i="88"/>
  <c r="Y110" i="83"/>
  <c r="Z131" i="92"/>
  <c r="Q81" i="81"/>
  <c r="N141" i="81"/>
  <c r="AB125" i="81"/>
  <c r="O95" i="94"/>
  <c r="Q29" i="93"/>
  <c r="L79" i="85"/>
  <c r="AB100" i="88"/>
  <c r="X86" i="90"/>
  <c r="AB127" i="74"/>
  <c r="X143" i="93"/>
  <c r="P86" i="88"/>
  <c r="O133" i="81"/>
  <c r="Q82" i="94"/>
  <c r="O81" i="94"/>
  <c r="L159" i="81"/>
  <c r="AB11" i="83"/>
  <c r="L86" i="90"/>
  <c r="AB80" i="81"/>
  <c r="X155" i="81"/>
  <c r="O25" i="74"/>
  <c r="Q19" i="84"/>
  <c r="Q167" i="84"/>
  <c r="AB78" i="82"/>
  <c r="Z152" i="94"/>
  <c r="O78" i="93"/>
  <c r="O156" i="90"/>
  <c r="Z121" i="83"/>
  <c r="AA35" i="92"/>
  <c r="Z112" i="91"/>
  <c r="Z78" i="91"/>
  <c r="Q49" i="94"/>
  <c r="L135" i="88"/>
  <c r="Z83" i="81"/>
  <c r="Y93" i="93"/>
  <c r="L121" i="87"/>
  <c r="AB97" i="91"/>
  <c r="X162" i="92"/>
  <c r="AA138" i="74"/>
  <c r="Z13" i="82"/>
  <c r="Q130" i="83"/>
  <c r="N126" i="91"/>
  <c r="X77" i="82"/>
  <c r="AA19" i="84"/>
  <c r="Y70" i="74"/>
  <c r="Q72" i="90"/>
  <c r="Q39" i="89"/>
  <c r="AB21" i="83"/>
  <c r="O158" i="94"/>
  <c r="Z151" i="87"/>
  <c r="P128" i="91"/>
  <c r="Q79" i="87"/>
  <c r="L152" i="92"/>
  <c r="P82" i="91"/>
  <c r="L124" i="82"/>
  <c r="AB112" i="83"/>
  <c r="P78" i="88"/>
  <c r="Z100" i="90"/>
  <c r="Q132" i="82"/>
  <c r="X148" i="87"/>
  <c r="L159" i="87"/>
  <c r="AA75" i="88"/>
  <c r="O86" i="87"/>
  <c r="Q79" i="85"/>
  <c r="Q94" i="92"/>
  <c r="Z47" i="83"/>
  <c r="L77" i="94"/>
  <c r="O150" i="92"/>
  <c r="O104" i="82"/>
  <c r="O88" i="85"/>
  <c r="O139" i="81"/>
  <c r="Q72" i="89"/>
  <c r="Y137" i="93"/>
  <c r="L128" i="84"/>
  <c r="O147" i="89"/>
  <c r="Z154" i="81"/>
  <c r="N123" i="90"/>
  <c r="AB96" i="85"/>
  <c r="Q78" i="85"/>
  <c r="X33" i="92"/>
  <c r="Z159" i="92"/>
  <c r="Z155" i="91"/>
  <c r="Y25" i="85"/>
  <c r="Z153" i="90"/>
  <c r="Z111" i="81"/>
  <c r="O37" i="84"/>
  <c r="AA72" i="91"/>
  <c r="Q43" i="93"/>
  <c r="Q13" i="82"/>
  <c r="Q80" i="82"/>
  <c r="Y156" i="93"/>
  <c r="O98" i="88"/>
  <c r="Z49" i="92"/>
  <c r="O76" i="81"/>
  <c r="Q13" i="92"/>
  <c r="AB9" i="92"/>
  <c r="X64" i="88"/>
  <c r="Y75" i="92"/>
  <c r="Q150" i="94"/>
  <c r="P152" i="74"/>
  <c r="L154" i="93"/>
  <c r="Y23" i="87"/>
  <c r="P35" i="87"/>
  <c r="AB151" i="74"/>
  <c r="L73" i="81"/>
  <c r="P117" i="91"/>
  <c r="Y166" i="74"/>
  <c r="AB11" i="90"/>
  <c r="AA37" i="85"/>
  <c r="O140" i="89"/>
  <c r="P77" i="88"/>
  <c r="Y133" i="88"/>
  <c r="N102" i="90"/>
  <c r="Z90" i="74"/>
  <c r="L134" i="74"/>
  <c r="L86" i="92"/>
  <c r="N159" i="82"/>
  <c r="X81" i="84"/>
  <c r="AB126" i="91"/>
  <c r="P157" i="74"/>
  <c r="AA158" i="74"/>
  <c r="Y158" i="81"/>
  <c r="Q159" i="74"/>
  <c r="L156" i="92"/>
  <c r="Y154" i="89"/>
  <c r="P75" i="94"/>
  <c r="X77" i="88"/>
  <c r="P15" i="92"/>
  <c r="L121" i="85"/>
  <c r="O99" i="85"/>
  <c r="N15" i="88"/>
  <c r="Q165" i="82"/>
  <c r="O111" i="74"/>
  <c r="Z136" i="81"/>
  <c r="X120" i="82"/>
  <c r="AA57" i="74"/>
  <c r="AB133" i="87"/>
  <c r="AA41" i="84"/>
  <c r="Z122" i="88"/>
  <c r="AB78" i="89"/>
  <c r="N120" i="92"/>
  <c r="Y167" i="81"/>
  <c r="M43" i="83"/>
  <c r="AB150" i="91"/>
  <c r="Z29" i="85"/>
  <c r="AB133" i="85"/>
  <c r="O84" i="83"/>
  <c r="O88" i="93"/>
  <c r="L150" i="81"/>
  <c r="O111" i="89"/>
  <c r="L146" i="92"/>
  <c r="Y156" i="81"/>
  <c r="Q89" i="88"/>
  <c r="M15" i="74"/>
  <c r="Z166" i="91"/>
  <c r="AB132" i="92"/>
  <c r="AB31" i="84"/>
  <c r="Y119" i="74"/>
  <c r="L97" i="84"/>
  <c r="Y130" i="90"/>
  <c r="AA161" i="91"/>
  <c r="Q162" i="81"/>
  <c r="AB85" i="90"/>
  <c r="M11" i="88"/>
  <c r="L157" i="88"/>
  <c r="O110" i="90"/>
  <c r="AB151" i="87"/>
  <c r="P110" i="88"/>
  <c r="O147" i="74"/>
  <c r="L75" i="87"/>
  <c r="Y79" i="87"/>
  <c r="X23" i="74"/>
  <c r="P156" i="90"/>
  <c r="O83" i="83"/>
  <c r="O97" i="88"/>
  <c r="Q39" i="85"/>
  <c r="P159" i="91"/>
  <c r="AB133" i="82"/>
  <c r="O106" i="88"/>
  <c r="O103" i="74"/>
  <c r="AA77" i="87"/>
  <c r="AB130" i="88"/>
  <c r="Z121" i="81"/>
  <c r="O21" i="89"/>
  <c r="O119" i="82"/>
  <c r="X144" i="94"/>
  <c r="Q140" i="89"/>
  <c r="P108" i="83"/>
  <c r="Y158" i="87"/>
  <c r="O135" i="81"/>
  <c r="P136" i="94"/>
  <c r="Q133" i="91"/>
  <c r="O139" i="82"/>
  <c r="AA112" i="94"/>
  <c r="X145" i="94"/>
  <c r="O31" i="89"/>
  <c r="Q55" i="90"/>
  <c r="AA108" i="90"/>
  <c r="AB75" i="91"/>
  <c r="Q134" i="87"/>
  <c r="Z27" i="94"/>
  <c r="N84" i="89"/>
  <c r="AA37" i="94"/>
  <c r="L132" i="90"/>
  <c r="X129" i="84"/>
  <c r="O76" i="90"/>
  <c r="Q101" i="92"/>
  <c r="AA77" i="91"/>
  <c r="Z89" i="91"/>
  <c r="O101" i="88"/>
  <c r="O142" i="91"/>
  <c r="Y102" i="88"/>
  <c r="L72" i="92"/>
  <c r="P102" i="74"/>
  <c r="X23" i="91"/>
  <c r="X85" i="91"/>
  <c r="O115" i="84"/>
  <c r="AB134" i="84"/>
  <c r="AA9" i="85"/>
  <c r="AB81" i="82"/>
  <c r="Z45" i="89"/>
  <c r="L159" i="90"/>
  <c r="X81" i="87"/>
  <c r="Q137" i="91"/>
  <c r="O43" i="90"/>
  <c r="Z146" i="89"/>
  <c r="AA112" i="82"/>
  <c r="O41" i="92"/>
  <c r="Z153" i="92"/>
  <c r="P99" i="92"/>
  <c r="Z79" i="82"/>
  <c r="Z81" i="74"/>
  <c r="M61" i="89"/>
  <c r="Q74" i="81"/>
  <c r="Y73" i="87"/>
  <c r="O78" i="89"/>
  <c r="AA89" i="93"/>
  <c r="O133" i="91"/>
  <c r="AB77" i="82"/>
  <c r="Z64" i="74"/>
  <c r="AB158" i="74"/>
  <c r="O29" i="84"/>
  <c r="Q153" i="91"/>
  <c r="Q162" i="74"/>
  <c r="AB87" i="92"/>
  <c r="Q65" i="81"/>
  <c r="Z133" i="83"/>
  <c r="Y118" i="84"/>
  <c r="M21" i="88"/>
  <c r="O19" i="88"/>
  <c r="Y35" i="90"/>
  <c r="O55" i="84"/>
  <c r="N21" i="85"/>
  <c r="L146" i="74"/>
  <c r="Q152" i="92"/>
  <c r="Z144" i="90"/>
  <c r="AB129" i="90"/>
  <c r="Y76" i="91"/>
  <c r="M21" i="87"/>
  <c r="P98" i="93"/>
  <c r="AA57" i="84"/>
  <c r="L158" i="92"/>
  <c r="Z76" i="85"/>
  <c r="O29" i="74"/>
  <c r="X157" i="91"/>
  <c r="Z80" i="87"/>
  <c r="AA125" i="87"/>
  <c r="P13" i="83"/>
  <c r="AA79" i="83"/>
  <c r="Q99" i="85"/>
  <c r="O101" i="85"/>
  <c r="P85" i="82"/>
  <c r="P19" i="84"/>
  <c r="O41" i="88"/>
  <c r="O159" i="82"/>
  <c r="Q76" i="85"/>
  <c r="Y75" i="82"/>
  <c r="AB19" i="85"/>
  <c r="L130" i="87"/>
  <c r="N153" i="82"/>
  <c r="X133" i="85"/>
  <c r="Q148" i="90"/>
  <c r="Q89" i="85"/>
  <c r="AB70" i="91"/>
  <c r="Z83" i="94"/>
  <c r="L111" i="93"/>
  <c r="Q103" i="88"/>
  <c r="Z133" i="90"/>
  <c r="L160" i="87"/>
  <c r="L81" i="93"/>
  <c r="M31" i="84"/>
  <c r="Y138" i="91"/>
  <c r="Q88" i="83"/>
  <c r="Z159" i="85"/>
  <c r="Y127" i="93"/>
  <c r="Y69" i="91"/>
  <c r="AB29" i="81"/>
  <c r="L143" i="83"/>
  <c r="Q97" i="85"/>
  <c r="N123" i="83"/>
  <c r="L159" i="84"/>
  <c r="Z137" i="84"/>
  <c r="X13" i="92"/>
  <c r="M21" i="90"/>
  <c r="AB132" i="93"/>
  <c r="AB84" i="90"/>
  <c r="Y122" i="85"/>
  <c r="Y124" i="88"/>
  <c r="AA43" i="84"/>
  <c r="AB139" i="94"/>
  <c r="Q90" i="90"/>
  <c r="O35" i="81"/>
  <c r="P29" i="87"/>
  <c r="AB113" i="93"/>
  <c r="O142" i="93"/>
  <c r="M61" i="83"/>
  <c r="Q87" i="85"/>
  <c r="O21" i="82"/>
  <c r="P125" i="74"/>
  <c r="AA154" i="94"/>
  <c r="P161" i="91"/>
  <c r="Z138" i="74"/>
  <c r="Z75" i="93"/>
  <c r="Y109" i="81"/>
  <c r="Y117" i="89"/>
  <c r="L146" i="82"/>
  <c r="X145" i="91"/>
  <c r="O152" i="94"/>
  <c r="AA69" i="90"/>
  <c r="AB119" i="92"/>
  <c r="AA135" i="94"/>
  <c r="AB117" i="93"/>
  <c r="L133" i="83"/>
  <c r="Y162" i="94"/>
  <c r="AA15" i="74"/>
  <c r="AA51" i="94"/>
  <c r="X152" i="87"/>
  <c r="Q155" i="74"/>
  <c r="X135" i="91"/>
  <c r="Z165" i="88"/>
  <c r="Z142" i="87"/>
  <c r="Q66" i="83"/>
  <c r="O119" i="83"/>
  <c r="Z135" i="83"/>
  <c r="Q93" i="90"/>
  <c r="L112" i="85"/>
  <c r="O135" i="90"/>
  <c r="Q143" i="90"/>
  <c r="Q93" i="84"/>
  <c r="O97" i="93"/>
  <c r="Y39" i="90"/>
  <c r="Q27" i="88"/>
  <c r="Y105" i="87"/>
  <c r="Q15" i="87"/>
  <c r="P33" i="93"/>
  <c r="Y25" i="84"/>
  <c r="O129" i="83"/>
  <c r="X161" i="74"/>
  <c r="O107" i="88"/>
  <c r="AB13" i="81"/>
  <c r="P164" i="83"/>
  <c r="X43" i="87"/>
  <c r="Q153" i="85"/>
  <c r="O57" i="93"/>
  <c r="AA146" i="91"/>
  <c r="L63" i="91"/>
  <c r="P11" i="90"/>
  <c r="P83" i="85"/>
  <c r="Y115" i="83"/>
  <c r="Z132" i="82"/>
  <c r="AB133" i="74"/>
  <c r="M43" i="74"/>
  <c r="X126" i="74"/>
  <c r="Z19" i="93"/>
  <c r="Q126" i="93"/>
  <c r="X84" i="89"/>
  <c r="AA140" i="90"/>
  <c r="Q94" i="94"/>
  <c r="Y101" i="94"/>
  <c r="N75" i="74"/>
  <c r="AA139" i="82"/>
  <c r="AA86" i="85"/>
  <c r="Z15" i="85"/>
  <c r="AA153" i="88"/>
  <c r="L133" i="89"/>
  <c r="Z25" i="93"/>
  <c r="Y111" i="90"/>
  <c r="Y159" i="84"/>
  <c r="P15" i="74"/>
  <c r="L115" i="84"/>
  <c r="M61" i="81"/>
  <c r="AB9" i="91"/>
  <c r="X116" i="92"/>
  <c r="Q69" i="85"/>
  <c r="Z141" i="90"/>
  <c r="X143" i="85"/>
  <c r="P29" i="91"/>
  <c r="O122" i="91"/>
  <c r="Q150" i="82"/>
  <c r="P13" i="92"/>
  <c r="P130" i="83"/>
  <c r="X121" i="94"/>
  <c r="N150" i="83"/>
  <c r="O137" i="81"/>
  <c r="AB124" i="91"/>
  <c r="Q102" i="91"/>
  <c r="P107" i="84"/>
  <c r="O153" i="74"/>
  <c r="Q81" i="83"/>
  <c r="Y130" i="93"/>
  <c r="AA126" i="82"/>
  <c r="Q19" i="74"/>
  <c r="N21" i="74"/>
  <c r="O127" i="88"/>
  <c r="AA140" i="88"/>
  <c r="AB111" i="88"/>
  <c r="O135" i="92"/>
  <c r="AB71" i="89"/>
  <c r="Q157" i="93"/>
  <c r="AB72" i="84"/>
  <c r="N141" i="93"/>
  <c r="AB147" i="74"/>
  <c r="X162" i="85"/>
  <c r="L74" i="85"/>
  <c r="L75" i="84"/>
  <c r="Y131" i="81"/>
  <c r="N84" i="84"/>
  <c r="X74" i="85"/>
  <c r="Z25" i="81"/>
  <c r="Q29" i="94"/>
  <c r="P146" i="89"/>
  <c r="Q143" i="93"/>
  <c r="M41" i="81"/>
  <c r="Q123" i="90"/>
  <c r="Z72" i="84"/>
  <c r="O25" i="88"/>
  <c r="AB73" i="74"/>
  <c r="L76" i="92"/>
  <c r="X69" i="74"/>
  <c r="Q123" i="93"/>
  <c r="X130" i="88"/>
  <c r="AA122" i="85"/>
  <c r="X152" i="85"/>
  <c r="P29" i="89"/>
  <c r="P158" i="92"/>
  <c r="Q140" i="88"/>
  <c r="O90" i="89"/>
  <c r="Q15" i="85"/>
  <c r="Y72" i="85"/>
  <c r="AA136" i="83"/>
  <c r="O101" i="74"/>
  <c r="X76" i="94"/>
  <c r="L72" i="89"/>
  <c r="P21" i="87"/>
  <c r="AA119" i="88"/>
  <c r="AA147" i="92"/>
  <c r="AB79" i="94"/>
  <c r="M49" i="94"/>
  <c r="P67" i="92"/>
  <c r="AB98" i="94"/>
  <c r="P156" i="93"/>
  <c r="Z79" i="89"/>
  <c r="Z74" i="88"/>
  <c r="O81" i="81"/>
  <c r="O69" i="94"/>
  <c r="Q160" i="74"/>
  <c r="AA110" i="81"/>
  <c r="P151" i="81"/>
  <c r="O67" i="84"/>
  <c r="P78" i="94"/>
  <c r="Y152" i="92"/>
  <c r="Y124" i="93"/>
  <c r="L137" i="82"/>
  <c r="O103" i="83"/>
  <c r="P57" i="83"/>
  <c r="X78" i="83"/>
  <c r="P53" i="89"/>
  <c r="Q102" i="92"/>
  <c r="O142" i="90"/>
  <c r="O64" i="84"/>
  <c r="AA45" i="74"/>
  <c r="O107" i="74"/>
  <c r="Y110" i="89"/>
  <c r="P78" i="91"/>
  <c r="X73" i="94"/>
  <c r="AB158" i="83"/>
  <c r="Y83" i="89"/>
  <c r="L140" i="87"/>
  <c r="Z159" i="93"/>
  <c r="AB97" i="83"/>
  <c r="O112" i="91"/>
  <c r="L79" i="82"/>
  <c r="AB64" i="81"/>
  <c r="Y164" i="88"/>
  <c r="AB76" i="83"/>
  <c r="L128" i="88"/>
  <c r="P35" i="93"/>
  <c r="Y45" i="82"/>
  <c r="AB155" i="89"/>
  <c r="X142" i="74"/>
  <c r="O43" i="81"/>
  <c r="Z19" i="83"/>
  <c r="Y163" i="91"/>
  <c r="L120" i="92"/>
  <c r="Z83" i="91"/>
  <c r="M61" i="82"/>
  <c r="X135" i="92"/>
  <c r="L84" i="83"/>
  <c r="Q127" i="84"/>
  <c r="X43" i="92"/>
  <c r="AB97" i="89"/>
  <c r="Y79" i="82"/>
  <c r="AB45" i="84"/>
  <c r="O109" i="90"/>
  <c r="Z157" i="84"/>
  <c r="X84" i="87"/>
  <c r="O160" i="91"/>
  <c r="AA138" i="83"/>
  <c r="Q84" i="89"/>
  <c r="AB135" i="81"/>
  <c r="L76" i="85"/>
  <c r="Z99" i="84"/>
  <c r="Z110" i="92"/>
  <c r="O143" i="92"/>
  <c r="O108" i="88"/>
  <c r="Y101" i="90"/>
  <c r="Q143" i="87"/>
  <c r="Z128" i="88"/>
  <c r="Q133" i="92"/>
  <c r="L132" i="83"/>
  <c r="P98" i="92"/>
  <c r="L135" i="90"/>
  <c r="Q9" i="81"/>
  <c r="Y17" i="82"/>
  <c r="P140" i="83"/>
  <c r="O143" i="88"/>
  <c r="Y23" i="92"/>
  <c r="L73" i="89"/>
  <c r="Q136" i="94"/>
  <c r="O102" i="90"/>
  <c r="AB87" i="87"/>
  <c r="Y153" i="88"/>
  <c r="Z69" i="88"/>
  <c r="AB151" i="94"/>
  <c r="X65" i="89"/>
  <c r="X90" i="89"/>
  <c r="P81" i="94"/>
  <c r="Z99" i="87"/>
  <c r="AB99" i="83"/>
  <c r="Y74" i="88"/>
  <c r="AA129" i="82"/>
  <c r="L80" i="88"/>
  <c r="O100" i="94"/>
  <c r="Z99" i="91"/>
  <c r="AA162" i="83"/>
  <c r="N27" i="82"/>
  <c r="Q96" i="82"/>
  <c r="AB97" i="81"/>
  <c r="M11" i="87"/>
  <c r="Z69" i="90"/>
  <c r="Z69" i="94"/>
  <c r="Q153" i="88"/>
  <c r="Z112" i="82"/>
  <c r="O100" i="93"/>
  <c r="M57" i="87"/>
  <c r="N27" i="89"/>
  <c r="AA74" i="85"/>
  <c r="Y159" i="74"/>
  <c r="Q13" i="85"/>
  <c r="O144" i="74"/>
  <c r="AB85" i="89"/>
  <c r="O75" i="84"/>
  <c r="Q162" i="89"/>
  <c r="AA78" i="81"/>
  <c r="AB39" i="94"/>
  <c r="AB31" i="94"/>
  <c r="P33" i="89"/>
  <c r="Y17" i="93"/>
  <c r="P115" i="81"/>
  <c r="Y163" i="74"/>
  <c r="Z142" i="88"/>
  <c r="X122" i="87"/>
  <c r="P78" i="83"/>
  <c r="AA43" i="92"/>
  <c r="P61" i="94"/>
  <c r="AA75" i="84"/>
  <c r="Y142" i="88"/>
  <c r="O123" i="85"/>
  <c r="O150" i="83"/>
  <c r="AB135" i="87"/>
  <c r="Q154" i="81"/>
  <c r="X115" i="91"/>
  <c r="AB156" i="89"/>
  <c r="P72" i="88"/>
  <c r="M43" i="91"/>
  <c r="AB9" i="88"/>
  <c r="O89" i="91"/>
  <c r="O113" i="92"/>
  <c r="X140" i="84"/>
  <c r="Y158" i="90"/>
  <c r="P153" i="92"/>
  <c r="AB101" i="85"/>
  <c r="AA157" i="93"/>
  <c r="Z93" i="81"/>
  <c r="Z79" i="90"/>
  <c r="Z71" i="84"/>
  <c r="X76" i="85"/>
  <c r="X85" i="92"/>
  <c r="Y155" i="88"/>
  <c r="M25" i="88"/>
  <c r="AA121" i="82"/>
  <c r="O59" i="83"/>
  <c r="N114" i="93"/>
  <c r="Y23" i="84"/>
  <c r="AA9" i="94"/>
  <c r="P110" i="89"/>
  <c r="O69" i="74"/>
  <c r="AA71" i="92"/>
  <c r="L80" i="94"/>
  <c r="AB156" i="84"/>
  <c r="X122" i="89"/>
  <c r="P51" i="92"/>
  <c r="X70" i="94"/>
  <c r="Q156" i="91"/>
  <c r="AB23" i="82"/>
  <c r="Y45" i="93"/>
  <c r="O117" i="91"/>
  <c r="P154" i="90"/>
  <c r="AB78" i="84"/>
  <c r="O104" i="89"/>
  <c r="P97" i="89"/>
  <c r="AA61" i="94"/>
  <c r="L78" i="82"/>
  <c r="L159" i="74"/>
  <c r="AA13" i="83"/>
  <c r="Y95" i="85"/>
  <c r="L99" i="89"/>
  <c r="AA43" i="81"/>
  <c r="AB79" i="83"/>
  <c r="Z23" i="92"/>
  <c r="P109" i="74"/>
  <c r="Z80" i="89"/>
  <c r="X13" i="91"/>
  <c r="AA80" i="74"/>
  <c r="Z11" i="87"/>
  <c r="AB80" i="83"/>
  <c r="O166" i="83"/>
  <c r="X128" i="88"/>
  <c r="Y79" i="74"/>
  <c r="Y82" i="82"/>
  <c r="AA99" i="84"/>
  <c r="P27" i="87"/>
  <c r="O159" i="84"/>
  <c r="Q77" i="94"/>
  <c r="Q151" i="85"/>
  <c r="O25" i="83"/>
  <c r="N105" i="88"/>
  <c r="Y96" i="85"/>
  <c r="Y110" i="88"/>
  <c r="P98" i="89"/>
  <c r="P167" i="89"/>
  <c r="Y78" i="89"/>
  <c r="Q63" i="83"/>
  <c r="O144" i="91"/>
  <c r="Z86" i="81"/>
  <c r="M35" i="84"/>
  <c r="M9" i="84"/>
  <c r="Q139" i="88"/>
  <c r="Y69" i="85"/>
  <c r="Z141" i="87"/>
  <c r="Q70" i="83"/>
  <c r="X158" i="91"/>
  <c r="X15" i="91"/>
  <c r="L151" i="92"/>
  <c r="X80" i="87"/>
  <c r="P19" i="90"/>
  <c r="X17" i="94"/>
  <c r="Q147" i="92"/>
  <c r="M17" i="94"/>
  <c r="P27" i="81"/>
  <c r="Y113" i="90"/>
  <c r="O110" i="84"/>
  <c r="Y99" i="92"/>
  <c r="Z65" i="85"/>
  <c r="Q153" i="89"/>
  <c r="O117" i="90"/>
  <c r="O117" i="88"/>
  <c r="Q151" i="94"/>
  <c r="Z129" i="87"/>
  <c r="O11" i="94"/>
  <c r="Z29" i="90"/>
  <c r="N81" i="90"/>
  <c r="L98" i="74"/>
  <c r="Z113" i="87"/>
  <c r="N75" i="88"/>
  <c r="O25" i="81"/>
  <c r="O105" i="83"/>
  <c r="AB164" i="91"/>
  <c r="O93" i="91"/>
  <c r="X150" i="91"/>
  <c r="X133" i="87"/>
  <c r="Q100" i="83"/>
  <c r="Y31" i="85"/>
  <c r="AB23" i="90"/>
  <c r="AA76" i="74"/>
  <c r="Y25" i="82"/>
  <c r="Q111" i="82"/>
  <c r="O105" i="91"/>
  <c r="X82" i="91"/>
  <c r="Y166" i="83"/>
  <c r="Z65" i="90"/>
  <c r="AB135" i="94"/>
  <c r="P153" i="93"/>
  <c r="Y161" i="93"/>
  <c r="L85" i="92"/>
  <c r="P41" i="91"/>
  <c r="Y158" i="85"/>
  <c r="AA161" i="89"/>
  <c r="X77" i="90"/>
  <c r="Q123" i="88"/>
  <c r="P71" i="81"/>
  <c r="AA51" i="82"/>
  <c r="X134" i="92"/>
  <c r="P153" i="85"/>
  <c r="L147" i="82"/>
  <c r="Q63" i="81"/>
  <c r="Z72" i="93"/>
  <c r="AA82" i="74"/>
  <c r="O139" i="87"/>
  <c r="AA159" i="91"/>
  <c r="AB75" i="94"/>
  <c r="L156" i="88"/>
  <c r="AB73" i="81"/>
  <c r="O77" i="84"/>
  <c r="AA158" i="92"/>
  <c r="Q23" i="87"/>
  <c r="Z136" i="90"/>
  <c r="Z55" i="83"/>
  <c r="O74" i="82"/>
  <c r="Y151" i="74"/>
  <c r="O17" i="81"/>
  <c r="O37" i="85"/>
  <c r="O86" i="85"/>
  <c r="X29" i="74"/>
  <c r="Z70" i="74"/>
  <c r="M59" i="84"/>
  <c r="Z146" i="74"/>
  <c r="Z161" i="88"/>
  <c r="L143" i="84"/>
  <c r="P77" i="84"/>
  <c r="AA141" i="92"/>
  <c r="Q137" i="93"/>
  <c r="L64" i="83"/>
  <c r="Y27" i="91"/>
  <c r="Z114" i="92"/>
  <c r="AA81" i="91"/>
  <c r="Q90" i="93"/>
  <c r="Y77" i="87"/>
  <c r="Z111" i="88"/>
  <c r="N147" i="74"/>
  <c r="Q70" i="93"/>
  <c r="O116" i="81"/>
  <c r="L155" i="92"/>
  <c r="M59" i="81"/>
  <c r="AB33" i="81"/>
  <c r="Q137" i="74"/>
  <c r="O23" i="74"/>
  <c r="N135" i="94"/>
  <c r="Z11" i="91"/>
  <c r="O106" i="89"/>
  <c r="AB157" i="94"/>
  <c r="Z163" i="91"/>
  <c r="AA138" i="91"/>
  <c r="M15" i="89"/>
  <c r="L74" i="89"/>
  <c r="X39" i="82"/>
  <c r="X117" i="85"/>
  <c r="Q159" i="85"/>
  <c r="Z137" i="85"/>
  <c r="L108" i="88"/>
  <c r="O37" i="88"/>
  <c r="L120" i="87"/>
  <c r="Q93" i="87"/>
  <c r="AB39" i="83"/>
  <c r="L153" i="84"/>
  <c r="Y131" i="94"/>
  <c r="Z141" i="82"/>
  <c r="Q100" i="87"/>
  <c r="L150" i="82"/>
  <c r="O112" i="83"/>
  <c r="Z98" i="90"/>
  <c r="AA76" i="92"/>
  <c r="AA33" i="83"/>
  <c r="Q19" i="87"/>
  <c r="Q110" i="82"/>
  <c r="Q59" i="81"/>
  <c r="P123" i="84"/>
  <c r="L135" i="89"/>
  <c r="O65" i="85"/>
  <c r="O107" i="94"/>
  <c r="Y61" i="74"/>
  <c r="AB160" i="90"/>
  <c r="Z98" i="84"/>
  <c r="P152" i="94"/>
  <c r="Z136" i="85"/>
  <c r="O117" i="83"/>
  <c r="O106" i="84"/>
  <c r="O31" i="84"/>
  <c r="Z148" i="94"/>
  <c r="P66" i="90"/>
  <c r="AA39" i="87"/>
  <c r="AA161" i="81"/>
  <c r="Q73" i="88"/>
  <c r="O156" i="93"/>
  <c r="AB53" i="84"/>
  <c r="AB147" i="87"/>
  <c r="Y43" i="94"/>
  <c r="Q90" i="82"/>
  <c r="AA145" i="83"/>
  <c r="Z82" i="85"/>
  <c r="X148" i="88"/>
  <c r="X127" i="94"/>
  <c r="X161" i="82"/>
  <c r="O162" i="89"/>
  <c r="AB31" i="92"/>
  <c r="L160" i="88"/>
  <c r="M53" i="84"/>
  <c r="N15" i="84"/>
  <c r="M59" i="87"/>
  <c r="Z130" i="87"/>
  <c r="AA133" i="85"/>
  <c r="Y101" i="88"/>
  <c r="AA84" i="94"/>
  <c r="AB155" i="85"/>
  <c r="AB157" i="91"/>
  <c r="Y70" i="84"/>
  <c r="O129" i="87"/>
  <c r="L109" i="93"/>
  <c r="AA85" i="88"/>
  <c r="O116" i="84"/>
  <c r="X71" i="85"/>
  <c r="P78" i="84"/>
  <c r="X126" i="85"/>
  <c r="Q162" i="84"/>
  <c r="L137" i="89"/>
  <c r="Y82" i="74"/>
  <c r="M53" i="88"/>
  <c r="Z95" i="84"/>
  <c r="O9" i="74"/>
  <c r="P139" i="82"/>
  <c r="L83" i="87"/>
  <c r="N111" i="81"/>
  <c r="P151" i="92"/>
  <c r="X25" i="93"/>
  <c r="O91" i="83"/>
  <c r="P109" i="92"/>
  <c r="Z163" i="92"/>
  <c r="AA158" i="91"/>
  <c r="AA112" i="81"/>
  <c r="O98" i="74"/>
  <c r="Z21" i="88"/>
  <c r="Z156" i="88"/>
  <c r="P95" i="83"/>
  <c r="AB152" i="88"/>
  <c r="P69" i="74"/>
  <c r="L130" i="90"/>
  <c r="Y132" i="84"/>
  <c r="P49" i="92"/>
  <c r="AA21" i="83"/>
  <c r="P108" i="93"/>
  <c r="O41" i="81"/>
  <c r="X129" i="93"/>
  <c r="L85" i="89"/>
  <c r="L99" i="88"/>
  <c r="AB134" i="93"/>
  <c r="O75" i="88"/>
  <c r="O37" i="90"/>
  <c r="AB118" i="94"/>
  <c r="Q132" i="87"/>
  <c r="P125" i="84"/>
  <c r="Q155" i="88"/>
  <c r="P96" i="94"/>
  <c r="Y96" i="87"/>
  <c r="Y27" i="94"/>
  <c r="O165" i="94"/>
  <c r="P112" i="91"/>
  <c r="X119" i="74"/>
  <c r="O91" i="85"/>
  <c r="AB134" i="83"/>
  <c r="X84" i="83"/>
  <c r="Z31" i="94"/>
  <c r="P126" i="84"/>
  <c r="P11" i="89"/>
  <c r="Y99" i="84"/>
  <c r="AB125" i="87"/>
  <c r="X88" i="92"/>
  <c r="X39" i="93"/>
  <c r="M31" i="91"/>
  <c r="O45" i="92"/>
  <c r="AA103" i="91"/>
  <c r="O86" i="91"/>
  <c r="P155" i="85"/>
  <c r="AB15" i="89"/>
  <c r="AA21" i="94"/>
  <c r="AB13" i="83"/>
  <c r="O64" i="81"/>
  <c r="Q157" i="88"/>
  <c r="N105" i="85"/>
  <c r="Z45" i="94"/>
  <c r="Y98" i="82"/>
  <c r="X33" i="91"/>
  <c r="Z142" i="94"/>
  <c r="L65" i="88"/>
  <c r="Q84" i="74"/>
  <c r="Y129" i="81"/>
  <c r="Q135" i="88"/>
  <c r="Q89" i="74"/>
  <c r="Y113" i="84"/>
  <c r="O134" i="74"/>
  <c r="X55" i="89"/>
  <c r="N165" i="92"/>
  <c r="L157" i="89"/>
  <c r="Y49" i="90"/>
  <c r="Y158" i="83"/>
  <c r="Y75" i="89"/>
  <c r="O116" i="91"/>
  <c r="Q77" i="91"/>
  <c r="AB115" i="82"/>
  <c r="O164" i="91"/>
  <c r="AA95" i="90"/>
  <c r="AB27" i="88"/>
  <c r="X74" i="92"/>
  <c r="P89" i="88"/>
  <c r="AA129" i="84"/>
  <c r="N129" i="74"/>
  <c r="AA94" i="90"/>
  <c r="O137" i="87"/>
  <c r="AB156" i="85"/>
  <c r="M15" i="88"/>
  <c r="X160" i="91"/>
  <c r="AA63" i="89"/>
  <c r="O102" i="92"/>
  <c r="P81" i="90"/>
  <c r="O82" i="87"/>
  <c r="P139" i="94"/>
  <c r="AA23" i="91"/>
  <c r="P74" i="81"/>
  <c r="L146" i="88"/>
  <c r="AA77" i="88"/>
  <c r="L142" i="87"/>
  <c r="Y49" i="91"/>
  <c r="X71" i="88"/>
  <c r="M33" i="83"/>
  <c r="P160" i="87"/>
  <c r="Q9" i="92"/>
  <c r="Y131" i="89"/>
  <c r="Z136" i="91"/>
  <c r="P69" i="89"/>
  <c r="P129" i="91"/>
  <c r="P143" i="82"/>
  <c r="Z154" i="82"/>
  <c r="X136" i="90"/>
  <c r="Q63" i="82"/>
  <c r="P138" i="90"/>
  <c r="AA9" i="90"/>
  <c r="O157" i="92"/>
  <c r="O17" i="74"/>
  <c r="AA45" i="90"/>
  <c r="X75" i="85"/>
  <c r="X155" i="74"/>
  <c r="X141" i="92"/>
  <c r="M27" i="94"/>
  <c r="L156" i="94"/>
  <c r="O141" i="91"/>
  <c r="O101" i="83"/>
  <c r="Y77" i="93"/>
  <c r="P64" i="83"/>
  <c r="AA129" i="83"/>
  <c r="Z151" i="92"/>
  <c r="P33" i="88"/>
  <c r="Q105" i="91"/>
  <c r="O17" i="94"/>
  <c r="P70" i="89"/>
  <c r="AA80" i="88"/>
  <c r="O39" i="93"/>
  <c r="L96" i="92"/>
  <c r="M13" i="90"/>
  <c r="L100" i="87"/>
  <c r="Z41" i="84"/>
  <c r="AA78" i="82"/>
  <c r="AA142" i="85"/>
  <c r="AB139" i="85"/>
  <c r="P156" i="87"/>
  <c r="AA72" i="83"/>
  <c r="AA72" i="89"/>
  <c r="Y41" i="91"/>
  <c r="Z86" i="74"/>
  <c r="L96" i="93"/>
  <c r="Y85" i="81"/>
  <c r="Z73" i="94"/>
  <c r="O43" i="85"/>
  <c r="Q138" i="84"/>
  <c r="Y80" i="92"/>
  <c r="L113" i="90"/>
  <c r="AA83" i="85"/>
  <c r="O154" i="87"/>
  <c r="X72" i="89"/>
  <c r="M41" i="93"/>
  <c r="P166" i="92"/>
  <c r="O49" i="85"/>
  <c r="AB73" i="82"/>
  <c r="AB157" i="92"/>
  <c r="X151" i="93"/>
  <c r="X82" i="90"/>
  <c r="Z13" i="87"/>
  <c r="L73" i="88"/>
  <c r="Q97" i="84"/>
  <c r="AB157" i="81"/>
  <c r="AB136" i="74"/>
  <c r="O82" i="90"/>
  <c r="O31" i="81"/>
  <c r="Z129" i="90"/>
  <c r="X51" i="87"/>
  <c r="P83" i="84"/>
  <c r="Q15" i="92"/>
  <c r="X21" i="90"/>
  <c r="L77" i="82"/>
  <c r="AB145" i="90"/>
  <c r="AB141" i="90"/>
  <c r="Y78" i="85"/>
  <c r="N21" i="84"/>
  <c r="AA134" i="82"/>
  <c r="L146" i="83"/>
  <c r="Q123" i="82"/>
  <c r="P104" i="82"/>
  <c r="Q69" i="90"/>
  <c r="Q73" i="90"/>
  <c r="Y77" i="84"/>
  <c r="AB127" i="85"/>
  <c r="AA151" i="74"/>
  <c r="Y160" i="88"/>
  <c r="AA97" i="94"/>
  <c r="P76" i="81"/>
  <c r="L99" i="87"/>
  <c r="Z139" i="74"/>
  <c r="Q85" i="84"/>
  <c r="O101" i="89"/>
  <c r="Y151" i="89"/>
  <c r="O100" i="92"/>
  <c r="AB69" i="94"/>
  <c r="X132" i="93"/>
  <c r="P142" i="88"/>
  <c r="L161" i="94"/>
  <c r="Z69" i="93"/>
  <c r="O157" i="83"/>
  <c r="O153" i="93"/>
  <c r="Q141" i="90"/>
  <c r="Q70" i="94"/>
  <c r="Q37" i="82"/>
  <c r="Z104" i="84"/>
  <c r="AA133" i="94"/>
  <c r="AA90" i="85"/>
  <c r="Y145" i="91"/>
  <c r="AB116" i="85"/>
  <c r="X19" i="83"/>
  <c r="O75" i="87"/>
  <c r="AA150" i="94"/>
  <c r="P162" i="82"/>
  <c r="Z37" i="91"/>
  <c r="AA99" i="85"/>
  <c r="AB19" i="82"/>
  <c r="Y11" i="82"/>
  <c r="O146" i="90"/>
  <c r="M17" i="83"/>
  <c r="L121" i="88"/>
  <c r="Y77" i="91"/>
  <c r="P129" i="88"/>
  <c r="O136" i="84"/>
  <c r="AB142" i="89"/>
  <c r="Q75" i="91"/>
  <c r="P49" i="93"/>
  <c r="O158" i="90"/>
  <c r="Y47" i="84"/>
  <c r="AB57" i="81"/>
  <c r="AA37" i="82"/>
  <c r="AB133" i="91"/>
  <c r="AB98" i="89"/>
  <c r="AB91" i="89"/>
  <c r="AB115" i="93"/>
  <c r="N69" i="92"/>
  <c r="Z134" i="89"/>
  <c r="Z129" i="88"/>
  <c r="Q165" i="87"/>
  <c r="P155" i="94"/>
  <c r="Q130" i="94"/>
  <c r="X165" i="87"/>
  <c r="AB107" i="91"/>
  <c r="Z104" i="91"/>
  <c r="O41" i="94"/>
  <c r="Y153" i="87"/>
  <c r="AA121" i="93"/>
  <c r="N135" i="91"/>
  <c r="N15" i="91"/>
  <c r="V121" i="88" l="1"/>
  <c r="U18" i="83"/>
  <c r="U17" i="83"/>
  <c r="V161" i="94"/>
  <c r="V99" i="87"/>
  <c r="V146" i="83"/>
  <c r="V77" i="82"/>
  <c r="V73" i="88"/>
  <c r="U42" i="93"/>
  <c r="U41" i="93"/>
  <c r="V113" i="90"/>
  <c r="V96" i="93"/>
  <c r="V100" i="87"/>
  <c r="U14" i="90"/>
  <c r="U13" i="90"/>
  <c r="V96" i="92"/>
  <c r="V156" i="94"/>
  <c r="U27" i="94"/>
  <c r="U28" i="94"/>
  <c r="U33" i="83"/>
  <c r="U34" i="83"/>
  <c r="V142" i="87"/>
  <c r="V146" i="88"/>
  <c r="U15" i="88"/>
  <c r="U16" i="88"/>
  <c r="V157" i="89"/>
  <c r="V65" i="88"/>
  <c r="U32" i="91"/>
  <c r="U31" i="91"/>
  <c r="V99" i="88"/>
  <c r="V85" i="89"/>
  <c r="V130" i="90"/>
  <c r="V83" i="87"/>
  <c r="U54" i="88"/>
  <c r="U53" i="88"/>
  <c r="V137" i="89"/>
  <c r="V109" i="93"/>
  <c r="U59" i="87"/>
  <c r="U60" i="87"/>
  <c r="U54" i="84"/>
  <c r="U53" i="84"/>
  <c r="V160" i="88"/>
  <c r="V135" i="89"/>
  <c r="V150" i="82"/>
  <c r="V153" i="84"/>
  <c r="V120" i="87"/>
  <c r="V108" i="88"/>
  <c r="V74" i="89"/>
  <c r="U15" i="89"/>
  <c r="U16" i="89"/>
  <c r="U59" i="81"/>
  <c r="U60" i="81"/>
  <c r="V155" i="92"/>
  <c r="V64" i="83"/>
  <c r="V143" i="84"/>
  <c r="U60" i="84"/>
  <c r="U59" i="84"/>
  <c r="V156" i="88"/>
  <c r="V147" i="82"/>
  <c r="V85" i="92"/>
  <c r="V98" i="74"/>
  <c r="U18" i="94"/>
  <c r="U17" i="94"/>
  <c r="V151" i="92"/>
  <c r="U10" i="84"/>
  <c r="U9" i="84"/>
  <c r="U36" i="84"/>
  <c r="U35" i="84"/>
  <c r="V99" i="89"/>
  <c r="V159" i="74"/>
  <c r="V78" i="82"/>
  <c r="V80" i="94"/>
  <c r="U26" i="88"/>
  <c r="U25" i="88"/>
  <c r="O172" i="91"/>
  <c r="O175" i="91" s="1"/>
  <c r="O178" i="91" s="1"/>
  <c r="O181" i="91" s="1"/>
  <c r="O184" i="91" s="1"/>
  <c r="U44" i="91"/>
  <c r="U43" i="91"/>
  <c r="U58" i="87"/>
  <c r="U57" i="87"/>
  <c r="U11" i="87"/>
  <c r="U12" i="87"/>
  <c r="V80" i="88"/>
  <c r="V73" i="89"/>
  <c r="V135" i="90"/>
  <c r="V132" i="83"/>
  <c r="V76" i="85"/>
  <c r="V84" i="83"/>
  <c r="U62" i="82"/>
  <c r="U61" i="82"/>
  <c r="V120" i="92"/>
  <c r="V128" i="88"/>
  <c r="V79" i="82"/>
  <c r="V140" i="87"/>
  <c r="V137" i="82"/>
  <c r="U49" i="94"/>
  <c r="U50" i="94"/>
  <c r="V72" i="89"/>
  <c r="V76" i="92"/>
  <c r="U41" i="81"/>
  <c r="U42" i="81"/>
  <c r="V75" i="84"/>
  <c r="V74" i="85"/>
  <c r="U61" i="81"/>
  <c r="U62" i="81"/>
  <c r="V115" i="84"/>
  <c r="V133" i="89"/>
  <c r="U43" i="74"/>
  <c r="U44" i="74"/>
  <c r="V63" i="91"/>
  <c r="V112" i="85"/>
  <c r="V133" i="83"/>
  <c r="V146" i="82"/>
  <c r="U62" i="83"/>
  <c r="U61" i="83"/>
  <c r="U22" i="90"/>
  <c r="U21" i="90"/>
  <c r="V159" i="84"/>
  <c r="V143" i="83"/>
  <c r="U31" i="84"/>
  <c r="U32" i="84"/>
  <c r="V81" i="93"/>
  <c r="V160" i="87"/>
  <c r="V111" i="93"/>
  <c r="V130" i="87"/>
  <c r="V158" i="92"/>
  <c r="U22" i="87"/>
  <c r="U21" i="87"/>
  <c r="V146" i="74"/>
  <c r="U21" i="88"/>
  <c r="U22" i="88"/>
  <c r="U62" i="89"/>
  <c r="U61" i="89"/>
  <c r="V159" i="90"/>
  <c r="V72" i="92"/>
  <c r="V132" i="90"/>
  <c r="V75" i="87"/>
  <c r="V157" i="88"/>
  <c r="U12" i="88"/>
  <c r="U11" i="88"/>
  <c r="V97" i="84"/>
  <c r="U16" i="74"/>
  <c r="U15" i="74"/>
  <c r="V146" i="92"/>
  <c r="V150" i="81"/>
  <c r="U43" i="83"/>
  <c r="U44" i="83"/>
  <c r="V121" i="85"/>
  <c r="V156" i="92"/>
  <c r="V86" i="92"/>
  <c r="V134" i="74"/>
  <c r="V73" i="81"/>
  <c r="V154" i="93"/>
  <c r="V128" i="84"/>
  <c r="V77" i="94"/>
  <c r="V159" i="87"/>
  <c r="V124" i="82"/>
  <c r="V152" i="92"/>
  <c r="V121" i="87"/>
  <c r="V135" i="88"/>
  <c r="V86" i="90"/>
  <c r="V159" i="81"/>
  <c r="V79" i="85"/>
  <c r="V136" i="89"/>
  <c r="U11" i="85"/>
  <c r="U12" i="85"/>
  <c r="U13" i="92"/>
  <c r="U14" i="92"/>
  <c r="V152" i="82"/>
  <c r="V75" i="82"/>
  <c r="V70" i="91"/>
  <c r="V127" i="85"/>
  <c r="U45" i="89"/>
  <c r="U46" i="89"/>
  <c r="V139" i="81"/>
  <c r="U51" i="91"/>
  <c r="U52" i="91"/>
  <c r="U19" i="87"/>
  <c r="U20" i="87"/>
  <c r="V64" i="81"/>
  <c r="V151" i="89"/>
  <c r="U55" i="84"/>
  <c r="U56" i="84"/>
  <c r="V153" i="81"/>
  <c r="U30" i="87"/>
  <c r="U29" i="87"/>
  <c r="V132" i="82"/>
  <c r="V76" i="82"/>
  <c r="U27" i="82"/>
  <c r="U28" i="82"/>
  <c r="V137" i="81"/>
  <c r="U18" i="91"/>
  <c r="U17" i="91"/>
  <c r="V135" i="85"/>
  <c r="V69" i="91"/>
  <c r="U25" i="82"/>
  <c r="U26" i="82"/>
  <c r="V85" i="85"/>
  <c r="V150" i="90"/>
  <c r="V113" i="94"/>
  <c r="V69" i="74"/>
  <c r="U25" i="91"/>
  <c r="U26" i="91"/>
  <c r="V72" i="83"/>
  <c r="V76" i="83"/>
  <c r="U12" i="89"/>
  <c r="U11" i="89"/>
  <c r="V148" i="92"/>
  <c r="O173" i="91"/>
  <c r="O176" i="91" s="1"/>
  <c r="O179" i="91" s="1"/>
  <c r="O182" i="91" s="1"/>
  <c r="O185" i="91" s="1"/>
  <c r="V147" i="87"/>
  <c r="V167" i="94"/>
  <c r="U22" i="85"/>
  <c r="U21" i="85"/>
  <c r="U18" i="90"/>
  <c r="U17" i="90"/>
  <c r="V135" i="92"/>
  <c r="V129" i="89"/>
  <c r="V80" i="87"/>
  <c r="V115" i="94"/>
  <c r="V144" i="81"/>
  <c r="V160" i="82"/>
  <c r="V140" i="88"/>
  <c r="V118" i="90"/>
  <c r="U38" i="83"/>
  <c r="U37" i="83"/>
  <c r="V140" i="81"/>
  <c r="V144" i="84"/>
  <c r="V116" i="89"/>
  <c r="V145" i="87"/>
  <c r="U20" i="92"/>
  <c r="U19" i="92"/>
  <c r="V105" i="88"/>
  <c r="V145" i="84"/>
  <c r="U47" i="89"/>
  <c r="U48" i="89"/>
  <c r="V132" i="81"/>
  <c r="V113" i="83"/>
  <c r="V157" i="92"/>
  <c r="U41" i="84"/>
  <c r="U42" i="84"/>
  <c r="V68" i="85"/>
  <c r="V142" i="90"/>
  <c r="V74" i="88"/>
  <c r="V69" i="85"/>
  <c r="V74" i="81"/>
  <c r="V67" i="88"/>
  <c r="V80" i="85"/>
  <c r="V76" i="88"/>
  <c r="V144" i="82"/>
  <c r="V86" i="82"/>
  <c r="V63" i="88"/>
  <c r="V151" i="90"/>
  <c r="U23" i="74"/>
  <c r="U24" i="74"/>
  <c r="V145" i="92"/>
  <c r="U48" i="74"/>
  <c r="U47" i="74"/>
  <c r="V132" i="89"/>
  <c r="V130" i="88"/>
  <c r="U13" i="87"/>
  <c r="U14" i="87"/>
  <c r="V108" i="82"/>
  <c r="V125" i="88"/>
  <c r="V108" i="93"/>
  <c r="V136" i="85"/>
  <c r="V87" i="82"/>
  <c r="V148" i="84"/>
  <c r="V77" i="91"/>
  <c r="U29" i="82"/>
  <c r="U30" i="82"/>
  <c r="V133" i="81"/>
  <c r="U49" i="91"/>
  <c r="U50" i="91"/>
  <c r="U39" i="90"/>
  <c r="U40" i="90"/>
  <c r="V154" i="88"/>
  <c r="V140" i="82"/>
  <c r="V143" i="81"/>
  <c r="V125" i="81"/>
  <c r="V89" i="85"/>
  <c r="U44" i="92"/>
  <c r="U43" i="92"/>
  <c r="V100" i="92"/>
  <c r="V151" i="81"/>
  <c r="V84" i="94"/>
  <c r="V129" i="87"/>
  <c r="U44" i="81"/>
  <c r="U43" i="81"/>
  <c r="U12" i="93"/>
  <c r="U11" i="93"/>
  <c r="U40" i="81"/>
  <c r="U39" i="81"/>
  <c r="U23" i="90"/>
  <c r="U24" i="90"/>
  <c r="U30" i="74"/>
  <c r="U29" i="74"/>
  <c r="V85" i="88"/>
  <c r="V152" i="84"/>
  <c r="V131" i="93"/>
  <c r="V138" i="84"/>
  <c r="V151" i="82"/>
  <c r="V166" i="84"/>
  <c r="V148" i="85"/>
  <c r="V81" i="85"/>
  <c r="U59" i="83"/>
  <c r="U60" i="83"/>
  <c r="V96" i="89"/>
  <c r="U25" i="81"/>
  <c r="U26" i="81"/>
  <c r="V78" i="88"/>
  <c r="U14" i="84"/>
  <c r="U13" i="84"/>
  <c r="V143" i="89"/>
  <c r="V160" i="92"/>
  <c r="U19" i="88"/>
  <c r="U20" i="88"/>
  <c r="V86" i="94"/>
  <c r="V149" i="84"/>
  <c r="V143" i="82"/>
  <c r="V108" i="92"/>
  <c r="Q187" i="93"/>
  <c r="Q188" i="93" s="1"/>
  <c r="V98" i="81"/>
  <c r="U22" i="84"/>
  <c r="U21" i="84"/>
  <c r="V137" i="74"/>
  <c r="U30" i="85"/>
  <c r="U29" i="85"/>
  <c r="U62" i="84"/>
  <c r="U61" i="84"/>
  <c r="V73" i="83"/>
  <c r="V126" i="93"/>
  <c r="V129" i="88"/>
  <c r="V75" i="90"/>
  <c r="V137" i="85"/>
  <c r="V157" i="93"/>
  <c r="V111" i="90"/>
  <c r="V139" i="89"/>
  <c r="U56" i="90"/>
  <c r="U55" i="90"/>
  <c r="U25" i="83"/>
  <c r="U26" i="83"/>
  <c r="U10" i="91"/>
  <c r="U9" i="91"/>
  <c r="U40" i="87"/>
  <c r="U39" i="87"/>
  <c r="V153" i="83"/>
  <c r="V99" i="94"/>
  <c r="U13" i="88"/>
  <c r="U14" i="88"/>
  <c r="V139" i="82"/>
  <c r="V129" i="81"/>
  <c r="V79" i="92"/>
  <c r="U27" i="74"/>
  <c r="U28" i="74"/>
  <c r="V159" i="89"/>
  <c r="U48" i="92"/>
  <c r="U47" i="92"/>
  <c r="V121" i="83"/>
  <c r="V86" i="88"/>
  <c r="U62" i="90"/>
  <c r="U61" i="90"/>
  <c r="U49" i="82"/>
  <c r="U50" i="82"/>
  <c r="U61" i="91"/>
  <c r="U62" i="91"/>
  <c r="V161" i="81"/>
  <c r="U11" i="84"/>
  <c r="U12" i="84"/>
  <c r="V133" i="93"/>
  <c r="V113" i="81"/>
  <c r="V135" i="81"/>
  <c r="V85" i="90"/>
  <c r="V153" i="74"/>
  <c r="V147" i="93"/>
  <c r="V142" i="74"/>
  <c r="V92" i="74"/>
  <c r="V79" i="84"/>
  <c r="V93" i="84"/>
  <c r="V136" i="90"/>
  <c r="V135" i="83"/>
  <c r="V156" i="85"/>
  <c r="V104" i="81"/>
  <c r="V137" i="92"/>
  <c r="V145" i="90"/>
  <c r="V139" i="74"/>
  <c r="V73" i="85"/>
  <c r="U38" i="89"/>
  <c r="U37" i="89"/>
  <c r="V93" i="74"/>
  <c r="V140" i="84"/>
  <c r="U56" i="92"/>
  <c r="U55" i="92"/>
  <c r="V79" i="90"/>
  <c r="V160" i="81"/>
  <c r="V82" i="90"/>
  <c r="V103" i="83"/>
  <c r="U14" i="83"/>
  <c r="U13" i="83"/>
  <c r="V131" i="87"/>
  <c r="V81" i="94"/>
  <c r="V111" i="83"/>
  <c r="V130" i="81"/>
  <c r="U31" i="89"/>
  <c r="U32" i="89"/>
  <c r="V138" i="82"/>
  <c r="U17" i="92"/>
  <c r="U18" i="92"/>
  <c r="U9" i="81"/>
  <c r="U10" i="81"/>
  <c r="V113" i="89"/>
  <c r="V77" i="92"/>
  <c r="V109" i="89"/>
  <c r="V110" i="89"/>
  <c r="V111" i="85"/>
  <c r="V141" i="84"/>
  <c r="V67" i="84"/>
  <c r="U53" i="94"/>
  <c r="U54" i="94"/>
  <c r="V121" i="74"/>
  <c r="V148" i="93"/>
  <c r="V139" i="87"/>
  <c r="V113" i="88"/>
  <c r="V155" i="88"/>
  <c r="V150" i="93"/>
  <c r="U23" i="88"/>
  <c r="U24" i="88"/>
  <c r="V145" i="81"/>
  <c r="Q187" i="81"/>
  <c r="Q188" i="81" s="1"/>
  <c r="U13" i="93"/>
  <c r="U14" i="93"/>
  <c r="V163" i="81"/>
  <c r="U48" i="93"/>
  <c r="U47" i="93"/>
  <c r="V148" i="90"/>
  <c r="V95" i="84"/>
  <c r="V112" i="90"/>
  <c r="V88" i="89"/>
  <c r="V70" i="92"/>
  <c r="V68" i="93"/>
  <c r="V138" i="93"/>
  <c r="V127" i="74"/>
  <c r="V72" i="93"/>
  <c r="V115" i="89"/>
  <c r="V70" i="88"/>
  <c r="U62" i="92"/>
  <c r="U61" i="92"/>
  <c r="U59" i="82"/>
  <c r="U60" i="82"/>
  <c r="U21" i="93"/>
  <c r="U22" i="93"/>
  <c r="V71" i="91"/>
  <c r="V76" i="87"/>
  <c r="U20" i="89"/>
  <c r="U19" i="89"/>
  <c r="U29" i="91"/>
  <c r="U30" i="91"/>
  <c r="V151" i="94"/>
  <c r="V137" i="93"/>
  <c r="V149" i="89"/>
  <c r="V131" i="82"/>
  <c r="V98" i="87"/>
  <c r="V75" i="91"/>
  <c r="V83" i="90"/>
  <c r="V100" i="85"/>
  <c r="V152" i="94"/>
  <c r="V140" i="89"/>
  <c r="V152" i="81"/>
  <c r="U32" i="92"/>
  <c r="U31" i="92"/>
  <c r="U56" i="88"/>
  <c r="U55" i="88"/>
  <c r="V141" i="93"/>
  <c r="V144" i="87"/>
  <c r="V115" i="88"/>
  <c r="V71" i="88"/>
  <c r="V66" i="87"/>
  <c r="V76" i="91"/>
  <c r="U12" i="82"/>
  <c r="U11" i="82"/>
  <c r="V160" i="83"/>
  <c r="V122" i="87"/>
  <c r="V122" i="91"/>
  <c r="V79" i="88"/>
  <c r="U22" i="89"/>
  <c r="U21" i="89"/>
  <c r="V82" i="92"/>
  <c r="V75" i="81"/>
  <c r="V67" i="81"/>
  <c r="V100" i="74"/>
  <c r="V158" i="83"/>
  <c r="U29" i="83"/>
  <c r="U30" i="83"/>
  <c r="U46" i="93"/>
  <c r="U45" i="93"/>
  <c r="V136" i="87"/>
  <c r="U16" i="84"/>
  <c r="U15" i="84"/>
  <c r="V137" i="90"/>
  <c r="V66" i="94"/>
  <c r="U36" i="82"/>
  <c r="U35" i="82"/>
  <c r="V149" i="74"/>
  <c r="V93" i="90"/>
  <c r="V72" i="74"/>
  <c r="V156" i="81"/>
  <c r="V156" i="89"/>
  <c r="V145" i="85"/>
  <c r="U44" i="94"/>
  <c r="U43" i="94"/>
  <c r="V152" i="74"/>
  <c r="V78" i="81"/>
  <c r="V153" i="89"/>
  <c r="U38" i="94"/>
  <c r="U37" i="94"/>
  <c r="V140" i="85"/>
  <c r="V85" i="91"/>
  <c r="V122" i="85"/>
  <c r="V150" i="89"/>
  <c r="V134" i="82"/>
  <c r="V124" i="81"/>
  <c r="U22" i="92"/>
  <c r="U21" i="92"/>
  <c r="V150" i="83"/>
  <c r="U19" i="93"/>
  <c r="U20" i="93"/>
  <c r="U32" i="85"/>
  <c r="U31" i="85"/>
  <c r="U59" i="85"/>
  <c r="U60" i="85"/>
  <c r="V94" i="81"/>
  <c r="V90" i="74"/>
  <c r="V95" i="85"/>
  <c r="V162" i="89"/>
  <c r="V140" i="74"/>
  <c r="V82" i="87"/>
  <c r="U29" i="93"/>
  <c r="U30" i="93"/>
  <c r="U38" i="93"/>
  <c r="U37" i="93"/>
  <c r="V154" i="94"/>
  <c r="U9" i="90"/>
  <c r="U10" i="90"/>
  <c r="V82" i="91"/>
  <c r="U56" i="91"/>
  <c r="U55" i="91"/>
  <c r="V141" i="81"/>
  <c r="V160" i="90"/>
  <c r="V83" i="94"/>
  <c r="V80" i="89"/>
  <c r="U16" i="92"/>
  <c r="U15" i="92"/>
  <c r="V100" i="83"/>
  <c r="V112" i="82"/>
  <c r="V83" i="93"/>
  <c r="V81" i="83"/>
  <c r="V157" i="81"/>
  <c r="V139" i="92"/>
  <c r="V103" i="88"/>
  <c r="V164" i="90"/>
  <c r="U57" i="93"/>
  <c r="U58" i="93"/>
  <c r="V84" i="84"/>
  <c r="U35" i="94"/>
  <c r="U36" i="94"/>
  <c r="V141" i="88"/>
  <c r="V158" i="87"/>
  <c r="V128" i="94"/>
  <c r="V96" i="81"/>
  <c r="U49" i="88"/>
  <c r="U50" i="88"/>
  <c r="U53" i="91"/>
  <c r="U54" i="91"/>
  <c r="V77" i="87"/>
  <c r="V94" i="85"/>
  <c r="V151" i="84"/>
  <c r="V96" i="82"/>
  <c r="V122" i="88"/>
  <c r="V133" i="90"/>
  <c r="V69" i="84"/>
  <c r="V100" i="89"/>
  <c r="V129" i="84"/>
  <c r="V161" i="88"/>
  <c r="V156" i="90"/>
  <c r="U25" i="84"/>
  <c r="U26" i="84"/>
  <c r="V71" i="87"/>
  <c r="V109" i="90"/>
  <c r="U54" i="85"/>
  <c r="U53" i="85"/>
  <c r="V144" i="74"/>
  <c r="U37" i="84"/>
  <c r="U38" i="84"/>
  <c r="U48" i="83"/>
  <c r="U47" i="83"/>
  <c r="V137" i="83"/>
  <c r="U44" i="85"/>
  <c r="U43" i="85"/>
  <c r="V127" i="90"/>
  <c r="U48" i="90"/>
  <c r="U47" i="90"/>
  <c r="V101" i="92"/>
  <c r="U32" i="82"/>
  <c r="U31" i="82"/>
  <c r="U14" i="91"/>
  <c r="U13" i="91"/>
  <c r="V98" i="83"/>
  <c r="V152" i="85"/>
  <c r="V98" i="85"/>
  <c r="V143" i="92"/>
  <c r="U29" i="92"/>
  <c r="U30" i="92"/>
  <c r="V71" i="81"/>
  <c r="V97" i="82"/>
  <c r="V138" i="81"/>
  <c r="V135" i="94"/>
  <c r="V136" i="93"/>
  <c r="V154" i="82"/>
  <c r="V65" i="94"/>
  <c r="V134" i="90"/>
  <c r="V70" i="81"/>
  <c r="V96" i="88"/>
  <c r="V123" i="74"/>
  <c r="U55" i="82"/>
  <c r="U56" i="82"/>
  <c r="V157" i="83"/>
  <c r="U49" i="92"/>
  <c r="U50" i="92"/>
  <c r="V142" i="93"/>
  <c r="U48" i="94"/>
  <c r="U47" i="94"/>
  <c r="V122" i="92"/>
  <c r="V154" i="85"/>
  <c r="U61" i="88"/>
  <c r="U62" i="88"/>
  <c r="V85" i="93"/>
  <c r="V71" i="94"/>
  <c r="V81" i="89"/>
  <c r="U62" i="85"/>
  <c r="U61" i="85"/>
  <c r="U53" i="82"/>
  <c r="U54" i="82"/>
  <c r="V101" i="84"/>
  <c r="V79" i="81"/>
  <c r="V112" i="81"/>
  <c r="U50" i="90"/>
  <c r="U49" i="90"/>
  <c r="V112" i="83"/>
  <c r="V165" i="83"/>
  <c r="U32" i="90"/>
  <c r="U31" i="90"/>
  <c r="V158" i="85"/>
  <c r="V134" i="84"/>
  <c r="U20" i="90"/>
  <c r="U19" i="90"/>
  <c r="V140" i="92"/>
  <c r="V161" i="85"/>
  <c r="V136" i="88"/>
  <c r="U26" i="85"/>
  <c r="U25" i="85"/>
  <c r="V157" i="82"/>
  <c r="V147" i="74"/>
  <c r="V95" i="87"/>
  <c r="V145" i="74"/>
  <c r="V86" i="93"/>
  <c r="V144" i="83"/>
  <c r="V96" i="74"/>
  <c r="U16" i="91"/>
  <c r="U15" i="91"/>
  <c r="V80" i="81"/>
  <c r="V72" i="87"/>
  <c r="V149" i="94"/>
  <c r="V77" i="89"/>
  <c r="V76" i="90"/>
  <c r="V154" i="83"/>
  <c r="V79" i="93"/>
  <c r="V63" i="87"/>
  <c r="V157" i="87"/>
  <c r="V109" i="92"/>
  <c r="V129" i="83"/>
  <c r="V101" i="88"/>
  <c r="V150" i="87"/>
  <c r="U22" i="83"/>
  <c r="U21" i="83"/>
  <c r="V134" i="94"/>
  <c r="V83" i="92"/>
  <c r="V143" i="74"/>
  <c r="V109" i="85"/>
  <c r="V73" i="87"/>
  <c r="U38" i="85"/>
  <c r="U37" i="85"/>
  <c r="V147" i="92"/>
  <c r="V145" i="88"/>
  <c r="V101" i="83"/>
  <c r="V151" i="87"/>
  <c r="V74" i="87"/>
  <c r="V153" i="93"/>
  <c r="U19" i="74"/>
  <c r="U20" i="74"/>
  <c r="V75" i="83"/>
  <c r="V131" i="94"/>
  <c r="V144" i="93"/>
  <c r="V96" i="87"/>
  <c r="U44" i="88"/>
  <c r="U43" i="88"/>
  <c r="V132" i="92"/>
  <c r="U59" i="93"/>
  <c r="U60" i="93"/>
  <c r="U47" i="84"/>
  <c r="U48" i="84"/>
  <c r="V150" i="74"/>
  <c r="V72" i="94"/>
  <c r="V115" i="92"/>
  <c r="V121" i="92"/>
  <c r="U46" i="94"/>
  <c r="U45" i="94"/>
  <c r="V90" i="90"/>
  <c r="U36" i="90"/>
  <c r="U35" i="90"/>
  <c r="V77" i="83"/>
  <c r="V88" i="93"/>
  <c r="V110" i="88"/>
  <c r="V130" i="84"/>
  <c r="V166" i="87"/>
  <c r="V157" i="74"/>
  <c r="V68" i="84"/>
  <c r="V154" i="92"/>
  <c r="V118" i="92"/>
  <c r="V146" i="90"/>
  <c r="V84" i="90"/>
  <c r="V148" i="94"/>
  <c r="V68" i="81"/>
  <c r="V155" i="85"/>
  <c r="U28" i="87"/>
  <c r="U27" i="87"/>
  <c r="V71" i="90"/>
  <c r="U42" i="94"/>
  <c r="U41" i="94"/>
  <c r="V129" i="90"/>
  <c r="V95" i="92"/>
  <c r="Q187" i="89"/>
  <c r="Q188" i="89" s="1"/>
  <c r="V167" i="93"/>
  <c r="V92" i="84"/>
  <c r="V102" i="93"/>
  <c r="V159" i="82"/>
  <c r="V89" i="83"/>
  <c r="V136" i="81"/>
  <c r="U9" i="94"/>
  <c r="U10" i="94"/>
  <c r="V97" i="90"/>
  <c r="U60" i="94"/>
  <c r="U59" i="94"/>
  <c r="V97" i="83"/>
  <c r="Q187" i="84"/>
  <c r="Q188" i="84" s="1"/>
  <c r="U18" i="82"/>
  <c r="U17" i="82"/>
  <c r="V77" i="88"/>
  <c r="U30" i="81"/>
  <c r="U29" i="81"/>
  <c r="V82" i="93"/>
  <c r="V148" i="87"/>
  <c r="V146" i="84"/>
  <c r="U42" i="87"/>
  <c r="U41" i="87"/>
  <c r="V83" i="84"/>
  <c r="V106" i="87"/>
  <c r="V161" i="87"/>
  <c r="V124" i="88"/>
  <c r="U60" i="91"/>
  <c r="U59" i="91"/>
  <c r="U52" i="83"/>
  <c r="U51" i="83"/>
  <c r="U56" i="93"/>
  <c r="U55" i="93"/>
  <c r="V131" i="88"/>
  <c r="V117" i="87"/>
  <c r="U28" i="85"/>
  <c r="U27" i="85"/>
  <c r="V94" i="90"/>
  <c r="V65" i="92"/>
  <c r="V72" i="90"/>
  <c r="V157" i="94"/>
  <c r="V110" i="74"/>
  <c r="V131" i="81"/>
  <c r="V78" i="74"/>
  <c r="V149" i="81"/>
  <c r="V110" i="87"/>
  <c r="V152" i="87"/>
  <c r="U25" i="89"/>
  <c r="U26" i="89"/>
  <c r="V141" i="82"/>
  <c r="V84" i="82"/>
  <c r="V99" i="83"/>
  <c r="V133" i="94"/>
  <c r="V139" i="90"/>
  <c r="V98" i="93"/>
  <c r="U55" i="83"/>
  <c r="U56" i="83"/>
  <c r="V125" i="74"/>
  <c r="V115" i="83"/>
  <c r="V101" i="94"/>
  <c r="V84" i="87"/>
  <c r="U24" i="89"/>
  <c r="U23" i="89"/>
  <c r="V101" i="87"/>
  <c r="V86" i="89"/>
  <c r="V162" i="84"/>
  <c r="V81" i="82"/>
  <c r="U23" i="93"/>
  <c r="U24" i="93"/>
  <c r="V150" i="85"/>
  <c r="V116" i="82"/>
  <c r="V144" i="90"/>
  <c r="V155" i="84"/>
  <c r="V118" i="89"/>
  <c r="V82" i="83"/>
  <c r="U53" i="93"/>
  <c r="U54" i="93"/>
  <c r="V92" i="89"/>
  <c r="U55" i="74"/>
  <c r="U56" i="74"/>
  <c r="V142" i="89"/>
  <c r="V103" i="85"/>
  <c r="V138" i="87"/>
  <c r="V151" i="88"/>
  <c r="V120" i="93"/>
  <c r="V73" i="82"/>
  <c r="V110" i="93"/>
  <c r="V154" i="84"/>
  <c r="V153" i="92"/>
  <c r="V107" i="82"/>
  <c r="V103" i="92"/>
  <c r="V74" i="83"/>
  <c r="V129" i="74"/>
  <c r="V109" i="82"/>
  <c r="U20" i="82"/>
  <c r="U19" i="82"/>
  <c r="V108" i="74"/>
  <c r="U15" i="87"/>
  <c r="U16" i="87"/>
  <c r="V138" i="89"/>
  <c r="V63" i="82"/>
  <c r="U28" i="88"/>
  <c r="U27" i="88"/>
  <c r="V161" i="90"/>
  <c r="V67" i="91"/>
  <c r="V68" i="90"/>
  <c r="V123" i="81"/>
  <c r="V165" i="81"/>
  <c r="V145" i="82"/>
  <c r="U37" i="91"/>
  <c r="U38" i="91"/>
  <c r="V78" i="92"/>
  <c r="V143" i="93"/>
  <c r="V79" i="74"/>
  <c r="V158" i="89"/>
  <c r="U27" i="81"/>
  <c r="U28" i="81"/>
  <c r="V78" i="87"/>
  <c r="V148" i="74"/>
  <c r="U11" i="83"/>
  <c r="U12" i="83"/>
  <c r="V158" i="74"/>
  <c r="U24" i="83"/>
  <c r="U23" i="83"/>
  <c r="V159" i="94"/>
  <c r="U17" i="81"/>
  <c r="U18" i="81"/>
  <c r="U44" i="84"/>
  <c r="U43" i="84"/>
  <c r="V126" i="82"/>
  <c r="V125" i="92"/>
  <c r="V96" i="83"/>
  <c r="V83" i="82"/>
  <c r="V91" i="94"/>
  <c r="V159" i="85"/>
  <c r="V142" i="81"/>
  <c r="V84" i="74"/>
  <c r="U12" i="81"/>
  <c r="U11" i="81"/>
  <c r="V120" i="81"/>
  <c r="V85" i="87"/>
  <c r="V80" i="93"/>
  <c r="V69" i="82"/>
  <c r="U9" i="82"/>
  <c r="U10" i="82"/>
  <c r="V78" i="94"/>
  <c r="V117" i="90"/>
  <c r="U18" i="88"/>
  <c r="U17" i="88"/>
  <c r="V161" i="74"/>
  <c r="V127" i="94"/>
  <c r="V78" i="83"/>
  <c r="V130" i="94"/>
  <c r="U43" i="89"/>
  <c r="U44" i="89"/>
  <c r="U47" i="81"/>
  <c r="U48" i="81"/>
  <c r="V166" i="89"/>
  <c r="V112" i="93"/>
  <c r="U54" i="83"/>
  <c r="U53" i="83"/>
  <c r="V97" i="88"/>
  <c r="V81" i="84"/>
  <c r="V164" i="94"/>
  <c r="V65" i="85"/>
  <c r="U42" i="91"/>
  <c r="U41" i="91"/>
  <c r="V160" i="94"/>
  <c r="V126" i="89"/>
  <c r="V152" i="88"/>
  <c r="V71" i="85"/>
  <c r="U36" i="81"/>
  <c r="U35" i="81"/>
  <c r="U62" i="87"/>
  <c r="U61" i="87"/>
  <c r="V154" i="87"/>
  <c r="V75" i="85"/>
  <c r="V102" i="92"/>
  <c r="V128" i="93"/>
  <c r="V110" i="83"/>
  <c r="V107" i="93"/>
  <c r="U60" i="88"/>
  <c r="U59" i="88"/>
  <c r="V67" i="74"/>
  <c r="V124" i="87"/>
  <c r="V69" i="92"/>
  <c r="V99" i="93"/>
  <c r="V114" i="83"/>
  <c r="V136" i="94"/>
  <c r="V110" i="92"/>
  <c r="V136" i="82"/>
  <c r="V91" i="74"/>
  <c r="V85" i="81"/>
  <c r="V119" i="93"/>
  <c r="Q187" i="82"/>
  <c r="Q188" i="82" s="1"/>
  <c r="V136" i="92"/>
  <c r="V120" i="89"/>
  <c r="V63" i="74"/>
  <c r="U26" i="87"/>
  <c r="U25" i="87"/>
  <c r="V69" i="90"/>
  <c r="V155" i="74"/>
  <c r="U13" i="94"/>
  <c r="U14" i="94"/>
  <c r="V131" i="83"/>
  <c r="V82" i="84"/>
  <c r="V79" i="91"/>
  <c r="V85" i="84"/>
  <c r="V164" i="81"/>
  <c r="V159" i="92"/>
  <c r="V77" i="93"/>
  <c r="V156" i="74"/>
  <c r="V96" i="94"/>
  <c r="V124" i="92"/>
  <c r="U22" i="82"/>
  <c r="U21" i="82"/>
  <c r="V156" i="87"/>
  <c r="U59" i="90"/>
  <c r="U60" i="90"/>
  <c r="V76" i="94"/>
  <c r="V104" i="83"/>
  <c r="V133" i="82"/>
  <c r="V67" i="85"/>
  <c r="V98" i="94"/>
  <c r="U30" i="94"/>
  <c r="U29" i="94"/>
  <c r="V111" i="89"/>
  <c r="V138" i="94"/>
  <c r="U11" i="91"/>
  <c r="U12" i="91"/>
  <c r="V133" i="84"/>
  <c r="V152" i="90"/>
  <c r="V93" i="89"/>
  <c r="U39" i="93"/>
  <c r="U40" i="93"/>
  <c r="V86" i="87"/>
  <c r="V155" i="93"/>
  <c r="V133" i="92"/>
  <c r="U48" i="85"/>
  <c r="U47" i="85"/>
  <c r="V70" i="83"/>
  <c r="V124" i="74"/>
  <c r="V147" i="90"/>
  <c r="U19" i="94"/>
  <c r="U20" i="94"/>
  <c r="V102" i="87"/>
  <c r="U35" i="74"/>
  <c r="U36" i="74"/>
  <c r="V63" i="94"/>
  <c r="V120" i="88"/>
  <c r="U27" i="93"/>
  <c r="U28" i="93"/>
  <c r="V139" i="88"/>
  <c r="V109" i="87"/>
  <c r="U35" i="91"/>
  <c r="U36" i="91"/>
  <c r="V160" i="93"/>
  <c r="V115" i="87"/>
  <c r="V164" i="92"/>
  <c r="V79" i="87"/>
  <c r="U23" i="87"/>
  <c r="U24" i="87"/>
  <c r="V114" i="74"/>
  <c r="U26" i="74"/>
  <c r="U25" i="74"/>
  <c r="V85" i="94"/>
  <c r="V149" i="87"/>
  <c r="V152" i="93"/>
  <c r="U18" i="93"/>
  <c r="U17" i="93"/>
  <c r="V99" i="90"/>
  <c r="V74" i="90"/>
  <c r="V134" i="93"/>
  <c r="V94" i="87"/>
  <c r="V65" i="81"/>
  <c r="V74" i="93"/>
  <c r="V145" i="83"/>
  <c r="V139" i="94"/>
  <c r="U13" i="81"/>
  <c r="U14" i="81"/>
  <c r="V73" i="74"/>
  <c r="U53" i="92"/>
  <c r="U54" i="92"/>
  <c r="V134" i="81"/>
  <c r="V104" i="89"/>
  <c r="V88" i="81"/>
  <c r="V163" i="92"/>
  <c r="V67" i="92"/>
  <c r="V106" i="93"/>
  <c r="V120" i="74"/>
  <c r="V80" i="82"/>
  <c r="V144" i="85"/>
  <c r="V77" i="84"/>
  <c r="V162" i="85"/>
  <c r="V158" i="94"/>
  <c r="V167" i="82"/>
  <c r="U59" i="89"/>
  <c r="U60" i="89"/>
  <c r="V77" i="90"/>
  <c r="U49" i="81"/>
  <c r="U50" i="81"/>
  <c r="V163" i="85"/>
  <c r="V70" i="89"/>
  <c r="V151" i="83"/>
  <c r="U23" i="82"/>
  <c r="U24" i="82"/>
  <c r="V120" i="83"/>
  <c r="V156" i="83"/>
  <c r="V154" i="74"/>
  <c r="V98" i="90"/>
  <c r="V147" i="81"/>
  <c r="U40" i="83"/>
  <c r="U39" i="83"/>
  <c r="V108" i="84"/>
  <c r="V76" i="81"/>
  <c r="U9" i="88"/>
  <c r="U10" i="88"/>
  <c r="V123" i="84"/>
  <c r="V148" i="88"/>
  <c r="V146" i="89"/>
  <c r="U33" i="85"/>
  <c r="U34" i="85"/>
  <c r="U39" i="94"/>
  <c r="U40" i="94"/>
  <c r="V81" i="88"/>
  <c r="V104" i="93"/>
  <c r="V118" i="74"/>
  <c r="V96" i="84"/>
  <c r="V136" i="83"/>
  <c r="V163" i="90"/>
  <c r="Q187" i="83"/>
  <c r="Q188" i="83" s="1"/>
  <c r="U56" i="85"/>
  <c r="U55" i="85"/>
  <c r="V125" i="87"/>
  <c r="V135" i="87"/>
  <c r="V142" i="94"/>
  <c r="Q190" i="91"/>
  <c r="Q191" i="91" s="1"/>
  <c r="V141" i="85"/>
  <c r="V149" i="85"/>
  <c r="V158" i="81"/>
  <c r="V130" i="93"/>
  <c r="U15" i="94"/>
  <c r="U16" i="94"/>
  <c r="V84" i="85"/>
  <c r="V129" i="94"/>
  <c r="V153" i="82"/>
  <c r="V63" i="93"/>
  <c r="V150" i="94"/>
  <c r="V111" i="84"/>
  <c r="V138" i="92"/>
  <c r="V100" i="90"/>
  <c r="V147" i="88"/>
  <c r="V70" i="74"/>
  <c r="V90" i="92"/>
  <c r="V125" i="83"/>
  <c r="V139" i="83"/>
  <c r="U37" i="90"/>
  <c r="U38" i="90"/>
  <c r="V117" i="88"/>
  <c r="V72" i="82"/>
  <c r="U41" i="90"/>
  <c r="U42" i="90"/>
  <c r="V163" i="82"/>
  <c r="U50" i="83"/>
  <c r="U49" i="83"/>
  <c r="V71" i="84"/>
  <c r="V80" i="74"/>
  <c r="U53" i="89"/>
  <c r="U54" i="89"/>
  <c r="V68" i="88"/>
  <c r="V127" i="87"/>
  <c r="V122" i="81"/>
  <c r="U42" i="82"/>
  <c r="U41" i="82"/>
  <c r="V141" i="87"/>
  <c r="V148" i="89"/>
  <c r="V120" i="85"/>
  <c r="V113" i="93"/>
  <c r="V70" i="84"/>
  <c r="V155" i="83"/>
  <c r="V95" i="89"/>
  <c r="V98" i="92"/>
  <c r="V131" i="89"/>
  <c r="V114" i="93"/>
  <c r="V160" i="89"/>
  <c r="U58" i="84"/>
  <c r="U57" i="84"/>
  <c r="V150" i="88"/>
  <c r="V64" i="88"/>
  <c r="V65" i="93"/>
  <c r="V81" i="92"/>
  <c r="V167" i="88"/>
  <c r="V106" i="82"/>
  <c r="V118" i="85"/>
  <c r="U59" i="92"/>
  <c r="U60" i="92"/>
  <c r="V79" i="89"/>
  <c r="V101" i="81"/>
  <c r="V103" i="90"/>
  <c r="V66" i="89"/>
  <c r="V164" i="89"/>
  <c r="V105" i="83"/>
  <c r="U37" i="88"/>
  <c r="U38" i="88"/>
  <c r="U39" i="89"/>
  <c r="U40" i="89"/>
  <c r="V146" i="85"/>
  <c r="V117" i="82"/>
  <c r="V137" i="88"/>
  <c r="V97" i="94"/>
  <c r="V127" i="82"/>
  <c r="V162" i="92"/>
  <c r="U49" i="85"/>
  <c r="U50" i="85"/>
  <c r="V111" i="81"/>
  <c r="V95" i="88"/>
  <c r="Q187" i="88"/>
  <c r="Q188" i="88" s="1"/>
  <c r="V94" i="92"/>
  <c r="V142" i="82"/>
  <c r="V92" i="82"/>
  <c r="U16" i="81"/>
  <c r="U15" i="81"/>
  <c r="U14" i="89"/>
  <c r="U13" i="89"/>
  <c r="V117" i="81"/>
  <c r="V94" i="82"/>
  <c r="V89" i="92"/>
  <c r="V110" i="84"/>
  <c r="V157" i="90"/>
  <c r="V74" i="82"/>
  <c r="V147" i="84"/>
  <c r="U20" i="83"/>
  <c r="U19" i="83"/>
  <c r="V101" i="89"/>
  <c r="V132" i="74"/>
  <c r="U35" i="89"/>
  <c r="U36" i="89"/>
  <c r="V132" i="94"/>
  <c r="V129" i="93"/>
  <c r="V114" i="89"/>
  <c r="V140" i="83"/>
  <c r="V150" i="92"/>
  <c r="V138" i="74"/>
  <c r="V98" i="89"/>
  <c r="V166" i="90"/>
  <c r="V127" i="89"/>
  <c r="U33" i="74"/>
  <c r="U34" i="74"/>
  <c r="V154" i="89"/>
  <c r="V76" i="74"/>
  <c r="V162" i="87"/>
  <c r="U43" i="82"/>
  <c r="U44" i="82"/>
  <c r="U42" i="89"/>
  <c r="U41" i="89"/>
  <c r="U52" i="87"/>
  <c r="U51" i="87"/>
  <c r="V161" i="84"/>
  <c r="V120" i="82"/>
  <c r="V86" i="85"/>
  <c r="V71" i="93"/>
  <c r="V75" i="88"/>
  <c r="V110" i="85"/>
  <c r="V78" i="89"/>
  <c r="U35" i="85"/>
  <c r="U36" i="85"/>
  <c r="V115" i="90"/>
  <c r="V130" i="82"/>
  <c r="V96" i="85"/>
  <c r="V110" i="82"/>
  <c r="V141" i="90"/>
  <c r="V132" i="84"/>
  <c r="V102" i="85"/>
  <c r="U36" i="93"/>
  <c r="U35" i="93"/>
  <c r="U55" i="81"/>
  <c r="U56" i="81"/>
  <c r="V153" i="87"/>
  <c r="V138" i="88"/>
  <c r="V141" i="83"/>
  <c r="V116" i="88"/>
  <c r="V160" i="84"/>
  <c r="V132" i="93"/>
  <c r="U32" i="93"/>
  <c r="U31" i="93"/>
  <c r="V102" i="81"/>
  <c r="V139" i="85"/>
  <c r="V99" i="82"/>
  <c r="V167" i="92"/>
  <c r="U25" i="94"/>
  <c r="U26" i="94"/>
  <c r="V126" i="92"/>
  <c r="V70" i="90"/>
  <c r="V103" i="81"/>
  <c r="V66" i="85"/>
  <c r="V88" i="94"/>
  <c r="V161" i="93"/>
  <c r="U44" i="90"/>
  <c r="U43" i="90"/>
  <c r="V63" i="92"/>
  <c r="V161" i="89"/>
  <c r="V63" i="83"/>
  <c r="V138" i="90"/>
  <c r="V84" i="93"/>
  <c r="U49" i="93"/>
  <c r="U50" i="93"/>
  <c r="V150" i="84"/>
  <c r="V113" i="84"/>
  <c r="U50" i="87"/>
  <c r="U49" i="87"/>
  <c r="U19" i="85"/>
  <c r="U20" i="85"/>
  <c r="V64" i="90"/>
  <c r="V117" i="85"/>
  <c r="U18" i="74"/>
  <c r="U17" i="74"/>
  <c r="U27" i="89"/>
  <c r="U28" i="89"/>
  <c r="V166" i="93"/>
  <c r="V90" i="85"/>
  <c r="U35" i="83"/>
  <c r="U36" i="83"/>
  <c r="V128" i="89"/>
  <c r="V72" i="81"/>
  <c r="V78" i="90"/>
  <c r="U18" i="85"/>
  <c r="U17" i="85"/>
  <c r="V142" i="85"/>
  <c r="V155" i="89"/>
  <c r="Q187" i="90"/>
  <c r="Q188" i="90" s="1"/>
  <c r="V73" i="94"/>
  <c r="U15" i="82"/>
  <c r="U16" i="82"/>
  <c r="U35" i="88"/>
  <c r="U36" i="88"/>
  <c r="U41" i="88"/>
  <c r="U42" i="88"/>
  <c r="U52" i="88"/>
  <c r="U51" i="88"/>
  <c r="V112" i="94"/>
  <c r="V156" i="93"/>
  <c r="V109" i="83"/>
  <c r="V101" i="82"/>
  <c r="U10" i="74"/>
  <c r="U9" i="74"/>
  <c r="V140" i="90"/>
  <c r="V73" i="90"/>
  <c r="V141" i="89"/>
  <c r="V130" i="89"/>
  <c r="V103" i="93"/>
  <c r="V85" i="74"/>
  <c r="U45" i="92"/>
  <c r="U46" i="92"/>
  <c r="U45" i="83"/>
  <c r="U46" i="83"/>
  <c r="U50" i="89"/>
  <c r="U49" i="89"/>
  <c r="U9" i="85"/>
  <c r="U10" i="85"/>
  <c r="V142" i="92"/>
  <c r="V69" i="83"/>
  <c r="U12" i="74"/>
  <c r="U11" i="74"/>
  <c r="V123" i="88"/>
  <c r="V77" i="85"/>
  <c r="V155" i="94"/>
  <c r="V119" i="88"/>
  <c r="V137" i="94"/>
  <c r="V97" i="85"/>
  <c r="U45" i="82"/>
  <c r="U46" i="82"/>
  <c r="V116" i="87"/>
  <c r="U49" i="74"/>
  <c r="U50" i="74"/>
  <c r="V143" i="88"/>
  <c r="V153" i="85"/>
  <c r="V114" i="85"/>
  <c r="U29" i="84"/>
  <c r="U30" i="84"/>
  <c r="U57" i="85"/>
  <c r="U58" i="85"/>
  <c r="V94" i="89"/>
  <c r="U32" i="83"/>
  <c r="U31" i="83"/>
  <c r="V140" i="93"/>
  <c r="V164" i="74"/>
  <c r="V134" i="88"/>
  <c r="V151" i="93"/>
  <c r="V143" i="90"/>
  <c r="V137" i="87"/>
  <c r="V127" i="88"/>
  <c r="V92" i="81"/>
  <c r="U33" i="88"/>
  <c r="U34" i="88"/>
  <c r="V164" i="82"/>
  <c r="V104" i="92"/>
  <c r="V83" i="91"/>
  <c r="U23" i="84"/>
  <c r="U24" i="84"/>
  <c r="V125" i="84"/>
  <c r="V86" i="81"/>
  <c r="U38" i="87"/>
  <c r="U37" i="87"/>
  <c r="V112" i="92"/>
  <c r="V68" i="91"/>
  <c r="V141" i="74"/>
  <c r="V104" i="87"/>
  <c r="U61" i="93"/>
  <c r="U62" i="93"/>
  <c r="U44" i="93"/>
  <c r="U43" i="93"/>
  <c r="V81" i="91"/>
  <c r="V135" i="74"/>
  <c r="V109" i="88"/>
  <c r="V117" i="91"/>
  <c r="V165" i="82"/>
  <c r="V98" i="84"/>
  <c r="V114" i="92"/>
  <c r="V158" i="82"/>
  <c r="V107" i="94"/>
  <c r="V77" i="81"/>
  <c r="V126" i="84"/>
  <c r="V78" i="85"/>
  <c r="V105" i="92"/>
  <c r="V160" i="85"/>
  <c r="V69" i="87"/>
  <c r="V164" i="87"/>
  <c r="V149" i="90"/>
  <c r="V75" i="92"/>
  <c r="V133" i="87"/>
  <c r="U25" i="93"/>
  <c r="U26" i="93"/>
  <c r="V119" i="87"/>
  <c r="V98" i="82"/>
  <c r="V75" i="94"/>
  <c r="V141" i="92"/>
  <c r="V129" i="85"/>
  <c r="V91" i="89"/>
  <c r="U18" i="89"/>
  <c r="U17" i="89"/>
  <c r="U62" i="94"/>
  <c r="U61" i="94"/>
  <c r="V143" i="85"/>
  <c r="V159" i="88"/>
  <c r="V108" i="85"/>
  <c r="V110" i="90"/>
  <c r="U46" i="88"/>
  <c r="U45" i="88"/>
  <c r="V144" i="88"/>
  <c r="V143" i="87"/>
  <c r="V73" i="92"/>
  <c r="V93" i="83"/>
  <c r="V118" i="88"/>
  <c r="V113" i="92"/>
  <c r="V145" i="89"/>
  <c r="V84" i="81"/>
  <c r="V128" i="92"/>
  <c r="V155" i="90"/>
  <c r="V120" i="90"/>
  <c r="V76" i="89"/>
  <c r="Q187" i="87"/>
  <c r="Q188" i="87" s="1"/>
  <c r="V63" i="85"/>
  <c r="V106" i="90"/>
  <c r="V87" i="85"/>
  <c r="U40" i="74"/>
  <c r="U39" i="74"/>
  <c r="V160" i="74"/>
  <c r="V101" i="93"/>
  <c r="V147" i="89"/>
  <c r="V116" i="93"/>
  <c r="U61" i="74"/>
  <c r="U62" i="74"/>
  <c r="V82" i="85"/>
  <c r="V119" i="84"/>
  <c r="V134" i="85"/>
  <c r="U34" i="90"/>
  <c r="U33" i="90"/>
  <c r="V111" i="87"/>
  <c r="U32" i="74"/>
  <c r="U31" i="74"/>
  <c r="V69" i="88"/>
  <c r="V88" i="90"/>
  <c r="Q187" i="92"/>
  <c r="Q188" i="92" s="1"/>
  <c r="V142" i="83"/>
  <c r="V154" i="90"/>
  <c r="V86" i="74"/>
  <c r="V131" i="85"/>
  <c r="V144" i="89"/>
  <c r="V81" i="87"/>
  <c r="V73" i="91"/>
  <c r="V138" i="85"/>
  <c r="U41" i="74"/>
  <c r="U42" i="74"/>
  <c r="U34" i="94"/>
  <c r="U33" i="94"/>
  <c r="V117" i="83"/>
  <c r="U24" i="94"/>
  <c r="U23" i="94"/>
  <c r="V131" i="92"/>
  <c r="U36" i="92"/>
  <c r="U35" i="92"/>
  <c r="V92" i="87"/>
  <c r="V126" i="81"/>
  <c r="U31" i="87"/>
  <c r="U32" i="87"/>
  <c r="V153" i="88"/>
  <c r="V136" i="74"/>
  <c r="V108" i="81"/>
  <c r="U40" i="82"/>
  <c r="U39" i="82"/>
  <c r="V107" i="87"/>
  <c r="U9" i="83"/>
  <c r="U10" i="83"/>
  <c r="V135" i="93"/>
  <c r="V151" i="85"/>
  <c r="V87" i="88"/>
  <c r="V161" i="92"/>
  <c r="V84" i="91"/>
  <c r="V112" i="74"/>
  <c r="V72" i="91"/>
  <c r="V69" i="81"/>
  <c r="V95" i="81"/>
  <c r="V165" i="93"/>
  <c r="V122" i="93"/>
  <c r="V65" i="87"/>
  <c r="V92" i="83"/>
  <c r="U21" i="81"/>
  <c r="U22" i="81"/>
  <c r="V112" i="84"/>
  <c r="U13" i="85"/>
  <c r="U14" i="85"/>
  <c r="V129" i="92"/>
  <c r="V158" i="84"/>
  <c r="V162" i="88"/>
  <c r="V113" i="74"/>
  <c r="U32" i="88"/>
  <c r="U31" i="88"/>
  <c r="V107" i="89"/>
  <c r="V139" i="84"/>
  <c r="V116" i="90"/>
  <c r="V111" i="88"/>
  <c r="V75" i="93"/>
  <c r="V97" i="93"/>
  <c r="V78" i="91"/>
  <c r="V113" i="85"/>
  <c r="V147" i="85"/>
  <c r="V100" i="84"/>
  <c r="V158" i="90"/>
  <c r="U33" i="93"/>
  <c r="U34" i="93"/>
  <c r="U34" i="92"/>
  <c r="U33" i="92"/>
  <c r="V88" i="85"/>
  <c r="V106" i="81"/>
  <c r="V155" i="82"/>
  <c r="Q187" i="94"/>
  <c r="Q188" i="94" s="1"/>
  <c r="V104" i="82"/>
  <c r="V108" i="83"/>
  <c r="U48" i="91"/>
  <c r="U47" i="91"/>
  <c r="V149" i="83"/>
  <c r="U27" i="90"/>
  <c r="U28" i="90"/>
  <c r="V65" i="82"/>
  <c r="U35" i="87"/>
  <c r="U36" i="87"/>
  <c r="V149" i="82"/>
  <c r="V76" i="84"/>
  <c r="V103" i="84"/>
  <c r="V78" i="93"/>
  <c r="V123" i="92"/>
  <c r="V78" i="84"/>
  <c r="U33" i="84"/>
  <c r="U34" i="84"/>
  <c r="V88" i="88"/>
  <c r="V82" i="89"/>
  <c r="V129" i="82"/>
  <c r="V148" i="83"/>
  <c r="V118" i="83"/>
  <c r="V71" i="89"/>
  <c r="V126" i="88"/>
  <c r="U29" i="88"/>
  <c r="U30" i="88"/>
  <c r="V107" i="84"/>
  <c r="V122" i="89"/>
  <c r="V94" i="74"/>
  <c r="V128" i="87"/>
  <c r="V118" i="84"/>
  <c r="U40" i="88"/>
  <c r="U39" i="88"/>
  <c r="U13" i="82"/>
  <c r="U14" i="82"/>
  <c r="V93" i="81"/>
  <c r="V71" i="82"/>
  <c r="V109" i="94"/>
  <c r="V94" i="94"/>
  <c r="U57" i="88"/>
  <c r="U58" i="88"/>
  <c r="V82" i="81"/>
  <c r="U14" i="74"/>
  <c r="U13" i="74"/>
  <c r="V84" i="89"/>
  <c r="V71" i="74"/>
  <c r="V63" i="89"/>
  <c r="U39" i="92"/>
  <c r="U40" i="92"/>
  <c r="V81" i="90"/>
  <c r="V91" i="92"/>
  <c r="V122" i="82"/>
  <c r="V153" i="90"/>
  <c r="V159" i="93"/>
  <c r="U12" i="94"/>
  <c r="U11" i="94"/>
  <c r="V111" i="82"/>
  <c r="V66" i="82"/>
  <c r="V146" i="94"/>
  <c r="V126" i="87"/>
  <c r="V120" i="94"/>
  <c r="V87" i="92"/>
  <c r="V102" i="88"/>
  <c r="V128" i="85"/>
  <c r="V165" i="92"/>
  <c r="V116" i="84"/>
  <c r="U29" i="90"/>
  <c r="U30" i="90"/>
  <c r="V165" i="88"/>
  <c r="V66" i="83"/>
  <c r="U20" i="81"/>
  <c r="U19" i="81"/>
  <c r="V97" i="89"/>
  <c r="U53" i="87"/>
  <c r="U54" i="87"/>
  <c r="V70" i="93"/>
  <c r="V103" i="87"/>
  <c r="V100" i="88"/>
  <c r="V97" i="92"/>
  <c r="U51" i="92"/>
  <c r="U52" i="92"/>
  <c r="V162" i="82"/>
  <c r="V127" i="93"/>
  <c r="U15" i="83"/>
  <c r="U16" i="83"/>
  <c r="V91" i="84"/>
  <c r="V105" i="82"/>
  <c r="V157" i="84"/>
  <c r="V148" i="82"/>
  <c r="V82" i="94"/>
  <c r="V64" i="85"/>
  <c r="V116" i="81"/>
  <c r="V122" i="83"/>
  <c r="V88" i="82"/>
  <c r="U38" i="92"/>
  <c r="U37" i="92"/>
  <c r="V91" i="90"/>
  <c r="V107" i="85"/>
  <c r="V97" i="81"/>
  <c r="V71" i="92"/>
  <c r="V121" i="93"/>
  <c r="V92" i="85"/>
  <c r="V102" i="83"/>
  <c r="V86" i="84"/>
  <c r="V121" i="81"/>
  <c r="V101" i="74"/>
  <c r="V112" i="89"/>
  <c r="V104" i="84"/>
  <c r="U37" i="82"/>
  <c r="U38" i="82"/>
  <c r="U10" i="92"/>
  <c r="U9" i="92"/>
  <c r="V64" i="89"/>
  <c r="V69" i="94"/>
  <c r="V90" i="94"/>
  <c r="V81" i="81"/>
  <c r="V106" i="74"/>
  <c r="V141" i="94"/>
  <c r="V92" i="92"/>
  <c r="V74" i="91"/>
  <c r="U24" i="85"/>
  <c r="U23" i="85"/>
  <c r="V156" i="82"/>
  <c r="V72" i="88"/>
  <c r="U42" i="92"/>
  <c r="U41" i="92"/>
  <c r="V64" i="93"/>
  <c r="V66" i="92"/>
  <c r="U27" i="91"/>
  <c r="U28" i="91"/>
  <c r="U40" i="84"/>
  <c r="U39" i="84"/>
  <c r="V146" i="87"/>
  <c r="V65" i="83"/>
  <c r="V158" i="88"/>
  <c r="U17" i="87"/>
  <c r="U18" i="87"/>
  <c r="V87" i="87"/>
  <c r="V63" i="81"/>
  <c r="U57" i="74"/>
  <c r="U58" i="74"/>
  <c r="V155" i="87"/>
  <c r="V65" i="74"/>
  <c r="V102" i="84"/>
  <c r="V117" i="94"/>
  <c r="V124" i="93"/>
  <c r="V121" i="89"/>
  <c r="V95" i="93"/>
  <c r="V128" i="83"/>
  <c r="V147" i="83"/>
  <c r="U11" i="90"/>
  <c r="U12" i="90"/>
  <c r="V128" i="81"/>
  <c r="U46" i="85"/>
  <c r="U45" i="85"/>
  <c r="U51" i="82"/>
  <c r="U52" i="82"/>
  <c r="V114" i="87"/>
  <c r="V88" i="87"/>
  <c r="V134" i="83"/>
  <c r="U16" i="93"/>
  <c r="U15" i="93"/>
  <c r="U47" i="87"/>
  <c r="U48" i="87"/>
  <c r="V74" i="74"/>
  <c r="V125" i="85"/>
  <c r="V122" i="94"/>
  <c r="V87" i="83"/>
  <c r="V156" i="84"/>
  <c r="U42" i="85"/>
  <c r="U41" i="85"/>
  <c r="V68" i="82"/>
  <c r="V124" i="84"/>
  <c r="U54" i="81"/>
  <c r="U53" i="81"/>
  <c r="V159" i="83"/>
  <c r="V144" i="92"/>
  <c r="V131" i="74"/>
  <c r="V125" i="93"/>
  <c r="U52" i="81"/>
  <c r="U51" i="81"/>
  <c r="V67" i="93"/>
  <c r="V70" i="94"/>
  <c r="V106" i="92"/>
  <c r="V117" i="92"/>
  <c r="V162" i="74"/>
  <c r="V162" i="83"/>
  <c r="V89" i="93"/>
  <c r="V64" i="87"/>
  <c r="V104" i="94"/>
  <c r="V97" i="74"/>
  <c r="U27" i="84"/>
  <c r="U28" i="84"/>
  <c r="U38" i="81"/>
  <c r="U37" i="81"/>
  <c r="V68" i="87"/>
  <c r="V83" i="81"/>
  <c r="V135" i="82"/>
  <c r="V67" i="90"/>
  <c r="V148" i="81"/>
  <c r="U57" i="82"/>
  <c r="U58" i="82"/>
  <c r="V127" i="84"/>
  <c r="V68" i="94"/>
  <c r="U27" i="92"/>
  <c r="U28" i="92"/>
  <c r="V100" i="82"/>
  <c r="V121" i="91"/>
  <c r="U24" i="91"/>
  <c r="U23" i="91"/>
  <c r="V157" i="85"/>
  <c r="V155" i="81"/>
  <c r="V165" i="74"/>
  <c r="V161" i="82"/>
  <c r="V104" i="90"/>
  <c r="V69" i="89"/>
  <c r="V151" i="74"/>
  <c r="V130" i="74"/>
  <c r="V123" i="85"/>
  <c r="V114" i="81"/>
  <c r="V105" i="94"/>
  <c r="V118" i="81"/>
  <c r="V122" i="74"/>
  <c r="V165" i="84"/>
  <c r="V166" i="83"/>
  <c r="U34" i="89"/>
  <c r="U33" i="89"/>
  <c r="V66" i="93"/>
  <c r="U49" i="84"/>
  <c r="U50" i="84"/>
  <c r="U22" i="74"/>
  <c r="U21" i="74"/>
  <c r="V90" i="88"/>
  <c r="V118" i="82"/>
  <c r="V91" i="83"/>
  <c r="V158" i="93"/>
  <c r="V146" i="81"/>
  <c r="V167" i="90"/>
  <c r="U10" i="89"/>
  <c r="U9" i="89"/>
  <c r="V108" i="87"/>
  <c r="V123" i="90"/>
  <c r="V93" i="92"/>
  <c r="V89" i="89"/>
  <c r="V70" i="82"/>
  <c r="U56" i="89"/>
  <c r="U55" i="89"/>
  <c r="V89" i="88"/>
  <c r="U54" i="74"/>
  <c r="U53" i="74"/>
  <c r="V83" i="85"/>
  <c r="V117" i="74"/>
  <c r="V133" i="74"/>
  <c r="U33" i="81"/>
  <c r="U34" i="81"/>
  <c r="V134" i="87"/>
  <c r="V162" i="93"/>
  <c r="U42" i="83"/>
  <c r="U41" i="83"/>
  <c r="V79" i="83"/>
  <c r="V83" i="74"/>
  <c r="V118" i="91"/>
  <c r="V107" i="74"/>
  <c r="V106" i="94"/>
  <c r="V91" i="88"/>
  <c r="U10" i="93"/>
  <c r="U9" i="93"/>
  <c r="V105" i="85"/>
  <c r="U47" i="88"/>
  <c r="U48" i="88"/>
  <c r="U37" i="74"/>
  <c r="U38" i="74"/>
  <c r="V113" i="87"/>
  <c r="V93" i="87"/>
  <c r="V105" i="93"/>
  <c r="V127" i="81"/>
  <c r="V101" i="85"/>
  <c r="V73" i="93"/>
  <c r="V167" i="74"/>
  <c r="V167" i="87"/>
  <c r="V107" i="81"/>
  <c r="U20" i="91"/>
  <c r="U19" i="91"/>
  <c r="V104" i="85"/>
  <c r="V132" i="85"/>
  <c r="U31" i="81"/>
  <c r="U32" i="81"/>
  <c r="U52" i="74"/>
  <c r="U51" i="74"/>
  <c r="V89" i="87"/>
  <c r="V74" i="92"/>
  <c r="V97" i="87"/>
  <c r="V127" i="92"/>
  <c r="V128" i="82"/>
  <c r="V89" i="74"/>
  <c r="V145" i="93"/>
  <c r="V124" i="94"/>
  <c r="U26" i="90"/>
  <c r="U25" i="90"/>
  <c r="U11" i="92"/>
  <c r="U12" i="92"/>
  <c r="V133" i="85"/>
  <c r="V85" i="82"/>
  <c r="U22" i="94"/>
  <c r="U21" i="94"/>
  <c r="V119" i="81"/>
  <c r="V103" i="74"/>
  <c r="V165" i="89"/>
  <c r="U57" i="90"/>
  <c r="U58" i="90"/>
  <c r="U31" i="94"/>
  <c r="U32" i="94"/>
  <c r="V112" i="88"/>
  <c r="U46" i="81"/>
  <c r="U45" i="81"/>
  <c r="V147" i="94"/>
  <c r="V116" i="83"/>
  <c r="V119" i="74"/>
  <c r="V127" i="83"/>
  <c r="V116" i="85"/>
  <c r="V123" i="82"/>
  <c r="V162" i="81"/>
  <c r="V103" i="89"/>
  <c r="V90" i="93"/>
  <c r="V163" i="74"/>
  <c r="U57" i="92"/>
  <c r="U58" i="92"/>
  <c r="V163" i="83"/>
  <c r="V94" i="83"/>
  <c r="V166" i="74"/>
  <c r="V139" i="93"/>
  <c r="V162" i="94"/>
  <c r="V69" i="93"/>
  <c r="V66" i="90"/>
  <c r="V126" i="74"/>
  <c r="V166" i="94"/>
  <c r="V120" i="91"/>
  <c r="V116" i="74"/>
  <c r="V167" i="81"/>
  <c r="V133" i="88"/>
  <c r="V94" i="84"/>
  <c r="V88" i="83"/>
  <c r="V82" i="82"/>
  <c r="Q187" i="74"/>
  <c r="Q188" i="74" s="1"/>
  <c r="U17" i="84"/>
  <c r="U18" i="84"/>
  <c r="V161" i="83"/>
  <c r="V88" i="92"/>
  <c r="V66" i="91"/>
  <c r="V131" i="84"/>
  <c r="V79" i="94"/>
  <c r="V77" i="74"/>
  <c r="V164" i="85"/>
  <c r="V109" i="84"/>
  <c r="U15" i="90"/>
  <c r="U16" i="90"/>
  <c r="V163" i="87"/>
  <c r="V99" i="81"/>
  <c r="U44" i="87"/>
  <c r="U43" i="87"/>
  <c r="V72" i="85"/>
  <c r="V80" i="84"/>
  <c r="V94" i="88"/>
  <c r="V153" i="94"/>
  <c r="V108" i="94"/>
  <c r="V106" i="85"/>
  <c r="V86" i="83"/>
  <c r="V123" i="87"/>
  <c r="V87" i="81"/>
  <c r="V131" i="90"/>
  <c r="V117" i="89"/>
  <c r="V109" i="74"/>
  <c r="V102" i="94"/>
  <c r="V163" i="88"/>
  <c r="V85" i="83"/>
  <c r="V123" i="83"/>
  <c r="V90" i="84"/>
  <c r="V167" i="85"/>
  <c r="U58" i="94"/>
  <c r="U57" i="94"/>
  <c r="V66" i="88"/>
  <c r="V145" i="94"/>
  <c r="U23" i="92"/>
  <c r="U24" i="92"/>
  <c r="V74" i="94"/>
  <c r="V128" i="74"/>
  <c r="V118" i="93"/>
  <c r="V117" i="93"/>
  <c r="V134" i="89"/>
  <c r="V80" i="90"/>
  <c r="U24" i="81"/>
  <c r="U23" i="81"/>
  <c r="V66" i="84"/>
  <c r="V99" i="84"/>
  <c r="U46" i="90"/>
  <c r="U45" i="90"/>
  <c r="V91" i="87"/>
  <c r="U45" i="87"/>
  <c r="U46" i="87"/>
  <c r="V105" i="87"/>
  <c r="V134" i="92"/>
  <c r="V83" i="89"/>
  <c r="V111" i="94"/>
  <c r="V90" i="81"/>
  <c r="V144" i="94"/>
  <c r="V163" i="84"/>
  <c r="V89" i="81"/>
  <c r="V165" i="87"/>
  <c r="V99" i="85"/>
  <c r="V142" i="84"/>
  <c r="V164" i="83"/>
  <c r="V110" i="81"/>
  <c r="V67" i="87"/>
  <c r="U51" i="90"/>
  <c r="U52" i="90"/>
  <c r="V119" i="94"/>
  <c r="V81" i="74"/>
  <c r="V95" i="94"/>
  <c r="V64" i="82"/>
  <c r="V110" i="94"/>
  <c r="V66" i="81"/>
  <c r="V80" i="91"/>
  <c r="V117" i="84"/>
  <c r="V89" i="90"/>
  <c r="V98" i="88"/>
  <c r="V76" i="93"/>
  <c r="V103" i="82"/>
  <c r="V130" i="83"/>
  <c r="V92" i="94"/>
  <c r="U57" i="83"/>
  <c r="U58" i="83"/>
  <c r="U45" i="91"/>
  <c r="U46" i="91"/>
  <c r="V142" i="88"/>
  <c r="V94" i="93"/>
  <c r="V111" i="74"/>
  <c r="V149" i="88"/>
  <c r="V126" i="90"/>
  <c r="U58" i="89"/>
  <c r="U57" i="89"/>
  <c r="V87" i="89"/>
  <c r="V93" i="88"/>
  <c r="V119" i="91"/>
  <c r="V122" i="90"/>
  <c r="V128" i="90"/>
  <c r="V75" i="89"/>
  <c r="V89" i="82"/>
  <c r="V107" i="92"/>
  <c r="V65" i="91"/>
  <c r="V99" i="92"/>
  <c r="V119" i="85"/>
  <c r="V104" i="74"/>
  <c r="V118" i="94"/>
  <c r="V164" i="84"/>
  <c r="V114" i="88"/>
  <c r="V107" i="88"/>
  <c r="V108" i="89"/>
  <c r="V83" i="88"/>
  <c r="V80" i="92"/>
  <c r="V163" i="89"/>
  <c r="V68" i="92"/>
  <c r="V83" i="83"/>
  <c r="V87" i="90"/>
  <c r="V64" i="92"/>
  <c r="V115" i="81"/>
  <c r="V114" i="94"/>
  <c r="V100" i="93"/>
  <c r="V67" i="83"/>
  <c r="V67" i="82"/>
  <c r="V65" i="90"/>
  <c r="V93" i="85"/>
  <c r="U51" i="93"/>
  <c r="U52" i="93"/>
  <c r="V84" i="88"/>
  <c r="V107" i="83"/>
  <c r="U27" i="83"/>
  <c r="U28" i="83"/>
  <c r="V125" i="94"/>
  <c r="V82" i="88"/>
  <c r="V105" i="74"/>
  <c r="V82" i="74"/>
  <c r="V89" i="94"/>
  <c r="V109" i="81"/>
  <c r="U48" i="82"/>
  <c r="U47" i="82"/>
  <c r="U45" i="84"/>
  <c r="U46" i="84"/>
  <c r="V112" i="87"/>
  <c r="V126" i="85"/>
  <c r="V138" i="83"/>
  <c r="V106" i="84"/>
  <c r="U57" i="81"/>
  <c r="U58" i="81"/>
  <c r="V124" i="89"/>
  <c r="V105" i="90"/>
  <c r="U40" i="91"/>
  <c r="U39" i="91"/>
  <c r="V119" i="92"/>
  <c r="O171" i="91"/>
  <c r="O174" i="91" s="1"/>
  <c r="O177" i="91" s="1"/>
  <c r="O180" i="91" s="1"/>
  <c r="O183" i="91" s="1"/>
  <c r="V119" i="90"/>
  <c r="V126" i="94"/>
  <c r="V114" i="90"/>
  <c r="V164" i="88"/>
  <c r="V84" i="92"/>
  <c r="V125" i="90"/>
  <c r="U53" i="90"/>
  <c r="U54" i="90"/>
  <c r="V167" i="89"/>
  <c r="U46" i="74"/>
  <c r="U45" i="74"/>
  <c r="U55" i="94"/>
  <c r="U56" i="94"/>
  <c r="V149" i="93"/>
  <c r="V114" i="82"/>
  <c r="V123" i="94"/>
  <c r="V166" i="92"/>
  <c r="V165" i="90"/>
  <c r="V90" i="82"/>
  <c r="V105" i="89"/>
  <c r="V63" i="90"/>
  <c r="V93" i="93"/>
  <c r="V116" i="94"/>
  <c r="V91" i="82"/>
  <c r="V95" i="90"/>
  <c r="U51" i="85"/>
  <c r="U52" i="85"/>
  <c r="V91" i="93"/>
  <c r="U52" i="89"/>
  <c r="U51" i="89"/>
  <c r="V87" i="94"/>
  <c r="V167" i="83"/>
  <c r="V93" i="94"/>
  <c r="U59" i="74"/>
  <c r="U60" i="74"/>
  <c r="V105" i="84"/>
  <c r="V124" i="85"/>
  <c r="V132" i="87"/>
  <c r="U21" i="91"/>
  <c r="U22" i="91"/>
  <c r="V68" i="74"/>
  <c r="V149" i="92"/>
  <c r="V115" i="82"/>
  <c r="V91" i="81"/>
  <c r="V146" i="93"/>
  <c r="V124" i="90"/>
  <c r="V100" i="94"/>
  <c r="U52" i="94"/>
  <c r="U51" i="94"/>
  <c r="V165" i="94"/>
  <c r="V103" i="94"/>
  <c r="V121" i="94"/>
  <c r="V163" i="94"/>
  <c r="V119" i="83"/>
  <c r="V90" i="83"/>
  <c r="V167" i="84"/>
  <c r="V93" i="82"/>
  <c r="V68" i="83"/>
  <c r="V92" i="90"/>
  <c r="V75" i="74"/>
  <c r="V88" i="74"/>
  <c r="V64" i="94"/>
  <c r="V92" i="93"/>
  <c r="V130" i="92"/>
  <c r="V87" i="74"/>
  <c r="U39" i="85"/>
  <c r="U40" i="85"/>
  <c r="U56" i="87"/>
  <c r="U55" i="87"/>
  <c r="V132" i="88"/>
  <c r="U51" i="84"/>
  <c r="U52" i="84"/>
  <c r="V125" i="89"/>
  <c r="V121" i="82"/>
  <c r="Q187" i="85"/>
  <c r="Q188" i="85" s="1"/>
  <c r="V66" i="74"/>
  <c r="V91" i="85"/>
  <c r="U33" i="87"/>
  <c r="U34" i="87"/>
  <c r="V70" i="87"/>
  <c r="V102" i="74"/>
  <c r="V106" i="88"/>
  <c r="V64" i="74"/>
  <c r="V115" i="74"/>
  <c r="V80" i="83"/>
  <c r="V152" i="83"/>
  <c r="V140" i="94"/>
  <c r="U33" i="91"/>
  <c r="U34" i="91"/>
  <c r="U15" i="85"/>
  <c r="U16" i="85"/>
  <c r="V101" i="90"/>
  <c r="V104" i="88"/>
  <c r="V118" i="87"/>
  <c r="V130" i="85"/>
  <c r="V106" i="83"/>
  <c r="V67" i="89"/>
  <c r="V154" i="81"/>
  <c r="V102" i="90"/>
  <c r="V106" i="89"/>
  <c r="V119" i="89"/>
  <c r="V143" i="94"/>
  <c r="V68" i="89"/>
  <c r="V165" i="85"/>
  <c r="V105" i="81"/>
  <c r="V100" i="81"/>
  <c r="V99" i="74"/>
  <c r="V86" i="91"/>
  <c r="V121" i="90"/>
  <c r="V64" i="91"/>
  <c r="V95" i="83"/>
  <c r="U29" i="89"/>
  <c r="U30" i="89"/>
  <c r="V123" i="89"/>
  <c r="V116" i="92"/>
  <c r="U34" i="82"/>
  <c r="U33" i="82"/>
  <c r="V166" i="81"/>
  <c r="V124" i="83"/>
  <c r="V115" i="93"/>
  <c r="V102" i="89"/>
  <c r="V164" i="93"/>
  <c r="V95" i="74"/>
  <c r="V126" i="83"/>
  <c r="V95" i="82"/>
  <c r="V90" i="89"/>
  <c r="V102" i="82"/>
  <c r="U20" i="84"/>
  <c r="U19" i="84"/>
  <c r="U58" i="91"/>
  <c r="U57" i="91"/>
  <c r="V87" i="93"/>
  <c r="V65" i="89"/>
  <c r="V113" i="82"/>
  <c r="V96" i="90"/>
  <c r="V71" i="83"/>
  <c r="U26" i="92"/>
  <c r="U25" i="92"/>
  <c r="V111" i="92"/>
  <c r="V163" i="93"/>
  <c r="V152" i="89"/>
  <c r="V125" i="82"/>
  <c r="V166" i="82"/>
  <c r="V123" i="93"/>
  <c r="V162" i="90"/>
  <c r="V90" i="87"/>
  <c r="V70" i="85"/>
  <c r="V108" i="90"/>
  <c r="V92" i="88"/>
  <c r="V119" i="82"/>
  <c r="U10" i="87"/>
  <c r="U9" i="87"/>
  <c r="V67" i="94"/>
  <c r="V166" i="88"/>
  <c r="V115" i="85"/>
  <c r="V166" i="85"/>
  <c r="V107"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Q6" authorId="0" shapeId="0" xr:uid="{00000000-0006-0000-0300-00000100000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xr:uid="{00000000-0006-0000-0300-00000200000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xr:uid="{00000000-0006-0000-0300-00000300000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Stefan Petrovic</author>
  </authors>
  <commentList>
    <comment ref="R3" authorId="0" shapeId="0" xr:uid="{00000000-0006-0000-0A00-00000100000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J66" authorId="0" shapeId="0" xr:uid="{00000000-0006-0000-0A00-000002000000}">
      <text>
        <r>
          <rPr>
            <b/>
            <sz val="9"/>
            <color indexed="81"/>
            <rFont val="Tahoma"/>
            <family val="2"/>
          </rPr>
          <t>Maurizio Gargiulo:</t>
        </r>
        <r>
          <rPr>
            <sz val="9"/>
            <color indexed="81"/>
            <rFont val="Tahoma"/>
            <family val="2"/>
          </rPr>
          <t xml:space="preserve">
Moved to the trans file by TS</t>
        </r>
      </text>
    </comment>
    <comment ref="L103" authorId="1" shapeId="0" xr:uid="{00000000-0006-0000-0A00-000003000000}">
      <text>
        <r>
          <rPr>
            <b/>
            <sz val="9"/>
            <color indexed="81"/>
            <rFont val="Tahoma"/>
            <family val="2"/>
          </rPr>
          <t>Stefan Petrovic:</t>
        </r>
        <r>
          <rPr>
            <sz val="9"/>
            <color indexed="81"/>
            <rFont val="Tahoma"/>
            <family val="2"/>
          </rPr>
          <t xml:space="preserve">
=L6*0.95 was previously</t>
        </r>
      </text>
    </comment>
    <comment ref="L104" authorId="1" shapeId="0" xr:uid="{00000000-0006-0000-0A00-000004000000}">
      <text>
        <r>
          <rPr>
            <b/>
            <sz val="9"/>
            <color indexed="81"/>
            <rFont val="Tahoma"/>
            <family val="2"/>
          </rPr>
          <t>Stefan Petrovic:</t>
        </r>
        <r>
          <rPr>
            <sz val="9"/>
            <color indexed="81"/>
            <rFont val="Tahoma"/>
            <family val="2"/>
          </rPr>
          <t xml:space="preserve">
=L6*0.95 was previously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Stefan Petrovic</author>
  </authors>
  <commentList>
    <comment ref="R3" authorId="0" shapeId="0" xr:uid="{00000000-0006-0000-0C00-00000100000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J66" authorId="0" shapeId="0" xr:uid="{00000000-0006-0000-0C00-000002000000}">
      <text>
        <r>
          <rPr>
            <b/>
            <sz val="9"/>
            <color indexed="81"/>
            <rFont val="Tahoma"/>
            <family val="2"/>
          </rPr>
          <t>Maurizio Gargiulo:</t>
        </r>
        <r>
          <rPr>
            <sz val="9"/>
            <color indexed="81"/>
            <rFont val="Tahoma"/>
            <family val="2"/>
          </rPr>
          <t xml:space="preserve">
Moved to the trans file by TS</t>
        </r>
      </text>
    </comment>
    <comment ref="L103" authorId="1" shapeId="0" xr:uid="{00000000-0006-0000-0C00-000003000000}">
      <text>
        <r>
          <rPr>
            <b/>
            <sz val="9"/>
            <color indexed="81"/>
            <rFont val="Tahoma"/>
            <family val="2"/>
          </rPr>
          <t>Stefan Petrovic:</t>
        </r>
        <r>
          <rPr>
            <sz val="9"/>
            <color indexed="81"/>
            <rFont val="Tahoma"/>
            <family val="2"/>
          </rPr>
          <t xml:space="preserve">
=L6*0.95 was previously</t>
        </r>
      </text>
    </comment>
    <comment ref="L104" authorId="1" shapeId="0" xr:uid="{00000000-0006-0000-0C00-000004000000}">
      <text>
        <r>
          <rPr>
            <b/>
            <sz val="9"/>
            <color indexed="81"/>
            <rFont val="Tahoma"/>
            <family val="2"/>
          </rPr>
          <t>Stefan Petrovic:</t>
        </r>
        <r>
          <rPr>
            <sz val="9"/>
            <color indexed="81"/>
            <rFont val="Tahoma"/>
            <family val="2"/>
          </rPr>
          <t xml:space="preserve">
=L6*0.95 was previously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Stefan Petrovic</author>
  </authors>
  <commentList>
    <comment ref="R3" authorId="0" shapeId="0" xr:uid="{00000000-0006-0000-0D00-00000100000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J66" authorId="0" shapeId="0" xr:uid="{00000000-0006-0000-0D00-000002000000}">
      <text>
        <r>
          <rPr>
            <b/>
            <sz val="9"/>
            <color indexed="81"/>
            <rFont val="Tahoma"/>
            <family val="2"/>
          </rPr>
          <t>Maurizio Gargiulo:</t>
        </r>
        <r>
          <rPr>
            <sz val="9"/>
            <color indexed="81"/>
            <rFont val="Tahoma"/>
            <family val="2"/>
          </rPr>
          <t xml:space="preserve">
Moved to the trans file by TS</t>
        </r>
      </text>
    </comment>
    <comment ref="L103" authorId="1" shapeId="0" xr:uid="{00000000-0006-0000-0D00-000003000000}">
      <text>
        <r>
          <rPr>
            <b/>
            <sz val="9"/>
            <color indexed="81"/>
            <rFont val="Tahoma"/>
            <family val="2"/>
          </rPr>
          <t>Stefan Petrovic:</t>
        </r>
        <r>
          <rPr>
            <sz val="9"/>
            <color indexed="81"/>
            <rFont val="Tahoma"/>
            <family val="2"/>
          </rPr>
          <t xml:space="preserve">
=L6*0.95 was previously</t>
        </r>
      </text>
    </comment>
    <comment ref="L104" authorId="1" shapeId="0" xr:uid="{00000000-0006-0000-0D00-000004000000}">
      <text>
        <r>
          <rPr>
            <b/>
            <sz val="9"/>
            <color indexed="81"/>
            <rFont val="Tahoma"/>
            <family val="2"/>
          </rPr>
          <t>Stefan Petrovic:</t>
        </r>
        <r>
          <rPr>
            <sz val="9"/>
            <color indexed="81"/>
            <rFont val="Tahoma"/>
            <family val="2"/>
          </rPr>
          <t xml:space="preserve">
=L6*0.95 was previously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3C00BD8-DD3A-407B-AF30-9DD32A91185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2FB01D8-6FF5-489F-A544-8329099B45D6}">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DF6A5EE5-FD85-4AAB-A38D-CBF6204E4148}">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7320C23E-C061-4065-9A10-44003AD5840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24ED533-E1E2-4EDF-B4CA-22965A0B727B}">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B5E47CE-A319-4880-B1ED-621A56C28F99}">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0157D22-CB78-4163-A547-8BB329223F4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1F70793C-023F-4FFF-9D87-4C03CDA65FDB}">
      <text>
        <r>
          <rPr>
            <b/>
            <sz val="9"/>
            <color indexed="81"/>
            <rFont val="Tahoma"/>
            <family val="2"/>
          </rPr>
          <t>Andreas Helk | Viegand Maagøe:</t>
        </r>
        <r>
          <rPr>
            <sz val="9"/>
            <color indexed="81"/>
            <rFont val="Tahoma"/>
            <family val="2"/>
          </rPr>
          <t xml:space="preserve">
Consider looking into updating these</t>
        </r>
      </text>
    </comment>
    <comment ref="X6" authorId="1" shapeId="0" xr:uid="{5FA7DEC2-D327-483C-87D6-E1B23A50A2E2}">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4D96DC-9BB3-40E8-96BE-D8922A6758E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F0D50127-DF50-4708-81B5-F8E5EC52DC1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A140DE02-DDEB-4E2A-AB54-366E078165D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4893FD2C-BB4A-4F02-8030-18B0D3CCA92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455E212B-C356-434A-B67C-D6DBF82D8959}">
      <text>
        <r>
          <rPr>
            <b/>
            <sz val="9"/>
            <color indexed="81"/>
            <rFont val="Tahoma"/>
            <family val="2"/>
          </rPr>
          <t>Stefan Petrovic:</t>
        </r>
        <r>
          <rPr>
            <sz val="9"/>
            <color indexed="81"/>
            <rFont val="Tahoma"/>
            <family val="2"/>
          </rPr>
          <t xml:space="preserve">
=L6*0.95 was previously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43497E6C-4608-44BA-BFA3-2CDCC6693EA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F5B5C0B1-B1A6-47BB-BFB2-13D2CF4D45B2}">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38C59847-67F7-42C0-B16D-4FF1ABB2578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E20F2932-DA61-48B0-A43A-40465AAD6479}">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0026D1E6-D6F1-4773-A85B-3C4F2FE9CA0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D9019E7-61A2-41BA-A085-C0FD338AB94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F22C904-7253-4207-9F8B-E23D3EEFEF4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14E5DB5-2BF5-4619-91E4-F7DAA1A9AA8C}">
      <text>
        <r>
          <rPr>
            <b/>
            <sz val="9"/>
            <color indexed="81"/>
            <rFont val="Tahoma"/>
            <family val="2"/>
          </rPr>
          <t>Andreas Helk | Viegand Maagøe:</t>
        </r>
        <r>
          <rPr>
            <sz val="9"/>
            <color indexed="81"/>
            <rFont val="Tahoma"/>
            <family val="2"/>
          </rPr>
          <t xml:space="preserve">
Consider looking into updating these</t>
        </r>
      </text>
    </comment>
    <comment ref="X6" authorId="1" shapeId="0" xr:uid="{18FC73E4-06D0-4EA7-9967-53C1D4C86AA7}">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CED2289-0F20-48FE-90F3-19133E3018CC}">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E7CC212B-FA44-40FF-9300-8CC0B9195480}">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E527C9A-2CCF-4572-9D78-D468D86A0555}">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76A5874-D382-41E7-A49E-380467BEA8E4}">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6D81CD49-DAFD-4B55-81E3-FD40311FF897}">
      <text>
        <r>
          <rPr>
            <b/>
            <sz val="9"/>
            <color indexed="81"/>
            <rFont val="Tahoma"/>
            <family val="2"/>
          </rPr>
          <t>Stefan Petrovic:</t>
        </r>
        <r>
          <rPr>
            <sz val="9"/>
            <color indexed="81"/>
            <rFont val="Tahoma"/>
            <family val="2"/>
          </rPr>
          <t xml:space="preserve">
=L6*0.95 was previously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600E1158-5989-44E8-8774-7198BB9959EE}">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68ECDF4C-977A-44C5-AC89-0133FE4DF86C}">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5AEB1801-E985-4339-A65E-09618A25CEA1}">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83C8CDF-F666-4BF2-8D0E-D79C15107851}">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64A1FD79-910A-4163-A3AF-5FEFF631785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5AE65CF-ECA2-4BCA-BDB1-098CA6C5E01E}">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C7EC3203-38DA-49D8-A3C6-78EFFB75510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B251B711-2985-466B-A489-87DB7597EA19}">
      <text>
        <r>
          <rPr>
            <b/>
            <sz val="9"/>
            <color indexed="81"/>
            <rFont val="Tahoma"/>
            <family val="2"/>
          </rPr>
          <t>Andreas Helk | Viegand Maagøe:</t>
        </r>
        <r>
          <rPr>
            <sz val="9"/>
            <color indexed="81"/>
            <rFont val="Tahoma"/>
            <family val="2"/>
          </rPr>
          <t xml:space="preserve">
Consider looking into updating these</t>
        </r>
      </text>
    </comment>
    <comment ref="X6" authorId="1" shapeId="0" xr:uid="{3501BC31-EC74-4C50-B4F6-DD9B4B23961F}">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6DE4EF3-3052-4098-A58C-F5119758AFF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8670D9D7-E6DB-4330-8BAA-73E681BD48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F4C7DB4-1738-4524-B0F1-C37D24E9252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2791778-C286-4B44-8888-6AF32276D1E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ECB74CA-E273-40C8-AD81-3CA16F0B3ED8}">
      <text>
        <r>
          <rPr>
            <b/>
            <sz val="9"/>
            <color indexed="81"/>
            <rFont val="Tahoma"/>
            <family val="2"/>
          </rPr>
          <t>Stefan Petrovic:</t>
        </r>
        <r>
          <rPr>
            <sz val="9"/>
            <color indexed="81"/>
            <rFont val="Tahoma"/>
            <family val="2"/>
          </rPr>
          <t xml:space="preserve">
=L6*0.95 was previously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52011D9-B042-47E3-93A1-6F0593ABEB99}">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F858288-F4DD-4949-89CF-0613B3907A5D}">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20D3FCD-2A97-41A1-92AB-52A67225F77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0D1B1488-7107-43F2-954F-4C1431DF0FF2}">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C579EC3F-9BCD-4408-9079-65DD69AF40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DA521BF6-F582-4FE9-9E36-59F956469F0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4BFEA38-8471-42AC-9661-4CC03B3C70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3DD7BADB-FAC7-468C-ABAB-6A849771AF22}">
      <text>
        <r>
          <rPr>
            <b/>
            <sz val="9"/>
            <color indexed="81"/>
            <rFont val="Tahoma"/>
            <family val="2"/>
          </rPr>
          <t>Andreas Helk | Viegand Maagøe:</t>
        </r>
        <r>
          <rPr>
            <sz val="9"/>
            <color indexed="81"/>
            <rFont val="Tahoma"/>
            <family val="2"/>
          </rPr>
          <t xml:space="preserve">
Consider looking into updating these</t>
        </r>
      </text>
    </comment>
    <comment ref="X6" authorId="1" shapeId="0" xr:uid="{F7546FE5-F1A0-478A-BD8E-15A9B1F4FBEC}">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8A37660-A11B-40CA-9D11-EFA22C35AF0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9E4ED93A-9595-4AC0-9B79-DE2D4065A794}">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9BFD39A-11D2-4658-A1BF-2982FFF873D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8F2FD18B-0D3A-4F80-A839-6967E36C024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A6FC0EF-686B-4F1C-893E-74999219BEBF}">
      <text>
        <r>
          <rPr>
            <b/>
            <sz val="9"/>
            <color indexed="81"/>
            <rFont val="Tahoma"/>
            <family val="2"/>
          </rPr>
          <t>Stefan Petrovic:</t>
        </r>
        <r>
          <rPr>
            <sz val="9"/>
            <color indexed="81"/>
            <rFont val="Tahoma"/>
            <family val="2"/>
          </rPr>
          <t xml:space="preserve">
=L6*0.95 was previously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tc={D7126B91-2E02-47EF-A085-1E21EB89156A}</author>
    <author>tc={AC4D1D3C-0F3E-42AA-AC47-853578D5FA32}</author>
    <author>Stefan Petrovic</author>
  </authors>
  <commentList>
    <comment ref="E1" authorId="0" shapeId="0" xr:uid="{C4C7C45C-8C45-42C0-8DC0-A9426DBC95B5}">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1FE0B6B-F2BE-4667-817A-3DDEB2E01C9A}">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7B533D42-8326-4084-ABF7-78CCD2D94B80}">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45B8FA0D-33C0-4523-9D0A-6CB2ABEB555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2C55255-CE6E-484E-B28D-60B4EB5F16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2B5DB79F-0E8E-44E1-90C6-AFF0DF7A139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A5CE325-23C2-488D-AC4C-644BA6C5B31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5E7A6C5-49AA-4D56-8D5C-ED7222600501}">
      <text>
        <r>
          <rPr>
            <b/>
            <sz val="9"/>
            <color indexed="81"/>
            <rFont val="Tahoma"/>
            <family val="2"/>
          </rPr>
          <t>Andreas Helk | Viegand Maagøe:</t>
        </r>
        <r>
          <rPr>
            <sz val="9"/>
            <color indexed="81"/>
            <rFont val="Tahoma"/>
            <family val="2"/>
          </rPr>
          <t xml:space="preserve">
Consider looking into updating these</t>
        </r>
      </text>
    </comment>
    <comment ref="X6" authorId="1" shapeId="0" xr:uid="{5CF03B10-98C6-4C24-B972-FD143D93CF51}">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0648A574-8BD0-402B-ADAB-79DE7E7CC495}">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438E0E8-2F86-4E95-8846-44FAF1171B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96DE96C-D148-4355-B5C7-430E53EA2808}">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L87" authorId="2" shapeId="0" xr:uid="{D7126B91-2E02-47EF-A085-1E21EB89156A}">
      <text>
        <t>[Threaded comment]
Your version of Excel allows you to read this threaded comment; however, any edits to it will get removed if the file is opened in a newer version of Excel. Learn more: https://go.microsoft.com/fwlink/?linkid=870924
Comment:
    Assumed to 85% lower efficiency, fue to BLQ, following VT files</t>
      </text>
    </comment>
    <comment ref="O171" authorId="3" shapeId="0" xr:uid="{AC4D1D3C-0F3E-42AA-AC47-853578D5FA32}">
      <text>
        <t>[Threaded comment]
Your version of Excel allows you to read this threaded comment; however, any edits to it will get removed if the file is opened in a newer version of Excel. Learn more: https://go.microsoft.com/fwlink/?linkid=870924
Comment:
    Assumed to be similar to that of BLQ plants</t>
      </text>
    </comment>
    <comment ref="T186" authorId="0" shapeId="0" xr:uid="{12DD2C59-9BD9-44F4-90CE-0B5C9F0D7ABC}">
      <text>
        <r>
          <rPr>
            <b/>
            <sz val="9"/>
            <color indexed="81"/>
            <rFont val="Tahoma"/>
            <family val="2"/>
          </rPr>
          <t>Andreas Helk | Viegand Maagøe:</t>
        </r>
        <r>
          <rPr>
            <sz val="9"/>
            <color indexed="81"/>
            <rFont val="Tahoma"/>
            <family val="2"/>
          </rPr>
          <t xml:space="preserve">
Not a part of the technology catalogue -  manual input</t>
        </r>
      </text>
    </comment>
    <comment ref="O190" authorId="4" shapeId="0" xr:uid="{F063CC21-A29D-4630-AE05-CA25C146C9CB}">
      <text>
        <r>
          <rPr>
            <b/>
            <sz val="9"/>
            <color indexed="81"/>
            <rFont val="Tahoma"/>
            <family val="2"/>
          </rPr>
          <t>Stefan Petrovic:</t>
        </r>
        <r>
          <rPr>
            <sz val="9"/>
            <color indexed="81"/>
            <rFont val="Tahoma"/>
            <family val="2"/>
          </rPr>
          <t xml:space="preserve">
=L6*0.95 was previously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F273E3A-5346-4B39-AA0A-A35B47FCA1A6}">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E195574D-C2D7-4C5D-B0F6-458B9409F08E}">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8F1657-83D8-4349-9210-87AAE28A7092}">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0A0EB7-4EC0-4D4D-B3CA-705059B8B9CE}">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8DAB4D16-A8FF-42A4-9D17-C2F95089A83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C060F74-5E77-4AF4-AE50-FBE308760B54}">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A1F3A8F-3448-4E80-B92C-89DA7A5BFBC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93486E90-4DD1-4040-BE97-B111096972C5}">
      <text>
        <r>
          <rPr>
            <b/>
            <sz val="9"/>
            <color indexed="81"/>
            <rFont val="Tahoma"/>
            <family val="2"/>
          </rPr>
          <t>Andreas Helk | Viegand Maagøe:</t>
        </r>
        <r>
          <rPr>
            <sz val="9"/>
            <color indexed="81"/>
            <rFont val="Tahoma"/>
            <family val="2"/>
          </rPr>
          <t xml:space="preserve">
Consider looking into updating these</t>
        </r>
      </text>
    </comment>
    <comment ref="X6" authorId="1" shapeId="0" xr:uid="{7C1E6E94-8420-4FB5-8E54-208D6B7058A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7A17CA5-8A78-43BA-9204-4C53501B9D8D}">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5CCBB69-F11D-4C67-9ADB-E570130CB7B2}">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42645429-B31C-4E13-BC31-50EA15D8A50D}">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AA50682-FD75-42C4-AC56-F46B0657493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B1EB51C-E7E2-4995-B222-F79A82F52F57}">
      <text>
        <r>
          <rPr>
            <b/>
            <sz val="9"/>
            <color indexed="81"/>
            <rFont val="Tahoma"/>
            <family val="2"/>
          </rPr>
          <t>Stefan Petrovic:</t>
        </r>
        <r>
          <rPr>
            <sz val="9"/>
            <color indexed="81"/>
            <rFont val="Tahoma"/>
            <family val="2"/>
          </rPr>
          <t xml:space="preserve">
=L6*0.95 was previously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08185F-2F93-4011-8795-D02A93081A7A}">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8397D8B5-25C6-4BBD-96DF-35C266FF4DC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6ECD4A-E91D-44C5-8952-ABDD55C4FD63}">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1E1F70-42C2-4C00-B7C6-D03537C97B5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A27B379A-E895-43DB-9028-18935D8BF788}">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08D4223E-6CD4-408C-B5F6-0D86201D0F90}">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5086099-E139-48A5-8AD9-42D45FAFA4B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58C6F082-37F4-429C-9D61-CE68244A56AF}">
      <text>
        <r>
          <rPr>
            <b/>
            <sz val="9"/>
            <color indexed="81"/>
            <rFont val="Tahoma"/>
            <family val="2"/>
          </rPr>
          <t>Andreas Helk | Viegand Maagøe:</t>
        </r>
        <r>
          <rPr>
            <sz val="9"/>
            <color indexed="81"/>
            <rFont val="Tahoma"/>
            <family val="2"/>
          </rPr>
          <t xml:space="preserve">
Consider looking into updating these</t>
        </r>
      </text>
    </comment>
    <comment ref="X6" authorId="1" shapeId="0" xr:uid="{A5315DF2-38C7-41BA-957A-14849011AAA4}">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AEEF78-561B-4794-891B-B1C5D94ACDD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DFD33FC-6B34-4C86-B419-A79D2053BA7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5BAEA73-4261-434D-A98F-38304B5C7CE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A69BAC0-E7ED-4A0B-AE4A-9312ADEAF11E}">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90AD6F01-21A3-4F96-A709-CD7A66072106}">
      <text>
        <r>
          <rPr>
            <b/>
            <sz val="9"/>
            <color indexed="81"/>
            <rFont val="Tahoma"/>
            <family val="2"/>
          </rPr>
          <t>Stefan Petrovic:</t>
        </r>
        <r>
          <rPr>
            <sz val="9"/>
            <color indexed="81"/>
            <rFont val="Tahoma"/>
            <family val="2"/>
          </rPr>
          <t xml:space="preserve">
=L6*0.95 was previously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3690B2E-24EF-4D15-A008-9ED14DE2DF6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388D2754-A640-45BB-AAB9-E45DAEA1436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6A938E01-DC38-4218-B6E4-7DD6A3FAB05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D916F4E7-933E-413C-85EA-61BAE07EBD2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0B4884B-23D3-4C45-8E8B-85F4CB978FB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AA03353-A173-4D29-BD5F-FBA91D1589D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4AF74174-A76E-44DD-8E1E-217E18A1EF7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D654D5FE-3B1D-42B6-AF6A-F5F17E55728B}">
      <text>
        <r>
          <rPr>
            <b/>
            <sz val="9"/>
            <color indexed="81"/>
            <rFont val="Tahoma"/>
            <family val="2"/>
          </rPr>
          <t>Andreas Helk | Viegand Maagøe:</t>
        </r>
        <r>
          <rPr>
            <sz val="9"/>
            <color indexed="81"/>
            <rFont val="Tahoma"/>
            <family val="2"/>
          </rPr>
          <t xml:space="preserve">
Consider looking into updating these</t>
        </r>
      </text>
    </comment>
    <comment ref="X6" authorId="1" shapeId="0" xr:uid="{C9132B04-53BA-4061-A563-8DC3ECF6717E}">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31CBF88-B5BC-4379-915B-67F556F1EFA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23A09425-CBB5-46CA-8D4B-5E49F8BE2B8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B5D06CB-DCEE-4771-A53F-AEFFD54CC08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F8552A4-548D-4B2F-B655-DBB4ECF9B9C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952B723-66B7-422F-A80A-10D4B2792703}">
      <text>
        <r>
          <rPr>
            <b/>
            <sz val="9"/>
            <color indexed="81"/>
            <rFont val="Tahoma"/>
            <family val="2"/>
          </rPr>
          <t>Stefan Petrovic:</t>
        </r>
        <r>
          <rPr>
            <sz val="9"/>
            <color indexed="81"/>
            <rFont val="Tahoma"/>
            <family val="2"/>
          </rPr>
          <t xml:space="preserve">
=L6*0.95 was previously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6CBBB386-9870-4C94-95A7-DC40DF17FA7C}">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D5A0CB4-B7DE-45BE-ABA6-CFA41009B45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C8C824AE-BE35-49DB-87D2-46868812E3F1}">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0C43482-A77B-4582-B456-89B1EFEAF13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408A313-1E79-422F-8E66-24240D4A9331}">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96D1F10-CFAD-4C29-881A-5EC388B7E758}">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8DD6600-4BA1-4FB1-9215-AEEB6A9C5A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EC48E0D9-ABC6-4516-B045-300AF4897B90}">
      <text>
        <r>
          <rPr>
            <b/>
            <sz val="9"/>
            <color indexed="81"/>
            <rFont val="Tahoma"/>
            <family val="2"/>
          </rPr>
          <t>Andreas Helk | Viegand Maagøe:</t>
        </r>
        <r>
          <rPr>
            <sz val="9"/>
            <color indexed="81"/>
            <rFont val="Tahoma"/>
            <family val="2"/>
          </rPr>
          <t xml:space="preserve">
Consider looking into updating these</t>
        </r>
      </text>
    </comment>
    <comment ref="X6" authorId="1" shapeId="0" xr:uid="{887823A2-0655-442F-AD40-A9BC20220C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3A950AF-A566-486A-8DBC-5D48876ED83A}">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9C6EDAD-FF12-4473-BBBC-6898657398F1}">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3908911-DD37-4205-83AC-B871D67ED1F7}">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2B8A97F-8DC5-4140-8600-585CD538E97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CEF71D6-D7F1-44FC-8B32-3C6DC2745E56}">
      <text>
        <r>
          <rPr>
            <b/>
            <sz val="9"/>
            <color indexed="81"/>
            <rFont val="Tahoma"/>
            <family val="2"/>
          </rPr>
          <t>Stefan Petrovic:</t>
        </r>
        <r>
          <rPr>
            <sz val="9"/>
            <color indexed="81"/>
            <rFont val="Tahoma"/>
            <family val="2"/>
          </rPr>
          <t xml:space="preserve">
=L6*0.95 was previously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43774238-E95E-42F4-A0F1-85E26EC0FC1D}">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80A0EAA-9F7E-4EE2-8A29-D0FCEA333405}">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445A9EAD-B775-434A-AB48-612BE248E0B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5E62869-077B-4247-A083-193156C26AC7}">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300F5916-02B9-4772-BA20-59877B03DFE4}">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A99853E-F8AC-4F2A-91BB-2DBA5EE5B25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9768788-EC7B-4198-9718-763FD30F4A9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CC79290F-BAC2-4E05-9B43-D8B8F1538A25}">
      <text>
        <r>
          <rPr>
            <b/>
            <sz val="9"/>
            <color indexed="81"/>
            <rFont val="Tahoma"/>
            <family val="2"/>
          </rPr>
          <t>Andreas Helk | Viegand Maagøe:</t>
        </r>
        <r>
          <rPr>
            <sz val="9"/>
            <color indexed="81"/>
            <rFont val="Tahoma"/>
            <family val="2"/>
          </rPr>
          <t xml:space="preserve">
Consider looking into updating these</t>
        </r>
      </text>
    </comment>
    <comment ref="X6" authorId="1" shapeId="0" xr:uid="{5476CFB9-A3BC-44ED-ABCE-6A265D0614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F8B15F40-C9BD-4628-9614-2AA8B951416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AJ11" authorId="0" shapeId="0" xr:uid="{4C4D2F98-80FE-46E8-A025-764799DC9549}">
      <text>
        <r>
          <rPr>
            <b/>
            <sz val="9"/>
            <color indexed="81"/>
            <rFont val="Tahoma"/>
            <family val="2"/>
          </rPr>
          <t>Andreas Helk | Viegand Maagøe:</t>
        </r>
        <r>
          <rPr>
            <sz val="9"/>
            <color indexed="81"/>
            <rFont val="Tahoma"/>
            <family val="2"/>
          </rPr>
          <t xml:space="preserve">
Since "A" is taken by agriculture, the aluminium sector is given X</t>
        </r>
      </text>
    </comment>
    <comment ref="O187" authorId="2" shapeId="0" xr:uid="{016CE706-F309-4B04-9B86-8B919E089169}">
      <text>
        <r>
          <rPr>
            <b/>
            <sz val="9"/>
            <color indexed="81"/>
            <rFont val="Tahoma"/>
            <family val="2"/>
          </rPr>
          <t>Stefan Petrovic:</t>
        </r>
        <r>
          <rPr>
            <sz val="9"/>
            <color indexed="81"/>
            <rFont val="Tahoma"/>
            <family val="2"/>
          </rPr>
          <t xml:space="preserve">
=L6*0.95 was previously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18F1E31-160A-4B55-8752-8C20ECFF373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93A403D-7FC1-438B-A294-D8B17218BEC7}">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00483D72-C4F9-468A-B315-F00C036CE437}">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3B5DA4AB-372A-4D2C-90CF-07D2D15AB2AB}">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879FA65-0FE1-4B5A-A192-B6D0C7CB5DF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6E6FB385-BD91-4CCF-B4BB-0630615CF12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7E512A9-1D38-4A7A-BAC6-419ED666009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8EE05B91-9AF1-4776-934E-A9F22E36C141}">
      <text>
        <r>
          <rPr>
            <b/>
            <sz val="9"/>
            <color indexed="81"/>
            <rFont val="Tahoma"/>
            <family val="2"/>
          </rPr>
          <t>Andreas Helk | Viegand Maagøe:</t>
        </r>
        <r>
          <rPr>
            <sz val="9"/>
            <color indexed="81"/>
            <rFont val="Tahoma"/>
            <family val="2"/>
          </rPr>
          <t xml:space="preserve">
Consider looking into updating these</t>
        </r>
      </text>
    </comment>
    <comment ref="X6" authorId="1" shapeId="0" xr:uid="{62F6D73C-B551-4CBB-AF03-6504C79B0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24FE09D6-D15D-4231-948A-7C32AB7E4AD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B266671B-7F22-4270-80EE-474E5AE0FE1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A3567E5-BDA7-4131-B260-30D6CD21CB62}">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9F20ED8-39C2-4483-B4C8-CE422B39542B}">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8A73C0DE-3B00-41DB-A052-905B16B1F377}">
      <text>
        <r>
          <rPr>
            <b/>
            <sz val="9"/>
            <color indexed="81"/>
            <rFont val="Tahoma"/>
            <family val="2"/>
          </rPr>
          <t>Stefan Petrovic:</t>
        </r>
        <r>
          <rPr>
            <sz val="9"/>
            <color indexed="81"/>
            <rFont val="Tahoma"/>
            <family val="2"/>
          </rPr>
          <t xml:space="preserve">
=L6*0.95 was previously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B611114-CECB-42F6-8666-965307D68047}">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5CAEEDB-2217-4AA1-B9CD-9CB3224B127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8E7E804-A0F0-4370-98F4-B75F159202DE}">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2FC5D0C7-2F17-4341-A552-FCF283764E9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F9F6466-B01D-4B7C-8F86-E4F060AD09B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8AC1759-7E94-4616-9A45-6173485AEF1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2DAB7B3-7A2D-4A31-BBC5-3EFD5929199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827FFBF-8FEF-494D-B3E4-6A546DC3DD62}">
      <text>
        <r>
          <rPr>
            <b/>
            <sz val="9"/>
            <color indexed="81"/>
            <rFont val="Tahoma"/>
            <family val="2"/>
          </rPr>
          <t>Andreas Helk | Viegand Maagøe:</t>
        </r>
        <r>
          <rPr>
            <sz val="9"/>
            <color indexed="81"/>
            <rFont val="Tahoma"/>
            <family val="2"/>
          </rPr>
          <t xml:space="preserve">
Consider looking into updating these</t>
        </r>
      </text>
    </comment>
    <comment ref="X6" authorId="1" shapeId="0" xr:uid="{BC261F07-BD20-41D4-B66F-C07BEF06AF26}">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684075A5-BA6E-45D1-9AA5-CB914EFF9D04}">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9122B2D-5D37-4250-A073-EBDFE1AD6FC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55E1F8B-CF20-443E-AA81-3622693034CF}">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B5ADC520-47F5-427E-8D39-1A38D978807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D0F10D08-DCF8-4CD9-A4BD-321E25AA2C14}">
      <text>
        <r>
          <rPr>
            <b/>
            <sz val="9"/>
            <color indexed="81"/>
            <rFont val="Tahoma"/>
            <family val="2"/>
          </rPr>
          <t>Stefan Petrovic:</t>
        </r>
        <r>
          <rPr>
            <sz val="9"/>
            <color indexed="81"/>
            <rFont val="Tahoma"/>
            <family val="2"/>
          </rPr>
          <t xml:space="preserve">
=L6*0.95 was previously</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56F877C8-C528-4255-B590-4A28F432AA2C}">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4998577-D4E2-4974-8488-945816E1952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BFE3D2EB-105B-4A17-9AF0-5E3CE0E681D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431C40C-FAB3-472E-8A1D-070DC7A5747F}">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00F5939-033A-4D97-AEB2-D89324410C19}">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CE814C3C-EE8E-4F41-A190-3C35DEBA9CF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0890D8A-09EF-450C-ABA7-23775E9EABFF}">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F2EC004D-2D02-46E7-AE3F-262CEE0D76C5}">
      <text>
        <r>
          <rPr>
            <b/>
            <sz val="9"/>
            <color indexed="81"/>
            <rFont val="Tahoma"/>
            <family val="2"/>
          </rPr>
          <t>Andreas Helk | Viegand Maagøe:</t>
        </r>
        <r>
          <rPr>
            <sz val="9"/>
            <color indexed="81"/>
            <rFont val="Tahoma"/>
            <family val="2"/>
          </rPr>
          <t xml:space="preserve">
Consider looking into updating these</t>
        </r>
      </text>
    </comment>
    <comment ref="X6" authorId="1" shapeId="0" xr:uid="{D261113E-1D4C-4DF8-A0A8-F4A372BE3DA8}">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AEBC50B-7ECE-44BB-9A7E-871096E3A871}">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BFAB39D-A437-467C-8507-A127C8B7A2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7C32BAF-AFA3-49D7-8249-CF25CCDFD78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8B05FA0-895D-4B99-A5C0-F9E6264D057F}">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3D487C12-B363-4DE4-A3BD-CDED81453771}">
      <text>
        <r>
          <rPr>
            <b/>
            <sz val="9"/>
            <color indexed="81"/>
            <rFont val="Tahoma"/>
            <family val="2"/>
          </rPr>
          <t>Stefan Petrovic:</t>
        </r>
        <r>
          <rPr>
            <sz val="9"/>
            <color indexed="81"/>
            <rFont val="Tahoma"/>
            <family val="2"/>
          </rPr>
          <t xml:space="preserve">
=L6*0.95 was previously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EE82D554-8CF9-497D-8EE1-404C96B4382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C94A898A-0032-49FD-98FB-8B2F273DFE9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F29D7F59-2B05-46FC-9E5E-8BED58E56BBB}">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249F23A-E04E-4564-B899-7A0410F69E8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B4F512C1-A702-4784-AB0C-8C706B506F7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534BB701-AF53-43B8-A092-6E4593B56767}">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2E4011B-AB29-407F-8BAB-1F67B69FA22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C49605E-D065-4AFD-878E-B348682204DE}">
      <text>
        <r>
          <rPr>
            <b/>
            <sz val="9"/>
            <color indexed="81"/>
            <rFont val="Tahoma"/>
            <family val="2"/>
          </rPr>
          <t>Andreas Helk | Viegand Maagøe:</t>
        </r>
        <r>
          <rPr>
            <sz val="9"/>
            <color indexed="81"/>
            <rFont val="Tahoma"/>
            <family val="2"/>
          </rPr>
          <t xml:space="preserve">
Consider looking into updating these</t>
        </r>
      </text>
    </comment>
    <comment ref="X6" authorId="1" shapeId="0" xr:uid="{BB963D45-2CC6-44AE-999D-FD93D9E78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63BCAAC-56CC-4EE8-953A-D8042EC39272}">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C1124D9F-8812-4438-AF02-5DA3FA35D34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EEFEC28-BEE2-4832-94EA-B979F2C2F4C1}">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48CE1DA-47F4-4F8D-A85A-1C5E0E4E5A7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2FF372C7-EE08-4D24-8269-ED178DE0875C}">
      <text>
        <r>
          <rPr>
            <b/>
            <sz val="9"/>
            <color indexed="81"/>
            <rFont val="Tahoma"/>
            <family val="2"/>
          </rPr>
          <t>Stefan Petrovic:</t>
        </r>
        <r>
          <rPr>
            <sz val="9"/>
            <color indexed="81"/>
            <rFont val="Tahoma"/>
            <family val="2"/>
          </rPr>
          <t xml:space="preserve">
=L6*0.95 was previously</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T18" authorId="0" shapeId="0" xr:uid="{2DEBE107-3E14-42A7-B210-B21D307B41F3}">
      <text>
        <r>
          <rPr>
            <b/>
            <sz val="9"/>
            <color indexed="81"/>
            <rFont val="Tahoma"/>
            <family val="2"/>
          </rPr>
          <t>Andreas Helk | Viegand Maagøe:</t>
        </r>
        <r>
          <rPr>
            <sz val="9"/>
            <color indexed="81"/>
            <rFont val="Tahoma"/>
            <family val="2"/>
          </rPr>
          <t xml:space="preserve">
CCS cost american tech sheet</t>
        </r>
      </text>
    </comment>
    <comment ref="Z26" authorId="0" shapeId="0" xr:uid="{47F59E99-0E3D-4128-8CBF-7D07169E1647}">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26" authorId="0" shapeId="0" xr:uid="{EE3EB8F3-37A1-478E-AEA6-69F8E28A6F7D}">
      <text>
        <r>
          <rPr>
            <b/>
            <sz val="9"/>
            <color indexed="81"/>
            <rFont val="Tahoma"/>
            <family val="2"/>
          </rPr>
          <t>Andreas Helk | Viegand Maagøe:</t>
        </r>
        <r>
          <rPr>
            <sz val="9"/>
            <color indexed="81"/>
            <rFont val="Tahoma"/>
            <family val="2"/>
          </rPr>
          <t xml:space="preserve">
Consider looking into updating these</t>
        </r>
      </text>
    </comment>
    <comment ref="Z42" authorId="0" shapeId="0" xr:uid="{28D3DCED-6C0E-4F20-AF68-A479284DA88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42" authorId="0" shapeId="0" xr:uid="{33A1D648-AEFF-49AA-8FE2-4AF1AB12EEB6}">
      <text>
        <r>
          <rPr>
            <b/>
            <sz val="9"/>
            <color indexed="81"/>
            <rFont val="Tahoma"/>
            <family val="2"/>
          </rPr>
          <t>Andreas Helk | Viegand Maagøe:</t>
        </r>
        <r>
          <rPr>
            <sz val="9"/>
            <color indexed="81"/>
            <rFont val="Tahoma"/>
            <family val="2"/>
          </rPr>
          <t xml:space="preserve">
Consider looking into updating these</t>
        </r>
      </text>
    </comment>
    <comment ref="B47" authorId="0" shapeId="0" xr:uid="{1C973D77-B046-4AFF-9241-BD08DCA7AD32}">
      <text>
        <r>
          <rPr>
            <b/>
            <sz val="9"/>
            <color indexed="81"/>
            <rFont val="Tahoma"/>
            <family val="2"/>
          </rPr>
          <t>Andreas Helk | Viegand Maagøe:</t>
        </r>
        <r>
          <rPr>
            <sz val="9"/>
            <color indexed="81"/>
            <rFont val="Tahoma"/>
            <family val="2"/>
          </rPr>
          <t xml:space="preserve">
Has to be multiplied by the specific boiler efficiency</t>
        </r>
      </text>
    </comment>
    <comment ref="B49" authorId="0" shapeId="0" xr:uid="{1D458684-E550-4AC7-B5F7-5A71403FAEDA}">
      <text>
        <r>
          <rPr>
            <b/>
            <sz val="9"/>
            <color indexed="81"/>
            <rFont val="Tahoma"/>
            <family val="2"/>
          </rPr>
          <t>Andreas Helk | Viegand Maagøe:</t>
        </r>
        <r>
          <rPr>
            <sz val="9"/>
            <color indexed="81"/>
            <rFont val="Tahoma"/>
            <family val="2"/>
          </rPr>
          <t xml:space="preserve">
Has to be multiplied by the specific boiler efficiency</t>
        </r>
      </text>
    </comment>
    <comment ref="B50" authorId="0" shapeId="0" xr:uid="{75B2D9F5-6D3D-42FC-8071-4FC85B31FD33}">
      <text>
        <r>
          <rPr>
            <b/>
            <sz val="9"/>
            <color indexed="81"/>
            <rFont val="Tahoma"/>
            <family val="2"/>
          </rPr>
          <t>Andreas Helk | Viegand Maagøe:</t>
        </r>
        <r>
          <rPr>
            <sz val="9"/>
            <color indexed="81"/>
            <rFont val="Tahoma"/>
            <family val="2"/>
          </rPr>
          <t xml:space="preserve">
Has to be multiplied by the specific boiler efficiency</t>
        </r>
      </text>
    </comment>
    <comment ref="B127" authorId="0" shapeId="0" xr:uid="{F7617E7B-B728-4B4C-9210-AA12EEDF89A4}">
      <text>
        <r>
          <rPr>
            <b/>
            <sz val="9"/>
            <color indexed="81"/>
            <rFont val="Tahoma"/>
            <family val="2"/>
          </rPr>
          <t>Andreas Helk | Viegand Maagøe:</t>
        </r>
        <r>
          <rPr>
            <sz val="9"/>
            <color indexed="81"/>
            <rFont val="Tahoma"/>
            <family val="2"/>
          </rPr>
          <t xml:space="preserve">
Has to be multiplied by the specific boiler efficiency</t>
        </r>
      </text>
    </comment>
    <comment ref="B129" authorId="0" shapeId="0" xr:uid="{E60E626E-454B-4E77-8868-D1B3B71C01F3}">
      <text>
        <r>
          <rPr>
            <b/>
            <sz val="9"/>
            <color indexed="81"/>
            <rFont val="Tahoma"/>
            <family val="2"/>
          </rPr>
          <t>Andreas Helk | Viegand Maagøe:</t>
        </r>
        <r>
          <rPr>
            <sz val="9"/>
            <color indexed="81"/>
            <rFont val="Tahoma"/>
            <family val="2"/>
          </rPr>
          <t xml:space="preserve">
Has to be multiplied by the specific boiler efficiency</t>
        </r>
      </text>
    </comment>
    <comment ref="B130" authorId="0" shapeId="0" xr:uid="{7FB79CBA-0626-4B82-92BC-136734098C9C}">
      <text>
        <r>
          <rPr>
            <b/>
            <sz val="9"/>
            <color indexed="81"/>
            <rFont val="Tahoma"/>
            <family val="2"/>
          </rPr>
          <t>Andreas Helk | Viegand Maagøe:</t>
        </r>
        <r>
          <rPr>
            <sz val="9"/>
            <color indexed="81"/>
            <rFont val="Tahoma"/>
            <family val="2"/>
          </rPr>
          <t xml:space="preserve">
Has to be multiplied by the specific boiler efficiency</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O38" authorId="0" shapeId="0" xr:uid="{6A307809-B988-454B-B65C-5236303557B0}">
      <text>
        <r>
          <rPr>
            <b/>
            <sz val="9"/>
            <color indexed="81"/>
            <rFont val="Tahoma"/>
            <family val="2"/>
          </rPr>
          <t>Andreas Helk | Viegand Maagøe:</t>
        </r>
        <r>
          <rPr>
            <sz val="9"/>
            <color indexed="81"/>
            <rFont val="Tahoma"/>
            <family val="2"/>
          </rPr>
          <t xml:space="preserve">
Weighted average of the different temperature levels, and their potential in the food sector.</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Stefan Petrovic</author>
  </authors>
  <commentList>
    <comment ref="L9" authorId="0" shapeId="0" xr:uid="{00000000-0006-0000-2600-000001000000}">
      <text>
        <r>
          <rPr>
            <b/>
            <sz val="9"/>
            <color indexed="81"/>
            <rFont val="Tahoma"/>
            <family val="2"/>
          </rPr>
          <t>Stefan Petrovic:</t>
        </r>
        <r>
          <rPr>
            <sz val="9"/>
            <color indexed="81"/>
            <rFont val="Tahoma"/>
            <family val="2"/>
          </rPr>
          <t xml:space="preserve">
Danish Technology Catalogue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7" authorId="0" shapeId="0" xr:uid="{DA616BE4-01B6-42A2-8A44-6F6F98FBDECE}">
      <text>
        <r>
          <rPr>
            <b/>
            <sz val="9"/>
            <color indexed="81"/>
            <rFont val="Tahoma"/>
            <family val="2"/>
          </rPr>
          <t>Rikke Næraa:</t>
        </r>
        <r>
          <rPr>
            <sz val="9"/>
            <color indexed="81"/>
            <rFont val="Tahoma"/>
            <family val="2"/>
          </rPr>
          <t xml:space="preserve">
It is assumed that the unit should be (€/unit/year)</t>
        </r>
      </text>
    </comment>
    <comment ref="B54" authorId="0" shapeId="0" xr:uid="{A415CB73-E8CF-4ADE-A9A5-9C820F1ED6A7}">
      <text>
        <r>
          <rPr>
            <b/>
            <sz val="9"/>
            <color indexed="81"/>
            <rFont val="Tahoma"/>
            <family val="2"/>
          </rPr>
          <t>Rikke Næraa:</t>
        </r>
        <r>
          <rPr>
            <sz val="9"/>
            <color indexed="81"/>
            <rFont val="Tahoma"/>
            <family val="2"/>
          </rPr>
          <t xml:space="preserve">
It is assumed that the unit should be (€/unit/year), but then the cost become rather low compared to for single family houses
</t>
        </r>
      </text>
    </comment>
    <comment ref="B81" authorId="0" shapeId="0" xr:uid="{0485CF9B-DE2B-40BE-A0B0-2CF0F5129C55}">
      <text>
        <r>
          <rPr>
            <b/>
            <sz val="9"/>
            <color indexed="81"/>
            <rFont val="Tahoma"/>
            <family val="2"/>
          </rPr>
          <t>Rikke Næraa:</t>
        </r>
        <r>
          <rPr>
            <sz val="9"/>
            <color indexed="81"/>
            <rFont val="Tahoma"/>
            <family val="2"/>
          </rPr>
          <t xml:space="preserve">
same coments as for fossil fuel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32" authorId="0" shapeId="0" xr:uid="{00000000-0006-0000-1100-000001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D32" authorId="0" shapeId="0" xr:uid="{00000000-0006-0000-1100-000002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E32" authorId="0" shapeId="0" xr:uid="{00000000-0006-0000-1100-000003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F32" authorId="0" shapeId="0" xr:uid="{00000000-0006-0000-1100-000004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1" authorId="0" shapeId="0" xr:uid="{00000000-0006-0000-13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2" authorId="0" shapeId="0" xr:uid="{00000000-0006-0000-14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B53" authorId="0" shapeId="0" xr:uid="{00000000-0006-0000-1400-000002000000}">
      <text>
        <r>
          <rPr>
            <b/>
            <sz val="9"/>
            <color indexed="81"/>
            <rFont val="Tahoma"/>
            <family val="2"/>
          </rPr>
          <t>Rikke Næraa:</t>
        </r>
        <r>
          <rPr>
            <sz val="9"/>
            <color indexed="81"/>
            <rFont val="Tahoma"/>
            <family val="2"/>
          </rPr>
          <t xml:space="preserve">
Strange that the additional cost is increasing in the future?</t>
        </r>
      </text>
    </comment>
    <comment ref="D76" authorId="0" shapeId="0" xr:uid="{00000000-0006-0000-1400-000003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9" authorId="0" shapeId="0" xr:uid="{00000000-0006-0000-1A00-000001000000}">
      <text>
        <r>
          <rPr>
            <b/>
            <sz val="9"/>
            <color indexed="81"/>
            <rFont val="Tahoma"/>
            <family val="2"/>
          </rPr>
          <t>Rikke Næraa:</t>
        </r>
        <r>
          <rPr>
            <sz val="9"/>
            <color indexed="81"/>
            <rFont val="Tahoma"/>
            <family val="2"/>
          </rPr>
          <t xml:space="preserve">
possible additionel specific investment not included</t>
        </r>
      </text>
    </comment>
    <comment ref="B30" authorId="0" shapeId="0" xr:uid="{00000000-0006-0000-1A00-000002000000}">
      <text>
        <r>
          <rPr>
            <b/>
            <sz val="9"/>
            <color indexed="81"/>
            <rFont val="Tahoma"/>
            <family val="2"/>
          </rPr>
          <t>Rikke Næraa:</t>
        </r>
        <r>
          <rPr>
            <sz val="9"/>
            <color indexed="81"/>
            <rFont val="Tahoma"/>
            <family val="2"/>
          </rPr>
          <t xml:space="preserve">
possible additionel specific investment not included</t>
        </r>
      </text>
    </comment>
    <comment ref="B56" authorId="0" shapeId="0" xr:uid="{00000000-0006-0000-1A00-000003000000}">
      <text>
        <r>
          <rPr>
            <b/>
            <sz val="9"/>
            <color indexed="81"/>
            <rFont val="Tahoma"/>
            <family val="2"/>
          </rPr>
          <t>Rikke Næraa:</t>
        </r>
        <r>
          <rPr>
            <sz val="9"/>
            <color indexed="81"/>
            <rFont val="Tahoma"/>
            <family val="2"/>
          </rPr>
          <t xml:space="preserve">
possible additionel specific investment not included</t>
        </r>
      </text>
    </comment>
    <comment ref="B57" authorId="0" shapeId="0" xr:uid="{00000000-0006-0000-1A00-000004000000}">
      <text>
        <r>
          <rPr>
            <b/>
            <sz val="9"/>
            <color indexed="81"/>
            <rFont val="Tahoma"/>
            <family val="2"/>
          </rPr>
          <t>Rikke Næraa:</t>
        </r>
        <r>
          <rPr>
            <sz val="9"/>
            <color indexed="81"/>
            <rFont val="Tahoma"/>
            <family val="2"/>
          </rPr>
          <t xml:space="preserve">
possible additionel specific investment not included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<sst xmlns="http://schemas.openxmlformats.org/spreadsheetml/2006/main" count="22787" uniqueCount="1440">
  <si>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</si>
  <si>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</si>
  <si>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</si>
  <si>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</si>
  <si>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</si>
  <si>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</si>
  <si>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</si>
  <si>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</si>
  <si>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</si>
  <si>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</si>
  <si>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1, 2, 3, 4</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</si>
  <si>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</si>
  <si>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</si>
  <si>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</si>
  <si>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</si>
  <si>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</si>
  <si>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</si>
  <si>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</si>
  <si>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</si>
  <si>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</si>
  <si>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</si>
  <si>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5, 6</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</si>
  <si>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</si>
  <si>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</si>
  <si>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</si>
  <si>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</si>
  <si>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</si>
  <si>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</si>
  <si>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</si>
  <si>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</si>
  <si>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</si>
  <si>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</si>
  <si>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</si>
  <si>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</si>
  <si>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</si>
  <si>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</si>
  <si>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t>
  </si>
  <si>
    <t>Natural gas boiler</t>
  </si>
  <si>
    <t>One-family house, existing and new building</t>
  </si>
  <si>
    <t>100-104</t>
  </si>
  <si>
    <t>Electricity consumption (kWh/year)</t>
  </si>
  <si>
    <t>80-200</t>
  </si>
  <si>
    <t>40-120</t>
  </si>
  <si>
    <t>20-80</t>
  </si>
  <si>
    <t>?</t>
  </si>
  <si>
    <t>B, C</t>
  </si>
  <si>
    <t>D, E</t>
  </si>
  <si>
    <t>45</t>
  </si>
  <si>
    <t>55</t>
  </si>
  <si>
    <t>K</t>
  </si>
  <si>
    <t>Fixed O&amp;M (€/kW/year)</t>
  </si>
  <si>
    <t>H</t>
  </si>
  <si>
    <t>I</t>
  </si>
  <si>
    <t>Apartment complex, existing and new building</t>
  </si>
  <si>
    <t>20-750</t>
  </si>
  <si>
    <t>J</t>
  </si>
  <si>
    <t>50-85</t>
  </si>
  <si>
    <t>15-50</t>
  </si>
  <si>
    <t>District heating substation</t>
  </si>
  <si>
    <t>B</t>
  </si>
  <si>
    <t>1.5-3.5</t>
  </si>
  <si>
    <t>2, 3, 4</t>
  </si>
  <si>
    <t>20-25</t>
  </si>
  <si>
    <t>75-80</t>
  </si>
  <si>
    <t>Fixed O&amp;M (€/unit/year)</t>
  </si>
  <si>
    <t>2, 4</t>
  </si>
  <si>
    <t>Biomass boiler, automatic stoking</t>
  </si>
  <si>
    <t>4, 5</t>
  </si>
  <si>
    <t>NA</t>
  </si>
  <si>
    <t>2, 5</t>
  </si>
  <si>
    <t>2.5-11</t>
  </si>
  <si>
    <t>- hereof equipment (1000€/unit)</t>
  </si>
  <si>
    <t>2-10</t>
  </si>
  <si>
    <t>- hereof installation (1000€/unit)</t>
  </si>
  <si>
    <t>0.5-1</t>
  </si>
  <si>
    <t>D, F</t>
  </si>
  <si>
    <t>E</t>
  </si>
  <si>
    <t>100-1000</t>
  </si>
  <si>
    <t>Biomass boiler, manual stoking</t>
  </si>
  <si>
    <t>3</t>
  </si>
  <si>
    <t>1.5</t>
  </si>
  <si>
    <t xml:space="preserve">D </t>
  </si>
  <si>
    <t>Wood stove without water tank</t>
  </si>
  <si>
    <t>1.5-9</t>
  </si>
  <si>
    <t>1.5-6</t>
  </si>
  <si>
    <t>20-60</t>
  </si>
  <si>
    <t>2</t>
  </si>
  <si>
    <t>- hereof installation (%1000€/unit)</t>
  </si>
  <si>
    <t>0.6</t>
  </si>
  <si>
    <t>Wood stove with water tank</t>
  </si>
  <si>
    <t>1.5-4</t>
  </si>
  <si>
    <t>1.5-3</t>
  </si>
  <si>
    <t>20-70</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</si>
  <si>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</si>
  <si>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</si>
  <si>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</si>
  <si>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</si>
  <si>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</si>
  <si>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</si>
  <si>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Heat pump, air-to-water</t>
  </si>
  <si>
    <t>Expected share of space heating demand covered by the heat pump unit (%)</t>
  </si>
  <si>
    <t>Expected share of hot tap water demand covered by the heat pump unit (%)</t>
  </si>
  <si>
    <t>A,B</t>
  </si>
  <si>
    <t>1, 2, 3, 4, 6, 7</t>
  </si>
  <si>
    <t>A, B, E</t>
  </si>
  <si>
    <t>1, 2, 5</t>
  </si>
  <si>
    <t>85</t>
  </si>
  <si>
    <t>15</t>
  </si>
  <si>
    <t>50-750</t>
  </si>
  <si>
    <t>A, B</t>
  </si>
  <si>
    <t>20-300</t>
  </si>
  <si>
    <t>Heat pump, brine-to-water</t>
  </si>
  <si>
    <t>A, B, D, E, G</t>
  </si>
  <si>
    <t>Possible additional specific investment  (1000€/kW)</t>
  </si>
  <si>
    <t>A, B, D, E</t>
  </si>
  <si>
    <t>75</t>
  </si>
  <si>
    <t>25</t>
  </si>
  <si>
    <t>Heat pump, ventilation</t>
  </si>
  <si>
    <t>1, 2, 4</t>
  </si>
  <si>
    <t>C, D</t>
  </si>
  <si>
    <t>90</t>
  </si>
  <si>
    <t>10</t>
  </si>
  <si>
    <t>14-200</t>
  </si>
  <si>
    <t>Solar heating system</t>
  </si>
  <si>
    <r>
      <t>Typical size per unit (m</t>
    </r>
    <r>
      <rPr>
        <vertAlign val="superscript"/>
        <sz val="9"/>
        <color indexed="8"/>
        <rFont val="Arial"/>
        <family val="2"/>
      </rPr>
      <t>2</t>
    </r>
    <r>
      <rPr>
        <sz val="9"/>
        <color indexed="8"/>
        <rFont val="Arial"/>
        <family val="2"/>
      </rPr>
      <t>)</t>
    </r>
  </si>
  <si>
    <t>Typical size per unit (kW)</t>
  </si>
  <si>
    <t>2, 6</t>
  </si>
  <si>
    <r>
      <t>Specific investment (1000€/m</t>
    </r>
    <r>
      <rPr>
        <vertAlign val="superscript"/>
        <sz val="9"/>
        <color indexed="8"/>
        <rFont val="Arial"/>
        <family val="2"/>
      </rPr>
      <t>2</t>
    </r>
    <r>
      <rPr>
        <sz val="9"/>
        <color indexed="8"/>
        <rFont val="Arial"/>
        <family val="2"/>
      </rPr>
      <t>)</t>
    </r>
  </si>
  <si>
    <t>1, 8, 9, 10</t>
  </si>
  <si>
    <t>9, 1</t>
  </si>
  <si>
    <t>Variable O&amp;M (€/unit/year)</t>
  </si>
  <si>
    <t>Electric heating</t>
  </si>
  <si>
    <t>B, D</t>
  </si>
  <si>
    <t>For electric heating,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</si>
  <si>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</si>
  <si>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</si>
  <si>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</si>
  <si>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</si>
  <si>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</si>
  <si>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</si>
  <si>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</si>
  <si>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</si>
  <si>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</si>
  <si>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</si>
  <si>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</si>
  <si>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</si>
  <si>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</si>
  <si>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</si>
  <si>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</si>
  <si>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</si>
  <si>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</si>
  <si>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</si>
  <si>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</si>
  <si>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</si>
  <si>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</si>
  <si>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</si>
  <si>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</si>
  <si>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</si>
  <si>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</si>
  <si>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</si>
  <si>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</si>
  <si>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</si>
  <si>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</si>
  <si>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</si>
  <si>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</si>
  <si>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</si>
  <si>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</si>
  <si>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</si>
  <si>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</si>
  <si>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</si>
  <si>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</si>
  <si>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</si>
  <si>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</si>
  <si>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</si>
  <si>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</si>
  <si>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</si>
  <si>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</si>
  <si>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</si>
  <si>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</si>
  <si>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</si>
  <si>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</si>
  <si>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</si>
  <si>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</si>
  <si>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</si>
  <si>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</si>
  <si>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</si>
  <si>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</si>
  <si>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</si>
  <si>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</si>
  <si>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</si>
  <si>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</si>
  <si>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</si>
  <si>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</si>
  <si>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</si>
  <si>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</si>
  <si>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</si>
  <si>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</si>
  <si>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</si>
  <si>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</si>
  <si>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</si>
  <si>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</si>
  <si>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</si>
  <si>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</si>
  <si>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</si>
  <si>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</si>
  <si>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</si>
  <si>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</si>
  <si>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</si>
  <si>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</si>
  <si>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</si>
  <si>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</si>
  <si>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</si>
  <si>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</si>
  <si>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</si>
  <si>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</si>
  <si>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</si>
  <si>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</si>
  <si>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</si>
  <si>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</si>
  <si>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</si>
  <si>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</si>
  <si>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</si>
  <si>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</si>
  <si>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</si>
  <si>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</si>
  <si>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</si>
  <si>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</si>
  <si>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</si>
  <si>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</si>
  <si>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</si>
  <si>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</si>
  <si>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</si>
  <si>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</si>
  <si>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</si>
  <si>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</si>
  <si>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</si>
  <si>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</si>
  <si>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</si>
  <si>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</si>
  <si>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</si>
  <si>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</si>
  <si>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</si>
  <si>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</si>
  <si>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</si>
  <si>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</si>
  <si>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</si>
  <si>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</si>
  <si>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</si>
  <si>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</si>
  <si>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</si>
  <si>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</si>
  <si>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</si>
  <si>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</si>
  <si>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</si>
  <si>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</si>
  <si>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</si>
  <si>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</si>
  <si>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</si>
  <si>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</si>
  <si>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</si>
  <si>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</si>
  <si>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</si>
  <si>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</si>
  <si>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</si>
  <si>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</si>
  <si>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</si>
  <si>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</si>
  <si>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</si>
  <si>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</si>
  <si>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</si>
  <si>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</si>
  <si>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</si>
  <si>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</si>
  <si>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</si>
  <si>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</si>
  <si>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</si>
  <si>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</si>
  <si>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</si>
  <si>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3-20</t>
  </si>
  <si>
    <t>2-20</t>
  </si>
  <si>
    <t>1-20</t>
  </si>
  <si>
    <t>5-40</t>
  </si>
  <si>
    <t>5-35</t>
  </si>
  <si>
    <t>5-30</t>
  </si>
  <si>
    <t>6-20</t>
  </si>
  <si>
    <t>4-20</t>
  </si>
  <si>
    <t>3-12</t>
  </si>
  <si>
    <t>5-25</t>
  </si>
  <si>
    <t>7-30</t>
  </si>
  <si>
    <t>5-18</t>
  </si>
  <si>
    <t>4-16</t>
  </si>
  <si>
    <t>4-14</t>
  </si>
  <si>
    <t>2-12</t>
  </si>
  <si>
    <t>3-8</t>
  </si>
  <si>
    <t>2-5</t>
  </si>
  <si>
    <t>3-5</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</si>
  <si>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</si>
  <si>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</si>
  <si>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</si>
  <si>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</si>
  <si>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</si>
  <si>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</si>
  <si>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</si>
  <si>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</si>
  <si>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</si>
  <si>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</si>
  <si>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</si>
  <si>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</si>
  <si>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</si>
  <si>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</si>
  <si>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</si>
  <si>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</si>
  <si>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</si>
  <si>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</si>
  <si>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</si>
  <si>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</si>
  <si>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</si>
  <si>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</si>
  <si>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</si>
  <si>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</si>
  <si>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</si>
  <si>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</si>
  <si>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</si>
  <si>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</si>
  <si>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</si>
  <si>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10 kW boiler</t>
  </si>
  <si>
    <t>kr/kW/year</t>
  </si>
  <si>
    <t>kr/GJ</t>
  </si>
  <si>
    <t>kr/€</t>
  </si>
  <si>
    <t>Average</t>
  </si>
  <si>
    <t>kW</t>
  </si>
  <si>
    <t xml:space="preserve">Boiler size, Check against  the range for the "Heat production capacity for one unit (kW)" in the first row in the datasheet </t>
  </si>
  <si>
    <t>Heat production capacity</t>
  </si>
  <si>
    <t xml:space="preserve">Check against  the range for the "Heat production capacity for one unit (kW)" in the first row in the datasheet </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</si>
  <si>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</si>
  <si>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</si>
  <si>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</si>
  <si>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</si>
  <si>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</si>
  <si>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</si>
  <si>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</si>
  <si>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</si>
  <si>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</si>
  <si>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</si>
  <si>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</si>
  <si>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</si>
  <si>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</si>
  <si>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</si>
  <si>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</si>
  <si>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</si>
  <si>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</si>
  <si>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</si>
  <si>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</si>
  <si>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r>
      <t>Specific investment in</t>
    </r>
    <r>
      <rPr>
        <b/>
        <sz val="11"/>
        <color indexed="8"/>
        <rFont val="Calibri"/>
        <family val="2"/>
      </rPr>
      <t xml:space="preserve"> dkr/kW </t>
    </r>
  </si>
  <si>
    <r>
      <t xml:space="preserve"> Specific investment in </t>
    </r>
    <r>
      <rPr>
        <b/>
        <sz val="11"/>
        <color indexed="8"/>
        <rFont val="Calibri"/>
        <family val="2"/>
      </rPr>
      <t>dkr/unit</t>
    </r>
  </si>
  <si>
    <r>
      <t xml:space="preserve">FIX O&amp;M </t>
    </r>
    <r>
      <rPr>
        <b/>
        <sz val="11"/>
        <color indexed="8"/>
        <rFont val="Calibri"/>
        <family val="2"/>
      </rPr>
      <t>dkr/kW/year</t>
    </r>
  </si>
  <si>
    <r>
      <t xml:space="preserve">Variable O&amp;M in </t>
    </r>
    <r>
      <rPr>
        <b/>
        <sz val="11"/>
        <color indexed="8"/>
        <rFont val="Calibri"/>
        <family val="2"/>
      </rPr>
      <t>dkr/GJ</t>
    </r>
  </si>
  <si>
    <t xml:space="preserve">The green  should be copied to TIMES: </t>
  </si>
  <si>
    <t xml:space="preserve">Currency </t>
  </si>
  <si>
    <t>c</t>
  </si>
  <si>
    <t>kWh</t>
  </si>
  <si>
    <t>GJ</t>
  </si>
  <si>
    <t>One family house, new and existing buildings</t>
  </si>
  <si>
    <t>Total efficiency (%) net</t>
  </si>
  <si>
    <t>SO2 (degree of desulphoring, %)</t>
  </si>
  <si>
    <t>NOX (g per GJ fuel)</t>
  </si>
  <si>
    <t>CH4 (g per GJ fuel)</t>
  </si>
  <si>
    <t>N2O (g per GJ fuel)</t>
  </si>
  <si>
    <t>Financial data  (air/water)</t>
  </si>
  <si>
    <t>Possible additional specific investment (1000€/unit)</t>
  </si>
  <si>
    <t>Variable costs O&amp;M (€/MWh)</t>
  </si>
  <si>
    <t>Financial data  (brine/water)</t>
  </si>
  <si>
    <t>Absorption heat pump, brine-to-water</t>
  </si>
  <si>
    <t>Apartment complex, existing and new buildings</t>
  </si>
  <si>
    <t>L</t>
  </si>
  <si>
    <t>Gas engine driven heat pump, air-to-water and brine-to-water</t>
  </si>
  <si>
    <t>Gas engine driven heat pump heat pump</t>
  </si>
  <si>
    <t>A, K</t>
  </si>
  <si>
    <t>Gas engine driven heat pump heat pump, air-to-water</t>
  </si>
  <si>
    <t>0,5 - 1,4</t>
  </si>
  <si>
    <t>0,5 -1,4</t>
  </si>
  <si>
    <t>F,G,N</t>
  </si>
  <si>
    <t>I1</t>
  </si>
  <si>
    <t>I2</t>
  </si>
  <si>
    <t>Gas engine driven heat pump heat pump, brine-to-water</t>
  </si>
  <si>
    <t>F, G, N,O</t>
  </si>
  <si>
    <t>1,6+23</t>
  </si>
  <si>
    <t>H, J</t>
  </si>
  <si>
    <t>Gas driven adsorption heat pumps, air-to-water and brine-to-water</t>
  </si>
  <si>
    <t>1,5-15</t>
  </si>
  <si>
    <t>E; H</t>
  </si>
  <si>
    <t xml:space="preserve"> /5/, /17/</t>
  </si>
  <si>
    <t>A, H</t>
  </si>
  <si>
    <t xml:space="preserve">Gas driven absorption heat pumps, air-to-water </t>
  </si>
  <si>
    <t>Absorption heat pump</t>
  </si>
  <si>
    <t>I,K,L</t>
  </si>
  <si>
    <t>C2</t>
  </si>
  <si>
    <t>Absorption heat pump, air-to-water</t>
  </si>
  <si>
    <t>A, D, L</t>
  </si>
  <si>
    <t>C1</t>
  </si>
  <si>
    <t>A,D</t>
  </si>
  <si>
    <t>Gas driven absorption heat pumps brine-to-water</t>
  </si>
  <si>
    <t>H, H2</t>
  </si>
  <si>
    <t>A,D,E,F2;K</t>
  </si>
  <si>
    <t>1,6+ 23</t>
  </si>
  <si>
    <t>F1, H</t>
  </si>
  <si>
    <t>Variable costs O&amp;M (€/GJ)</t>
  </si>
  <si>
    <t>Variable costs O&amp;M (€/unit/year)</t>
  </si>
  <si>
    <t>MJ</t>
  </si>
  <si>
    <t>kr/MWh</t>
  </si>
  <si>
    <t>References:</t>
  </si>
  <si>
    <t>1 Forsyningskatalog 1988.</t>
  </si>
  <si>
    <t>2 Dansk Elforsyningsstatistik 2008.</t>
  </si>
  <si>
    <t>3 1975 – 1990 Publikationer fra DEFU Concerning electric heating. Here are also reports on storage heaters.</t>
  </si>
  <si>
    <t>4 http://www.dimplex.co.uk/products/domestic_heating/installed_ heating/storage_heaters/index.htm.</t>
  </si>
  <si>
    <t>5 http://www.lk.dk/Lauritz+Knudsen/privat/det-intelligente-hjem/det-intelligente-hjem.page?</t>
  </si>
  <si>
    <t>6 Peter Strøm from “EL-Strøm A/S”, personnaly communication.</t>
  </si>
  <si>
    <t>Notes:</t>
  </si>
  <si>
    <t>A Annual efficiency based on 100 % space heating efficiency and hot water efficiency. In addition, distribution heat losses compared to water based heating systems are saved, typically in the range of 5-10 %.</t>
  </si>
  <si>
    <t>B Assuming 150 apartments.</t>
  </si>
  <si>
    <t>C Assuming change of heating elements in the hot water tank every 10 years.</t>
  </si>
  <si>
    <t>D The price includes the complete system including room heaters and hot tap water preparation.</t>
  </si>
  <si>
    <t>if it is assumed that the energyconsumtion for hotwater is 4000kWh/year(=14,4 GJ/year) for an average 6 hosehold and 65% of the heating is delivered from the solarcollectors</t>
  </si>
  <si>
    <t xml:space="preserve">if it is assumed for a household in a detached building that the energyconsumtion for hotwater is 4000kWh/year(=14,4 GJ/year) for an average 6 hosehold and 65% of the heating is delivered from the solarcollectors. And it is assumed that heat production from solar collectors on  the multi storey building can be calculated from the relation between the installed capacity:  140kW/4,2 kW * 14,4 GJ/year =   </t>
  </si>
  <si>
    <t>* Source</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</si>
  <si>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</si>
  <si>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</si>
  <si>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</si>
  <si>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</si>
  <si>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</si>
  <si>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</si>
  <si>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</si>
  <si>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</si>
  <si>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</si>
  <si>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</si>
  <si>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</si>
  <si>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</si>
  <si>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</si>
  <si>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</si>
  <si>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</si>
  <si>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</si>
  <si>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</si>
  <si>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</si>
  <si>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</si>
  <si>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</si>
  <si>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</si>
  <si>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</si>
  <si>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</si>
  <si>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</si>
  <si>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</si>
  <si>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</si>
  <si>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</si>
  <si>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</si>
  <si>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</si>
  <si>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</si>
  <si>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</si>
  <si>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</si>
  <si>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</si>
  <si>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</si>
  <si>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</si>
  <si>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</si>
  <si>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</si>
  <si>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</si>
  <si>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</si>
  <si>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</si>
  <si>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</si>
  <si>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</si>
  <si>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</si>
  <si>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</si>
  <si>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yes</t>
  </si>
  <si>
    <t>Mkr/MW</t>
  </si>
  <si>
    <t>Mkr/MW/year</t>
  </si>
  <si>
    <t>Mkr/PJ</t>
  </si>
  <si>
    <t>EFF heat pumps moved to Trans file</t>
  </si>
  <si>
    <t>Stefan</t>
  </si>
  <si>
    <t>Sheet HOU_Deta_Boil</t>
  </si>
  <si>
    <t>Sheet HOU_Multi_Boil</t>
  </si>
  <si>
    <t>Mauri</t>
  </si>
  <si>
    <t>Sheet HOU_Deta Boil</t>
  </si>
  <si>
    <t>Sheet HOU_Multi Boil</t>
  </si>
  <si>
    <t>Technology Catalog - Heat Generation</t>
  </si>
  <si>
    <t>43. District Heating Boiler, Biomass Fired boiler - Wood Chips</t>
  </si>
  <si>
    <t>District Heating Boiler, Wood Chips</t>
  </si>
  <si>
    <t>Generation capacity for one plant (MJ/s</t>
  </si>
  <si>
    <t>Availability (%)</t>
  </si>
  <si>
    <t>Nominal Investment (M€ per MJ/s)</t>
  </si>
  <si>
    <t>Total O&amp;M (€ per MWh)</t>
  </si>
  <si>
    <t>1 -1 2</t>
  </si>
  <si>
    <t>1</t>
  </si>
  <si>
    <t>96-98</t>
  </si>
  <si>
    <t>0.5 - 1</t>
  </si>
  <si>
    <t>Unburned hydrocarbons, UHC (g per GJ guel)</t>
  </si>
  <si>
    <t>4;3;3;3</t>
  </si>
  <si>
    <t xml:space="preserve">0.5 - 1.1 </t>
  </si>
  <si>
    <t>references</t>
  </si>
  <si>
    <t>1 Danish Heating Association, January 2012</t>
  </si>
  <si>
    <t>2 Elsams og Elktraffs opdatering at  Energi</t>
  </si>
  <si>
    <t>* Electric appliances</t>
  </si>
  <si>
    <t>INDWPE</t>
  </si>
  <si>
    <t>INDWCH</t>
  </si>
  <si>
    <t>INDELC</t>
  </si>
  <si>
    <t>INDSOL</t>
  </si>
  <si>
    <t>INDHCE</t>
  </si>
  <si>
    <t>INDHDE</t>
  </si>
  <si>
    <t>* Heat Exchangers</t>
  </si>
  <si>
    <t>DMD</t>
  </si>
  <si>
    <t>Date</t>
  </si>
  <si>
    <t>Name</t>
  </si>
  <si>
    <t>Sheet Name</t>
  </si>
  <si>
    <t>Cells</t>
  </si>
  <si>
    <t>Comments</t>
  </si>
  <si>
    <t>Olexandr Balyk</t>
  </si>
  <si>
    <t>IND_Food</t>
  </si>
  <si>
    <t>Electric boiler are set to deliver HT as well</t>
  </si>
  <si>
    <t>Rows 61-66 and 89-94</t>
  </si>
  <si>
    <t>Removed because not used anymore in this model version</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</si>
  <si>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</si>
  <si>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</si>
  <si>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</si>
  <si>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Sector</t>
  </si>
  <si>
    <t>Food</t>
  </si>
  <si>
    <t>Agriculture</t>
  </si>
  <si>
    <t>Chemical</t>
  </si>
  <si>
    <t>Glass &amp; Concrete</t>
  </si>
  <si>
    <t>Other comm</t>
  </si>
  <si>
    <t>Trade (Wholesale and Retail)</t>
  </si>
  <si>
    <t>Private Service</t>
  </si>
  <si>
    <t>INDNGA, INDBGA, INDSNG1, INDSNG2, INDLPG</t>
  </si>
  <si>
    <t>INDNGA, INDBGA, INDSNG1, INDSNG2</t>
  </si>
  <si>
    <t>INDDSL, INDDSB1, INDDSB2, INDHFO</t>
  </si>
  <si>
    <t>Kenneth Bernard Karlsson</t>
  </si>
  <si>
    <t>IND_AGR</t>
  </si>
  <si>
    <t>Update of name to align with VT file</t>
  </si>
  <si>
    <t>Added the 3 haulage demands</t>
  </si>
  <si>
    <t>Changed dem name as in agr.</t>
  </si>
  <si>
    <t>Public Service</t>
  </si>
  <si>
    <t>Pja</t>
  </si>
  <si>
    <t>Public service</t>
  </si>
  <si>
    <t>Private service</t>
  </si>
  <si>
    <t>Wholesale and retail</t>
  </si>
  <si>
    <t>Motor vehicles</t>
  </si>
  <si>
    <t>Metal industry</t>
  </si>
  <si>
    <t>Glass &amp; Concrete industry</t>
  </si>
  <si>
    <t>Chemical Industry</t>
  </si>
  <si>
    <t>Food Industry</t>
  </si>
  <si>
    <t>Haulage Tractors, Trucks, Fishing boats</t>
  </si>
  <si>
    <t>TF2015</t>
  </si>
  <si>
    <t>Electric Motors</t>
  </si>
  <si>
    <t>EM2015</t>
  </si>
  <si>
    <t>Light</t>
  </si>
  <si>
    <t>LA2015</t>
  </si>
  <si>
    <t>Heat Room Heat</t>
  </si>
  <si>
    <t>RH2015</t>
  </si>
  <si>
    <t>Heat High Temp. over 150C</t>
  </si>
  <si>
    <t>HT2015</t>
  </si>
  <si>
    <t>Heat Medium Temp. up to 150C</t>
  </si>
  <si>
    <t>MT2015</t>
  </si>
  <si>
    <t>Operational Commodity Group</t>
  </si>
  <si>
    <t>Timeslice Operational Level</t>
  </si>
  <si>
    <t>\I: Process Set Membership</t>
  </si>
  <si>
    <t>\I:</t>
  </si>
  <si>
    <t>So for now it is not included in this file too</t>
  </si>
  <si>
    <t>AFA~FX</t>
  </si>
  <si>
    <t xml:space="preserve">FOR POTENTIAL IT IS ALSO AVAILABLE COOLING/FREEZING BUT NOT IN THE VT_IND TEMPLATE </t>
  </si>
  <si>
    <t>Industry Saving Potential Technologies from COWI Study</t>
  </si>
  <si>
    <t>Olexandr</t>
  </si>
  <si>
    <t>IND_SavTechs</t>
  </si>
  <si>
    <t>Moved all the data from SubRES_IND_SavingPot to here</t>
  </si>
  <si>
    <t>Construction</t>
  </si>
  <si>
    <t>INDDSL, INDDSB1, INDDSB2</t>
  </si>
  <si>
    <t>Steffen</t>
  </si>
  <si>
    <t>All IND_ sheets</t>
  </si>
  <si>
    <t>Corrected names for new technologies, removing the "i".</t>
  </si>
  <si>
    <t>C6:C112</t>
  </si>
  <si>
    <t>Lars B. Termansen</t>
  </si>
  <si>
    <t>Intro</t>
  </si>
  <si>
    <t>Added intro sheet</t>
  </si>
  <si>
    <t>all sheets</t>
  </si>
  <si>
    <t>Tab colors adjusted</t>
  </si>
  <si>
    <t>Description</t>
  </si>
  <si>
    <t>Purpose:</t>
  </si>
  <si>
    <t>Description:</t>
  </si>
  <si>
    <t>Relevant sectors</t>
  </si>
  <si>
    <t>Description of different sheets</t>
  </si>
  <si>
    <t xml:space="preserve">READ THIS </t>
  </si>
  <si>
    <t>Special remarks relevant for this workbook</t>
  </si>
  <si>
    <t>IND</t>
  </si>
  <si>
    <t>Definition of new technology definition available to be installed in industrt</t>
  </si>
  <si>
    <t>IND_CHEM</t>
  </si>
  <si>
    <t>IND_G&amp;C</t>
  </si>
  <si>
    <t>IND_Metal</t>
  </si>
  <si>
    <t>IND_Other</t>
  </si>
  <si>
    <t>IND_Vehicles</t>
  </si>
  <si>
    <t>IND_Trade</t>
  </si>
  <si>
    <t>IND_Private</t>
  </si>
  <si>
    <t>IND_Public</t>
  </si>
  <si>
    <t>IND_Construction</t>
  </si>
  <si>
    <t>IND_Utilities</t>
  </si>
  <si>
    <t>Technologies are copied from ELC sector for proces heat and HOU for room heat. Notice the process definitions are kept for each industry sheet</t>
  </si>
  <si>
    <t>New technologies for Agriculture (A)</t>
  </si>
  <si>
    <t>New technologies for Food (F)</t>
  </si>
  <si>
    <t xml:space="preserve">New technologies for Chemicals (C) </t>
  </si>
  <si>
    <t>New technologies for Metal and Machinery (M)</t>
  </si>
  <si>
    <t>New technologies for Other manufacturing (O)</t>
  </si>
  <si>
    <t>New technologies for Cars sales and repair (V)</t>
  </si>
  <si>
    <t>New technologies for Wholesale and Retail (T)</t>
  </si>
  <si>
    <t>New technologies for Private service (P)</t>
  </si>
  <si>
    <t>New technologies for Construction (N)</t>
  </si>
  <si>
    <t>New technologies for Utilities (L)</t>
  </si>
  <si>
    <t>Oil-fired boiler</t>
  </si>
  <si>
    <t>DH-substation</t>
  </si>
  <si>
    <t>DHB Wood-Chips</t>
  </si>
  <si>
    <t>Biomass boiler, automatic</t>
  </si>
  <si>
    <t>Biomass boiler, manual</t>
  </si>
  <si>
    <t>Wood stove</t>
  </si>
  <si>
    <t>Heat pump, ground source</t>
  </si>
  <si>
    <t>HP, gas absorption, air-to-water</t>
  </si>
  <si>
    <t>HP, gas absorption, brine-to-water</t>
  </si>
  <si>
    <t>Heat pump, gas engine air-water</t>
  </si>
  <si>
    <t>Heat pump, gas engine, Brine-wat</t>
  </si>
  <si>
    <t>Solar heating</t>
  </si>
  <si>
    <t>Electrical heating</t>
  </si>
  <si>
    <t>Micro CHP, natural gas FC</t>
  </si>
  <si>
    <t>Micro CHP, hydrogen FC</t>
  </si>
  <si>
    <t>Micro CHP, Stirling engine</t>
  </si>
  <si>
    <t>Micro CHP, Gas engine</t>
  </si>
  <si>
    <t>DH network</t>
  </si>
  <si>
    <t>Data sheet for Oil-fired boiler</t>
  </si>
  <si>
    <t>Data sheet for Natural gas boiler</t>
  </si>
  <si>
    <t>Data sheet for DH-substation</t>
  </si>
  <si>
    <t>Data sheet for DHB Wood-Chips</t>
  </si>
  <si>
    <t>Data sheet for Biomass boiler, automatic</t>
  </si>
  <si>
    <t>Data sheet for Biomass boiler, manual</t>
  </si>
  <si>
    <t>Data sheet for Wood stove</t>
  </si>
  <si>
    <t>Data sheet for Heat pump, air-to-air</t>
  </si>
  <si>
    <t>Data sheet for Heat pump, air-to-water</t>
  </si>
  <si>
    <t>Data sheet for Heat pump, ground source</t>
  </si>
  <si>
    <t>Data sheet for HP, gas absorption, air-to-water</t>
  </si>
  <si>
    <t>Data sheet for HP, gas absorption, brine-to-water</t>
  </si>
  <si>
    <t>Data sheet for Heat pump, gas engine air-water</t>
  </si>
  <si>
    <t>Data sheet for Heat pump, gas engine, Brine-wat</t>
  </si>
  <si>
    <t>Data sheet for Solar heating</t>
  </si>
  <si>
    <t>Data sheet for Heat pump, ventilation</t>
  </si>
  <si>
    <t>Data sheet for Electrical heating</t>
  </si>
  <si>
    <t>Data sheet for Micro CHP, natural gas FC</t>
  </si>
  <si>
    <t>Data sheet for Micro CHP, hydrogen FC</t>
  </si>
  <si>
    <t>Data sheet for Micro CHP, Stirling engine</t>
  </si>
  <si>
    <t>Data sheet for Micro CHP, Gas engine</t>
  </si>
  <si>
    <t>Data sheet for DH network</t>
  </si>
  <si>
    <t>Data sheet for Electrical grid</t>
  </si>
  <si>
    <t>Steffen Dockweiler</t>
  </si>
  <si>
    <t>Column S</t>
  </si>
  <si>
    <t>Changed AFA to VT-file level</t>
  </si>
  <si>
    <t>INDLPG, INDBGA, INDNGA, INDSNG1, INDSNG2</t>
  </si>
  <si>
    <t>Added INDBGA, INDNGA, INDSNG1, INDSNG2 to forklifts</t>
  </si>
  <si>
    <t>F108</t>
  </si>
  <si>
    <t>C26:Y29</t>
  </si>
  <si>
    <t>Added oil boilers for high temp - to match statistics</t>
  </si>
  <si>
    <t>Added wood chips/pellets for high temp - to match statistics</t>
  </si>
  <si>
    <t>C30:Y49</t>
  </si>
  <si>
    <t>Removed Forest Machines as a seperate energy service</t>
  </si>
  <si>
    <t>New technologies for Glass &amp; Concrete (G) - Different from the above green IND_ sheets since this industry can build coal plants (since it containts Aalborg Portland)</t>
  </si>
  <si>
    <t>INDCOA</t>
  </si>
  <si>
    <t>C6:Y13</t>
  </si>
  <si>
    <t>Introduced coal fired plant to create MT and HT only for IND_G&amp;C, to match statistics (Aalborg Portland)</t>
  </si>
  <si>
    <t>DAYNITE</t>
  </si>
  <si>
    <t>Changed SOL-technology to DAYNITE timeslice</t>
  </si>
  <si>
    <t>Changed start date for all techs to be 2011</t>
  </si>
  <si>
    <r>
      <t xml:space="preserve">Changed the COAL effieciency/cost to be equal to biomass - </t>
    </r>
    <r>
      <rPr>
        <b/>
        <sz val="11"/>
        <color rgb="FFFF0000"/>
        <rFont val="Calibri"/>
        <family val="2"/>
        <scheme val="minor"/>
      </rPr>
      <t>SHOULD BE REVISITED!</t>
    </r>
  </si>
  <si>
    <t>Solar_Heating</t>
  </si>
  <si>
    <t>Recalculated variable O&amp;M for 2030 and 2050 since improvements to % heat possible to cover by solar heat improves.</t>
  </si>
  <si>
    <t>Fixed O&amp;M Cost (EUR/TJ/year)</t>
  </si>
  <si>
    <t>Fixed O&amp;M Cost (MDKK/MW)</t>
  </si>
  <si>
    <t>From SubRes_ELC_DH-Pipes</t>
  </si>
  <si>
    <t xml:space="preserve">Introduced higher value for Fixed annual O&amp;M for DH- taken from Subres_ELC_DH-Pipes  to better capture the pipe costs. Please note that investments costs of installing the pipes are included in the INV costs - we were simply missing the O&amp;M of the pipes. It can be discussed whether these should occur to the industries themselves, or rather to ELC sector?  </t>
  </si>
  <si>
    <t>SDO assumption - 27-07-2016</t>
  </si>
  <si>
    <t>Total O&amp;M are split in Variable and Fixed, since this tech is extremely favored</t>
  </si>
  <si>
    <t xml:space="preserve">when fixed O&amp;M are zero! </t>
  </si>
  <si>
    <t>Split rate:</t>
  </si>
  <si>
    <t>Fixed O&amp;M</t>
  </si>
  <si>
    <t>Variable O&amp;M</t>
  </si>
  <si>
    <t xml:space="preserve">Introduced an assumption splitting total O&amp;M for wood whips on both variable and fixed, instead of just variable before. The model installed very much WCH maybe because of zero fixed O&amp;M. </t>
  </si>
  <si>
    <t>kWh/m2</t>
  </si>
  <si>
    <t>Demand only for space heating</t>
  </si>
  <si>
    <t>Share of space heating covered by solar heating</t>
  </si>
  <si>
    <t>Demand only for DHW</t>
  </si>
  <si>
    <t>Share of DHW covered by solar heating</t>
  </si>
  <si>
    <t>Demand for space heating and DHW</t>
  </si>
  <si>
    <t>m2</t>
  </si>
  <si>
    <t>Made same assumptions on investment costs and O&amp;M as in the Solar Heating of Housing. Changed size of heating area assumption to 1500M2, and changed 2030 and 2050 effeicency of room heat to 12 %</t>
  </si>
  <si>
    <t>Assumed area of a industry building</t>
  </si>
  <si>
    <t>41 Heat only generation tech (boilers, heat pumps, geothermal)
Electric boilers, 400 or 690 V, 0.06-5 MW; 10 or 15 kV, &gt;10 MW</t>
  </si>
  <si>
    <t>Uncertainty (2020)</t>
  </si>
  <si>
    <t>Uncertainty (2050)</t>
  </si>
  <si>
    <t>Lower</t>
  </si>
  <si>
    <t>Upper</t>
  </si>
  <si>
    <t>Heat generation capacity for one unit (MW)</t>
  </si>
  <si>
    <t>Total efficiency, net (%), name plate</t>
  </si>
  <si>
    <t>Total efficiency , net (%), annual average</t>
  </si>
  <si>
    <t>Electricity consumption for pumps etc. (% of heat gen)</t>
  </si>
  <si>
    <t>0.5</t>
  </si>
  <si>
    <t>0.1</t>
  </si>
  <si>
    <t>Forced outage (%)</t>
  </si>
  <si>
    <t>Planned outage (weeks per year)</t>
  </si>
  <si>
    <t>0.2</t>
  </si>
  <si>
    <t>Regulation ability</t>
  </si>
  <si>
    <t>Primary regulation (% per 30 seconds)</t>
  </si>
  <si>
    <t>Secondary regulation (% per minute)</t>
  </si>
  <si>
    <t>Minimum load (% of full load)</t>
  </si>
  <si>
    <t>Warm start-up time (hours)</t>
  </si>
  <si>
    <t>0.008</t>
  </si>
  <si>
    <t>Cold start-up time (hours)</t>
  </si>
  <si>
    <t>0.08</t>
  </si>
  <si>
    <r>
      <t>SO</t>
    </r>
    <r>
      <rPr>
        <vertAlign val="subscript"/>
        <sz val="9"/>
        <rFont val="Arial"/>
        <family val="2"/>
      </rPr>
      <t>2</t>
    </r>
    <r>
      <rPr>
        <sz val="9"/>
        <rFont val="Arial"/>
        <family val="2"/>
      </rPr>
      <t xml:space="preserve"> (g per GJ fuel) </t>
    </r>
  </si>
  <si>
    <t>Cf. the utilized electricity</t>
  </si>
  <si>
    <r>
      <t>NO</t>
    </r>
    <r>
      <rPr>
        <vertAlign val="subscript"/>
        <sz val="9"/>
        <rFont val="Arial"/>
        <family val="2"/>
      </rPr>
      <t>X</t>
    </r>
    <r>
      <rPr>
        <sz val="9"/>
        <rFont val="Arial"/>
        <family val="2"/>
      </rPr>
      <t xml:space="preserve"> (g per GJ fuel) </t>
    </r>
  </si>
  <si>
    <r>
      <t>CH</t>
    </r>
    <r>
      <rPr>
        <vertAlign val="subscript"/>
        <sz val="9"/>
        <rFont val="Arial"/>
        <family val="2"/>
      </rPr>
      <t>4</t>
    </r>
    <r>
      <rPr>
        <sz val="9"/>
        <rFont val="Arial"/>
        <family val="2"/>
      </rPr>
      <t xml:space="preserve"> (g per GJ fuel) </t>
    </r>
  </si>
  <si>
    <r>
      <t>N</t>
    </r>
    <r>
      <rPr>
        <vertAlign val="subscript"/>
        <sz val="9"/>
        <rFont val="Arial"/>
        <family val="2"/>
      </rPr>
      <t>2</t>
    </r>
    <r>
      <rPr>
        <sz val="9"/>
        <rFont val="Arial"/>
        <family val="2"/>
      </rPr>
      <t xml:space="preserve">O (g per GJ fuel) </t>
    </r>
  </si>
  <si>
    <r>
      <t>Particles</t>
    </r>
    <r>
      <rPr>
        <sz val="9"/>
        <rFont val="Arial"/>
        <family val="2"/>
      </rPr>
      <t xml:space="preserve"> (g per GJ fuel)</t>
    </r>
  </si>
  <si>
    <t xml:space="preserve">Financial data                                 </t>
  </si>
  <si>
    <t>Nominal investment (M€ per MW), 400/690 V; 1-5 MW</t>
  </si>
  <si>
    <t xml:space="preserve"> - of which equipment</t>
  </si>
  <si>
    <t xml:space="preserve"> - of which installation</t>
  </si>
  <si>
    <t>Nominal investment (M€ per MW); 10/15 kV; &gt;10 MW</t>
  </si>
  <si>
    <t>Variable O&amp;M (€/MWh)</t>
  </si>
  <si>
    <r>
      <t>- of which is electricity costs (€/MWh</t>
    </r>
    <r>
      <rPr>
        <sz val="9"/>
        <rFont val="Arial"/>
        <family val="2"/>
      </rPr>
      <t>)</t>
    </r>
  </si>
  <si>
    <r>
      <t>- of which is other O&amp;M costs (€/MWh</t>
    </r>
    <r>
      <rPr>
        <sz val="9"/>
        <rFont val="Arial"/>
        <family val="2"/>
      </rPr>
      <t>)</t>
    </r>
  </si>
  <si>
    <t>Technology specific data</t>
  </si>
  <si>
    <t>Startup costs (€/MW/startup)</t>
  </si>
  <si>
    <t>Mikkel Bosack Simonsen</t>
  </si>
  <si>
    <t>Changede values for electric boilers, made similar to 1 MW boilers in the ELC sector</t>
  </si>
  <si>
    <t>Machinery</t>
  </si>
  <si>
    <t>IND_Machinery</t>
  </si>
  <si>
    <t>Renamed Metal industry to Machinery industry</t>
  </si>
  <si>
    <t>CURR</t>
  </si>
  <si>
    <t>Forklifts</t>
  </si>
  <si>
    <t>FL2015</t>
  </si>
  <si>
    <t>IAD</t>
  </si>
  <si>
    <t>IFD</t>
  </si>
  <si>
    <t>ICD</t>
  </si>
  <si>
    <t>IGD</t>
  </si>
  <si>
    <t>IMD</t>
  </si>
  <si>
    <t>IOD</t>
  </si>
  <si>
    <t>IVD</t>
  </si>
  <si>
    <t>ITD</t>
  </si>
  <si>
    <t>IPD</t>
  </si>
  <si>
    <t>IUD</t>
  </si>
  <si>
    <t>ILD</t>
  </si>
  <si>
    <t>Other utilities</t>
  </si>
  <si>
    <t>X</t>
  </si>
  <si>
    <t>Aluminium</t>
  </si>
  <si>
    <t>R</t>
  </si>
  <si>
    <t>Paper &amp; Pulp</t>
  </si>
  <si>
    <t>S</t>
  </si>
  <si>
    <t xml:space="preserve">Iron &amp; Steel </t>
  </si>
  <si>
    <t>W</t>
  </si>
  <si>
    <t>Wood products</t>
  </si>
  <si>
    <t>Mining</t>
  </si>
  <si>
    <t>IA</t>
  </si>
  <si>
    <t>IAG</t>
  </si>
  <si>
    <t>INDA</t>
  </si>
  <si>
    <t>01 Agriculture, forestry and fishing</t>
  </si>
  <si>
    <t>IF</t>
  </si>
  <si>
    <t>INDF</t>
  </si>
  <si>
    <t>Food industry</t>
  </si>
  <si>
    <t>02 Food and Tabacco industry</t>
  </si>
  <si>
    <t>IC</t>
  </si>
  <si>
    <t>ICH</t>
  </si>
  <si>
    <t>INDC</t>
  </si>
  <si>
    <t>Chemical industry</t>
  </si>
  <si>
    <t>04 Chemical and Petrochemical industry</t>
  </si>
  <si>
    <t>IG</t>
  </si>
  <si>
    <t>IGL</t>
  </si>
  <si>
    <t>INDG</t>
  </si>
  <si>
    <t>05 Non-metallic Minerals (Glass, pottery &amp; building mat. Industry)</t>
  </si>
  <si>
    <t>IX</t>
  </si>
  <si>
    <t>IAL</t>
  </si>
  <si>
    <t>INDX</t>
  </si>
  <si>
    <t>Aluminium industry</t>
  </si>
  <si>
    <t>06 Non-ferrous metal industry</t>
  </si>
  <si>
    <t>IO</t>
  </si>
  <si>
    <t>IOT</t>
  </si>
  <si>
    <t>INDO</t>
  </si>
  <si>
    <t>07 Other commodity production</t>
  </si>
  <si>
    <t>IR</t>
  </si>
  <si>
    <t>IPP</t>
  </si>
  <si>
    <t>INDR</t>
  </si>
  <si>
    <t>Paper &amp; Pulp industry</t>
  </si>
  <si>
    <t>08 Paper, Pulp and Print</t>
  </si>
  <si>
    <t>IS</t>
  </si>
  <si>
    <t>ISM</t>
  </si>
  <si>
    <t>INDS</t>
  </si>
  <si>
    <t>09 Iron and steel industry</t>
  </si>
  <si>
    <t>IM</t>
  </si>
  <si>
    <t>IME</t>
  </si>
  <si>
    <t>INDM</t>
  </si>
  <si>
    <t>Machinery industry</t>
  </si>
  <si>
    <t>10 Machinery and Transport Equipment</t>
  </si>
  <si>
    <t>IU</t>
  </si>
  <si>
    <t>ISR</t>
  </si>
  <si>
    <t>INDU</t>
  </si>
  <si>
    <t>Service</t>
  </si>
  <si>
    <t>11 Service industries</t>
  </si>
  <si>
    <t>IN</t>
  </si>
  <si>
    <t>ICO</t>
  </si>
  <si>
    <t>INDN</t>
  </si>
  <si>
    <t>12 Construction industries</t>
  </si>
  <si>
    <t>IW</t>
  </si>
  <si>
    <t>IWP</t>
  </si>
  <si>
    <t>INDW</t>
  </si>
  <si>
    <t>Wood products industry</t>
  </si>
  <si>
    <t>13 Wood and Wood Products</t>
  </si>
  <si>
    <t>II</t>
  </si>
  <si>
    <t>IMQ</t>
  </si>
  <si>
    <t>INDI</t>
  </si>
  <si>
    <t>14 Mining and Quarrying</t>
  </si>
  <si>
    <t>avaialable in</t>
  </si>
  <si>
    <t>IND_Aluminium</t>
  </si>
  <si>
    <t>SE, NO</t>
  </si>
  <si>
    <t>IND_PaperPulp</t>
  </si>
  <si>
    <t>IND_IronSteel</t>
  </si>
  <si>
    <t>IND_Wood</t>
  </si>
  <si>
    <t>IND_Mining</t>
  </si>
  <si>
    <t>New technologies for Aluminimum (X)</t>
  </si>
  <si>
    <t>New technologies for Paper and Pulp (R)</t>
  </si>
  <si>
    <t>New technologies for Iron and steel (S)</t>
  </si>
  <si>
    <t>New technologies for Wood products (W)</t>
  </si>
  <si>
    <t>New technologies for Mining (I)</t>
  </si>
  <si>
    <t>DK</t>
  </si>
  <si>
    <t>SE, NO, DK</t>
  </si>
  <si>
    <t>NO</t>
  </si>
  <si>
    <t>FOR DK: New technologies for Public service (U); FOR SE AND NO: New technologies for Service sector (no division private and public)  (U)</t>
  </si>
  <si>
    <r>
      <t xml:space="preserve">Industry Saving Potential Technologies </t>
    </r>
    <r>
      <rPr>
        <b/>
        <sz val="11"/>
        <color rgb="FF003366"/>
        <rFont val="Arial"/>
        <family val="2"/>
      </rPr>
      <t>(for DK, from COWI Study)</t>
    </r>
  </si>
  <si>
    <t>Martin Hagberg</t>
  </si>
  <si>
    <t>Added sheets for industry sectors available in NO and SE but not in DK (these were earlier in other Subres-files which has been removed)</t>
  </si>
  <si>
    <t>Oil boiler</t>
  </si>
  <si>
    <t>oil boiler new 1</t>
  </si>
  <si>
    <t>Steam boiler, Oil</t>
  </si>
  <si>
    <t>Full application potential</t>
  </si>
  <si>
    <t>"x,n" indicate which end-use,
 n ref. to note"</t>
  </si>
  <si>
    <t>1.Food, beverages and tobacco</t>
  </si>
  <si>
    <t>2.Commodity production</t>
  </si>
  <si>
    <t>3.Cement and non-metallic mineral (+Extraction of gravel and stone)</t>
  </si>
  <si>
    <t>4.Chemical industry</t>
  </si>
  <si>
    <t>5.Metals, machinery and electronics</t>
  </si>
  <si>
    <t>Current application potential</t>
  </si>
  <si>
    <t>Uncertainty (2030)</t>
  </si>
  <si>
    <t>Energy services</t>
  </si>
  <si>
    <t>End-use</t>
  </si>
  <si>
    <r>
      <t xml:space="preserve">Heat generation capacity for one unit </t>
    </r>
    <r>
      <rPr>
        <sz val="10"/>
        <color rgb="FFFF0000"/>
        <rFont val="Arial"/>
        <family val="2"/>
      </rPr>
      <t>(MW)</t>
    </r>
    <r>
      <rPr>
        <sz val="10"/>
        <rFont val="Arial"/>
        <family val="2"/>
      </rPr>
      <t xml:space="preserve"> </t>
    </r>
    <r>
      <rPr>
        <sz val="10"/>
        <color rgb="FFFF0000"/>
        <rFont val="Arial"/>
        <family val="2"/>
      </rPr>
      <t>multiply by 1000 to get kW</t>
    </r>
    <r>
      <rPr>
        <sz val="10"/>
        <rFont val="Arial"/>
        <family val="2"/>
      </rPr>
      <t xml:space="preserve"> [kW]</t>
    </r>
  </si>
  <si>
    <t>3, 10</t>
  </si>
  <si>
    <t>Direct
%</t>
  </si>
  <si>
    <t>Indirect
%</t>
  </si>
  <si>
    <t>Total efficiency, net (%), nominel load</t>
  </si>
  <si>
    <t xml:space="preserve">5,6,7,8 </t>
  </si>
  <si>
    <t>High temperature</t>
  </si>
  <si>
    <t>6. Firing /Sintering</t>
  </si>
  <si>
    <t>Total efficiency, net (%), annual average</t>
  </si>
  <si>
    <t>7. Melting /Casting</t>
  </si>
  <si>
    <t>Auxiliary electricity consumption (% of heat gen)</t>
  </si>
  <si>
    <t>9. Other processes &gt;150C</t>
  </si>
  <si>
    <t>Medium temperature</t>
  </si>
  <si>
    <t>2. Heating/Boiling</t>
  </si>
  <si>
    <t>x</t>
  </si>
  <si>
    <t>3. Drying</t>
  </si>
  <si>
    <t>3,5,8</t>
  </si>
  <si>
    <t>4. Dewatering</t>
  </si>
  <si>
    <t>5. Distillation</t>
  </si>
  <si>
    <t>Regulation Ability</t>
  </si>
  <si>
    <r>
      <t>8.</t>
    </r>
    <r>
      <rPr>
        <sz val="9"/>
        <rFont val="Arial"/>
        <family val="2"/>
      </rPr>
      <t>Other processes &lt;150⁰C,</t>
    </r>
  </si>
  <si>
    <t>Room heat</t>
  </si>
  <si>
    <t>12. spatial heating</t>
  </si>
  <si>
    <r>
      <t>SO</t>
    </r>
    <r>
      <rPr>
        <vertAlign val="subscript"/>
        <sz val="10"/>
        <rFont val="Arial"/>
        <family val="2"/>
      </rPr>
      <t>2</t>
    </r>
    <r>
      <rPr>
        <sz val="10"/>
        <rFont val="Arial"/>
        <family val="2"/>
      </rPr>
      <t xml:space="preserve"> (g per GJ fuel) </t>
    </r>
  </si>
  <si>
    <t>3, 9</t>
  </si>
  <si>
    <t xml:space="preserve">PM2.5 (g per GJ fuel) </t>
  </si>
  <si>
    <r>
      <t>NO</t>
    </r>
    <r>
      <rPr>
        <vertAlign val="subscript"/>
        <sz val="10"/>
        <rFont val="Arial"/>
        <family val="2"/>
      </rPr>
      <t>X</t>
    </r>
    <r>
      <rPr>
        <sz val="10"/>
        <rFont val="Arial"/>
        <family val="2"/>
      </rPr>
      <t xml:space="preserve"> (g per GJ fuel) </t>
    </r>
  </si>
  <si>
    <r>
      <rPr>
        <b/>
        <sz val="10"/>
        <color theme="5"/>
        <rFont val="Arial"/>
        <family val="2"/>
      </rPr>
      <t>Nominal</t>
    </r>
    <r>
      <rPr>
        <sz val="10"/>
        <rFont val="Arial"/>
        <family val="2"/>
      </rPr>
      <t xml:space="preserve"> investment </t>
    </r>
    <r>
      <rPr>
        <sz val="10"/>
        <color rgb="FFFF0000"/>
        <rFont val="Arial"/>
        <family val="2"/>
      </rPr>
      <t>(M€ per MW) is the same as k EUR/kW</t>
    </r>
    <r>
      <rPr>
        <sz val="10"/>
        <rFont val="Arial"/>
        <family val="2"/>
      </rPr>
      <t xml:space="preserve"> [1000 EUR/kW]</t>
    </r>
  </si>
  <si>
    <t>F,G,H</t>
  </si>
  <si>
    <t>3,10</t>
  </si>
  <si>
    <t xml:space="preserve"> - of which equipment  (%)</t>
  </si>
  <si>
    <t xml:space="preserve"> - of which installation  (%)</t>
  </si>
  <si>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r>
      <rPr>
        <sz val="10"/>
        <rFont val="Arial"/>
        <family val="2"/>
      </rPr>
      <t xml:space="preserve">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</si>
  <si>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r>
      <rPr>
        <sz val="10"/>
        <rFont val="Arial"/>
        <family val="2"/>
      </rPr>
      <t xml:space="preserve"> [EUR/GJ]</t>
    </r>
  </si>
  <si>
    <t xml:space="preserve"> - of which is electricity costs (€/MWh)</t>
  </si>
  <si>
    <t xml:space="preserve"> - of which is other O&amp;M costs (€/MWh)</t>
  </si>
  <si>
    <t>Specific investment</t>
  </si>
  <si>
    <t>Fix OM</t>
  </si>
  <si>
    <t>Indirect investments cost (M€ per MW)</t>
  </si>
  <si>
    <t>Non energy gains (M€ per MW)</t>
  </si>
  <si>
    <t>Startup cost (€/MW/startup)</t>
  </si>
  <si>
    <t xml:space="preserve">Carbon capture removal of CO2 emissions (% of emission) </t>
  </si>
  <si>
    <t>Temperature heat source supply (°C)</t>
  </si>
  <si>
    <t>Temperature heat source return (°C)</t>
  </si>
  <si>
    <t>Cooling generation capacity for one unit (MW)</t>
  </si>
  <si>
    <r>
      <t>Specific investment in</t>
    </r>
    <r>
      <rPr>
        <b/>
        <sz val="11"/>
        <color indexed="8"/>
        <rFont val="Calibri"/>
        <family val="2"/>
      </rPr>
      <t xml:space="preserve"> dkr/kW </t>
    </r>
    <r>
      <rPr>
        <sz val="11"/>
        <color theme="1"/>
        <rFont val="Calibri"/>
        <family val="2"/>
        <scheme val="minor"/>
      </rPr>
      <t xml:space="preserve">
C50*$G$4*1000
specific/nominal? investment cost *  currency conversion *1000</t>
    </r>
  </si>
  <si>
    <r>
      <t xml:space="preserve"> Specific investment in </t>
    </r>
    <r>
      <rPr>
        <b/>
        <sz val="11"/>
        <color theme="0" tint="-0.249977111117893"/>
        <rFont val="Calibri"/>
        <family val="2"/>
      </rPr>
      <t>dkr/unit</t>
    </r>
  </si>
  <si>
    <r>
      <t xml:space="preserve">FIX O&amp;M </t>
    </r>
    <r>
      <rPr>
        <b/>
        <sz val="11"/>
        <color indexed="8"/>
        <rFont val="Calibri"/>
        <family val="2"/>
      </rPr>
      <t>dkr/kW/year</t>
    </r>
    <r>
      <rPr>
        <sz val="11"/>
        <color theme="1"/>
        <rFont val="Calibri"/>
        <family val="2"/>
        <scheme val="minor"/>
      </rPr>
      <t xml:space="preserve">
C55*$G$4
fixed OM * currency conversion</t>
    </r>
  </si>
  <si>
    <r>
      <t xml:space="preserve">Variable O&amp;M in </t>
    </r>
    <r>
      <rPr>
        <b/>
        <sz val="11"/>
        <color indexed="8"/>
        <rFont val="Calibri"/>
        <family val="2"/>
      </rPr>
      <t xml:space="preserve">dkr/GJ
</t>
    </r>
    <r>
      <rPr>
        <sz val="11"/>
        <color rgb="FF000000"/>
        <rFont val="Calibri"/>
        <family val="2"/>
      </rPr>
      <t>C56*$G$4</t>
    </r>
    <r>
      <rPr>
        <sz val="11"/>
        <color theme="1"/>
        <rFont val="Calibri"/>
        <family val="2"/>
        <scheme val="minor"/>
      </rPr>
      <t xml:space="preserve">
Variable OM * currency conversion </t>
    </r>
  </si>
  <si>
    <t>References</t>
  </si>
  <si>
    <t>Vigants, G., Galindoms, G., Veidenbergs, I., Vigants, E., &amp; Blumberga, D. (2015). Efficiency diagram for district heating system with gas condensing unit. Energy Procedia, 72, 119–126.</t>
  </si>
  <si>
    <t>Danish Energy Agency, Heating installations, 2016 (updated 2018).</t>
  </si>
  <si>
    <t xml:space="preserve">Danish Energy Agency, Energy Plants for Electricity and District heating generation, 2016 (updated 2019) </t>
  </si>
  <si>
    <t>Applied Technologies of New York, Steam vs hot water boiler, 2016.</t>
  </si>
  <si>
    <t>ETSAP, Industrial Combustion Boilers, IEA ETSAP 2010.</t>
  </si>
  <si>
    <t>Chen, Q., Finney, K., Li, H., Zhang, X., Zhou, J., Sharifi, V., &amp; Swithenbank, J. (2012). Condensing boiler applications in the process industry. Applied Energy, 89(1), 30–36.</t>
  </si>
  <si>
    <t>EnergyVortex, ENERGY EFFICIENCY &amp; INDUSTRIAL BOILER EFFICIENCY, 2010</t>
  </si>
  <si>
    <t>Danish Energy Agency, Forudsætninger for samfundsøkonomiske analyser på energiområdet, 2016</t>
  </si>
  <si>
    <t>Tjærborg Industri, Olie og gas kedler, 2019</t>
  </si>
  <si>
    <t>Notes</t>
  </si>
  <si>
    <t>Ranges from 0,5 to 50. Typical value of 20 MW</t>
  </si>
  <si>
    <t>1 %-point higher for hot water boiler, due to assumed lower flue gas temperature</t>
  </si>
  <si>
    <t xml:space="preserve">Will be reduced if carbon capture in installed </t>
  </si>
  <si>
    <t>20 %-point lower for hot water boiler</t>
  </si>
  <si>
    <t>The cost of auxiliary electricity consumption is calculated using the following electricity prices in €/MWh: 2020: 73, 2030: 75, 2040: 76, 2050: 76. Includes transport tarif</t>
  </si>
  <si>
    <t>Not relevant to this technology</t>
  </si>
  <si>
    <t>oil boiler new 2</t>
  </si>
  <si>
    <t>Hot water boiler, Oil</t>
  </si>
  <si>
    <r>
      <rPr>
        <sz val="10"/>
        <color rgb="FFFF0000"/>
        <rFont val="Arial"/>
        <family val="2"/>
      </rPr>
      <t>Nominal</t>
    </r>
    <r>
      <rPr>
        <sz val="10"/>
        <rFont val="Arial"/>
        <family val="2"/>
      </rPr>
      <t xml:space="preserve"> investment </t>
    </r>
    <r>
      <rPr>
        <sz val="10"/>
        <color rgb="FFFF0000"/>
        <rFont val="Arial"/>
        <family val="2"/>
      </rPr>
      <t>(M€ per MW) is the same as k EUR/kW</t>
    </r>
  </si>
  <si>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</si>
  <si>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</si>
  <si>
    <t>gas boiler new 1</t>
  </si>
  <si>
    <t>Steam boiler, Natural gas or biogas</t>
  </si>
  <si>
    <t>is nominal the same as specific investment costs?</t>
  </si>
  <si>
    <t>='Natural gas boiler_New'!'Natural gas boiler_New'!P1</t>
  </si>
  <si>
    <t>gas boiler new 2</t>
  </si>
  <si>
    <t>Steam boiler, Natural gas or biogas (Condensing)</t>
  </si>
  <si>
    <t>5,6,7,8,10</t>
  </si>
  <si>
    <t>gas boiler new 3</t>
  </si>
  <si>
    <t>Hot water boiler, Natural gas or biogas</t>
  </si>
  <si>
    <t>Relevant for hot water boiler, going from current potential to full potential</t>
  </si>
  <si>
    <t>gas boiler new 4</t>
  </si>
  <si>
    <t>Hot water boiler, Natural gas or biogas (Condensing)</t>
  </si>
  <si>
    <t>gas boiler new 5</t>
  </si>
  <si>
    <t>Direct Firing, Natural Gas</t>
  </si>
  <si>
    <t>8, 9</t>
  </si>
  <si>
    <t>4, 7</t>
  </si>
  <si>
    <t>2, 1</t>
  </si>
  <si>
    <t>update</t>
  </si>
  <si>
    <t>Danish Energy Agency, Technology Data Generation of Electricity and District Heating, August 2016 - Updated November 2019</t>
  </si>
  <si>
    <t>Viegand Maagøe, Direct Firing, 2018</t>
  </si>
  <si>
    <t>Milton Megatherm, Correspondance 2019</t>
  </si>
  <si>
    <t>IOGP, The potential for CCS and CCU in Europe, REPORT TO THE THIRTY SECOND MEETING OF THE EUROPEAN GAS REGULATORY FORUM 5-6 JUNE 2019</t>
  </si>
  <si>
    <t>Eclipse, Vortometric Burner Series Datasheet 128-3, 20/2/2015</t>
  </si>
  <si>
    <t>Viegand Maagøe assessment, 2019</t>
  </si>
  <si>
    <t>Eclipse, Eclipse AirHeat Burners Datasheet 115-11, 30/9/2010</t>
  </si>
  <si>
    <t>Eclipse, Eclipse RatioAir Burners Datasheet 135, 21/10/2010</t>
  </si>
  <si>
    <t xml:space="preserve"> The efficiency of the burner is set equal to the lower heating value, the process will determine how well the flue gas is utilised, and thus the final efficiency.</t>
  </si>
  <si>
    <t xml:space="preserve"> Unit price is based on Miton Megatherms 2.5 MW burner, installed price assessed by Viegand Maagøe.  The assessment is an experience based guess as no concrete data was retrieved.</t>
  </si>
  <si>
    <t xml:space="preserve"> Assumed to be equal to 10% of the boiler O&amp;M from [1].</t>
  </si>
  <si>
    <t xml:space="preserve"> The cost of auxiliary electricity consumption is calculated using the following electricity prices in €/MWh: 2020: 73, 2030: 75, 2040: 76, 2050: 76. Includes transport tarif</t>
  </si>
  <si>
    <t xml:space="preserve"> The indirect costs will be too strong a function of the process to put into a single value across all industries.</t>
  </si>
  <si>
    <t>Direct firing. Electricity</t>
  </si>
  <si>
    <t>diret firing new 1</t>
  </si>
  <si>
    <t>Direct Firing, Electricity</t>
  </si>
  <si>
    <t>6, 7</t>
  </si>
  <si>
    <t>SAN Electro Heat A/S , Correspondance 2019</t>
  </si>
  <si>
    <t xml:space="preserve"> Transformer electricity losses are not included, and the efficiency will thus be 100%.</t>
  </si>
  <si>
    <t xml:space="preserve"> Auxilliary consumption based on gas burner as the fan power is comparable. Any pretreatment (grinding, etc.) of the fuel is not included.</t>
  </si>
  <si>
    <t xml:space="preserve"> The regulation is dependant on the flow conditions and the subsequent surface temperature, the chosen value is an average.</t>
  </si>
  <si>
    <t xml:space="preserve"> Unit price from San Electro Heat, installed price assessed by Viegand Maagøe. The assessment is an experience based guess as no concrete data was retrieved.</t>
  </si>
  <si>
    <t xml:space="preserve"> Units are composed of multiple heating elements, each unit is installed with backup elements that can be enabled if some of the elements fail, resulting in minimal downtime and O&amp;M during the lifetime of the equipment.</t>
  </si>
  <si>
    <t>Heat pump, up to 60 °C, Temp lift = 40 K</t>
  </si>
  <si>
    <t>1, 3</t>
  </si>
  <si>
    <t>B,C</t>
  </si>
  <si>
    <t xml:space="preserve"> - of which equipment (%)</t>
  </si>
  <si>
    <t xml:space="preserve"> - of which installation (%)</t>
  </si>
  <si>
    <t>Fixed O&amp;M (€/MJ/s/year)</t>
  </si>
  <si>
    <t/>
  </si>
  <si>
    <t xml:space="preserve">SO2 (g per GJ fuel) </t>
  </si>
  <si>
    <t xml:space="preserve">NOX (g per GJ fuel) </t>
  </si>
  <si>
    <r>
      <t xml:space="preserve">FIX O&amp;M </t>
    </r>
    <r>
      <rPr>
        <b/>
        <sz val="11"/>
        <color indexed="8"/>
        <rFont val="Calibri"/>
        <family val="2"/>
      </rPr>
      <t>dkr/kW/year</t>
    </r>
    <r>
      <rPr>
        <sz val="11"/>
        <color theme="1"/>
        <rFont val="Calibri"/>
        <family val="2"/>
        <scheme val="minor"/>
      </rPr>
      <t xml:space="preserve">
C55*$G$4/1000
fixed OM * currency conversion</t>
    </r>
  </si>
  <si>
    <r>
      <t xml:space="preserve">Variable O&amp;M in </t>
    </r>
    <r>
      <rPr>
        <b/>
        <sz val="11"/>
        <color indexed="8"/>
        <rFont val="Calibri"/>
        <family val="2"/>
      </rPr>
      <t xml:space="preserve">dkr/GJ
</t>
    </r>
    <r>
      <rPr>
        <sz val="11"/>
        <color rgb="FF000000"/>
        <rFont val="Calibri"/>
        <family val="2"/>
      </rPr>
      <t>C56*$G$4/3,6</t>
    </r>
    <r>
      <rPr>
        <sz val="11"/>
        <color theme="1"/>
        <rFont val="Calibri"/>
        <family val="2"/>
        <scheme val="minor"/>
      </rPr>
      <t xml:space="preserve">
Variable OM * currency conversion </t>
    </r>
  </si>
  <si>
    <t>Viegand Maagøe, 2019.</t>
  </si>
  <si>
    <t>Technological data for energy plants (Compressions Heat Pumps for DH), Energistyrelsen, 2017</t>
  </si>
  <si>
    <t xml:space="preserve"> EHPA, Large Scale heat pumps in Europe, 2019</t>
  </si>
  <si>
    <t>Danish Enegy Agency, Technology Data - Energy Plants for Electricity and District heating generation, 2016</t>
  </si>
  <si>
    <t>http://www.planenergi.dk/varmepumper/. Drejebog til store varmepumpeprojekter i fjernvarmesystemet, 2014. [Online]</t>
  </si>
  <si>
    <t>Danish Energy Agency, Inspirationskatalog for store varmepumper, 2017</t>
  </si>
  <si>
    <t>0,5-5 MW</t>
  </si>
  <si>
    <t>Estimated based on cases presented in [3]</t>
  </si>
  <si>
    <t>Based on lost produktion during startup/shutdown</t>
  </si>
  <si>
    <t xml:space="preserve">May vary depending on heat source availability </t>
  </si>
  <si>
    <r>
      <t xml:space="preserve">Very individual, can vary </t>
    </r>
    <r>
      <rPr>
        <sz val="9"/>
        <rFont val="Calibri"/>
        <family val="2"/>
      </rPr>
      <t>÷</t>
    </r>
    <r>
      <rPr>
        <sz val="9"/>
        <rFont val="Arial"/>
        <family val="2"/>
      </rPr>
      <t xml:space="preserve"> 20 %</t>
    </r>
  </si>
  <si>
    <t>Very individual, can vary + 20 %</t>
  </si>
  <si>
    <t>Going from current implementation to potential</t>
  </si>
  <si>
    <t>Uses waste heat</t>
  </si>
  <si>
    <t>Heat pump 60C new 1</t>
  </si>
  <si>
    <t>Heat pump, up to 70 °C, Temp lift = 50 K</t>
  </si>
  <si>
    <t>8.Other processes &lt;150⁰C,</t>
  </si>
  <si>
    <t>Heat pump 70C new 1</t>
  </si>
  <si>
    <t>Heat pump, up to 80 °C, Temp lift = 60 K</t>
  </si>
  <si>
    <t>Heat pump 80C new 1</t>
  </si>
  <si>
    <t xml:space="preserve"> Mechanical vapor recompression</t>
  </si>
  <si>
    <t>Medium 
temperature</t>
  </si>
  <si>
    <t>Mechanical Vapor Recompression new 1</t>
  </si>
  <si>
    <t>1-30 MW</t>
  </si>
  <si>
    <t xml:space="preserve">A single unit is roughly limited to 6 MW, due to size, but the units are often connected to one unit at the site. Giving the possibility for larger capacities. </t>
  </si>
  <si>
    <t>Based on lost production during startup/shutdown</t>
  </si>
  <si>
    <t>Only relevant if heat source are process cooling</t>
  </si>
  <si>
    <t>Heat driven heat pumps, up to 80 °C</t>
  </si>
  <si>
    <t>Cf. the utilized heat</t>
  </si>
  <si>
    <t>Viegand Maagøe, MVR, 2018</t>
  </si>
  <si>
    <t>Technological data for energi plants (Compressions Heat Pumps for DH), Energistyrelsen, 2017</t>
  </si>
  <si>
    <t>Viegand Maagøe, 2019</t>
  </si>
  <si>
    <t>EPCON, EVAPORATION TECHNOLOGY, 2019</t>
  </si>
  <si>
    <t>EPCON investment cost offer, 2017.</t>
  </si>
  <si>
    <t>5-50 MW</t>
  </si>
  <si>
    <t>Assumed temperature lift of 5 K (saturation temperatur)</t>
  </si>
  <si>
    <t>Not relevant</t>
  </si>
  <si>
    <t>Heat driven heat pump 80C new 1</t>
  </si>
  <si>
    <t>Booster heat pump, up to 150 °C, Temp lift = 130 K, steam</t>
  </si>
  <si>
    <t>M</t>
  </si>
  <si>
    <t>N</t>
  </si>
  <si>
    <t>https://www.sciencedirect.com/topics/engineering/partial-load</t>
  </si>
  <si>
    <t>Van der Spek, et. Al., Challenges and uncertainties of ex ante techno-economic analysis of low
TRL CO2 capture technology: Lessons from a case study of an NGCC with
exhaust gas recycle and electric swing adsorption, 2017</t>
  </si>
  <si>
    <t>1-15 MW</t>
  </si>
  <si>
    <t>Utilising waste heat above 30 °C will increase COP. Waste heat up to 75 °C can be utilised</t>
  </si>
  <si>
    <t xml:space="preserve">Calculated from manufacturer software and manufacturer offer. </t>
  </si>
  <si>
    <t>Assumed similar to electrical compression heat pump and mechanical vapor recompression technologies</t>
  </si>
  <si>
    <t>Assumed similar to high temperature heat pump technologies</t>
  </si>
  <si>
    <r>
      <t xml:space="preserve">Very individual, can vary </t>
    </r>
    <r>
      <rPr>
        <sz val="9"/>
        <rFont val="Calibri"/>
        <family val="2"/>
      </rPr>
      <t>÷</t>
    </r>
    <r>
      <rPr>
        <sz val="9"/>
        <rFont val="Arial"/>
        <family val="2"/>
      </rPr>
      <t xml:space="preserve"> 10 %</t>
    </r>
  </si>
  <si>
    <t>Very individual, can vary + 10 %</t>
  </si>
  <si>
    <t>Assumed 10 % higher than electrical compression heat pump. The turbo compressors have low O&amp;M</t>
  </si>
  <si>
    <t>Going from simple implementation to potential</t>
  </si>
  <si>
    <t>Booster heat pump 150C new 1</t>
  </si>
  <si>
    <t>High temperature heat pumps, up to 125 °C</t>
  </si>
  <si>
    <t>1, 3, 4</t>
  </si>
  <si>
    <t>http://www.planenergi.dk/varmepumper/.</t>
  </si>
  <si>
    <t>Teknologisk instutut, Hybridvarmepumpe til fjernvarme, 2018</t>
  </si>
  <si>
    <t>Energiforskning, Højtemperatur varmepumper kan bruge lavtemperatur spildvarme, 2013</t>
  </si>
  <si>
    <r>
      <t xml:space="preserve">Jensen, J., Elmegaard, B., and Markussen, W. </t>
    </r>
    <r>
      <rPr>
        <i/>
        <sz val="9"/>
        <color theme="1"/>
        <rFont val="Arial"/>
        <family val="2"/>
      </rPr>
      <t xml:space="preserve">Industrial heat pumps for high temperature process applications.: A numerical study of the ammonia-water hybrid absorption-compression heat pump. </t>
    </r>
    <r>
      <rPr>
        <sz val="9"/>
        <color theme="1"/>
        <rFont val="Arial"/>
        <family val="2"/>
      </rPr>
      <t>PhD thesis. ,2016</t>
    </r>
  </si>
  <si>
    <t>Calculated from start-up loss</t>
  </si>
  <si>
    <t>Slightly higher than large heat pumps [11]</t>
  </si>
  <si>
    <t xml:space="preserve">Theoretically as low as 10 %. For screw as low as 25 %, lower than that will affect the performance drastically. </t>
  </si>
  <si>
    <t>High temperature abs. heat pump new 1</t>
  </si>
  <si>
    <t>Nominal investment (M€ per MW) is the same as k EUR/kW [1000 EUR/kW]</t>
  </si>
  <si>
    <t>Specific investment in dkr/kW 
C50*$G$4*1000
specific/nominal? investment cost *  currency conversion *1000</t>
  </si>
  <si>
    <t xml:space="preserve"> Specific investment in dkr/unit</t>
  </si>
  <si>
    <t>FIX O&amp;M dkr/kW/year
C55*$G$4/1000
fixed OM * currency conversion</t>
  </si>
  <si>
    <t xml:space="preserve">Variable O&amp;M in dkr/GJ
C56*$G$4/3,6
Variable OM * currency conversion </t>
  </si>
  <si>
    <t>High temperature heat pumps, up to 150 °C</t>
  </si>
  <si>
    <t>High temperature abs. heat pump new 2</t>
  </si>
  <si>
    <t>Corrected to technology readiness level (Not commercially avaiable at the moment)</t>
  </si>
  <si>
    <t>Catalogue has two absorption heat pumps that are aggregated into one technology!</t>
  </si>
  <si>
    <t>NB: average efficiency and investment cost of the two available temperature intervals</t>
  </si>
  <si>
    <t>Hotdisc</t>
  </si>
  <si>
    <t>4,5</t>
  </si>
  <si>
    <t>Dielectric heating</t>
  </si>
  <si>
    <t>6,7,8</t>
  </si>
  <si>
    <t>H,I</t>
  </si>
  <si>
    <t>Thermex Thermatron, https://thermex-thermatron.com/industrial-microwave-generators/, 2019</t>
  </si>
  <si>
    <t>Technological Institute, https://www.dti.dk/industrial-microwave-processing/</t>
  </si>
  <si>
    <t>Cellencor, https://www.cellencor.com, 2019</t>
  </si>
  <si>
    <t>Bi.Elle, http://www.microwaves.it/ing/company.htm, 2019</t>
  </si>
  <si>
    <t>A.M. Hasna, Microwave Processing Applications in Chemical Engineering: Cost Analysis, 2011</t>
  </si>
  <si>
    <t>Tony Koral, Considerations for Commercial Success, 2013
in new RF and Microwave Industrial
Heating Applications</t>
  </si>
  <si>
    <t>Bi.Elle, Personal communication, 2019</t>
  </si>
  <si>
    <t>Beyond Zero Emissions Inc, Zero Carbon Industry Plan
Electrifying Industry, 2018</t>
  </si>
  <si>
    <t>0,01-0,2 MW</t>
  </si>
  <si>
    <t>Cooling system account for a small loss</t>
  </si>
  <si>
    <t>The capacity is often specifically regulated to product flow</t>
  </si>
  <si>
    <t>Can vary quite significantly, as different applications requires different additional subsystems.</t>
  </si>
  <si>
    <t xml:space="preserve">The magnatron (microwave generator) has a lifetime of around 10.000 hours of operation. Replacement of magnatron are included here. </t>
  </si>
  <si>
    <t xml:space="preserve">Infrared will have non energy gains, but it has not been possible to estimate. </t>
  </si>
  <si>
    <t xml:space="preserve">Treatment times are up to 20 times faster than traditional systems. </t>
  </si>
  <si>
    <t>FLSmidth, Personal communication, 2019</t>
  </si>
  <si>
    <t>European Commision, The potential for CCS and CCU in Europe, 2019</t>
  </si>
  <si>
    <t>Sampo Kour, et Al., The potential for CCUS in selected industrial sectors – summary ofconcept evaluations in Finland, 2017</t>
  </si>
  <si>
    <t>10-100 MW</t>
  </si>
  <si>
    <t>36-72 hours</t>
  </si>
  <si>
    <t>Assumed equal to waste used in incineration power plant</t>
  </si>
  <si>
    <t>Includes retrofit to existing system</t>
  </si>
  <si>
    <t xml:space="preserve">If a rebuillt of the system is necessary, this cost need to be included. E.g. if a cement oven is a separate line and not inline system. </t>
  </si>
  <si>
    <t>Typically engineered to remove 80-90 %, above 95 % is possible</t>
  </si>
  <si>
    <t>The fuel is waste and the waste needs minimum pre-handling. Large pieces of waste can be fired directly in the Hotdisc. Cost of waste will be lower than at an inceration plant</t>
  </si>
  <si>
    <t>Infrared heating</t>
  </si>
  <si>
    <t>I,J</t>
  </si>
  <si>
    <t>Netek IR System A/S, Personal communication, 2019</t>
  </si>
  <si>
    <t>IG Infrared, https://www.ig-infrared.com, 2019</t>
  </si>
  <si>
    <r>
      <rPr>
        <i/>
        <sz val="10"/>
        <color rgb="FF222222"/>
        <rFont val="Calibri"/>
        <family val="2"/>
        <scheme val="minor"/>
      </rPr>
      <t>American Society of. Heating, Refrigerating and Air-Conditioning Engineers, ASHRAE Handbook – Heating, Ventilating, and Air-Conditioning Systems and Equipment (I-P Edition)</t>
    </r>
    <r>
      <rPr>
        <sz val="10"/>
        <color rgb="FF222222"/>
        <rFont val="Calibri"/>
        <family val="2"/>
        <scheme val="minor"/>
      </rPr>
      <t>, 2008</t>
    </r>
  </si>
  <si>
    <t>The electricity to heat efficiency is 100 %, but not all of the electricity is converted to radiant energy [5]</t>
  </si>
  <si>
    <t xml:space="preserve">A part of the electricity is conveted to convective heat, and some of it is lost to surrounding. </t>
  </si>
  <si>
    <t xml:space="preserve">A system often consist of mulitiple emitters, giving the possiblity in turn emitters off individually. </t>
  </si>
  <si>
    <t xml:space="preserve">The emitters have a lifetime of 10.000 to 15.000 hours of operation. Replacement of emitters are included here. </t>
  </si>
  <si>
    <t xml:space="preserve">Heating time is 7 to 40 times faster than convective ovens. Uptake much less space which enable possible expansion. </t>
  </si>
  <si>
    <t>Electric boiler, 10 kV, steam</t>
  </si>
  <si>
    <t>1,2</t>
  </si>
  <si>
    <t>AS:scan, Personal communication, 2019</t>
  </si>
  <si>
    <t>Tjæreborg Industri, Personal communication, 2019</t>
  </si>
  <si>
    <t>10-60 MW</t>
  </si>
  <si>
    <t>Electrode boilers at medium-high voltage are directly connected to the distribution grid. Costs for the distribution board are included
in the equipment costs.</t>
  </si>
  <si>
    <t>Investment cos is slightly higher than for a hot water boiler.</t>
  </si>
  <si>
    <t>Electric boiler new 1</t>
  </si>
  <si>
    <t>Infrared new 1</t>
  </si>
  <si>
    <t>Dielectric heating new 1</t>
  </si>
  <si>
    <t>Hotdisc new 1</t>
  </si>
  <si>
    <t>Electric boiler, 10 kV, hot water</t>
  </si>
  <si>
    <t>Electric boiler new 2</t>
  </si>
  <si>
    <t>Steam boiler, Wood Chips</t>
  </si>
  <si>
    <t>F,G,H,I</t>
  </si>
  <si>
    <t xml:space="preserve">Plants for district heating is around 6 MW, and CHP ranging up to 200-300 MW. 20 MW is considered commom in industry </t>
  </si>
  <si>
    <t>Assumed slightly higher than gas boiler</t>
  </si>
  <si>
    <t>Estimated based on gas boiler and wood CHP plant</t>
  </si>
  <si>
    <t xml:space="preserve">Viegand Maagøe A/S experience </t>
  </si>
  <si>
    <t xml:space="preserve">Future cost prediction is based on average cost development of other similar technologies. </t>
  </si>
  <si>
    <t>5 % higher for wood pellet</t>
  </si>
  <si>
    <t>Steam boiler, Wood chips (Condensing)</t>
  </si>
  <si>
    <t>L,M</t>
  </si>
  <si>
    <t>E,F,G,H</t>
  </si>
  <si>
    <t xml:space="preserve">Rambøll Danmark, internal evaluation based on either existing projects, supplier offers, or pre-project studies.  Used for estimation of the efficiency for technology "09a Wood Chips HOP" heat only boilers, woodchips 6W in the Technology Data - Energy Plants for Electricity and District heating generation, version  0007 January 2020 </t>
  </si>
  <si>
    <t xml:space="preserve">L. </t>
  </si>
  <si>
    <t xml:space="preserve">Assuming that the system is optimised at a inlet temperature of 40°C. </t>
  </si>
  <si>
    <t xml:space="preserve">M. </t>
  </si>
  <si>
    <t xml:space="preserve">The efficiency is for a plant using woodchips with a water content of 50% and wetting of the combusting air. If other types of wood- biomass is assumed the efficiency should be reduced accordingly. </t>
  </si>
  <si>
    <t>Biomass boiler new 3</t>
  </si>
  <si>
    <t>Hot water boiler, Wood Chips</t>
  </si>
  <si>
    <t>Hot water boiler, Wood chips (Condensing)</t>
  </si>
  <si>
    <t>E,F,G</t>
  </si>
  <si>
    <t>Biomass boiler new 1</t>
  </si>
  <si>
    <t>Biomass boiler new 2</t>
  </si>
  <si>
    <t>Biomass boiler new 4</t>
  </si>
  <si>
    <t>fuel?</t>
  </si>
  <si>
    <t>FLO_MARK</t>
  </si>
  <si>
    <t>Trad. Heat pump 80C</t>
  </si>
  <si>
    <t>Heat driven Heat pump 80C</t>
  </si>
  <si>
    <t>High Temp abs. Heat pump 150C</t>
  </si>
  <si>
    <t>Booster Heat pump 150C</t>
  </si>
  <si>
    <t>MVR</t>
  </si>
  <si>
    <t>Indirect</t>
  </si>
  <si>
    <t>Direct</t>
  </si>
  <si>
    <t>INDWST</t>
  </si>
  <si>
    <t>Infrared</t>
  </si>
  <si>
    <t>Electric boiler</t>
  </si>
  <si>
    <t>Biomass boiler</t>
  </si>
  <si>
    <t>Oil-fired boiler_NEW</t>
  </si>
  <si>
    <t>Natural gas boiler_NEW</t>
  </si>
  <si>
    <t>- Cement has to use waste as input</t>
  </si>
  <si>
    <t>- The added heat pumps use waste heat within industries themselves - how will this influence the district heating?</t>
  </si>
  <si>
    <t>- Should the heat pumps have another input than just INDELC or also industrial wasteheat?</t>
  </si>
  <si>
    <t>Direct electric heating</t>
  </si>
  <si>
    <t>Sheet names (for lookups)</t>
  </si>
  <si>
    <t>Sector name:</t>
  </si>
  <si>
    <t>Carbon Capture and Storage new 1</t>
  </si>
  <si>
    <t>Post-combustion carbon capture retrofit - 100 MW(th) WtE or biomass CHP plant</t>
  </si>
  <si>
    <t>Uncertainty (2025)</t>
  </si>
  <si>
    <r>
      <t>Typical total plant capacity (t CO2</t>
    </r>
    <r>
      <rPr>
        <vertAlign val="subscript"/>
        <sz val="8"/>
        <rFont val="Calibri"/>
        <family val="2"/>
        <scheme val="minor"/>
      </rPr>
      <t xml:space="preserve"> </t>
    </r>
    <r>
      <rPr>
        <sz val="8"/>
        <rFont val="Calibri"/>
        <family val="2"/>
        <scheme val="minor"/>
      </rPr>
      <t xml:space="preserve"> output / hour)</t>
    </r>
  </si>
  <si>
    <t>- Inputs at max capacity</t>
  </si>
  <si>
    <t xml:space="preserve">A) Mass of Fluegas (t/t CO2 output) </t>
  </si>
  <si>
    <r>
      <t>B1) CO</t>
    </r>
    <r>
      <rPr>
        <vertAlign val="subscript"/>
        <sz val="8"/>
        <rFont val="Calibri"/>
        <family val="2"/>
        <scheme val="minor"/>
      </rPr>
      <t>2</t>
    </r>
    <r>
      <rPr>
        <sz val="8"/>
        <rFont val="Calibri"/>
        <family val="2"/>
        <scheme val="minor"/>
      </rPr>
      <t xml:space="preserve"> share in fluegas input (%-vol, dry)</t>
    </r>
  </si>
  <si>
    <r>
      <t>B2) Flue gas temperature (0</t>
    </r>
    <r>
      <rPr>
        <sz val="8"/>
        <rFont val="Symbol"/>
        <family val="1"/>
        <charset val="2"/>
      </rPr>
      <t>°</t>
    </r>
    <r>
      <rPr>
        <sz val="8"/>
        <rFont val="Calibri"/>
        <family val="2"/>
        <scheme val="minor"/>
      </rPr>
      <t>C)</t>
    </r>
  </si>
  <si>
    <t xml:space="preserve">C1) Heat  input (MWh/t CO2-output) </t>
  </si>
  <si>
    <t xml:space="preserve">C2) Eletricity input (MWh/t CO2-output) </t>
  </si>
  <si>
    <t xml:space="preserve">C3)  Amine make-up (kg/t CO2-output) </t>
  </si>
  <si>
    <r>
      <t>Y)  Auxiliary products inputs (kg/t CO2-output</t>
    </r>
    <r>
      <rPr>
        <vertAlign val="subscript"/>
        <sz val="8"/>
        <rFont val="Calibri"/>
        <family val="2"/>
        <scheme val="minor"/>
      </rPr>
      <t xml:space="preserve"> </t>
    </r>
    <r>
      <rPr>
        <sz val="8"/>
        <rFont val="Calibri"/>
        <family val="2"/>
        <scheme val="minor"/>
      </rPr>
      <t xml:space="preserve">) </t>
    </r>
  </si>
  <si>
    <t>- Outputs at max capacity</t>
  </si>
  <si>
    <t>A2) CO2 purity prior to post cleaning (% vol)</t>
  </si>
  <si>
    <t>A3) Total pressure of CO2 gas (kPa(a))</t>
  </si>
  <si>
    <r>
      <t>Ax) CO</t>
    </r>
    <r>
      <rPr>
        <vertAlign val="subscript"/>
        <sz val="8"/>
        <rFont val="Calibri"/>
        <family val="2"/>
        <scheme val="minor"/>
      </rPr>
      <t>2</t>
    </r>
    <r>
      <rPr>
        <sz val="8"/>
        <rFont val="Calibri"/>
        <family val="2"/>
        <scheme val="minor"/>
      </rPr>
      <t xml:space="preserve"> capture rate, net (%)</t>
    </r>
  </si>
  <si>
    <t xml:space="preserve">C1) Heat out (MWh/t CO2-output) </t>
  </si>
  <si>
    <r>
      <t>C2) Temperature of heat out (</t>
    </r>
    <r>
      <rPr>
        <sz val="8"/>
        <rFont val="Symbol"/>
        <family val="1"/>
        <charset val="2"/>
      </rPr>
      <t>°</t>
    </r>
    <r>
      <rPr>
        <sz val="8"/>
        <rFont val="Calibri"/>
        <family val="2"/>
        <scheme val="minor"/>
      </rPr>
      <t>C)</t>
    </r>
  </si>
  <si>
    <t>X) Other Non-energy outputs (kg/t CO2-output)</t>
  </si>
  <si>
    <t>- other technical data</t>
  </si>
  <si>
    <t>Specific investment (mill € /[t CO2 output/hour])</t>
  </si>
  <si>
    <t xml:space="preserve"> - hereof capture plant (%)</t>
  </si>
  <si>
    <t xml:space="preserve"> - hereof CO₂ compression&amp;dehydration (%)</t>
  </si>
  <si>
    <t>- hereof utilities &amp; flue gas integration (%)</t>
  </si>
  <si>
    <t xml:space="preserve"> - hereof heat integration (%)</t>
  </si>
  <si>
    <t xml:space="preserve"> - hereof Owner's cost (%)</t>
  </si>
  <si>
    <t>Fixed O&amp;M (mill € /[t CO2 output/Hour])</t>
  </si>
  <si>
    <t>Variable O&amp;M (€ per t CO2 output)</t>
  </si>
  <si>
    <t>Startup cost (€ per startup/[t CO2/hour])</t>
  </si>
  <si>
    <t xml:space="preserve">Technology specific data                                 </t>
  </si>
  <si>
    <t>CO₂ compression and dehydration - Electricity input (MWh/t CO₂ output)</t>
  </si>
  <si>
    <t>CO₂ compression and dehydration - Heat out (MWh/t CO₂ output)</t>
  </si>
  <si>
    <t>Comm-OUT-A</t>
  </si>
  <si>
    <t>Share-I</t>
  </si>
  <si>
    <t>VDA_FLOP</t>
  </si>
  <si>
    <t>*COP</t>
  </si>
  <si>
    <t>WH Base input:</t>
  </si>
  <si>
    <t>HT</t>
  </si>
  <si>
    <t>MT</t>
  </si>
  <si>
    <t>RH</t>
  </si>
  <si>
    <t>NRG</t>
  </si>
  <si>
    <t>INDGWH</t>
  </si>
  <si>
    <t>CC capacity is chosen to match flue gas flow and CO₂ emission from a 100 MWth biomass boiler. Larger capacites available today if required.</t>
  </si>
  <si>
    <t>The biomass CHP is assumed to be equipped with flue gas condensation, hence flue gas is available at 35 deg. C</t>
  </si>
  <si>
    <t>Heat is supplied as low pressure steam 3-5 bara and (130-150 deg. C)</t>
  </si>
  <si>
    <t>Electricity consumption includes additional CC plant, flue gas fan work and cooling water pumps, but no ID cooling tower, other utilities. CO₂ compression and drying not included.</t>
  </si>
  <si>
    <t>Purity given on wet basis. On dry basis purity is &gt;99.95%vol</t>
  </si>
  <si>
    <t>CO₂ pressure at outlet flange. Future processes is expected to deliver CO₂ at higher pressure (save compression work)</t>
  </si>
  <si>
    <t>The CO₂ capture percentage from the flue gas is expected to increase from today's 90% to 95% in 2050.</t>
  </si>
  <si>
    <t>20% of heat is available at 80 deg. C, 80% is available at 50 deg C. The reported 60 deg C is an weighed average.</t>
  </si>
  <si>
    <t>Total cost including site integration and CO₂ compression. CAPEX is expected to decrease by 40% in 2050 as the market develops. Total capital investment is calculated as plant capacity (t CO₂ output/h) multiplied by the specific investment cost</t>
  </si>
  <si>
    <t>If the CHP is euipped with flue gas condensation to &lt;40 deg C the precooler of the CC plant may be omitted. The CC plant cost can in that case be reduced with 5% and the utility cost with 20% (because of less cooling requirement)</t>
  </si>
  <si>
    <t>If CO₂ should be delivered liquefied for truck or road transport, a liquefaction plant must be added hence increase this post with 50% + interim storage (specified in chapter on CO₂ transport of Technology Catalogue)</t>
  </si>
  <si>
    <t>Substantial cost have been included for heat integration which covers steam turbine modification, coupling to district heating net. Heat pump technology for upgrade of low temp waste heat not included.</t>
  </si>
  <si>
    <t>Fixed O&amp;M is taken as 3% of CAPEX</t>
  </si>
  <si>
    <t>Assume compression from CC plant outlet pressure to 150 bar and drying to &lt; 50 ppmv H₂O. Specific power consumption decrease with time as CO₂ is delivered at increasingly higher pressure from the CC plant</t>
  </si>
  <si>
    <t>kt CO2/PJ</t>
  </si>
  <si>
    <r>
      <t xml:space="preserve">FIX O&amp;M </t>
    </r>
    <r>
      <rPr>
        <b/>
        <sz val="11"/>
        <color indexed="8"/>
        <rFont val="Calibri"/>
        <family val="2"/>
      </rPr>
      <t>dkr/kW</t>
    </r>
    <r>
      <rPr>
        <sz val="11"/>
        <color theme="1"/>
        <rFont val="Calibri"/>
        <family val="2"/>
        <scheme val="minor"/>
      </rPr>
      <t xml:space="preserve">
C55*$G$4/1000
fixed OM * currency conversion</t>
    </r>
  </si>
  <si>
    <t>Post-combustion carbon capture retrofit - 500 MW(th) biomass-fired boiler</t>
  </si>
  <si>
    <t>A1) CO2 purity prior to post cleaning (% vol)</t>
  </si>
  <si>
    <t>A2) Total pressure of CO2 gas (kPa(a))</t>
  </si>
  <si>
    <t>Typical total plant capacity (t CO2  output / hour)</t>
  </si>
  <si>
    <t>B1) CO2 share in fluegas input (%-vol, dry)</t>
  </si>
  <si>
    <t>B2) Flue gas temperature (°C)</t>
  </si>
  <si>
    <t xml:space="preserve">Y)  Auxiliary products inputs (kg/t CO2-output ) </t>
  </si>
  <si>
    <t>A3) CO2 capture rate, net (%)</t>
  </si>
  <si>
    <t>C2) Temperature of heat out (°C)</t>
  </si>
  <si>
    <t>t CO2/MWh</t>
  </si>
  <si>
    <t>Natural gas:</t>
  </si>
  <si>
    <t>MWh/t CO2</t>
  </si>
  <si>
    <t>INV</t>
  </si>
  <si>
    <t>FIX-OM</t>
  </si>
  <si>
    <t>Var-OM</t>
  </si>
  <si>
    <t>Mdkk/MW</t>
  </si>
  <si>
    <t>Steam boiler, Coal</t>
  </si>
  <si>
    <t>Nominal investment (M€ per MW)</t>
  </si>
  <si>
    <t>Only a few plant of this type is in operation in Denmark. Nordic Suger operates a 33 MW - which is considered above average</t>
  </si>
  <si>
    <t>Estimated based on gas boiler and coal CHP plant</t>
  </si>
  <si>
    <t>Coal boiler new 1</t>
  </si>
  <si>
    <t>Hot water boiler, Coal</t>
  </si>
  <si>
    <t>E,F</t>
  </si>
  <si>
    <t>Coal boiler new 2</t>
  </si>
  <si>
    <t>Coal boiler</t>
  </si>
  <si>
    <t>dkk/GJ</t>
  </si>
  <si>
    <t>=Mdkk/PJ</t>
  </si>
  <si>
    <t>INPUT</t>
  </si>
  <si>
    <t xml:space="preserve">Fixed ELCC </t>
  </si>
  <si>
    <t>OUTPUT</t>
  </si>
  <si>
    <t>Output in given unit/PJ_output</t>
  </si>
  <si>
    <t>Comm-IN-A</t>
  </si>
  <si>
    <t>Input name</t>
  </si>
  <si>
    <t>Auxiliary Input</t>
  </si>
  <si>
    <t>Output name</t>
  </si>
  <si>
    <t>Auxilary Output</t>
  </si>
  <si>
    <t>INDNGA</t>
  </si>
  <si>
    <t>INDGWH, CCXCO2</t>
  </si>
  <si>
    <t>IGDHT</t>
  </si>
  <si>
    <t>ELCCOA</t>
  </si>
  <si>
    <t>ELCHFO</t>
  </si>
  <si>
    <t>ELCDSL</t>
  </si>
  <si>
    <t>ELCNGA</t>
  </si>
  <si>
    <t>ELCBGA</t>
  </si>
  <si>
    <t>ELCWPE</t>
  </si>
  <si>
    <t>ELCWCH</t>
  </si>
  <si>
    <t>ELCSTR</t>
  </si>
  <si>
    <t>ELCWST</t>
  </si>
  <si>
    <t>ELCWIN</t>
  </si>
  <si>
    <t>ELCSOL</t>
  </si>
  <si>
    <t>ELCGEO</t>
  </si>
  <si>
    <t>ELCHYD</t>
  </si>
  <si>
    <t>ELCWAV</t>
  </si>
  <si>
    <t>*Units</t>
  </si>
  <si>
    <t>kg/GJ</t>
  </si>
  <si>
    <t>CO2</t>
  </si>
  <si>
    <t>t CO2 emission/MWh input</t>
  </si>
  <si>
    <t>EL/heat</t>
  </si>
  <si>
    <t>Year</t>
  </si>
  <si>
    <t>Capture rate</t>
  </si>
  <si>
    <t>This is the required formatting of the table, for implementing CCS to the industry sheets directly</t>
  </si>
  <si>
    <t>Coal</t>
  </si>
  <si>
    <t xml:space="preserve"> </t>
  </si>
  <si>
    <t>Iron &amp; Steel</t>
  </si>
  <si>
    <t>1. Oil-fired boiler</t>
  </si>
  <si>
    <t>Oil burner (mineral oil fired, &lt;10 % FAME)</t>
  </si>
  <si>
    <t>15-30</t>
  </si>
  <si>
    <t>Fixed O&amp;M (€/year)</t>
  </si>
  <si>
    <t>Oil burner (bio oil)</t>
  </si>
  <si>
    <t>&gt; 30</t>
  </si>
  <si>
    <t>Specific investment (1000€/unit) - 400 kW unit</t>
  </si>
  <si>
    <t>Other</t>
  </si>
  <si>
    <t>Vehicles</t>
  </si>
  <si>
    <t>Utilities</t>
  </si>
  <si>
    <t>MKr15</t>
  </si>
  <si>
    <t>IGDMT</t>
  </si>
  <si>
    <t>Glass &amp; Concrete industry Demand Heat Medium Temp. up to 150C</t>
  </si>
  <si>
    <t>Glass &amp; Concrete industry Demand Heat High Temp. over 150C</t>
  </si>
  <si>
    <t>IGDRH</t>
  </si>
  <si>
    <t>Glass &amp; Concrete industry Demand Heat Room Heat</t>
  </si>
  <si>
    <t>IGDLA</t>
  </si>
  <si>
    <t>Glass &amp; Concrete industry Demand Light</t>
  </si>
  <si>
    <t>IGDEM</t>
  </si>
  <si>
    <t>Glass &amp; Concrete industry Demand Electric Motors</t>
  </si>
  <si>
    <t>IGDTF</t>
  </si>
  <si>
    <t>Glass &amp; Concrete industry Demand Haulage Tractors, Trucks, Fishing boats, Forest machines</t>
  </si>
  <si>
    <t>IGDFL</t>
  </si>
  <si>
    <t>Glass &amp; Concrete industry Demand Haulage Forklifts</t>
  </si>
  <si>
    <t>ICDMT</t>
  </si>
  <si>
    <t>Chemical industry Demand Heat Medium Temp. up to 150C</t>
  </si>
  <si>
    <t>ICDHT</t>
  </si>
  <si>
    <t>Chemical industry Demand Heat High Temp. over 150C</t>
  </si>
  <si>
    <t>ICDRH</t>
  </si>
  <si>
    <t>Chemical industry Demand Heat Room Heat</t>
  </si>
  <si>
    <t>ICDLA</t>
  </si>
  <si>
    <t>Chemical industry Demand Light</t>
  </si>
  <si>
    <t>ICDEM</t>
  </si>
  <si>
    <t>Chemical industry Demand Electric Motors</t>
  </si>
  <si>
    <t>ICDTF</t>
  </si>
  <si>
    <t>Chemical industry Demand Haulage Tractors, Trucks, Fishing boats, Forest machines</t>
  </si>
  <si>
    <t>ICDFL</t>
  </si>
  <si>
    <t>Chemical industry Demand Haulage Forklifts</t>
  </si>
  <si>
    <t>IFDMT</t>
  </si>
  <si>
    <t>Food industry Demand Heat Medium Temp. up to 150C</t>
  </si>
  <si>
    <t>IFDHT</t>
  </si>
  <si>
    <t>Food industry Demand Heat High Temp. over 150C</t>
  </si>
  <si>
    <t>IFDRH</t>
  </si>
  <si>
    <t>Food industry Demand Heat Room Heat</t>
  </si>
  <si>
    <t>IFDLA</t>
  </si>
  <si>
    <t>Food industry Demand Light</t>
  </si>
  <si>
    <t>IFDEM</t>
  </si>
  <si>
    <t>Food industry Demand Electric Motors</t>
  </si>
  <si>
    <t>IFDTF</t>
  </si>
  <si>
    <t>Food industry Demand Haulage Tractors, Trucks, Fishing boats, Forest machines</t>
  </si>
  <si>
    <t>IFDFL</t>
  </si>
  <si>
    <t>Food industry Demand Haulage Forklifts</t>
  </si>
  <si>
    <t>IMDMT</t>
  </si>
  <si>
    <t>Machinery industry Demand Heat Medium Temp. up to 150C</t>
  </si>
  <si>
    <t>IMDHT</t>
  </si>
  <si>
    <t>Machinery industry Demand Heat High Temp. over 150C</t>
  </si>
  <si>
    <t>IMDRH</t>
  </si>
  <si>
    <t>Machinery industry Demand Heat Room Heat</t>
  </si>
  <si>
    <t>IMDLA</t>
  </si>
  <si>
    <t>Machinery industry Demand Light</t>
  </si>
  <si>
    <t>IMDEM</t>
  </si>
  <si>
    <t>Machinery industry Demand Electric Motors</t>
  </si>
  <si>
    <t>IMDTF</t>
  </si>
  <si>
    <t>Machinery industry Demand Haulage Tractors, Trucks, Fishing boats, Forest machines</t>
  </si>
  <si>
    <t>IMDFL</t>
  </si>
  <si>
    <t>Machinery industry Demand Haulage Forklifts</t>
  </si>
  <si>
    <t>IXDMT</t>
  </si>
  <si>
    <t>Aluminium industry Demand Heat Medium Temp. up to 150C</t>
  </si>
  <si>
    <t>IXDHT</t>
  </si>
  <si>
    <t>Aluminium industry Demand Heat High Temp. over 150C</t>
  </si>
  <si>
    <t>IXDRH</t>
  </si>
  <si>
    <t>Aluminium industry Demand Heat Room Heat</t>
  </si>
  <si>
    <t>IXDLA</t>
  </si>
  <si>
    <t>Aluminium industry Demand Light</t>
  </si>
  <si>
    <t>IXDEM</t>
  </si>
  <si>
    <t>Aluminium industry Demand Electric Motors</t>
  </si>
  <si>
    <t>IXDTF</t>
  </si>
  <si>
    <t>Aluminium industry Demand Haulage Tractors, Trucks, Fishing boats, Forest machines</t>
  </si>
  <si>
    <t>IXDFL</t>
  </si>
  <si>
    <t>Aluminium industry Demand Haulage Forklifts</t>
  </si>
  <si>
    <t>ISDMT</t>
  </si>
  <si>
    <t>Iron &amp; Steel  Demand Heat Medium Temp. up to 150C</t>
  </si>
  <si>
    <t>ISDHT</t>
  </si>
  <si>
    <t>Iron &amp; Steel  Demand Heat High Temp. over 150C</t>
  </si>
  <si>
    <t>ISDRH</t>
  </si>
  <si>
    <t>Iron &amp; Steel  Demand Heat Room Heat</t>
  </si>
  <si>
    <t>ISDLA</t>
  </si>
  <si>
    <t>Iron &amp; Steel  Demand Light</t>
  </si>
  <si>
    <t>ISDEM</t>
  </si>
  <si>
    <t>Iron &amp; Steel  Demand Electric Motors</t>
  </si>
  <si>
    <t>ISDTF</t>
  </si>
  <si>
    <t>Iron &amp; Steel  Demand Haulage Tractors, Trucks, Fishing boats, Forest machines</t>
  </si>
  <si>
    <t>ISDFL</t>
  </si>
  <si>
    <t>Iron &amp; Steel  Demand Haulage Forklifts</t>
  </si>
  <si>
    <t>IIDMT</t>
  </si>
  <si>
    <t>Mining Demand Heat Medium Temp. up to 150C</t>
  </si>
  <si>
    <t>IIDHT</t>
  </si>
  <si>
    <t>Mining Demand Heat High Temp. over 150C</t>
  </si>
  <si>
    <t>IIDRH</t>
  </si>
  <si>
    <t>Mining Demand Heat Room Heat</t>
  </si>
  <si>
    <t>IIDLA</t>
  </si>
  <si>
    <t>Mining Demand Light</t>
  </si>
  <si>
    <t>IIDEM</t>
  </si>
  <si>
    <t>Mining Demand Electric Motors</t>
  </si>
  <si>
    <t>IIDTF</t>
  </si>
  <si>
    <t>Mining Demand Haulage Tractors, Trucks, Fishing boats, Forest machines</t>
  </si>
  <si>
    <t>IIDFL</t>
  </si>
  <si>
    <t>Mining Demand Haulage Forklifts</t>
  </si>
  <si>
    <t>IODMT</t>
  </si>
  <si>
    <t>Other comm Demand Heat Medium Temp. up to 150C</t>
  </si>
  <si>
    <t>IODHT</t>
  </si>
  <si>
    <t>Other comm Demand Heat High Temp. over 150C</t>
  </si>
  <si>
    <t>IODRH</t>
  </si>
  <si>
    <t>Other comm Demand Heat Room Heat</t>
  </si>
  <si>
    <t>IODLA</t>
  </si>
  <si>
    <t>Other comm Demand Light</t>
  </si>
  <si>
    <t>IODEM</t>
  </si>
  <si>
    <t>Other comm Demand Electric Motors</t>
  </si>
  <si>
    <t>IODTF</t>
  </si>
  <si>
    <t>Other comm Demand Haulage Tractors, Trucks, Fishing boats, Forest machines</t>
  </si>
  <si>
    <t>IODFL</t>
  </si>
  <si>
    <t>Other comm Demand Haulage Forklifts</t>
  </si>
  <si>
    <t>IWDMT</t>
  </si>
  <si>
    <t>Wood products industry Demand Heat Medium Temp. up to 150C</t>
  </si>
  <si>
    <t>IWDHT</t>
  </si>
  <si>
    <t>Wood products industry Demand Heat High Temp. over 150C</t>
  </si>
  <si>
    <t>IWDRH</t>
  </si>
  <si>
    <t>Wood products industry Demand Heat Room Heat</t>
  </si>
  <si>
    <t>IWDLA</t>
  </si>
  <si>
    <t>Wood products industry Demand Light</t>
  </si>
  <si>
    <t>IWDEM</t>
  </si>
  <si>
    <t>Wood products industry Demand Electric Motors</t>
  </si>
  <si>
    <t>IWDTF</t>
  </si>
  <si>
    <t>Wood products industry Demand Haulage Tractors, Trucks, Fishing boats, Forest machines</t>
  </si>
  <si>
    <t>IWDFL</t>
  </si>
  <si>
    <t>Wood products industry Demand Haulage Forklifts</t>
  </si>
  <si>
    <t>IADMT</t>
  </si>
  <si>
    <t>Agriculture Demand Heat Medium Temp. up to 150C</t>
  </si>
  <si>
    <t>IADHT</t>
  </si>
  <si>
    <t>Agriculture Demand Heat High Temp. over 150C</t>
  </si>
  <si>
    <t>IADRH</t>
  </si>
  <si>
    <t>Agriculture Demand Heat Room Heat</t>
  </si>
  <si>
    <t>IADLA</t>
  </si>
  <si>
    <t>Agriculture Demand Light</t>
  </si>
  <si>
    <t>IADEM</t>
  </si>
  <si>
    <t>Agriculture Demand Electric Motors</t>
  </si>
  <si>
    <t>IADTF</t>
  </si>
  <si>
    <t>Agriculture Demand Haulage Tractors, Trucks, Fishing boats, Forest machines</t>
  </si>
  <si>
    <t>IADFL</t>
  </si>
  <si>
    <t>Agriculture Demand Haulage Forklifts</t>
  </si>
  <si>
    <t>IRDMT</t>
  </si>
  <si>
    <t>Paper &amp; Pulp industry Demand Heat Medium Temp. up to 150C</t>
  </si>
  <si>
    <t>IRDHT</t>
  </si>
  <si>
    <t>Paper &amp; Pulp industry Demand Heat High Temp. over 150C</t>
  </si>
  <si>
    <t>IRDRH</t>
  </si>
  <si>
    <t>Paper &amp; Pulp industry Demand Heat Room Heat</t>
  </si>
  <si>
    <t>IRDLA</t>
  </si>
  <si>
    <t>Paper &amp; Pulp industry Demand Light</t>
  </si>
  <si>
    <t>IRDEM</t>
  </si>
  <si>
    <t>Paper &amp; Pulp industry Demand Electric Motors</t>
  </si>
  <si>
    <t>IRDTF</t>
  </si>
  <si>
    <t>Paper &amp; Pulp industry Demand Haulage Tractors, Trucks, Fishing boats, Forest machines</t>
  </si>
  <si>
    <t>IRDFL</t>
  </si>
  <si>
    <t>Paper &amp; Pulp industry Demand Haulage Forklifts</t>
  </si>
  <si>
    <t>Lookup year</t>
  </si>
  <si>
    <t>Share-I~UP</t>
  </si>
  <si>
    <t>1000 kr/kW</t>
  </si>
  <si>
    <t>Others</t>
  </si>
  <si>
    <t>Orange coloured marks direct firing</t>
  </si>
  <si>
    <t xml:space="preserve">Orange marks direct firing </t>
  </si>
  <si>
    <t>INDWCH, INDBLQ</t>
  </si>
  <si>
    <t>INDBLQ</t>
  </si>
  <si>
    <t>All aluminium Ht process is multiplied with 0.5 to assume the demand is for electricity not heat</t>
  </si>
  <si>
    <t>INDDSL, INDDSB1, INDDSB2, INDHFO, INDDSE</t>
  </si>
  <si>
    <t>INDNGA, INDBGA, INDSNG1, INDSNG2, INDLPG, INDSNE, INDH2</t>
  </si>
  <si>
    <t>INDDSL, INDDSB1, INDDSB2, INDHFO, INDDSE, INDSNG2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</si>
</sst>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_ * #,##0.00_ ;_ * \-#,##0.00_ ;_ * &quot;-&quot;??_ ;_ @_ "/>
    <numFmt numFmtId="165" formatCode="0.000"/>
    <numFmt numFmtId="166" formatCode="_ * #,##0_ ;_ * \-#,##0_ ;_ * &quot;-&quot;??_ ;_ @_ "/>
    <numFmt numFmtId="167" formatCode="0.0"/>
    <numFmt numFmtId="168" formatCode="_-[$€-2]\ * #,##0.00_-;\-[$€-2]\ * #,##0.00_-;_-[$€-2]\ * &quot;-&quot;??_-"/>
    <numFmt numFmtId="169" formatCode="_-&quot;€&quot;\ * #,##0.00_-;\-&quot;€&quot;\ * #,##0.00_-;_-&quot;€&quot;\ * &quot;-&quot;??_-;_-@_-"/>
    <numFmt numFmtId="170" formatCode="#,##0;\-\ #,##0;_-\ &quot;- &quot;"/>
    <numFmt numFmtId="171" formatCode="_([$€]* #,##0.00_);_([$€]* \(#,##0.00\);_([$€]* &quot;-&quot;??_);_(@_)"/>
    <numFmt numFmtId="172" formatCode="\Te\x\t"/>
    <numFmt numFmtId="173" formatCode="_(* #,##0.00_);_(* \(#,##0.00\);_(* &quot;-&quot;??_);_(@_)"/>
    <numFmt numFmtId="174" formatCode="_(* #,##0_);_(* \(#,##0\);_(* &quot;-&quot;_);_(@_)"/>
    <numFmt numFmtId="175" formatCode="_ * #,##0.0_ ;_ * \-#,##0.0_ ;_ * &quot;-&quot;??_ ;_ @_ "/>
    <numFmt numFmtId="176" formatCode="0.0000"/>
    <numFmt numFmtId="177" formatCode="0.0;\-0.0;0"/>
  </numFmts>
  <fonts count="129">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sz val="9"/>
      <color theme="1"/>
      <name val="Times New Roman"/>
      <family val="1"/>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b/>
      <sz val="11"/>
      <color indexed="8"/>
      <name val="Calibri"/>
      <family val="2"/>
      <scheme val="minor"/>
    </font>
    <font>
      <sz val="8"/>
      <color theme="1"/>
      <name val="Arial"/>
      <family val="2"/>
    </font>
    <font>
      <sz val="11"/>
      <name val="Calibri"/>
      <family val="2"/>
      <scheme val="minor"/>
    </font>
    <font>
      <sz val="10"/>
      <name val="Arial"/>
      <family val="2"/>
    </font>
    <font>
      <sz val="10"/>
      <color rgb="FFFF0000"/>
      <name val="Arial"/>
      <family val="2"/>
    </font>
    <font>
      <b/>
      <sz val="10"/>
      <name val="Arial"/>
      <family val="2"/>
    </font>
    <font>
      <b/>
      <sz val="18"/>
      <color indexed="56"/>
      <name val="Arial"/>
      <family val="2"/>
    </font>
    <font>
      <sz val="8"/>
      <color indexed="81"/>
      <name val="Tahoma"/>
      <family val="2"/>
    </font>
    <font>
      <b/>
      <sz val="8"/>
      <color indexed="81"/>
      <name val="Tahoma"/>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2"/>
      <name val="Arial"/>
      <family val="2"/>
    </font>
    <font>
      <sz val="8"/>
      <color indexed="9"/>
      <name val="Arial"/>
      <family val="2"/>
    </font>
    <font>
      <sz val="11"/>
      <name val="Calibri"/>
      <family val="2"/>
    </font>
    <font>
      <b/>
      <sz val="11"/>
      <color rgb="FFFF0000"/>
      <name val="Calibri"/>
      <family val="2"/>
      <scheme val="minor"/>
    </font>
    <font>
      <sz val="9"/>
      <name val="Arial"/>
      <family val="2"/>
    </font>
    <font>
      <vertAlign val="subscript"/>
      <sz val="9"/>
      <name val="Arial"/>
      <family val="2"/>
    </font>
    <font>
      <sz val="11"/>
      <color rgb="FF3F3F76"/>
      <name val="Calibri"/>
      <family val="2"/>
      <scheme val="minor"/>
    </font>
    <font>
      <b/>
      <sz val="11"/>
      <color rgb="FF3F3F3F"/>
      <name val="Calibri"/>
      <family val="2"/>
      <scheme val="minor"/>
    </font>
    <font>
      <sz val="8"/>
      <name val="Arial"/>
      <family val="2"/>
    </font>
    <font>
      <sz val="9"/>
      <name val="Geneva"/>
      <family val="2"/>
    </font>
    <font>
      <u/>
      <sz val="11"/>
      <color theme="10"/>
      <name val="Calibri"/>
      <family val="2"/>
      <scheme val="minor"/>
    </font>
    <font>
      <sz val="10"/>
      <name val="Calibri"/>
      <family val="2"/>
      <scheme val="minor"/>
    </font>
    <font>
      <b/>
      <sz val="11"/>
      <color rgb="FF003366"/>
      <name val="Arial"/>
      <family val="2"/>
    </font>
    <font>
      <b/>
      <sz val="10"/>
      <color theme="1"/>
      <name val="Arial"/>
      <family val="2"/>
    </font>
    <font>
      <sz val="10"/>
      <color rgb="FF000000"/>
      <name val="Arial"/>
      <family val="2"/>
    </font>
    <font>
      <b/>
      <sz val="16"/>
      <color rgb="FF4F81BD"/>
      <name val="Arial"/>
      <family val="2"/>
    </font>
    <font>
      <b/>
      <sz val="11"/>
      <color rgb="FF000000"/>
      <name val="Calibri"/>
      <family val="2"/>
    </font>
    <font>
      <b/>
      <sz val="10"/>
      <color rgb="FF000000"/>
      <name val="Arial"/>
      <family val="2"/>
    </font>
    <font>
      <b/>
      <i/>
      <sz val="11"/>
      <name val="Calibri"/>
      <family val="2"/>
    </font>
    <font>
      <sz val="10"/>
      <color rgb="FFFF0000"/>
      <name val="Calibri"/>
      <family val="2"/>
      <scheme val="minor"/>
    </font>
    <font>
      <vertAlign val="subscript"/>
      <sz val="10"/>
      <name val="Arial"/>
      <family val="2"/>
    </font>
    <font>
      <sz val="10"/>
      <color theme="1"/>
      <name val="Calibri"/>
      <family val="2"/>
      <scheme val="minor"/>
    </font>
    <font>
      <b/>
      <sz val="11"/>
      <color theme="5"/>
      <name val="Calibri"/>
      <family val="2"/>
      <scheme val="minor"/>
    </font>
    <font>
      <b/>
      <sz val="10"/>
      <color theme="5"/>
      <name val="Arial"/>
      <family val="2"/>
    </font>
    <font>
      <sz val="10"/>
      <color theme="1"/>
      <name val="Arial"/>
      <family val="2"/>
    </font>
    <font>
      <sz val="11"/>
      <color theme="0" tint="-0.249977111117893"/>
      <name val="Calibri"/>
      <family val="2"/>
      <scheme val="minor"/>
    </font>
    <font>
      <b/>
      <sz val="11"/>
      <color theme="0" tint="-0.249977111117893"/>
      <name val="Calibri"/>
      <family val="2"/>
    </font>
    <font>
      <sz val="11"/>
      <color rgb="FF000000"/>
      <name val="Calibri"/>
      <family val="2"/>
    </font>
    <font>
      <sz val="9"/>
      <color theme="1"/>
      <name val="Calibri"/>
      <family val="2"/>
      <scheme val="minor"/>
    </font>
    <font>
      <sz val="9"/>
      <color rgb="FF333333"/>
      <name val="Calibri"/>
      <family val="2"/>
      <scheme val="minor"/>
    </font>
    <font>
      <sz val="9"/>
      <name val="Calibri"/>
      <family val="2"/>
      <scheme val="minor"/>
    </font>
    <font>
      <sz val="11"/>
      <color theme="1"/>
      <name val="Arial"/>
      <family val="2"/>
    </font>
    <font>
      <b/>
      <sz val="10"/>
      <color theme="1"/>
      <name val="Calibri"/>
      <family val="2"/>
      <scheme val="minor"/>
    </font>
    <font>
      <b/>
      <sz val="10"/>
      <color indexed="8"/>
      <name val="Arial"/>
      <family val="2"/>
    </font>
    <font>
      <i/>
      <sz val="9"/>
      <color theme="1"/>
      <name val="Arial"/>
      <family val="2"/>
    </font>
    <font>
      <sz val="10"/>
      <color rgb="FF222222"/>
      <name val="Calibri"/>
      <family val="2"/>
      <scheme val="minor"/>
    </font>
    <font>
      <i/>
      <sz val="10"/>
      <color rgb="FF222222"/>
      <name val="Calibri"/>
      <family val="2"/>
      <scheme val="minor"/>
    </font>
    <font>
      <sz val="7"/>
      <color rgb="FF333333"/>
      <name val="Verdana"/>
      <family val="2"/>
    </font>
    <font>
      <b/>
      <sz val="9"/>
      <color theme="0" tint="-0.499984740745262"/>
      <name val="Arial"/>
      <family val="2"/>
    </font>
    <font>
      <b/>
      <sz val="10"/>
      <name val="Calibri"/>
      <family val="2"/>
      <scheme val="minor"/>
    </font>
    <font>
      <b/>
      <sz val="9"/>
      <color theme="1"/>
      <name val="Calibri"/>
      <family val="2"/>
      <scheme val="minor"/>
    </font>
    <font>
      <sz val="8"/>
      <name val="Calibri"/>
      <family val="2"/>
      <scheme val="minor"/>
    </font>
    <font>
      <b/>
      <sz val="8"/>
      <name val="Calibri"/>
      <family val="2"/>
      <scheme val="minor"/>
    </font>
    <font>
      <b/>
      <sz val="9"/>
      <name val="Calibri"/>
      <family val="2"/>
      <scheme val="minor"/>
    </font>
    <font>
      <vertAlign val="subscript"/>
      <sz val="8"/>
      <name val="Calibri"/>
      <family val="2"/>
      <scheme val="minor"/>
    </font>
    <font>
      <b/>
      <i/>
      <sz val="9"/>
      <name val="Calibri"/>
      <family val="2"/>
      <scheme val="minor"/>
    </font>
    <font>
      <sz val="8"/>
      <name val="Symbol"/>
      <family val="1"/>
      <charset val="2"/>
    </font>
    <font>
      <b/>
      <sz val="11"/>
      <name val="Calibri"/>
      <family val="2"/>
      <scheme val="minor"/>
    </font>
    <font>
      <b/>
      <sz val="9"/>
      <color indexed="8"/>
      <name val="Calibri"/>
      <family val="2"/>
      <scheme val="minor"/>
    </font>
    <font>
      <sz val="9"/>
      <color theme="0"/>
      <name val="Arial"/>
      <family val="2"/>
    </font>
    <font>
      <sz val="11"/>
      <color rgb="FFFF0000"/>
      <name val="Calibri"/>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C6F1FF"/>
        <bgColor indexed="64"/>
      </patternFill>
    </fill>
    <fill>
      <patternFill patternType="solid">
        <fgColor theme="0" tint="-0.24994659260841701"/>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indexed="63"/>
        <bgColor indexed="64"/>
      </patternFill>
    </fill>
    <fill>
      <patternFill patternType="solid">
        <fgColor indexed="62"/>
        <bgColor indexed="64"/>
      </patternFill>
    </fill>
    <fill>
      <patternFill patternType="solid">
        <fgColor theme="9"/>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rgb="FFFFCC99"/>
      </patternFill>
    </fill>
    <fill>
      <patternFill patternType="solid">
        <fgColor theme="6"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79646"/>
        <bgColor rgb="FF000000"/>
      </patternFill>
    </fill>
    <fill>
      <patternFill patternType="solid">
        <fgColor theme="4" tint="0.79998168889431442"/>
        <bgColor rgb="FF000000"/>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8" tint="0.59999389629810485"/>
        <bgColor rgb="FF000000"/>
      </patternFill>
    </fill>
    <fill>
      <patternFill patternType="solid">
        <fgColor theme="0"/>
        <bgColor rgb="FF000000"/>
      </patternFill>
    </fill>
    <fill>
      <patternFill patternType="solid">
        <fgColor theme="6"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0000"/>
      </left>
      <right/>
      <top style="thick">
        <color rgb="FFFF0000"/>
      </top>
      <bottom/>
      <diagonal/>
    </border>
    <border>
      <left style="thin">
        <color auto="1"/>
      </left>
      <right style="thin">
        <color auto="1"/>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style="thin">
        <color auto="1"/>
      </left>
      <right style="thin">
        <color auto="1"/>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n">
        <color rgb="FFFF0000"/>
      </left>
      <right style="thin">
        <color rgb="FFFF0000"/>
      </right>
      <top/>
      <bottom style="thin">
        <color rgb="FFFF0000"/>
      </bottom>
      <diagonal/>
    </border>
    <border>
      <left style="thin">
        <color rgb="FFFF0000"/>
      </left>
      <right style="thin">
        <color rgb="FFFF0000"/>
      </right>
      <top/>
      <bottom/>
      <diagonal/>
    </border>
    <border>
      <left style="thin">
        <color rgb="FFFF0000"/>
      </left>
      <right/>
      <top style="thin">
        <color rgb="FFFF0000"/>
      </top>
      <bottom/>
      <diagonal/>
    </border>
    <border>
      <left style="thin">
        <color indexed="64"/>
      </left>
      <right style="thin">
        <color indexed="64"/>
      </right>
      <top style="thin">
        <color rgb="FFFF0000"/>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style="thin">
        <color indexed="64"/>
      </left>
      <right style="thin">
        <color rgb="FFFF0000"/>
      </right>
      <top style="thin">
        <color indexed="64"/>
      </top>
      <bottom style="thin">
        <color indexed="64"/>
      </bottom>
      <diagonal/>
    </border>
    <border>
      <left style="thin">
        <color rgb="FFFF0000"/>
      </left>
      <right/>
      <top/>
      <bottom style="thin">
        <color rgb="FFFF0000"/>
      </bottom>
      <diagonal/>
    </border>
    <border>
      <left style="medium">
        <color indexed="64"/>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6971">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34"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0" fontId="39" fillId="0" borderId="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40"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4" fontId="37" fillId="0" borderId="0"/>
    <xf numFmtId="0" fontId="60" fillId="0" borderId="0"/>
    <xf numFmtId="3" fontId="66" fillId="41" borderId="43" applyBorder="0" applyAlignment="0" applyProtection="0"/>
    <xf numFmtId="0" fontId="67" fillId="0" borderId="0" applyNumberFormat="0" applyFill="0" applyBorder="0" applyAlignment="0" applyProtection="0"/>
    <xf numFmtId="0" fontId="68" fillId="33" borderId="0" applyNumberFormat="0" applyAlignment="0" applyProtection="0"/>
    <xf numFmtId="0" fontId="68" fillId="33" borderId="44" applyNumberFormat="0" applyAlignment="0" applyProtection="0"/>
    <xf numFmtId="0" fontId="69" fillId="42" borderId="45" applyNumberFormat="0" applyAlignment="0" applyProtection="0"/>
    <xf numFmtId="3" fontId="70" fillId="37" borderId="0"/>
    <xf numFmtId="3" fontId="71" fillId="37" borderId="43" applyBorder="0" applyAlignment="0" applyProtection="0">
      <alignment horizontal="center" vertical="center"/>
    </xf>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73" fillId="50" borderId="0" applyNumberFormat="0" applyBorder="0" applyAlignment="0" applyProtection="0"/>
    <xf numFmtId="0" fontId="73" fillId="54" borderId="0" applyNumberFormat="0" applyBorder="0" applyAlignment="0" applyProtection="0"/>
    <xf numFmtId="0" fontId="73" fillId="58" borderId="0" applyNumberFormat="0" applyBorder="0" applyAlignment="0" applyProtection="0"/>
    <xf numFmtId="0" fontId="73" fillId="62" borderId="0" applyNumberFormat="0" applyBorder="0" applyAlignment="0" applyProtection="0"/>
    <xf numFmtId="0" fontId="73" fillId="66" borderId="0" applyNumberFormat="0" applyBorder="0" applyAlignment="0" applyProtection="0"/>
    <xf numFmtId="0" fontId="73" fillId="70" borderId="0" applyNumberFormat="0" applyBorder="0" applyAlignment="0" applyProtection="0"/>
    <xf numFmtId="0" fontId="17" fillId="21" borderId="2" applyNumberFormat="0" applyAlignment="0" applyProtection="0"/>
    <xf numFmtId="0" fontId="17" fillId="21" borderId="2" applyNumberFormat="0" applyAlignment="0" applyProtection="0"/>
    <xf numFmtId="173" fontId="11"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0" fontId="75" fillId="43" borderId="0" applyNumberFormat="0" applyBorder="0" applyAlignment="0" applyProtection="0"/>
    <xf numFmtId="0" fontId="76"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39" fillId="0" borderId="0" applyFont="0" applyFill="0" applyBorder="0" applyAlignment="0" applyProtection="0"/>
    <xf numFmtId="0" fontId="72" fillId="45" borderId="46" applyNumberFormat="0" applyAlignment="0" applyProtection="0"/>
    <xf numFmtId="0" fontId="73" fillId="47" borderId="0" applyNumberFormat="0" applyBorder="0" applyAlignment="0" applyProtection="0"/>
    <xf numFmtId="0" fontId="73" fillId="51" borderId="0" applyNumberFormat="0" applyBorder="0" applyAlignment="0" applyProtection="0"/>
    <xf numFmtId="0" fontId="73" fillId="55" borderId="0" applyNumberFormat="0" applyBorder="0" applyAlignment="0" applyProtection="0"/>
    <xf numFmtId="0" fontId="73" fillId="59" borderId="0" applyNumberFormat="0" applyBorder="0" applyAlignment="0" applyProtection="0"/>
    <xf numFmtId="0" fontId="73" fillId="63" borderId="0" applyNumberFormat="0" applyBorder="0" applyAlignment="0" applyProtection="0"/>
    <xf numFmtId="0" fontId="73" fillId="67" borderId="0" applyNumberFormat="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0" fontId="77" fillId="44" borderId="0" applyNumberFormat="0" applyBorder="0" applyAlignment="0" applyProtection="0"/>
    <xf numFmtId="0" fontId="40"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78"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9"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8"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9"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8"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9"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8"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9"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8"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9"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8"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9"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40" fillId="48"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11" fillId="0" borderId="0" applyNumberFormat="0" applyFont="0" applyFill="0" applyBorder="0" applyProtection="0">
      <alignment horizontal="left" vertical="center" indent="5"/>
    </xf>
    <xf numFmtId="0" fontId="73" fillId="50" borderId="0" applyNumberFormat="0" applyBorder="0" applyAlignment="0" applyProtection="0"/>
    <xf numFmtId="0" fontId="73" fillId="54" borderId="0" applyNumberFormat="0" applyBorder="0" applyAlignment="0" applyProtection="0"/>
    <xf numFmtId="0" fontId="73" fillId="58" borderId="0" applyNumberFormat="0" applyBorder="0" applyAlignment="0" applyProtection="0"/>
    <xf numFmtId="0" fontId="73" fillId="62" borderId="0" applyNumberFormat="0" applyBorder="0" applyAlignment="0" applyProtection="0"/>
    <xf numFmtId="0" fontId="73" fillId="66" borderId="0" applyNumberFormat="0" applyBorder="0" applyAlignment="0" applyProtection="0"/>
    <xf numFmtId="0" fontId="73" fillId="70"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7"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4" fillId="78" borderId="43" applyNumberFormat="0" applyAlignment="0" applyProtection="0"/>
    <xf numFmtId="164" fontId="1" fillId="0" borderId="0" applyFont="0" applyFill="0" applyBorder="0" applyAlignment="0" applyProtection="0"/>
    <xf numFmtId="43" fontId="1" fillId="0" borderId="0" applyFont="0" applyFill="0" applyBorder="0" applyAlignment="0" applyProtection="0"/>
    <xf numFmtId="0" fontId="72" fillId="45" borderId="46" applyNumberFormat="0" applyAlignment="0" applyProtection="0"/>
    <xf numFmtId="0" fontId="88" fillId="0" borderId="0" applyNumberFormat="0" applyFill="0" applyBorder="0" applyAlignment="0" applyProtection="0"/>
    <xf numFmtId="0" fontId="73" fillId="47" borderId="0" applyNumberFormat="0" applyBorder="0" applyAlignment="0" applyProtection="0"/>
    <xf numFmtId="0" fontId="73" fillId="51" borderId="0" applyNumberFormat="0" applyBorder="0" applyAlignment="0" applyProtection="0"/>
    <xf numFmtId="0" fontId="73" fillId="55" borderId="0" applyNumberFormat="0" applyBorder="0" applyAlignment="0" applyProtection="0"/>
    <xf numFmtId="0" fontId="73" fillId="59" borderId="0" applyNumberFormat="0" applyBorder="0" applyAlignment="0" applyProtection="0"/>
    <xf numFmtId="0" fontId="73" fillId="63" borderId="0" applyNumberFormat="0" applyBorder="0" applyAlignment="0" applyProtection="0"/>
    <xf numFmtId="0" fontId="73" fillId="67" borderId="0" applyNumberFormat="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86" fillId="0" borderId="0" applyFill="0" applyBorder="0"/>
    <xf numFmtId="0" fontId="11" fillId="0" borderId="0"/>
    <xf numFmtId="0" fontId="40" fillId="0" borderId="0"/>
    <xf numFmtId="0" fontId="40" fillId="0" borderId="0"/>
    <xf numFmtId="0" fontId="39" fillId="0" borderId="0"/>
    <xf numFmtId="0" fontId="40" fillId="0" borderId="0"/>
    <xf numFmtId="0" fontId="44" fillId="0" borderId="0"/>
    <xf numFmtId="0" fontId="35" fillId="0" borderId="0"/>
    <xf numFmtId="4" fontId="37" fillId="0" borderId="1" applyFill="0" applyBorder="0" applyProtection="0">
      <alignment horizontal="right" vertical="center"/>
    </xf>
    <xf numFmtId="0" fontId="11" fillId="24" borderId="0" applyNumberFormat="0" applyFont="0" applyBorder="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85" fillId="31" borderId="7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29" fillId="0" borderId="8" applyNumberFormat="0" applyFill="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7"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7"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4" fillId="0" borderId="0"/>
  </cellStyleXfs>
  <cellXfs count="1181">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3" fontId="49" fillId="0" borderId="13" xfId="0" applyNumberFormat="1" applyFont="1" applyBorder="1" applyAlignment="1">
      <alignment horizontal="center" wrapText="1"/>
    </xf>
    <xf numFmtId="17" fontId="49" fillId="0" borderId="13" xfId="0" applyNumberFormat="1"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8" fillId="0" borderId="17" xfId="0" applyFont="1" applyBorder="1" applyAlignment="1">
      <alignment horizontal="center" wrapText="1"/>
    </xf>
    <xf numFmtId="0" fontId="52" fillId="0" borderId="13" xfId="0" applyFont="1" applyBorder="1" applyAlignment="1">
      <alignment vertical="top" wrapText="1"/>
    </xf>
    <xf numFmtId="0" fontId="48" fillId="0" borderId="15" xfId="0" applyFont="1" applyBorder="1" applyAlignment="1">
      <alignment horizontal="center" wrapText="1"/>
    </xf>
    <xf numFmtId="0" fontId="48" fillId="0" borderId="17" xfId="0" applyFont="1" applyBorder="1" applyAlignment="1">
      <alignment horizontal="center" vertical="top"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1258" applyNumberFormat="1" applyFont="1" applyFill="1"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0" fontId="49" fillId="0" borderId="17" xfId="0" quotePrefix="1" applyFont="1" applyBorder="1" applyAlignment="1">
      <alignment horizontal="center" wrapText="1"/>
    </xf>
    <xf numFmtId="0" fontId="48" fillId="0" borderId="17" xfId="0" quotePrefix="1" applyFont="1" applyBorder="1" applyAlignment="1">
      <alignment horizontal="center" wrapText="1"/>
    </xf>
    <xf numFmtId="16" fontId="48"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0" fontId="48" fillId="0" borderId="13" xfId="0" quotePrefix="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49" fillId="0" borderId="15" xfId="0" applyFont="1" applyBorder="1" applyAlignment="1">
      <alignment horizontal="center" wrapText="1"/>
    </xf>
    <xf numFmtId="0" fontId="49" fillId="0" borderId="13" xfId="0" applyFont="1" applyBorder="1" applyAlignment="1">
      <alignment horizontal="center" wrapText="1"/>
    </xf>
    <xf numFmtId="0" fontId="0" fillId="33" borderId="0" xfId="0" applyFill="1"/>
    <xf numFmtId="165" fontId="49" fillId="33" borderId="13" xfId="0" applyNumberFormat="1" applyFont="1" applyFill="1" applyBorder="1" applyAlignment="1">
      <alignment horizontal="center" wrapText="1"/>
    </xf>
    <xf numFmtId="166" fontId="40" fillId="32" borderId="0" xfId="47" applyNumberFormat="1" applyFont="1" applyFill="1"/>
    <xf numFmtId="0" fontId="49" fillId="33" borderId="13" xfId="0" applyFont="1" applyFill="1" applyBorder="1" applyAlignment="1">
      <alignment horizontal="center" wrapText="1"/>
    </xf>
    <xf numFmtId="0" fontId="51" fillId="33" borderId="15" xfId="0" applyFont="1" applyFill="1" applyBorder="1" applyAlignment="1">
      <alignment horizontal="center" wrapText="1"/>
    </xf>
    <xf numFmtId="166" fontId="47" fillId="32" borderId="0" xfId="47" applyNumberFormat="1" applyFont="1" applyFill="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4" borderId="20" xfId="0" applyFont="1" applyFill="1" applyBorder="1" applyAlignment="1">
      <alignment horizontal="right" vertical="center" wrapText="1"/>
    </xf>
    <xf numFmtId="0" fontId="8" fillId="34" borderId="20" xfId="0" applyFont="1" applyFill="1" applyBorder="1" applyAlignment="1">
      <alignment horizontal="center" vertical="center" wrapText="1"/>
    </xf>
    <xf numFmtId="0" fontId="8" fillId="34" borderId="20" xfId="0" applyFont="1" applyFill="1" applyBorder="1" applyAlignment="1">
      <alignment horizontal="center" vertical="center"/>
    </xf>
    <xf numFmtId="0" fontId="53"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4" fillId="0" borderId="1" xfId="0" applyFont="1" applyBorder="1"/>
    <xf numFmtId="166" fontId="54" fillId="0" borderId="1" xfId="0" applyNumberFormat="1" applyFont="1" applyBorder="1"/>
    <xf numFmtId="166" fontId="40" fillId="32" borderId="1" xfId="47" applyNumberFormat="1" applyFont="1" applyFill="1" applyBorder="1"/>
    <xf numFmtId="0" fontId="0" fillId="0" borderId="1" xfId="0" applyBorder="1"/>
    <xf numFmtId="0" fontId="0" fillId="0" borderId="21" xfId="0" applyBorder="1"/>
    <xf numFmtId="0" fontId="55" fillId="33" borderId="0" xfId="0" applyFont="1" applyFill="1"/>
    <xf numFmtId="0" fontId="0" fillId="0" borderId="0" xfId="0" applyFill="1"/>
    <xf numFmtId="0" fontId="55" fillId="0" borderId="0" xfId="0" applyFont="1" applyFill="1"/>
    <xf numFmtId="0" fontId="55" fillId="33" borderId="22" xfId="0" applyFont="1" applyFill="1" applyBorder="1"/>
    <xf numFmtId="0" fontId="47" fillId="32" borderId="0" xfId="0" applyFont="1" applyFill="1"/>
    <xf numFmtId="0" fontId="55" fillId="32" borderId="0" xfId="0" applyFont="1" applyFill="1"/>
    <xf numFmtId="0" fontId="55" fillId="33" borderId="1" xfId="0" applyFont="1" applyFill="1" applyBorder="1"/>
    <xf numFmtId="0" fontId="47" fillId="32" borderId="1" xfId="0" applyFont="1" applyFill="1" applyBorder="1"/>
    <xf numFmtId="0" fontId="47" fillId="0" borderId="0" xfId="0" applyFont="1"/>
    <xf numFmtId="0" fontId="47" fillId="32" borderId="18" xfId="0" applyFont="1" applyFill="1" applyBorder="1" applyAlignment="1">
      <alignment horizontal="center"/>
    </xf>
    <xf numFmtId="0" fontId="55" fillId="32" borderId="18" xfId="0" applyFont="1" applyFill="1" applyBorder="1"/>
    <xf numFmtId="0" fontId="0" fillId="0" borderId="0" xfId="0" applyAlignment="1">
      <alignment wrapText="1"/>
    </xf>
    <xf numFmtId="16" fontId="49" fillId="0" borderId="0" xfId="0" quotePrefix="1" applyNumberFormat="1" applyFont="1" applyBorder="1" applyAlignment="1">
      <alignment horizontal="center" wrapText="1"/>
    </xf>
    <xf numFmtId="0" fontId="49" fillId="0" borderId="0" xfId="0" quotePrefix="1" applyFont="1" applyBorder="1" applyAlignment="1">
      <alignment horizontal="center" wrapText="1"/>
    </xf>
    <xf numFmtId="0" fontId="48" fillId="0" borderId="21" xfId="0" applyFont="1" applyBorder="1" applyAlignment="1">
      <alignment wrapText="1"/>
    </xf>
    <xf numFmtId="0" fontId="54" fillId="0" borderId="0" xfId="0" applyFont="1"/>
    <xf numFmtId="0" fontId="49" fillId="0" borderId="15" xfId="0" applyFont="1" applyBorder="1" applyAlignment="1">
      <alignment horizontal="center" wrapText="1"/>
    </xf>
    <xf numFmtId="0" fontId="49" fillId="0" borderId="13" xfId="0" applyFont="1" applyBorder="1" applyAlignment="1">
      <alignment horizontal="center" wrapText="1"/>
    </xf>
    <xf numFmtId="0" fontId="54" fillId="0" borderId="1" xfId="0" applyFont="1" applyFill="1" applyBorder="1" applyAlignment="1">
      <alignment horizontal="center"/>
    </xf>
    <xf numFmtId="2" fontId="0" fillId="0" borderId="1" xfId="0" applyNumberFormat="1" applyBorder="1" applyAlignment="1">
      <alignment horizontal="center"/>
    </xf>
    <xf numFmtId="0" fontId="54" fillId="0" borderId="1" xfId="0" applyFont="1" applyBorder="1" applyAlignment="1">
      <alignment horizontal="center"/>
    </xf>
    <xf numFmtId="166" fontId="54" fillId="0" borderId="1" xfId="47" applyNumberFormat="1" applyFont="1" applyFill="1" applyBorder="1" applyAlignment="1">
      <alignment horizontal="center"/>
    </xf>
    <xf numFmtId="0" fontId="0" fillId="35" borderId="1" xfId="0" applyFill="1" applyBorder="1"/>
    <xf numFmtId="0" fontId="56" fillId="0" borderId="0" xfId="0" applyFont="1"/>
    <xf numFmtId="0" fontId="0" fillId="0" borderId="0" xfId="0" applyAlignment="1">
      <alignment horizontal="center"/>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13" xfId="0" applyFont="1" applyFill="1" applyBorder="1" applyAlignment="1">
      <alignment wrapText="1"/>
    </xf>
    <xf numFmtId="0" fontId="56" fillId="0" borderId="0" xfId="0" applyFont="1" applyAlignment="1">
      <alignment horizontal="left" indent="6"/>
    </xf>
    <xf numFmtId="0" fontId="57" fillId="0" borderId="0" xfId="0" applyFont="1"/>
    <xf numFmtId="0" fontId="48" fillId="0" borderId="15" xfId="0" applyFont="1" applyFill="1" applyBorder="1" applyAlignment="1">
      <alignment horizontal="center" vertical="top" wrapText="1"/>
    </xf>
    <xf numFmtId="0" fontId="48" fillId="0" borderId="18" xfId="0" applyFont="1" applyFill="1" applyBorder="1" applyAlignment="1">
      <alignment horizontal="center" wrapText="1"/>
    </xf>
    <xf numFmtId="0" fontId="48" fillId="0" borderId="23" xfId="0" applyFont="1" applyBorder="1" applyAlignment="1">
      <alignment wrapText="1"/>
    </xf>
    <xf numFmtId="0" fontId="48" fillId="0" borderId="26" xfId="0" applyFont="1" applyFill="1" applyBorder="1" applyAlignment="1">
      <alignment wrapText="1"/>
    </xf>
    <xf numFmtId="0" fontId="48" fillId="0" borderId="27" xfId="0" applyFont="1" applyFill="1" applyBorder="1" applyAlignment="1">
      <alignment wrapText="1"/>
    </xf>
    <xf numFmtId="0" fontId="48" fillId="0" borderId="28" xfId="0" applyFont="1" applyFill="1" applyBorder="1" applyAlignment="1">
      <alignment wrapText="1"/>
    </xf>
    <xf numFmtId="0" fontId="48" fillId="0" borderId="17" xfId="0" applyFont="1" applyFill="1" applyBorder="1" applyAlignment="1">
      <alignment wrapText="1"/>
    </xf>
    <xf numFmtId="0" fontId="48" fillId="0" borderId="18" xfId="0" applyFont="1" applyBorder="1" applyAlignment="1">
      <alignment vertical="center" wrapText="1"/>
    </xf>
    <xf numFmtId="1" fontId="0" fillId="32" borderId="0" xfId="0" applyNumberFormat="1" applyFill="1"/>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164" fontId="40" fillId="32" borderId="0" xfId="47" applyNumberFormat="1" applyFont="1" applyFill="1"/>
    <xf numFmtId="0" fontId="48" fillId="0" borderId="12" xfId="0" applyFont="1" applyBorder="1" applyAlignment="1">
      <alignment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9" fontId="48" fillId="0" borderId="13" xfId="968" applyFont="1" applyBorder="1" applyAlignment="1">
      <alignment wrapText="1"/>
    </xf>
    <xf numFmtId="0" fontId="48" fillId="0" borderId="13" xfId="0" applyFont="1" applyFill="1" applyBorder="1" applyAlignment="1">
      <alignment wrapText="1"/>
    </xf>
    <xf numFmtId="0" fontId="48" fillId="0" borderId="12" xfId="0" applyFont="1" applyFill="1" applyBorder="1" applyAlignment="1">
      <alignment wrapText="1"/>
    </xf>
    <xf numFmtId="0" fontId="48" fillId="0" borderId="18" xfId="0" applyFont="1" applyFill="1" applyBorder="1" applyAlignment="1">
      <alignment wrapText="1"/>
    </xf>
    <xf numFmtId="166" fontId="48" fillId="0" borderId="18" xfId="47" quotePrefix="1" applyNumberFormat="1" applyFont="1" applyBorder="1" applyAlignment="1">
      <alignment wrapText="1"/>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9" fillId="0" borderId="29"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3" xfId="0" applyFont="1" applyBorder="1" applyAlignment="1">
      <alignment horizontal="center" vertical="center"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0" fontId="48" fillId="0" borderId="30" xfId="0" applyFont="1" applyBorder="1" applyAlignment="1">
      <alignment vertical="center" wrapText="1"/>
    </xf>
    <xf numFmtId="0" fontId="48" fillId="0" borderId="16" xfId="0" applyFont="1" applyBorder="1" applyAlignment="1">
      <alignment vertical="center" wrapText="1"/>
    </xf>
    <xf numFmtId="0" fontId="48" fillId="0" borderId="12" xfId="0" applyFont="1" applyBorder="1" applyAlignment="1">
      <alignment vertical="center"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0" fontId="48" fillId="0" borderId="13" xfId="0" applyFont="1" applyFill="1" applyBorder="1" applyAlignment="1">
      <alignment wrapText="1"/>
    </xf>
    <xf numFmtId="9" fontId="48" fillId="0" borderId="13" xfId="968" applyFont="1" applyFill="1" applyBorder="1" applyAlignment="1">
      <alignment wrapText="1"/>
    </xf>
    <xf numFmtId="0" fontId="48" fillId="0" borderId="12" xfId="0" applyFont="1" applyFill="1" applyBorder="1" applyAlignment="1">
      <alignment wrapText="1"/>
    </xf>
    <xf numFmtId="0" fontId="58" fillId="0" borderId="13" xfId="0" applyFont="1" applyFill="1" applyBorder="1" applyAlignment="1">
      <alignment wrapText="1"/>
    </xf>
    <xf numFmtId="0" fontId="48" fillId="0" borderId="13" xfId="0" applyFont="1" applyBorder="1" applyAlignment="1">
      <alignment vertical="top" wrapText="1"/>
    </xf>
    <xf numFmtId="0" fontId="48" fillId="0" borderId="30" xfId="0" applyFont="1" applyFill="1" applyBorder="1" applyAlignment="1">
      <alignment wrapText="1"/>
    </xf>
    <xf numFmtId="0" fontId="48" fillId="0" borderId="30" xfId="0" applyFont="1" applyBorder="1" applyAlignment="1">
      <alignment wrapText="1"/>
    </xf>
    <xf numFmtId="0" fontId="48" fillId="0" borderId="18" xfId="0" applyFont="1" applyFill="1" applyBorder="1" applyAlignment="1">
      <alignment wrapText="1"/>
    </xf>
    <xf numFmtId="0" fontId="48" fillId="0" borderId="25" xfId="0" applyFont="1" applyFill="1" applyBorder="1" applyAlignment="1">
      <alignment wrapText="1"/>
    </xf>
    <xf numFmtId="0" fontId="48" fillId="0" borderId="25" xfId="0" applyFont="1" applyFill="1" applyBorder="1" applyAlignment="1">
      <alignment horizontal="center" wrapText="1"/>
    </xf>
    <xf numFmtId="9" fontId="48" fillId="0" borderId="13" xfId="0" applyNumberFormat="1" applyFont="1" applyFill="1" applyBorder="1" applyAlignment="1">
      <alignment wrapText="1"/>
    </xf>
    <xf numFmtId="0" fontId="48" fillId="0" borderId="18" xfId="0" applyFont="1" applyBorder="1" applyAlignment="1">
      <alignment vertical="center" wrapText="1"/>
    </xf>
    <xf numFmtId="0" fontId="48" fillId="0" borderId="25" xfId="0" applyFont="1" applyBorder="1" applyAlignment="1">
      <alignment vertical="center" wrapText="1"/>
    </xf>
    <xf numFmtId="0" fontId="54" fillId="36" borderId="1" xfId="0" applyFont="1" applyFill="1" applyBorder="1" applyAlignment="1">
      <alignment horizontal="center"/>
    </xf>
    <xf numFmtId="166" fontId="40" fillId="0" borderId="0" xfId="47" applyNumberFormat="1" applyFont="1" applyAlignment="1">
      <alignment horizontal="center"/>
    </xf>
    <xf numFmtId="0" fontId="7" fillId="26" borderId="31" xfId="0" applyFont="1" applyFill="1" applyBorder="1" applyAlignment="1">
      <alignment horizontal="left" vertical="center" wrapText="1"/>
    </xf>
    <xf numFmtId="0" fontId="8" fillId="34" borderId="20" xfId="0" applyFont="1" applyFill="1" applyBorder="1" applyAlignment="1">
      <alignment horizontal="left" vertical="center" wrapText="1"/>
    </xf>
    <xf numFmtId="0" fontId="8" fillId="34" borderId="32" xfId="0" applyFont="1" applyFill="1" applyBorder="1" applyAlignment="1">
      <alignment horizontal="right" vertical="center" wrapText="1"/>
    </xf>
    <xf numFmtId="0" fontId="11" fillId="0" borderId="0" xfId="550"/>
    <xf numFmtId="0" fontId="11" fillId="0" borderId="0" xfId="550" applyFill="1"/>
    <xf numFmtId="0" fontId="11" fillId="0" borderId="0" xfId="550" applyFont="1" applyFill="1"/>
    <xf numFmtId="0" fontId="11" fillId="28" borderId="0" xfId="550" applyFill="1"/>
    <xf numFmtId="0" fontId="0" fillId="0" borderId="0" xfId="0" applyAlignment="1">
      <alignment horizontal="left"/>
    </xf>
    <xf numFmtId="0" fontId="0" fillId="0" borderId="0" xfId="0" applyBorder="1" applyAlignment="1">
      <alignment horizontal="left"/>
    </xf>
    <xf numFmtId="0" fontId="48" fillId="0" borderId="29" xfId="0" applyFont="1" applyBorder="1" applyAlignment="1">
      <alignment vertical="center" wrapText="1"/>
    </xf>
    <xf numFmtId="0" fontId="48" fillId="0" borderId="17" xfId="0" applyFont="1" applyBorder="1" applyAlignment="1">
      <alignment vertical="center" wrapText="1"/>
    </xf>
    <xf numFmtId="0" fontId="48" fillId="0" borderId="13" xfId="0" applyFont="1" applyBorder="1" applyAlignment="1">
      <alignment vertical="center" wrapText="1"/>
    </xf>
    <xf numFmtId="0" fontId="49" fillId="0" borderId="13" xfId="0" applyFont="1" applyBorder="1" applyAlignment="1">
      <alignment horizontal="center" wrapText="1"/>
    </xf>
    <xf numFmtId="0" fontId="54" fillId="32" borderId="1" xfId="0" applyFont="1" applyFill="1" applyBorder="1" applyAlignment="1">
      <alignment horizontal="center"/>
    </xf>
    <xf numFmtId="0" fontId="48" fillId="32" borderId="13" xfId="0" applyFont="1" applyFill="1" applyBorder="1" applyAlignment="1">
      <alignment horizontal="center" wrapText="1"/>
    </xf>
    <xf numFmtId="0" fontId="48" fillId="32" borderId="18" xfId="0" applyFont="1" applyFill="1" applyBorder="1" applyAlignment="1">
      <alignment wrapText="1"/>
    </xf>
    <xf numFmtId="0" fontId="48" fillId="32" borderId="12" xfId="0" applyFont="1" applyFill="1" applyBorder="1" applyAlignment="1">
      <alignment wrapText="1"/>
    </xf>
    <xf numFmtId="0" fontId="54" fillId="37" borderId="1" xfId="0" applyFont="1" applyFill="1" applyBorder="1" applyAlignment="1">
      <alignment horizontal="center"/>
    </xf>
    <xf numFmtId="0" fontId="48" fillId="33" borderId="12" xfId="0" quotePrefix="1" applyNumberFormat="1" applyFont="1" applyFill="1" applyBorder="1" applyAlignment="1">
      <alignment wrapText="1"/>
    </xf>
    <xf numFmtId="0" fontId="48" fillId="33" borderId="13" xfId="0" applyFont="1" applyFill="1" applyBorder="1" applyAlignment="1">
      <alignment wrapText="1"/>
    </xf>
    <xf numFmtId="0" fontId="48" fillId="33" borderId="12" xfId="0" applyFont="1" applyFill="1" applyBorder="1" applyAlignment="1">
      <alignment wrapText="1"/>
    </xf>
    <xf numFmtId="0" fontId="49" fillId="32" borderId="17" xfId="0" applyFont="1" applyFill="1" applyBorder="1" applyAlignment="1">
      <alignment horizontal="center" wrapText="1"/>
    </xf>
    <xf numFmtId="0" fontId="40" fillId="32" borderId="1" xfId="47" applyNumberFormat="1" applyFont="1" applyFill="1" applyBorder="1"/>
    <xf numFmtId="0" fontId="49" fillId="37" borderId="17" xfId="0" applyFont="1" applyFill="1" applyBorder="1" applyAlignment="1">
      <alignment horizontal="center" wrapText="1"/>
    </xf>
    <xf numFmtId="0" fontId="40" fillId="32" borderId="0" xfId="47" applyNumberFormat="1" applyFont="1" applyFill="1"/>
    <xf numFmtId="0" fontId="54" fillId="0" borderId="1" xfId="47" applyNumberFormat="1" applyFont="1" applyFill="1" applyBorder="1" applyAlignment="1">
      <alignment horizontal="center"/>
    </xf>
    <xf numFmtId="0" fontId="49" fillId="32" borderId="0" xfId="0" applyFont="1" applyFill="1" applyBorder="1" applyAlignment="1">
      <alignment horizontal="center" wrapText="1"/>
    </xf>
    <xf numFmtId="0" fontId="49" fillId="32" borderId="33" xfId="0" applyFont="1" applyFill="1" applyBorder="1" applyAlignment="1">
      <alignment horizontal="center" wrapText="1"/>
    </xf>
    <xf numFmtId="0" fontId="49" fillId="32" borderId="34" xfId="0" applyFont="1" applyFill="1" applyBorder="1" applyAlignment="1">
      <alignment horizontal="center" wrapText="1"/>
    </xf>
    <xf numFmtId="0" fontId="49" fillId="32" borderId="29" xfId="0" applyFont="1" applyFill="1" applyBorder="1" applyAlignment="1">
      <alignment horizontal="center" wrapText="1"/>
    </xf>
    <xf numFmtId="0" fontId="49" fillId="32" borderId="35" xfId="0" applyFont="1" applyFill="1" applyBorder="1" applyAlignment="1">
      <alignment horizontal="center" wrapText="1"/>
    </xf>
    <xf numFmtId="0" fontId="49" fillId="32" borderId="14" xfId="0" applyFont="1" applyFill="1" applyBorder="1" applyAlignment="1">
      <alignment horizontal="center" wrapText="1"/>
    </xf>
    <xf numFmtId="0" fontId="49" fillId="32" borderId="15" xfId="0" applyFont="1" applyFill="1" applyBorder="1" applyAlignment="1">
      <alignment horizontal="center" wrapText="1"/>
    </xf>
    <xf numFmtId="0" fontId="48" fillId="32" borderId="33" xfId="0" applyFont="1" applyFill="1" applyBorder="1" applyAlignment="1">
      <alignment vertical="center" wrapText="1"/>
    </xf>
    <xf numFmtId="0" fontId="54" fillId="0" borderId="1" xfId="0" applyNumberFormat="1" applyFont="1" applyBorder="1"/>
    <xf numFmtId="2" fontId="0" fillId="37" borderId="1" xfId="0" applyNumberFormat="1" applyFill="1" applyBorder="1" applyAlignment="1">
      <alignment horizontal="center"/>
    </xf>
    <xf numFmtId="0" fontId="54" fillId="0" borderId="0" xfId="0" applyFont="1" applyBorder="1" applyAlignment="1">
      <alignment horizontal="center"/>
    </xf>
    <xf numFmtId="2" fontId="54" fillId="0" borderId="1" xfId="0" applyNumberFormat="1" applyFont="1" applyFill="1" applyBorder="1" applyAlignment="1">
      <alignment horizontal="center"/>
    </xf>
    <xf numFmtId="2" fontId="54" fillId="0" borderId="1" xfId="0" applyNumberFormat="1" applyFont="1" applyBorder="1" applyAlignment="1">
      <alignment horizontal="center"/>
    </xf>
    <xf numFmtId="0" fontId="54" fillId="0" borderId="0" xfId="0" applyFont="1" applyFill="1" applyBorder="1" applyAlignment="1">
      <alignment horizontal="center"/>
    </xf>
    <xf numFmtId="2" fontId="0" fillId="0" borderId="1" xfId="0" applyNumberFormat="1" applyFill="1" applyBorder="1" applyAlignment="1">
      <alignment horizontal="center"/>
    </xf>
    <xf numFmtId="2" fontId="0" fillId="0" borderId="0" xfId="0" applyNumberFormat="1" applyFill="1" applyBorder="1" applyAlignment="1">
      <alignment horizontal="center"/>
    </xf>
    <xf numFmtId="0" fontId="0" fillId="0" borderId="36" xfId="0" applyBorder="1"/>
    <xf numFmtId="2" fontId="0" fillId="0" borderId="36" xfId="0" applyNumberFormat="1" applyBorder="1"/>
    <xf numFmtId="0" fontId="54" fillId="37" borderId="0" xfId="0" applyFont="1" applyFill="1" applyBorder="1" applyAlignment="1">
      <alignment horizontal="center"/>
    </xf>
    <xf numFmtId="0" fontId="54" fillId="37" borderId="0" xfId="47" applyNumberFormat="1" applyFont="1" applyFill="1" applyBorder="1" applyAlignment="1"/>
    <xf numFmtId="0" fontId="54" fillId="36" borderId="0" xfId="0" applyFont="1" applyFill="1" applyBorder="1" applyAlignment="1">
      <alignment horizontal="center"/>
    </xf>
    <xf numFmtId="0" fontId="59" fillId="0" borderId="0" xfId="0" applyFont="1" applyFill="1" applyBorder="1" applyAlignment="1">
      <alignment horizontal="center"/>
    </xf>
    <xf numFmtId="0" fontId="54" fillId="37" borderId="1" xfId="47" applyNumberFormat="1" applyFont="1" applyFill="1" applyBorder="1" applyAlignment="1">
      <alignment horizontal="center"/>
    </xf>
    <xf numFmtId="172" fontId="11" fillId="28" borderId="0" xfId="550" applyNumberFormat="1" applyFill="1"/>
    <xf numFmtId="172" fontId="11" fillId="0" borderId="0" xfId="550" applyNumberFormat="1" applyFont="1"/>
    <xf numFmtId="172" fontId="7" fillId="26" borderId="19" xfId="550" applyNumberFormat="1" applyFont="1" applyFill="1" applyBorder="1" applyAlignment="1">
      <alignment horizontal="left" vertical="center" wrapText="1"/>
    </xf>
    <xf numFmtId="172" fontId="14" fillId="29" borderId="15" xfId="550" quotePrefix="1" applyNumberFormat="1" applyFont="1" applyFill="1" applyBorder="1" applyAlignment="1">
      <alignment horizontal="left" vertical="top" wrapText="1"/>
    </xf>
    <xf numFmtId="172" fontId="11" fillId="0" borderId="0" xfId="550" applyNumberFormat="1" applyFill="1"/>
    <xf numFmtId="172" fontId="0" fillId="0" borderId="0" xfId="0" applyNumberFormat="1"/>
    <xf numFmtId="172" fontId="11" fillId="0" borderId="0" xfId="550" applyNumberFormat="1" applyFont="1" applyFill="1"/>
    <xf numFmtId="172" fontId="13" fillId="0" borderId="0" xfId="550" applyNumberFormat="1" applyFont="1"/>
    <xf numFmtId="172" fontId="11" fillId="0" borderId="0" xfId="550" applyNumberFormat="1"/>
    <xf numFmtId="172" fontId="14" fillId="29" borderId="20" xfId="550" applyNumberFormat="1" applyFont="1" applyFill="1" applyBorder="1" applyAlignment="1">
      <alignment horizontal="left" vertical="top" wrapText="1"/>
    </xf>
    <xf numFmtId="172" fontId="14" fillId="29" borderId="20" xfId="550" quotePrefix="1" applyNumberFormat="1" applyFont="1" applyFill="1" applyBorder="1" applyAlignment="1">
      <alignment horizontal="left" vertical="top" wrapText="1"/>
    </xf>
    <xf numFmtId="172" fontId="12" fillId="0" borderId="0" xfId="550" applyNumberFormat="1" applyFont="1" applyFill="1" applyBorder="1" applyAlignment="1">
      <alignment horizontal="left"/>
    </xf>
    <xf numFmtId="172" fontId="13" fillId="0" borderId="0" xfId="550" applyNumberFormat="1" applyFont="1" applyFill="1" applyBorder="1" applyAlignment="1">
      <alignment horizontal="left" wrapText="1"/>
    </xf>
    <xf numFmtId="172" fontId="12" fillId="0" borderId="0" xfId="550"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15" fillId="3" borderId="1" xfId="3" applyBorder="1" applyAlignment="1">
      <alignment horizontal="center"/>
    </xf>
    <xf numFmtId="0" fontId="47" fillId="0" borderId="1" xfId="0" applyFont="1" applyFill="1" applyBorder="1" applyAlignment="1">
      <alignment horizontal="center"/>
    </xf>
    <xf numFmtId="0" fontId="59" fillId="0" borderId="0" xfId="0" applyFont="1"/>
    <xf numFmtId="2" fontId="59" fillId="0" borderId="0" xfId="0" applyNumberFormat="1" applyFont="1"/>
    <xf numFmtId="0" fontId="0" fillId="0" borderId="0" xfId="0"/>
    <xf numFmtId="0" fontId="59"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9" fillId="0" borderId="0" xfId="0" applyNumberFormat="1" applyFont="1" applyFill="1" applyBorder="1" applyAlignment="1">
      <alignment horizontal="center"/>
    </xf>
    <xf numFmtId="0" fontId="0" fillId="38" borderId="0" xfId="0" applyFill="1"/>
    <xf numFmtId="0" fontId="51" fillId="0" borderId="0" xfId="0" applyFont="1" applyBorder="1" applyAlignment="1">
      <alignment horizontal="center" wrapText="1"/>
    </xf>
    <xf numFmtId="0" fontId="49" fillId="0" borderId="1" xfId="0" applyFont="1" applyFill="1" applyBorder="1" applyAlignment="1">
      <alignment horizontal="center" wrapText="1"/>
    </xf>
    <xf numFmtId="0" fontId="49" fillId="0" borderId="1" xfId="0" applyFont="1" applyBorder="1" applyAlignment="1">
      <alignment horizontal="center" wrapText="1"/>
    </xf>
    <xf numFmtId="0" fontId="48" fillId="0" borderId="1" xfId="0" applyFont="1" applyBorder="1" applyAlignment="1">
      <alignment wrapText="1"/>
    </xf>
    <xf numFmtId="0" fontId="49" fillId="0" borderId="26" xfId="0" applyFont="1" applyBorder="1" applyAlignment="1">
      <alignment horizontal="center" wrapText="1"/>
    </xf>
    <xf numFmtId="0" fontId="50" fillId="0" borderId="35" xfId="0" applyFont="1" applyBorder="1" applyAlignment="1">
      <alignment wrapText="1"/>
    </xf>
    <xf numFmtId="0" fontId="51" fillId="0" borderId="17" xfId="0" applyFont="1" applyBorder="1" applyAlignment="1">
      <alignment horizontal="center" wrapText="1"/>
    </xf>
    <xf numFmtId="49" fontId="49" fillId="0" borderId="1" xfId="0" quotePrefix="1" applyNumberFormat="1" applyFont="1" applyBorder="1" applyAlignment="1">
      <alignment horizontal="center" wrapText="1"/>
    </xf>
    <xf numFmtId="49" fontId="49" fillId="0" borderId="1" xfId="0" applyNumberFormat="1" applyFont="1" applyBorder="1" applyAlignment="1">
      <alignment horizontal="center" wrapText="1"/>
    </xf>
    <xf numFmtId="0" fontId="50" fillId="0" borderId="1" xfId="0" applyFont="1" applyBorder="1" applyAlignment="1">
      <alignment wrapText="1"/>
    </xf>
    <xf numFmtId="0" fontId="51" fillId="0" borderId="1" xfId="0" applyFont="1" applyBorder="1" applyAlignment="1">
      <alignment horizontal="center" wrapText="1"/>
    </xf>
    <xf numFmtId="49" fontId="51" fillId="0" borderId="1" xfId="0" applyNumberFormat="1" applyFont="1" applyBorder="1" applyAlignment="1">
      <alignment horizontal="center" wrapText="1"/>
    </xf>
    <xf numFmtId="0" fontId="48" fillId="0" borderId="0" xfId="0" applyFont="1" applyBorder="1" applyAlignment="1">
      <alignment wrapText="1"/>
    </xf>
    <xf numFmtId="0" fontId="50" fillId="0" borderId="37" xfId="0" applyFont="1" applyBorder="1" applyAlignment="1">
      <alignment wrapText="1"/>
    </xf>
    <xf numFmtId="0" fontId="49" fillId="0" borderId="28" xfId="0" applyFont="1" applyBorder="1" applyAlignment="1">
      <alignment horizontal="center" wrapText="1"/>
    </xf>
    <xf numFmtId="0" fontId="51" fillId="0" borderId="37" xfId="0" applyFont="1" applyBorder="1" applyAlignment="1">
      <alignment horizontal="center" wrapText="1"/>
    </xf>
    <xf numFmtId="0" fontId="51" fillId="0" borderId="38" xfId="0" applyFont="1" applyBorder="1" applyAlignment="1">
      <alignment horizontal="center" wrapText="1"/>
    </xf>
    <xf numFmtId="0" fontId="55" fillId="0" borderId="38" xfId="0" applyFont="1" applyFill="1" applyBorder="1"/>
    <xf numFmtId="49" fontId="49" fillId="0" borderId="39" xfId="0" applyNumberFormat="1" applyFont="1" applyBorder="1" applyAlignment="1">
      <alignment horizontal="center" wrapText="1"/>
    </xf>
    <xf numFmtId="165" fontId="49" fillId="0" borderId="26" xfId="0" applyNumberFormat="1" applyFont="1" applyFill="1" applyBorder="1" applyAlignment="1">
      <alignment horizontal="center" wrapText="1"/>
    </xf>
    <xf numFmtId="0" fontId="55" fillId="0" borderId="26" xfId="0" applyFont="1" applyFill="1" applyBorder="1"/>
    <xf numFmtId="167" fontId="0" fillId="32" borderId="0" xfId="0" applyNumberFormat="1" applyFill="1"/>
    <xf numFmtId="9" fontId="40" fillId="32" borderId="0" xfId="968" applyFont="1" applyFill="1"/>
    <xf numFmtId="0" fontId="54" fillId="37" borderId="27" xfId="0" applyFont="1" applyFill="1" applyBorder="1" applyAlignment="1">
      <alignment horizontal="center"/>
    </xf>
    <xf numFmtId="2" fontId="0" fillId="33" borderId="1" xfId="0" applyNumberFormat="1" applyFill="1" applyBorder="1"/>
    <xf numFmtId="2" fontId="0" fillId="0" borderId="1" xfId="0" applyNumberFormat="1" applyFill="1" applyBorder="1"/>
    <xf numFmtId="0" fontId="0" fillId="0" borderId="1" xfId="0" applyFill="1" applyBorder="1"/>
    <xf numFmtId="2" fontId="54" fillId="0" borderId="1" xfId="47" applyNumberFormat="1" applyFont="1" applyFill="1" applyBorder="1" applyAlignment="1">
      <alignment horizontal="center"/>
    </xf>
    <xf numFmtId="0" fontId="59" fillId="0" borderId="1" xfId="0" applyFont="1" applyFill="1" applyBorder="1" applyAlignment="1">
      <alignment horizontal="center"/>
    </xf>
    <xf numFmtId="0" fontId="59" fillId="0" borderId="1" xfId="0" applyFont="1" applyBorder="1"/>
    <xf numFmtId="0" fontId="0" fillId="32" borderId="0" xfId="0" applyFill="1" applyBorder="1"/>
    <xf numFmtId="0" fontId="59" fillId="0" borderId="36" xfId="0" applyFont="1" applyFill="1" applyBorder="1" applyAlignment="1">
      <alignment horizontal="left"/>
    </xf>
    <xf numFmtId="172" fontId="11" fillId="0" borderId="0" xfId="550" applyNumberFormat="1" applyFont="1" applyFill="1" applyBorder="1" applyAlignment="1">
      <alignment horizontal="left"/>
    </xf>
    <xf numFmtId="172" fontId="0" fillId="0" borderId="0" xfId="0" applyNumberFormat="1" applyBorder="1"/>
    <xf numFmtId="172" fontId="11" fillId="0" borderId="0" xfId="550" applyNumberFormat="1" applyFill="1" applyBorder="1"/>
    <xf numFmtId="172" fontId="11" fillId="0" borderId="0" xfId="550" applyNumberFormat="1" applyFont="1" applyFill="1" applyBorder="1"/>
    <xf numFmtId="172" fontId="11" fillId="0" borderId="0" xfId="550" applyNumberFormat="1" applyFont="1" applyBorder="1"/>
    <xf numFmtId="0" fontId="59" fillId="0" borderId="40" xfId="0" applyFont="1" applyFill="1" applyBorder="1" applyAlignment="1">
      <alignment horizontal="left"/>
    </xf>
    <xf numFmtId="0" fontId="0" fillId="0" borderId="40" xfId="0"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2" fontId="0" fillId="0" borderId="0" xfId="48" applyNumberFormat="1" applyFont="1"/>
    <xf numFmtId="0" fontId="0" fillId="0" borderId="42" xfId="0" applyBorder="1"/>
    <xf numFmtId="0" fontId="0" fillId="0" borderId="27" xfId="0" applyBorder="1"/>
    <xf numFmtId="0" fontId="54" fillId="0" borderId="37" xfId="0" applyFont="1" applyFill="1" applyBorder="1" applyAlignment="1">
      <alignment horizontal="center"/>
    </xf>
    <xf numFmtId="0" fontId="54" fillId="37" borderId="37" xfId="0" applyFont="1" applyFill="1" applyBorder="1" applyAlignment="1">
      <alignment horizontal="center"/>
    </xf>
    <xf numFmtId="0" fontId="54" fillId="37" borderId="21" xfId="0" applyFont="1" applyFill="1" applyBorder="1" applyAlignment="1">
      <alignment horizontal="center"/>
    </xf>
    <xf numFmtId="2" fontId="59" fillId="0" borderId="37" xfId="0" applyNumberFormat="1" applyFont="1" applyFill="1" applyBorder="1" applyAlignment="1">
      <alignment horizontal="center"/>
    </xf>
    <xf numFmtId="0" fontId="0" fillId="0" borderId="37" xfId="0" applyBorder="1"/>
    <xf numFmtId="0" fontId="54" fillId="0" borderId="39" xfId="0" applyFont="1" applyFill="1" applyBorder="1" applyAlignment="1">
      <alignment horizontal="center"/>
    </xf>
    <xf numFmtId="0" fontId="54" fillId="37" borderId="39" xfId="0" applyFont="1" applyFill="1" applyBorder="1" applyAlignment="1">
      <alignment horizontal="center"/>
    </xf>
    <xf numFmtId="0" fontId="0" fillId="0" borderId="39" xfId="0" applyBorder="1"/>
    <xf numFmtId="0" fontId="0" fillId="0" borderId="39" xfId="0" applyFill="1" applyBorder="1"/>
    <xf numFmtId="0" fontId="7" fillId="39" borderId="19" xfId="0" applyFont="1" applyFill="1" applyBorder="1" applyAlignment="1">
      <alignment horizontal="right" vertical="center" wrapText="1"/>
    </xf>
    <xf numFmtId="0" fontId="60" fillId="0" borderId="0" xfId="1252"/>
    <xf numFmtId="172" fontId="60" fillId="0" borderId="0" xfId="1252" applyNumberFormat="1"/>
    <xf numFmtId="2" fontId="60" fillId="0" borderId="0" xfId="1252" applyNumberFormat="1"/>
    <xf numFmtId="172" fontId="60" fillId="0" borderId="0" xfId="1252" applyNumberFormat="1" applyBorder="1"/>
    <xf numFmtId="172" fontId="11" fillId="29" borderId="15" xfId="547" applyNumberFormat="1" applyFont="1" applyFill="1" applyBorder="1" applyAlignment="1">
      <alignment horizontal="left" wrapText="1"/>
    </xf>
    <xf numFmtId="0" fontId="11" fillId="29" borderId="15" xfId="547" applyFont="1" applyFill="1" applyBorder="1" applyAlignment="1">
      <alignment horizontal="left" wrapText="1"/>
    </xf>
    <xf numFmtId="0" fontId="61" fillId="32" borderId="0" xfId="1252" applyFont="1" applyFill="1"/>
    <xf numFmtId="172" fontId="62" fillId="26" borderId="38" xfId="1252" applyNumberFormat="1" applyFont="1" applyFill="1" applyBorder="1"/>
    <xf numFmtId="0" fontId="62" fillId="40" borderId="38" xfId="1252" applyFont="1" applyFill="1" applyBorder="1"/>
    <xf numFmtId="0" fontId="62" fillId="26" borderId="38" xfId="1252" applyFont="1" applyFill="1" applyBorder="1"/>
    <xf numFmtId="172" fontId="13" fillId="0" borderId="0" xfId="1252" applyNumberFormat="1" applyFont="1"/>
    <xf numFmtId="0" fontId="13" fillId="0" borderId="0" xfId="1252" applyFont="1" applyFill="1"/>
    <xf numFmtId="0" fontId="63" fillId="0" borderId="0" xfId="1252" applyFont="1"/>
    <xf numFmtId="0" fontId="59" fillId="0" borderId="0" xfId="0" quotePrefix="1" applyFont="1" applyFill="1" applyBorder="1" applyAlignment="1">
      <alignment horizontal="left"/>
    </xf>
    <xf numFmtId="0" fontId="0" fillId="0" borderId="0" xfId="0" applyFont="1"/>
    <xf numFmtId="0" fontId="0" fillId="37" borderId="0" xfId="0" applyFill="1" applyBorder="1"/>
    <xf numFmtId="0" fontId="7" fillId="37" borderId="0" xfId="0" applyFont="1" applyFill="1" applyBorder="1" applyAlignment="1">
      <alignment horizontal="right" vertical="center" wrapText="1"/>
    </xf>
    <xf numFmtId="0" fontId="8" fillId="37" borderId="0" xfId="0" applyFont="1" applyFill="1" applyBorder="1" applyAlignment="1">
      <alignment horizontal="right" vertical="center" wrapText="1"/>
    </xf>
    <xf numFmtId="0" fontId="8" fillId="37" borderId="0" xfId="0" applyFont="1" applyFill="1" applyBorder="1" applyAlignment="1">
      <alignment horizontal="center"/>
    </xf>
    <xf numFmtId="2" fontId="54" fillId="37" borderId="0" xfId="0" applyNumberFormat="1" applyFont="1" applyFill="1" applyBorder="1" applyAlignment="1">
      <alignment horizontal="center"/>
    </xf>
    <xf numFmtId="2" fontId="59" fillId="37" borderId="0" xfId="0" applyNumberFormat="1" applyFont="1" applyFill="1" applyBorder="1" applyAlignment="1">
      <alignment horizontal="center"/>
    </xf>
    <xf numFmtId="0" fontId="74" fillId="0" borderId="0" xfId="548" applyFont="1"/>
    <xf numFmtId="0" fontId="44" fillId="0" borderId="0" xfId="548"/>
    <xf numFmtId="0" fontId="46" fillId="0" borderId="0" xfId="548" applyFont="1"/>
    <xf numFmtId="0" fontId="46" fillId="0" borderId="36" xfId="548" applyFont="1" applyBorder="1"/>
    <xf numFmtId="0" fontId="0" fillId="0" borderId="0" xfId="548" applyFont="1"/>
    <xf numFmtId="0" fontId="73" fillId="72" borderId="0" xfId="548" applyFont="1" applyFill="1"/>
    <xf numFmtId="0" fontId="0" fillId="71" borderId="0" xfId="548" applyFont="1" applyFill="1"/>
    <xf numFmtId="0" fontId="0" fillId="75" borderId="0" xfId="548" applyFont="1" applyFill="1"/>
    <xf numFmtId="0" fontId="0" fillId="0" borderId="19" xfId="0" applyBorder="1"/>
    <xf numFmtId="0" fontId="0" fillId="76" borderId="0" xfId="548" applyFont="1" applyFill="1"/>
    <xf numFmtId="0" fontId="8" fillId="0" borderId="0" xfId="0" applyFont="1" applyFill="1" applyBorder="1" applyAlignment="1">
      <alignment horizontal="center"/>
    </xf>
    <xf numFmtId="0" fontId="54" fillId="0" borderId="26" xfId="0" applyFont="1" applyFill="1" applyBorder="1" applyAlignment="1">
      <alignment horizontal="center"/>
    </xf>
    <xf numFmtId="0" fontId="80" fillId="0" borderId="0" xfId="0" applyFont="1" applyFill="1" applyBorder="1" applyAlignment="1">
      <alignment horizontal="right"/>
    </xf>
    <xf numFmtId="172" fontId="14" fillId="0" borderId="0" xfId="550" quotePrefix="1" applyNumberFormat="1" applyFont="1" applyFill="1" applyBorder="1" applyAlignment="1">
      <alignment horizontal="left" vertical="top" wrapText="1"/>
    </xf>
    <xf numFmtId="0" fontId="11" fillId="29" borderId="20" xfId="547" applyFont="1" applyFill="1" applyBorder="1" applyAlignment="1">
      <alignment horizontal="center" wrapText="1"/>
    </xf>
    <xf numFmtId="0" fontId="0" fillId="77" borderId="0" xfId="0" applyFill="1"/>
    <xf numFmtId="9" fontId="0" fillId="77" borderId="0" xfId="0" applyNumberFormat="1" applyFill="1"/>
    <xf numFmtId="0" fontId="46" fillId="77" borderId="0" xfId="0" applyFont="1" applyFill="1"/>
    <xf numFmtId="0" fontId="49" fillId="0" borderId="13" xfId="0" applyFont="1" applyBorder="1" applyAlignment="1">
      <alignment horizontal="center" wrapText="1"/>
    </xf>
    <xf numFmtId="175" fontId="40" fillId="32" borderId="1" xfId="47" applyNumberFormat="1" applyFont="1" applyFill="1" applyBorder="1"/>
    <xf numFmtId="0" fontId="0" fillId="32" borderId="48" xfId="0" applyFill="1" applyBorder="1"/>
    <xf numFmtId="0" fontId="0" fillId="0" borderId="49" xfId="0" applyBorder="1"/>
    <xf numFmtId="0" fontId="0" fillId="0" borderId="50" xfId="0" applyBorder="1"/>
    <xf numFmtId="0" fontId="0" fillId="0" borderId="51" xfId="0" applyBorder="1"/>
    <xf numFmtId="9" fontId="0" fillId="32" borderId="52" xfId="968" applyFont="1" applyFill="1" applyBorder="1"/>
    <xf numFmtId="0" fontId="0" fillId="0" borderId="53" xfId="0" applyBorder="1"/>
    <xf numFmtId="0" fontId="0" fillId="0" borderId="52" xfId="0" applyBorder="1"/>
    <xf numFmtId="0" fontId="0" fillId="0" borderId="27" xfId="0" applyFill="1" applyBorder="1"/>
    <xf numFmtId="0" fontId="0" fillId="32" borderId="52" xfId="0" applyFill="1" applyBorder="1"/>
    <xf numFmtId="0" fontId="81" fillId="0" borderId="52" xfId="0" applyFont="1" applyFill="1" applyBorder="1"/>
    <xf numFmtId="0" fontId="81" fillId="0" borderId="27" xfId="0" applyFont="1" applyBorder="1"/>
    <xf numFmtId="0" fontId="81" fillId="0" borderId="54" xfId="0" applyFont="1" applyFill="1" applyBorder="1"/>
    <xf numFmtId="0" fontId="81" fillId="0" borderId="55" xfId="0" applyFont="1" applyBorder="1"/>
    <xf numFmtId="0" fontId="0" fillId="0" borderId="56" xfId="0" applyBorder="1"/>
    <xf numFmtId="0" fontId="0" fillId="0" borderId="57" xfId="0" applyBorder="1"/>
    <xf numFmtId="0" fontId="0" fillId="32" borderId="60" xfId="0" applyFill="1" applyBorder="1"/>
    <xf numFmtId="166" fontId="40" fillId="32" borderId="61" xfId="47" applyNumberFormat="1" applyFont="1" applyFill="1" applyBorder="1"/>
    <xf numFmtId="0" fontId="55" fillId="33" borderId="62" xfId="0" applyFont="1" applyFill="1" applyBorder="1"/>
    <xf numFmtId="0" fontId="55" fillId="33" borderId="63" xfId="0" applyFont="1" applyFill="1" applyBorder="1"/>
    <xf numFmtId="0" fontId="0" fillId="32" borderId="64" xfId="0" applyFill="1" applyBorder="1"/>
    <xf numFmtId="0" fontId="55" fillId="33" borderId="65" xfId="0" applyFont="1" applyFill="1" applyBorder="1"/>
    <xf numFmtId="0" fontId="0" fillId="32" borderId="66" xfId="0" applyFill="1" applyBorder="1"/>
    <xf numFmtId="166" fontId="40" fillId="32" borderId="67" xfId="47" applyNumberFormat="1" applyFont="1" applyFill="1" applyBorder="1"/>
    <xf numFmtId="0" fontId="0" fillId="35" borderId="68" xfId="0" applyFill="1" applyBorder="1"/>
    <xf numFmtId="0" fontId="0" fillId="0" borderId="69" xfId="0" applyBorder="1"/>
    <xf numFmtId="2" fontId="47" fillId="0" borderId="1" xfId="0" applyNumberFormat="1" applyFont="1" applyFill="1" applyBorder="1" applyAlignment="1">
      <alignment horizontal="center"/>
    </xf>
    <xf numFmtId="0" fontId="62" fillId="37" borderId="1" xfId="0" applyFont="1" applyFill="1" applyBorder="1" applyAlignment="1">
      <alignment vertical="top" wrapText="1"/>
    </xf>
    <xf numFmtId="0" fontId="82" fillId="37" borderId="1" xfId="0" applyFont="1" applyFill="1" applyBorder="1" applyAlignment="1">
      <alignment vertical="top" wrapText="1"/>
    </xf>
    <xf numFmtId="0" fontId="62" fillId="37" borderId="1" xfId="0" applyFont="1" applyFill="1" applyBorder="1" applyAlignment="1">
      <alignment horizontal="center" vertical="top" wrapText="1"/>
    </xf>
    <xf numFmtId="0" fontId="82" fillId="37" borderId="1" xfId="0" applyFont="1" applyFill="1" applyBorder="1" applyAlignment="1">
      <alignment horizontal="center" vertical="center" wrapText="1"/>
    </xf>
    <xf numFmtId="0" fontId="82" fillId="37" borderId="1" xfId="0" applyFont="1" applyFill="1" applyBorder="1" applyAlignment="1">
      <alignment horizontal="center" vertical="top" wrapText="1"/>
    </xf>
    <xf numFmtId="1" fontId="82" fillId="37" borderId="1" xfId="0" applyNumberFormat="1" applyFont="1" applyFill="1" applyBorder="1" applyAlignment="1">
      <alignment horizontal="center" vertical="top" wrapText="1"/>
    </xf>
    <xf numFmtId="0" fontId="82" fillId="37" borderId="26" xfId="0" applyFont="1" applyFill="1" applyBorder="1" applyAlignment="1">
      <alignment vertical="top" wrapText="1"/>
    </xf>
    <xf numFmtId="0" fontId="82" fillId="37" borderId="1" xfId="0" applyNumberFormat="1" applyFont="1" applyFill="1" applyBorder="1" applyAlignment="1">
      <alignment horizontal="center" vertical="top"/>
    </xf>
    <xf numFmtId="2" fontId="82" fillId="37" borderId="1" xfId="0" applyNumberFormat="1" applyFont="1" applyFill="1" applyBorder="1" applyAlignment="1">
      <alignment horizontal="center" vertical="top"/>
    </xf>
    <xf numFmtId="2" fontId="82" fillId="37" borderId="1" xfId="0" applyNumberFormat="1" applyFont="1" applyFill="1" applyBorder="1" applyAlignment="1">
      <alignment horizontal="center" vertical="top" wrapText="1"/>
    </xf>
    <xf numFmtId="0" fontId="82" fillId="37" borderId="1" xfId="0" applyNumberFormat="1" applyFont="1" applyFill="1" applyBorder="1" applyAlignment="1">
      <alignment horizontal="center" vertical="top" wrapText="1"/>
    </xf>
    <xf numFmtId="2" fontId="82" fillId="37" borderId="1" xfId="0" applyNumberFormat="1" applyFont="1" applyFill="1" applyBorder="1" applyAlignment="1">
      <alignment horizontal="center" vertical="center" wrapText="1"/>
    </xf>
    <xf numFmtId="0" fontId="82" fillId="37" borderId="1" xfId="0" applyNumberFormat="1" applyFont="1" applyFill="1" applyBorder="1" applyAlignment="1">
      <alignment horizontal="center" vertical="center" wrapText="1"/>
    </xf>
    <xf numFmtId="1" fontId="82" fillId="37" borderId="1" xfId="0" applyNumberFormat="1" applyFont="1" applyFill="1" applyBorder="1" applyAlignment="1">
      <alignment horizontal="center" vertical="center" wrapText="1"/>
    </xf>
    <xf numFmtId="167" fontId="82" fillId="37" borderId="1" xfId="0" applyNumberFormat="1" applyFont="1" applyFill="1" applyBorder="1" applyAlignment="1">
      <alignment horizontal="center" vertical="center" wrapText="1"/>
    </xf>
    <xf numFmtId="0" fontId="82" fillId="37" borderId="1" xfId="0" applyFont="1" applyFill="1" applyBorder="1" applyAlignment="1">
      <alignment vertical="center"/>
    </xf>
    <xf numFmtId="49" fontId="82" fillId="37" borderId="26" xfId="0" applyNumberFormat="1" applyFont="1" applyFill="1" applyBorder="1" applyAlignment="1">
      <alignment vertical="center" wrapText="1"/>
    </xf>
    <xf numFmtId="0" fontId="82" fillId="37" borderId="40" xfId="0" applyFont="1" applyFill="1" applyBorder="1" applyAlignment="1">
      <alignment horizontal="center" vertical="center" wrapText="1"/>
    </xf>
    <xf numFmtId="0" fontId="82" fillId="37" borderId="1" xfId="0" quotePrefix="1" applyFont="1" applyFill="1" applyBorder="1" applyAlignment="1">
      <alignment horizontal="center" vertical="top" wrapText="1"/>
    </xf>
    <xf numFmtId="0" fontId="54" fillId="32" borderId="1" xfId="0" applyFont="1" applyFill="1" applyBorder="1"/>
    <xf numFmtId="166" fontId="54" fillId="32" borderId="1" xfId="0" applyNumberFormat="1" applyFont="1" applyFill="1" applyBorder="1"/>
    <xf numFmtId="175" fontId="54" fillId="32" borderId="1" xfId="0" applyNumberFormat="1" applyFont="1" applyFill="1" applyBorder="1"/>
    <xf numFmtId="172" fontId="11" fillId="0" borderId="0" xfId="1252" applyNumberFormat="1" applyFont="1"/>
    <xf numFmtId="0" fontId="0" fillId="0" borderId="40" xfId="0" applyBorder="1"/>
    <xf numFmtId="0" fontId="60" fillId="0" borderId="36" xfId="1252" applyBorder="1"/>
    <xf numFmtId="0" fontId="11" fillId="0" borderId="42" xfId="1252" applyFont="1" applyBorder="1"/>
    <xf numFmtId="0" fontId="0" fillId="0" borderId="70" xfId="0" applyBorder="1"/>
    <xf numFmtId="0" fontId="11" fillId="0" borderId="0" xfId="1252" applyFont="1" applyBorder="1"/>
    <xf numFmtId="0" fontId="60" fillId="0" borderId="70" xfId="1252" applyBorder="1"/>
    <xf numFmtId="0" fontId="60" fillId="0" borderId="0" xfId="1252" applyBorder="1"/>
    <xf numFmtId="0" fontId="11" fillId="0" borderId="21" xfId="1252" applyFont="1" applyBorder="1"/>
    <xf numFmtId="0" fontId="60" fillId="0" borderId="31" xfId="1252" applyBorder="1"/>
    <xf numFmtId="0" fontId="60" fillId="0" borderId="19" xfId="1252" applyBorder="1"/>
    <xf numFmtId="0" fontId="11" fillId="0" borderId="19" xfId="1252" applyFont="1" applyBorder="1"/>
    <xf numFmtId="0" fontId="11" fillId="0" borderId="41" xfId="1252" applyFont="1" applyBorder="1"/>
    <xf numFmtId="0" fontId="11" fillId="0" borderId="0" xfId="1252" applyFont="1"/>
    <xf numFmtId="0" fontId="11" fillId="0" borderId="0" xfId="4081"/>
    <xf numFmtId="172" fontId="11" fillId="0" borderId="0" xfId="4081" applyNumberFormat="1"/>
    <xf numFmtId="172" fontId="11" fillId="29" borderId="0" xfId="547" applyNumberFormat="1" applyFill="1" applyAlignment="1">
      <alignment horizontal="left" wrapText="1"/>
    </xf>
    <xf numFmtId="0" fontId="11" fillId="32" borderId="0" xfId="547" applyFill="1" applyAlignment="1">
      <alignment horizontal="left" wrapText="1"/>
    </xf>
    <xf numFmtId="0" fontId="11" fillId="32" borderId="0" xfId="4081" applyFill="1"/>
    <xf numFmtId="2" fontId="11" fillId="32" borderId="0" xfId="4081" applyNumberFormat="1" applyFill="1"/>
    <xf numFmtId="172" fontId="11" fillId="32" borderId="0" xfId="4081" applyNumberFormat="1" applyFill="1"/>
    <xf numFmtId="0" fontId="89" fillId="32" borderId="0" xfId="0" applyFont="1" applyFill="1" applyAlignment="1">
      <alignment horizontal="left"/>
    </xf>
    <xf numFmtId="0" fontId="89" fillId="32" borderId="0" xfId="0" applyFont="1" applyFill="1"/>
    <xf numFmtId="0" fontId="89" fillId="79" borderId="0" xfId="0" applyFont="1" applyFill="1" applyAlignment="1">
      <alignment horizontal="center"/>
    </xf>
    <xf numFmtId="0" fontId="89" fillId="79" borderId="0" xfId="0" applyFont="1" applyFill="1" applyAlignment="1">
      <alignment horizontal="left"/>
    </xf>
    <xf numFmtId="0" fontId="89" fillId="32" borderId="0" xfId="0" applyFont="1" applyFill="1" applyAlignment="1">
      <alignment horizontal="center"/>
    </xf>
    <xf numFmtId="0" fontId="89" fillId="80" borderId="0" xfId="0" applyFont="1" applyFill="1" applyAlignment="1">
      <alignment horizontal="center"/>
    </xf>
    <xf numFmtId="0" fontId="89" fillId="80" borderId="0" xfId="0" applyFont="1" applyFill="1" applyAlignment="1">
      <alignment horizontal="left"/>
    </xf>
    <xf numFmtId="0" fontId="0" fillId="37" borderId="0" xfId="0" applyFill="1"/>
    <xf numFmtId="0" fontId="59" fillId="0" borderId="0" xfId="548" applyFont="1"/>
    <xf numFmtId="0" fontId="0" fillId="82" borderId="0" xfId="0" applyFill="1"/>
    <xf numFmtId="0" fontId="46" fillId="83" borderId="0" xfId="0" applyFont="1" applyFill="1"/>
    <xf numFmtId="0" fontId="50" fillId="0" borderId="0" xfId="0" applyFont="1" applyAlignment="1">
      <alignment horizontal="center" wrapText="1"/>
    </xf>
    <xf numFmtId="0" fontId="91" fillId="84" borderId="18" xfId="0" applyFont="1" applyFill="1" applyBorder="1" applyAlignment="1">
      <alignment vertical="center" wrapText="1"/>
    </xf>
    <xf numFmtId="0" fontId="49" fillId="0" borderId="0" xfId="0" applyFont="1" applyAlignment="1">
      <alignment horizontal="center" wrapText="1"/>
    </xf>
    <xf numFmtId="0" fontId="93" fillId="0" borderId="72" xfId="0" applyFont="1" applyBorder="1" applyAlignment="1">
      <alignment vertical="center"/>
    </xf>
    <xf numFmtId="0" fontId="45" fillId="0" borderId="73" xfId="0" applyFont="1" applyBorder="1"/>
    <xf numFmtId="0" fontId="45" fillId="0" borderId="74" xfId="0" applyFont="1" applyBorder="1"/>
    <xf numFmtId="0" fontId="51" fillId="0" borderId="0" xfId="0" applyFont="1" applyAlignment="1">
      <alignment horizontal="center" wrapText="1"/>
    </xf>
    <xf numFmtId="0" fontId="45" fillId="0" borderId="0" xfId="0" applyFont="1"/>
    <xf numFmtId="0" fontId="62" fillId="85" borderId="82" xfId="0" applyFont="1" applyFill="1" applyBorder="1" applyAlignment="1">
      <alignment vertical="top" wrapText="1"/>
    </xf>
    <xf numFmtId="0" fontId="48" fillId="0" borderId="0" xfId="0" applyFont="1" applyAlignment="1">
      <alignment horizontal="center" wrapText="1"/>
    </xf>
    <xf numFmtId="0" fontId="11" fillId="0" borderId="79" xfId="0" applyFont="1" applyBorder="1" applyAlignment="1">
      <alignment vertical="center" wrapText="1"/>
    </xf>
    <xf numFmtId="0" fontId="11" fillId="37" borderId="1" xfId="0" applyFont="1" applyFill="1" applyBorder="1" applyAlignment="1">
      <alignment horizontal="center" vertical="center" wrapText="1"/>
    </xf>
    <xf numFmtId="0" fontId="11" fillId="84" borderId="81" xfId="0" applyFont="1" applyFill="1" applyBorder="1" applyAlignment="1">
      <alignment horizontal="center" vertical="center" wrapText="1"/>
    </xf>
    <xf numFmtId="0" fontId="94" fillId="0" borderId="28" xfId="0" applyFont="1" applyBorder="1" applyAlignment="1">
      <alignment horizontal="center" wrapText="1"/>
    </xf>
    <xf numFmtId="0" fontId="94" fillId="0" borderId="84" xfId="0" applyFont="1" applyBorder="1" applyAlignment="1">
      <alignment horizontal="center" wrapText="1"/>
    </xf>
    <xf numFmtId="0" fontId="11" fillId="85" borderId="80" xfId="0" applyFont="1" applyFill="1" applyBorder="1" applyAlignment="1">
      <alignment vertical="center" wrapText="1"/>
    </xf>
    <xf numFmtId="0" fontId="11" fillId="85" borderId="1" xfId="968" applyNumberFormat="1" applyFont="1" applyFill="1" applyBorder="1" applyAlignment="1">
      <alignment horizontal="center" vertical="center" wrapText="1"/>
    </xf>
    <xf numFmtId="0" fontId="11" fillId="85" borderId="0" xfId="0" applyFont="1" applyFill="1" applyAlignment="1">
      <alignment horizontal="center"/>
    </xf>
    <xf numFmtId="0" fontId="11" fillId="85" borderId="1" xfId="0" applyFont="1" applyFill="1" applyBorder="1" applyAlignment="1">
      <alignment horizontal="center" vertical="center" wrapText="1"/>
    </xf>
    <xf numFmtId="0" fontId="11" fillId="85" borderId="81" xfId="0" applyFont="1" applyFill="1" applyBorder="1" applyAlignment="1">
      <alignment horizontal="center" vertical="center" wrapText="1"/>
    </xf>
    <xf numFmtId="0" fontId="45" fillId="0" borderId="33" xfId="0" applyFont="1" applyBorder="1"/>
    <xf numFmtId="9" fontId="45" fillId="0" borderId="86" xfId="0" applyNumberFormat="1" applyFont="1" applyBorder="1" applyAlignment="1">
      <alignment horizontal="center" vertical="center"/>
    </xf>
    <xf numFmtId="0" fontId="11" fillId="33" borderId="80" xfId="0" applyFont="1" applyFill="1" applyBorder="1" applyAlignment="1">
      <alignment vertical="center" wrapText="1"/>
    </xf>
    <xf numFmtId="0" fontId="11" fillId="33" borderId="1" xfId="968" applyNumberFormat="1" applyFont="1" applyFill="1" applyBorder="1" applyAlignment="1">
      <alignment horizontal="center" vertical="center" wrapText="1"/>
    </xf>
    <xf numFmtId="0" fontId="11" fillId="0" borderId="1" xfId="968"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81" xfId="0" applyFont="1" applyBorder="1" applyAlignment="1">
      <alignment horizontal="center" vertical="center" wrapText="1"/>
    </xf>
    <xf numFmtId="0" fontId="45" fillId="0" borderId="35" xfId="0" applyFont="1" applyBorder="1"/>
    <xf numFmtId="0" fontId="45" fillId="0" borderId="80" xfId="0" applyFont="1" applyBorder="1" applyAlignment="1">
      <alignment horizontal="center" vertical="center"/>
    </xf>
    <xf numFmtId="0" fontId="92" fillId="85" borderId="39" xfId="0" applyFont="1" applyFill="1" applyBorder="1" applyAlignment="1">
      <alignment horizontal="center" vertical="center" wrapText="1"/>
    </xf>
    <xf numFmtId="0" fontId="92" fillId="85" borderId="1" xfId="0" applyFont="1" applyFill="1" applyBorder="1" applyAlignment="1">
      <alignment horizontal="center" vertical="center" wrapText="1"/>
    </xf>
    <xf numFmtId="0" fontId="92" fillId="85" borderId="37" xfId="0" applyFont="1" applyFill="1" applyBorder="1" applyAlignment="1">
      <alignment horizontal="center" vertical="center" wrapText="1"/>
    </xf>
    <xf numFmtId="0" fontId="45" fillId="0" borderId="14" xfId="0" applyFont="1" applyBorder="1"/>
    <xf numFmtId="0" fontId="45" fillId="0" borderId="90" xfId="0" applyFont="1" applyBorder="1" applyAlignment="1">
      <alignment horizontal="center" vertical="center"/>
    </xf>
    <xf numFmtId="0" fontId="45" fillId="0" borderId="80" xfId="0" applyFont="1" applyBorder="1"/>
    <xf numFmtId="0" fontId="45" fillId="0" borderId="1" xfId="0" applyFont="1" applyBorder="1" applyAlignment="1">
      <alignment horizontal="center" vertical="center"/>
    </xf>
    <xf numFmtId="0" fontId="92" fillId="33" borderId="39" xfId="0" applyFont="1" applyFill="1" applyBorder="1" applyAlignment="1">
      <alignment horizontal="center" vertical="center" wrapText="1"/>
    </xf>
    <xf numFmtId="0" fontId="92" fillId="0" borderId="39" xfId="0" applyFont="1" applyBorder="1" applyAlignment="1">
      <alignment horizontal="center" vertical="center" wrapText="1"/>
    </xf>
    <xf numFmtId="0" fontId="92" fillId="84" borderId="39" xfId="0" applyFont="1" applyFill="1" applyBorder="1" applyAlignment="1">
      <alignment horizontal="center" vertical="center" wrapText="1"/>
    </xf>
    <xf numFmtId="0" fontId="61" fillId="84" borderId="81" xfId="0" applyFont="1" applyFill="1" applyBorder="1" applyAlignment="1">
      <alignment horizontal="center" vertical="center" wrapText="1"/>
    </xf>
    <xf numFmtId="0" fontId="62" fillId="0" borderId="18" xfId="0" applyFont="1" applyBorder="1" applyAlignment="1">
      <alignment vertical="center" wrapText="1"/>
    </xf>
    <xf numFmtId="0" fontId="95" fillId="84" borderId="78" xfId="0" applyFont="1" applyFill="1" applyBorder="1" applyAlignment="1">
      <alignment horizontal="center" vertical="center" wrapText="1"/>
    </xf>
    <xf numFmtId="0" fontId="95" fillId="84" borderId="82" xfId="0" applyFont="1" applyFill="1" applyBorder="1" applyAlignment="1">
      <alignment horizontal="center" vertical="center" wrapText="1"/>
    </xf>
    <xf numFmtId="0" fontId="95" fillId="84" borderId="77" xfId="0" applyFont="1" applyFill="1" applyBorder="1" applyAlignment="1">
      <alignment horizontal="center" vertical="center" wrapText="1"/>
    </xf>
    <xf numFmtId="0" fontId="95" fillId="84" borderId="23" xfId="0" applyFont="1" applyFill="1" applyBorder="1" applyAlignment="1">
      <alignment horizontal="center" vertical="center" wrapText="1"/>
    </xf>
    <xf numFmtId="0" fontId="62" fillId="37" borderId="82" xfId="0" applyFont="1" applyFill="1" applyBorder="1" applyAlignment="1">
      <alignment vertical="top" wrapText="1"/>
    </xf>
    <xf numFmtId="0" fontId="89" fillId="0" borderId="82" xfId="0" applyFont="1" applyBorder="1"/>
    <xf numFmtId="0" fontId="97" fillId="0" borderId="92" xfId="0" applyFont="1" applyBorder="1"/>
    <xf numFmtId="0" fontId="45" fillId="0" borderId="90" xfId="0" applyFont="1" applyBorder="1"/>
    <xf numFmtId="0" fontId="45" fillId="0" borderId="93" xfId="0" applyFont="1" applyBorder="1" applyAlignment="1">
      <alignment horizontal="center"/>
    </xf>
    <xf numFmtId="0" fontId="46" fillId="0" borderId="18" xfId="0" applyFont="1" applyBorder="1" applyAlignment="1">
      <alignment horizontal="center" wrapText="1"/>
    </xf>
    <xf numFmtId="0" fontId="45" fillId="0" borderId="15" xfId="0" applyFont="1" applyBorder="1"/>
    <xf numFmtId="0" fontId="45" fillId="0" borderId="82" xfId="0" quotePrefix="1" applyFont="1" applyBorder="1" applyAlignment="1">
      <alignment horizontal="center" vertical="center"/>
    </xf>
    <xf numFmtId="9" fontId="0" fillId="0" borderId="23" xfId="0" applyNumberFormat="1" applyBorder="1" applyAlignment="1">
      <alignment horizontal="center" vertical="center"/>
    </xf>
    <xf numFmtId="9" fontId="0" fillId="0" borderId="24" xfId="0" applyNumberFormat="1" applyBorder="1" applyAlignment="1">
      <alignment horizontal="center" vertical="center"/>
    </xf>
    <xf numFmtId="9" fontId="0" fillId="0" borderId="77" xfId="0" applyNumberFormat="1" applyBorder="1" applyAlignment="1">
      <alignment horizontal="center" vertical="center"/>
    </xf>
    <xf numFmtId="9" fontId="0" fillId="0" borderId="25" xfId="0" applyNumberFormat="1" applyBorder="1" applyAlignment="1">
      <alignment horizontal="center" vertical="center"/>
    </xf>
    <xf numFmtId="0" fontId="11" fillId="85" borderId="40" xfId="0" applyFont="1" applyFill="1" applyBorder="1" applyAlignment="1">
      <alignment horizontal="center" vertical="center" wrapText="1"/>
    </xf>
    <xf numFmtId="0" fontId="89" fillId="85" borderId="1" xfId="0" applyFont="1" applyFill="1" applyBorder="1"/>
    <xf numFmtId="0" fontId="55" fillId="0" borderId="0" xfId="0" applyFont="1"/>
    <xf numFmtId="0" fontId="62" fillId="0" borderId="80" xfId="0" applyFont="1" applyBorder="1" applyAlignment="1">
      <alignment vertical="center" wrapText="1"/>
    </xf>
    <xf numFmtId="0" fontId="95" fillId="84" borderId="1" xfId="0" applyFont="1" applyFill="1" applyBorder="1" applyAlignment="1">
      <alignment vertical="center" wrapText="1"/>
    </xf>
    <xf numFmtId="0" fontId="89" fillId="0" borderId="1" xfId="0" applyFont="1" applyBorder="1"/>
    <xf numFmtId="0" fontId="97" fillId="0" borderId="81" xfId="0" applyFont="1" applyBorder="1"/>
    <xf numFmtId="0" fontId="99" fillId="0" borderId="1" xfId="0" applyFont="1" applyBorder="1"/>
    <xf numFmtId="0" fontId="89" fillId="0" borderId="1" xfId="0" applyFont="1" applyBorder="1" applyAlignment="1">
      <alignment horizontal="center"/>
    </xf>
    <xf numFmtId="0" fontId="89" fillId="0" borderId="81" xfId="0" applyFont="1" applyBorder="1" applyAlignment="1">
      <alignment horizontal="center"/>
    </xf>
    <xf numFmtId="0" fontId="49" fillId="0" borderId="0" xfId="0" applyFont="1" applyAlignment="1">
      <alignment horizontal="center" vertical="center" wrapText="1"/>
    </xf>
    <xf numFmtId="0" fontId="11" fillId="33" borderId="83" xfId="0" applyFont="1" applyFill="1" applyBorder="1" applyAlignment="1">
      <alignment vertical="center" wrapText="1"/>
    </xf>
    <xf numFmtId="0" fontId="92" fillId="33" borderId="31" xfId="0" applyFont="1" applyFill="1" applyBorder="1" applyAlignment="1">
      <alignment horizontal="center" vertical="center" wrapText="1"/>
    </xf>
    <xf numFmtId="0" fontId="62" fillId="0" borderId="23" xfId="0" applyFont="1" applyBorder="1" applyAlignment="1">
      <alignment vertical="center" wrapText="1"/>
    </xf>
    <xf numFmtId="0" fontId="95" fillId="84" borderId="94" xfId="0" applyFont="1" applyFill="1" applyBorder="1" applyAlignment="1">
      <alignment horizontal="center" vertical="center" wrapText="1"/>
    </xf>
    <xf numFmtId="0" fontId="95" fillId="84" borderId="92" xfId="0" applyFont="1" applyFill="1" applyBorder="1" applyAlignment="1">
      <alignment horizontal="center" vertical="center" wrapText="1"/>
    </xf>
    <xf numFmtId="0" fontId="62" fillId="37" borderId="78" xfId="0" applyFont="1" applyFill="1" applyBorder="1" applyAlignment="1">
      <alignment vertical="top" wrapText="1"/>
    </xf>
    <xf numFmtId="0" fontId="100" fillId="0" borderId="0" xfId="0" applyFont="1" applyAlignment="1">
      <alignment wrapText="1"/>
    </xf>
    <xf numFmtId="0" fontId="11" fillId="33" borderId="79" xfId="0" applyFont="1" applyFill="1" applyBorder="1" applyAlignment="1">
      <alignment vertical="center" wrapText="1"/>
    </xf>
    <xf numFmtId="165" fontId="102" fillId="33" borderId="40" xfId="0" applyNumberFormat="1" applyFont="1" applyFill="1" applyBorder="1" applyAlignment="1">
      <alignment horizontal="center" vertical="center" wrapText="1"/>
    </xf>
    <xf numFmtId="165" fontId="102" fillId="33" borderId="26" xfId="0" applyNumberFormat="1" applyFont="1" applyFill="1" applyBorder="1" applyAlignment="1">
      <alignment horizontal="center" vertical="center" wrapText="1"/>
    </xf>
    <xf numFmtId="165" fontId="102" fillId="33" borderId="42" xfId="0" applyNumberFormat="1" applyFont="1" applyFill="1" applyBorder="1" applyAlignment="1">
      <alignment horizontal="center" vertical="center" wrapText="1"/>
    </xf>
    <xf numFmtId="0" fontId="11" fillId="84" borderId="81" xfId="0" quotePrefix="1" applyFont="1" applyFill="1" applyBorder="1" applyAlignment="1">
      <alignment horizontal="center" vertical="center" wrapText="1"/>
    </xf>
    <xf numFmtId="0" fontId="11" fillId="0" borderId="80" xfId="0" applyFont="1" applyBorder="1" applyAlignment="1">
      <alignment vertical="center" wrapText="1"/>
    </xf>
    <xf numFmtId="0" fontId="102" fillId="84" borderId="39" xfId="0" applyFont="1" applyFill="1" applyBorder="1" applyAlignment="1">
      <alignment horizontal="center" vertical="center" wrapText="1"/>
    </xf>
    <xf numFmtId="1" fontId="102" fillId="84" borderId="39" xfId="0" applyNumberFormat="1" applyFont="1" applyFill="1" applyBorder="1" applyAlignment="1">
      <alignment horizontal="center" vertical="center" wrapText="1"/>
    </xf>
    <xf numFmtId="0" fontId="11" fillId="84" borderId="1" xfId="0" applyFont="1" applyFill="1" applyBorder="1" applyAlignment="1">
      <alignment horizontal="center" vertical="center" wrapText="1"/>
    </xf>
    <xf numFmtId="0" fontId="102" fillId="33" borderId="39" xfId="0" applyFont="1" applyFill="1" applyBorder="1" applyAlignment="1">
      <alignment horizontal="center" vertical="center" wrapText="1"/>
    </xf>
    <xf numFmtId="0" fontId="92" fillId="33" borderId="1" xfId="0" applyFont="1" applyFill="1" applyBorder="1" applyAlignment="1">
      <alignment horizontal="center" vertical="center"/>
    </xf>
    <xf numFmtId="0" fontId="92" fillId="33" borderId="37" xfId="0" applyFont="1" applyFill="1" applyBorder="1" applyAlignment="1">
      <alignment horizontal="center" vertical="center"/>
    </xf>
    <xf numFmtId="0" fontId="61" fillId="84" borderId="1" xfId="0" applyFont="1" applyFill="1" applyBorder="1" applyAlignment="1">
      <alignment horizontal="center" vertical="center" wrapText="1"/>
    </xf>
    <xf numFmtId="167" fontId="11" fillId="33" borderId="40" xfId="0" applyNumberFormat="1" applyFont="1" applyFill="1" applyBorder="1" applyAlignment="1">
      <alignment horizontal="center" wrapText="1"/>
    </xf>
    <xf numFmtId="0" fontId="50" fillId="0" borderId="0" xfId="0" applyFont="1" applyAlignment="1">
      <alignment wrapText="1"/>
    </xf>
    <xf numFmtId="0" fontId="11" fillId="85" borderId="86" xfId="0" applyFont="1" applyFill="1" applyBorder="1" applyAlignment="1">
      <alignment vertical="center" wrapText="1"/>
    </xf>
    <xf numFmtId="167" fontId="11" fillId="87" borderId="40" xfId="0" applyNumberFormat="1" applyFont="1" applyFill="1" applyBorder="1" applyAlignment="1">
      <alignment horizontal="center" wrapText="1"/>
    </xf>
    <xf numFmtId="0" fontId="99" fillId="85" borderId="1" xfId="0" applyFont="1" applyFill="1" applyBorder="1"/>
    <xf numFmtId="167" fontId="11" fillId="85" borderId="40" xfId="0" applyNumberFormat="1" applyFont="1" applyFill="1" applyBorder="1" applyAlignment="1">
      <alignment horizontal="center" wrapText="1"/>
    </xf>
    <xf numFmtId="0" fontId="61" fillId="85" borderId="1" xfId="0" applyFont="1" applyFill="1" applyBorder="1" applyAlignment="1">
      <alignment horizontal="center" vertical="center" wrapText="1"/>
    </xf>
    <xf numFmtId="167" fontId="61" fillId="84" borderId="39" xfId="0" applyNumberFormat="1" applyFont="1" applyFill="1" applyBorder="1" applyAlignment="1">
      <alignment horizontal="center" vertical="center" wrapText="1"/>
    </xf>
    <xf numFmtId="0" fontId="102" fillId="84" borderId="1" xfId="0" applyFont="1" applyFill="1" applyBorder="1" applyAlignment="1">
      <alignment horizontal="center" vertical="center" wrapText="1"/>
    </xf>
    <xf numFmtId="0" fontId="102" fillId="84" borderId="37" xfId="0" applyFont="1" applyFill="1" applyBorder="1" applyAlignment="1">
      <alignment horizontal="center" vertical="center" wrapText="1"/>
    </xf>
    <xf numFmtId="0" fontId="99" fillId="0" borderId="82" xfId="0" applyFont="1" applyBorder="1"/>
    <xf numFmtId="0" fontId="99" fillId="0" borderId="92" xfId="0" applyFont="1" applyBorder="1"/>
    <xf numFmtId="0" fontId="0" fillId="82" borderId="0" xfId="0" applyFill="1" applyAlignment="1">
      <alignment wrapText="1"/>
    </xf>
    <xf numFmtId="1" fontId="11" fillId="85" borderId="39" xfId="0" applyNumberFormat="1" applyFont="1" applyFill="1" applyBorder="1" applyAlignment="1">
      <alignment horizontal="center" vertical="center" wrapText="1"/>
    </xf>
    <xf numFmtId="167" fontId="11" fillId="85" borderId="39" xfId="0" applyNumberFormat="1" applyFont="1" applyFill="1" applyBorder="1" applyAlignment="1">
      <alignment horizontal="center" vertical="center" wrapText="1"/>
    </xf>
    <xf numFmtId="0" fontId="61" fillId="85" borderId="81" xfId="0" applyFont="1" applyFill="1" applyBorder="1" applyAlignment="1">
      <alignment horizontal="center" vertical="center" wrapText="1"/>
    </xf>
    <xf numFmtId="0" fontId="47" fillId="82" borderId="0" xfId="0" applyFont="1" applyFill="1"/>
    <xf numFmtId="0" fontId="54" fillId="88" borderId="1" xfId="0" applyFont="1" applyFill="1" applyBorder="1"/>
    <xf numFmtId="166" fontId="54" fillId="88" borderId="1" xfId="0" applyNumberFormat="1" applyFont="1" applyFill="1" applyBorder="1"/>
    <xf numFmtId="0" fontId="54" fillId="88" borderId="0" xfId="0" applyFont="1" applyFill="1"/>
    <xf numFmtId="0" fontId="102" fillId="85" borderId="39" xfId="0" applyFont="1" applyFill="1" applyBorder="1" applyAlignment="1">
      <alignment horizontal="center" vertical="center" wrapText="1"/>
    </xf>
    <xf numFmtId="0" fontId="102" fillId="85" borderId="1" xfId="0" applyFont="1" applyFill="1" applyBorder="1" applyAlignment="1">
      <alignment horizontal="center" vertical="center" wrapText="1"/>
    </xf>
    <xf numFmtId="0" fontId="102" fillId="85" borderId="37" xfId="0" applyFont="1" applyFill="1" applyBorder="1" applyAlignment="1">
      <alignment horizontal="center" vertical="center" wrapText="1"/>
    </xf>
    <xf numFmtId="0" fontId="11" fillId="85" borderId="37" xfId="0" applyFont="1" applyFill="1" applyBorder="1" applyAlignment="1">
      <alignment horizontal="center" vertical="center" wrapText="1"/>
    </xf>
    <xf numFmtId="0" fontId="99" fillId="85" borderId="1" xfId="0" applyFont="1" applyFill="1" applyBorder="1" applyAlignment="1">
      <alignment horizontal="center" vertical="center"/>
    </xf>
    <xf numFmtId="0" fontId="99" fillId="85" borderId="28" xfId="0" applyFont="1" applyFill="1" applyBorder="1"/>
    <xf numFmtId="0" fontId="11" fillId="85" borderId="83" xfId="0" applyFont="1" applyFill="1" applyBorder="1" applyAlignment="1">
      <alignment vertical="center" wrapText="1"/>
    </xf>
    <xf numFmtId="0" fontId="99" fillId="85" borderId="84" xfId="0" applyFont="1" applyFill="1" applyBorder="1"/>
    <xf numFmtId="0" fontId="11" fillId="85" borderId="90" xfId="0" applyFont="1" applyFill="1" applyBorder="1" applyAlignment="1">
      <alignment vertical="center" wrapText="1"/>
    </xf>
    <xf numFmtId="0" fontId="102" fillId="85" borderId="32" xfId="0" applyFont="1" applyFill="1" applyBorder="1" applyAlignment="1">
      <alignment horizontal="center" vertical="center" wrapText="1"/>
    </xf>
    <xf numFmtId="0" fontId="102" fillId="85" borderId="93" xfId="0" applyFont="1" applyFill="1" applyBorder="1" applyAlignment="1">
      <alignment horizontal="center" vertical="center" wrapText="1"/>
    </xf>
    <xf numFmtId="0" fontId="102" fillId="85" borderId="95" xfId="0" applyFont="1" applyFill="1" applyBorder="1" applyAlignment="1">
      <alignment horizontal="center" vertical="center" wrapText="1"/>
    </xf>
    <xf numFmtId="0" fontId="99" fillId="85" borderId="93" xfId="0" applyFont="1" applyFill="1" applyBorder="1"/>
    <xf numFmtId="0" fontId="99" fillId="85" borderId="96" xfId="0" applyFont="1" applyFill="1" applyBorder="1"/>
    <xf numFmtId="166" fontId="40" fillId="82" borderId="0" xfId="47" applyNumberFormat="1" applyFill="1"/>
    <xf numFmtId="166" fontId="40" fillId="0" borderId="0" xfId="47" applyNumberFormat="1" applyFill="1" applyBorder="1"/>
    <xf numFmtId="0" fontId="103" fillId="0" borderId="0" xfId="0" applyFont="1"/>
    <xf numFmtId="166" fontId="103" fillId="0" borderId="0" xfId="47" applyNumberFormat="1" applyFont="1"/>
    <xf numFmtId="2" fontId="0" fillId="82" borderId="0" xfId="0" applyNumberFormat="1" applyFill="1"/>
    <xf numFmtId="0" fontId="4" fillId="37" borderId="0" xfId="0" applyFont="1" applyFill="1" applyAlignment="1">
      <alignment vertical="center" wrapText="1"/>
    </xf>
    <xf numFmtId="0" fontId="106" fillId="37" borderId="0" xfId="0" applyFont="1" applyFill="1"/>
    <xf numFmtId="0" fontId="82" fillId="37" borderId="0" xfId="0" applyFont="1" applyFill="1"/>
    <xf numFmtId="0" fontId="3" fillId="37" borderId="0" xfId="0" applyFont="1" applyFill="1" applyAlignment="1">
      <alignment vertical="center" wrapText="1"/>
    </xf>
    <xf numFmtId="0" fontId="107" fillId="37" borderId="0" xfId="0" applyFont="1" applyFill="1" applyAlignment="1">
      <alignment vertical="center"/>
    </xf>
    <xf numFmtId="0" fontId="48" fillId="0" borderId="0" xfId="0" applyFont="1"/>
    <xf numFmtId="0" fontId="106" fillId="37" borderId="0" xfId="0" applyFont="1" applyFill="1" applyAlignment="1">
      <alignment vertical="center"/>
    </xf>
    <xf numFmtId="0" fontId="107" fillId="37" borderId="0" xfId="0" applyFont="1" applyFill="1"/>
    <xf numFmtId="0" fontId="49" fillId="37" borderId="0" xfId="0" applyFont="1" applyFill="1" applyAlignment="1">
      <alignment horizontal="right" vertical="center" wrapText="1"/>
    </xf>
    <xf numFmtId="0" fontId="108" fillId="37" borderId="0" xfId="0" applyFont="1" applyFill="1"/>
    <xf numFmtId="0" fontId="106" fillId="0" borderId="0" xfId="0" applyFont="1"/>
    <xf numFmtId="0" fontId="62" fillId="89" borderId="82" xfId="0" applyFont="1" applyFill="1" applyBorder="1" applyAlignment="1">
      <alignment vertical="top" wrapText="1"/>
    </xf>
    <xf numFmtId="0" fontId="11" fillId="89" borderId="80" xfId="0" applyFont="1" applyFill="1" applyBorder="1" applyAlignment="1">
      <alignment vertical="center" wrapText="1"/>
    </xf>
    <xf numFmtId="0" fontId="11" fillId="89" borderId="1" xfId="968" applyNumberFormat="1" applyFont="1" applyFill="1" applyBorder="1" applyAlignment="1">
      <alignment horizontal="center" vertical="center" wrapText="1"/>
    </xf>
    <xf numFmtId="0" fontId="11" fillId="89" borderId="0" xfId="0" applyFont="1" applyFill="1" applyAlignment="1">
      <alignment horizontal="center"/>
    </xf>
    <xf numFmtId="0" fontId="11" fillId="89" borderId="1" xfId="0" applyFont="1" applyFill="1" applyBorder="1" applyAlignment="1">
      <alignment horizontal="center" vertical="center" wrapText="1"/>
    </xf>
    <xf numFmtId="0" fontId="11" fillId="89" borderId="81" xfId="0" applyFont="1" applyFill="1" applyBorder="1" applyAlignment="1">
      <alignment horizontal="center" vertical="center" wrapText="1"/>
    </xf>
    <xf numFmtId="0" fontId="11" fillId="37" borderId="1" xfId="968" applyNumberFormat="1" applyFont="1" applyFill="1" applyBorder="1" applyAlignment="1">
      <alignment horizontal="center" vertical="center" wrapText="1"/>
    </xf>
    <xf numFmtId="0" fontId="92" fillId="89" borderId="39" xfId="0" applyFont="1" applyFill="1" applyBorder="1" applyAlignment="1">
      <alignment horizontal="center" vertical="center" wrapText="1"/>
    </xf>
    <xf numFmtId="0" fontId="92" fillId="89" borderId="1" xfId="0" applyFont="1" applyFill="1" applyBorder="1" applyAlignment="1">
      <alignment horizontal="center" vertical="center" wrapText="1"/>
    </xf>
    <xf numFmtId="0" fontId="92" fillId="89" borderId="37" xfId="0" applyFont="1" applyFill="1" applyBorder="1" applyAlignment="1">
      <alignment horizontal="center" vertical="center" wrapText="1"/>
    </xf>
    <xf numFmtId="0" fontId="11" fillId="89" borderId="40" xfId="0" applyFont="1" applyFill="1" applyBorder="1" applyAlignment="1">
      <alignment horizontal="center" vertical="center" wrapText="1"/>
    </xf>
    <xf numFmtId="0" fontId="89" fillId="89" borderId="1" xfId="0" applyFont="1" applyFill="1" applyBorder="1"/>
    <xf numFmtId="0" fontId="102" fillId="33" borderId="40" xfId="0" applyFont="1" applyFill="1" applyBorder="1" applyAlignment="1">
      <alignment horizontal="center" vertical="center" wrapText="1"/>
    </xf>
    <xf numFmtId="0" fontId="102" fillId="33" borderId="26" xfId="0" applyFont="1" applyFill="1" applyBorder="1" applyAlignment="1">
      <alignment horizontal="center" vertical="center" wrapText="1"/>
    </xf>
    <xf numFmtId="0" fontId="102" fillId="33" borderId="42" xfId="0" applyFont="1" applyFill="1" applyBorder="1" applyAlignment="1">
      <alignment horizontal="center" vertical="center" wrapText="1"/>
    </xf>
    <xf numFmtId="167" fontId="11" fillId="90" borderId="40" xfId="0" applyNumberFormat="1" applyFont="1" applyFill="1" applyBorder="1" applyAlignment="1">
      <alignment horizontal="center" wrapText="1"/>
    </xf>
    <xf numFmtId="0" fontId="99" fillId="89" borderId="1" xfId="0" applyFont="1" applyFill="1" applyBorder="1"/>
    <xf numFmtId="167" fontId="11" fillId="89" borderId="40" xfId="0" applyNumberFormat="1" applyFont="1" applyFill="1" applyBorder="1" applyAlignment="1">
      <alignment horizontal="center" wrapText="1"/>
    </xf>
    <xf numFmtId="0" fontId="61" fillId="89" borderId="1" xfId="0" applyFont="1" applyFill="1" applyBorder="1" applyAlignment="1">
      <alignment horizontal="center" vertical="center" wrapText="1"/>
    </xf>
    <xf numFmtId="167" fontId="11" fillId="37" borderId="40" xfId="0" applyNumberFormat="1" applyFont="1" applyFill="1" applyBorder="1" applyAlignment="1">
      <alignment horizontal="center" wrapText="1"/>
    </xf>
    <xf numFmtId="0" fontId="11" fillId="0" borderId="83" xfId="0" applyFont="1" applyBorder="1" applyAlignment="1">
      <alignment vertical="center" wrapText="1"/>
    </xf>
    <xf numFmtId="0" fontId="92" fillId="84" borderId="1" xfId="0" applyFont="1" applyFill="1" applyBorder="1" applyAlignment="1">
      <alignment horizontal="center" vertical="center"/>
    </xf>
    <xf numFmtId="0" fontId="92" fillId="84" borderId="37" xfId="0" applyFont="1" applyFill="1" applyBorder="1" applyAlignment="1">
      <alignment horizontal="center" vertical="center"/>
    </xf>
    <xf numFmtId="0" fontId="11" fillId="89" borderId="86" xfId="0" applyFont="1" applyFill="1" applyBorder="1" applyAlignment="1">
      <alignment vertical="center" wrapText="1"/>
    </xf>
    <xf numFmtId="1" fontId="11" fillId="89" borderId="39" xfId="0" applyNumberFormat="1" applyFont="1" applyFill="1" applyBorder="1" applyAlignment="1">
      <alignment horizontal="center" vertical="center" wrapText="1"/>
    </xf>
    <xf numFmtId="167" fontId="11" fillId="89" borderId="39" xfId="0" applyNumberFormat="1" applyFont="1" applyFill="1" applyBorder="1" applyAlignment="1">
      <alignment horizontal="center" vertical="center" wrapText="1"/>
    </xf>
    <xf numFmtId="0" fontId="61" fillId="89" borderId="81" xfId="0" applyFont="1" applyFill="1" applyBorder="1" applyAlignment="1">
      <alignment horizontal="center" vertical="center" wrapText="1"/>
    </xf>
    <xf numFmtId="0" fontId="102" fillId="89" borderId="39" xfId="0" applyFont="1" applyFill="1" applyBorder="1" applyAlignment="1">
      <alignment horizontal="center" vertical="center" wrapText="1"/>
    </xf>
    <xf numFmtId="0" fontId="102" fillId="89" borderId="1" xfId="0" applyFont="1" applyFill="1" applyBorder="1" applyAlignment="1">
      <alignment horizontal="center" vertical="center" wrapText="1"/>
    </xf>
    <xf numFmtId="0" fontId="102" fillId="89" borderId="37" xfId="0" applyFont="1" applyFill="1" applyBorder="1" applyAlignment="1">
      <alignment horizontal="center" vertical="center" wrapText="1"/>
    </xf>
    <xf numFmtId="0" fontId="11" fillId="89" borderId="37" xfId="0" applyFont="1" applyFill="1" applyBorder="1" applyAlignment="1">
      <alignment horizontal="center" vertical="center" wrapText="1"/>
    </xf>
    <xf numFmtId="0" fontId="99" fillId="89" borderId="1" xfId="0" applyFont="1" applyFill="1" applyBorder="1" applyAlignment="1">
      <alignment horizontal="center" vertical="center"/>
    </xf>
    <xf numFmtId="0" fontId="99" fillId="89" borderId="28" xfId="0" applyFont="1" applyFill="1" applyBorder="1"/>
    <xf numFmtId="0" fontId="11" fillId="89" borderId="83" xfId="0" applyFont="1" applyFill="1" applyBorder="1" applyAlignment="1">
      <alignment vertical="center" wrapText="1"/>
    </xf>
    <xf numFmtId="0" fontId="99" fillId="89" borderId="84" xfId="0" applyFont="1" applyFill="1" applyBorder="1"/>
    <xf numFmtId="0" fontId="11" fillId="89" borderId="90" xfId="0" applyFont="1" applyFill="1" applyBorder="1" applyAlignment="1">
      <alignment vertical="center" wrapText="1"/>
    </xf>
    <xf numFmtId="0" fontId="102" fillId="89" borderId="32" xfId="0" applyFont="1" applyFill="1" applyBorder="1" applyAlignment="1">
      <alignment horizontal="center" vertical="center" wrapText="1"/>
    </xf>
    <xf numFmtId="0" fontId="102" fillId="89" borderId="93" xfId="0" applyFont="1" applyFill="1" applyBorder="1" applyAlignment="1">
      <alignment horizontal="center" vertical="center" wrapText="1"/>
    </xf>
    <xf numFmtId="0" fontId="102" fillId="89" borderId="95" xfId="0" applyFont="1" applyFill="1" applyBorder="1" applyAlignment="1">
      <alignment horizontal="center" vertical="center" wrapText="1"/>
    </xf>
    <xf numFmtId="0" fontId="99" fillId="89" borderId="93" xfId="0" applyFont="1" applyFill="1" applyBorder="1"/>
    <xf numFmtId="0" fontId="99" fillId="89" borderId="96" xfId="0" applyFont="1" applyFill="1" applyBorder="1"/>
    <xf numFmtId="0" fontId="62" fillId="81" borderId="82" xfId="0" applyFont="1" applyFill="1" applyBorder="1" applyAlignment="1">
      <alignment vertical="top" wrapText="1"/>
    </xf>
    <xf numFmtId="0" fontId="11" fillId="81" borderId="80" xfId="0" applyFont="1" applyFill="1" applyBorder="1" applyAlignment="1">
      <alignment vertical="center" wrapText="1"/>
    </xf>
    <xf numFmtId="0" fontId="11" fillId="81" borderId="1" xfId="968" applyNumberFormat="1" applyFont="1" applyFill="1" applyBorder="1" applyAlignment="1">
      <alignment horizontal="center" vertical="center" wrapText="1"/>
    </xf>
    <xf numFmtId="0" fontId="11" fillId="81" borderId="0" xfId="0" applyFont="1" applyFill="1" applyAlignment="1">
      <alignment horizontal="center"/>
    </xf>
    <xf numFmtId="0" fontId="92" fillId="81" borderId="39" xfId="0" applyFont="1" applyFill="1" applyBorder="1" applyAlignment="1">
      <alignment horizontal="center" vertical="center" wrapText="1"/>
    </xf>
    <xf numFmtId="0" fontId="92" fillId="81" borderId="1" xfId="0" applyFont="1" applyFill="1" applyBorder="1" applyAlignment="1">
      <alignment horizontal="center" vertical="center" wrapText="1"/>
    </xf>
    <xf numFmtId="0" fontId="92" fillId="81" borderId="37" xfId="0" applyFont="1" applyFill="1" applyBorder="1" applyAlignment="1">
      <alignment horizontal="center" vertical="center" wrapText="1"/>
    </xf>
    <xf numFmtId="0" fontId="11" fillId="81" borderId="1" xfId="0" applyFont="1" applyFill="1" applyBorder="1" applyAlignment="1">
      <alignment horizontal="center" vertical="center" wrapText="1"/>
    </xf>
    <xf numFmtId="0" fontId="11" fillId="81" borderId="81" xfId="0" applyFont="1" applyFill="1" applyBorder="1" applyAlignment="1">
      <alignment horizontal="center" vertical="center" wrapText="1"/>
    </xf>
    <xf numFmtId="0" fontId="11" fillId="81" borderId="40" xfId="0" applyFont="1" applyFill="1" applyBorder="1" applyAlignment="1">
      <alignment horizontal="center" vertical="center" wrapText="1"/>
    </xf>
    <xf numFmtId="0" fontId="89" fillId="81" borderId="1" xfId="0" applyFont="1" applyFill="1" applyBorder="1"/>
    <xf numFmtId="2" fontId="102" fillId="33" borderId="40" xfId="0" applyNumberFormat="1" applyFont="1" applyFill="1" applyBorder="1" applyAlignment="1">
      <alignment horizontal="center" vertical="center" wrapText="1"/>
    </xf>
    <xf numFmtId="167" fontId="11" fillId="91" borderId="40" xfId="0" applyNumberFormat="1" applyFont="1" applyFill="1" applyBorder="1" applyAlignment="1">
      <alignment horizontal="center" wrapText="1"/>
    </xf>
    <xf numFmtId="0" fontId="99" fillId="81" borderId="1" xfId="0" applyFont="1" applyFill="1" applyBorder="1"/>
    <xf numFmtId="167" fontId="11" fillId="81" borderId="40" xfId="0" applyNumberFormat="1" applyFont="1" applyFill="1" applyBorder="1" applyAlignment="1">
      <alignment horizontal="center" wrapText="1"/>
    </xf>
    <xf numFmtId="0" fontId="61" fillId="81" borderId="1" xfId="0" applyFont="1" applyFill="1" applyBorder="1" applyAlignment="1">
      <alignment horizontal="center" vertical="center" wrapText="1"/>
    </xf>
    <xf numFmtId="0" fontId="11" fillId="81" borderId="86" xfId="0" applyFont="1" applyFill="1" applyBorder="1" applyAlignment="1">
      <alignment vertical="center" wrapText="1"/>
    </xf>
    <xf numFmtId="2" fontId="49" fillId="91" borderId="75" xfId="0" applyNumberFormat="1" applyFont="1" applyFill="1" applyBorder="1" applyAlignment="1">
      <alignment horizontal="center" vertical="center" wrapText="1"/>
    </xf>
    <xf numFmtId="167" fontId="11" fillId="81" borderId="39" xfId="0" applyNumberFormat="1" applyFont="1" applyFill="1" applyBorder="1" applyAlignment="1">
      <alignment horizontal="center" vertical="center" wrapText="1"/>
    </xf>
    <xf numFmtId="0" fontId="61" fillId="81" borderId="81" xfId="0" applyFont="1" applyFill="1" applyBorder="1" applyAlignment="1">
      <alignment horizontal="center" vertical="center" wrapText="1"/>
    </xf>
    <xf numFmtId="0" fontId="102" fillId="81" borderId="39" xfId="0" applyFont="1" applyFill="1" applyBorder="1" applyAlignment="1">
      <alignment horizontal="center" vertical="center" wrapText="1"/>
    </xf>
    <xf numFmtId="0" fontId="102" fillId="81" borderId="1" xfId="0" applyFont="1" applyFill="1" applyBorder="1" applyAlignment="1">
      <alignment horizontal="center" vertical="center" wrapText="1"/>
    </xf>
    <xf numFmtId="0" fontId="102" fillId="81" borderId="37" xfId="0" applyFont="1" applyFill="1" applyBorder="1" applyAlignment="1">
      <alignment horizontal="center" vertical="center" wrapText="1"/>
    </xf>
    <xf numFmtId="0" fontId="11" fillId="81" borderId="37" xfId="0" applyFont="1" applyFill="1" applyBorder="1" applyAlignment="1">
      <alignment horizontal="center" vertical="center" wrapText="1"/>
    </xf>
    <xf numFmtId="0" fontId="99" fillId="81" borderId="1" xfId="0" applyFont="1" applyFill="1" applyBorder="1" applyAlignment="1">
      <alignment horizontal="center" vertical="center"/>
    </xf>
    <xf numFmtId="0" fontId="99" fillId="81" borderId="28" xfId="0" applyFont="1" applyFill="1" applyBorder="1"/>
    <xf numFmtId="0" fontId="11" fillId="81" borderId="83" xfId="0" applyFont="1" applyFill="1" applyBorder="1" applyAlignment="1">
      <alignment vertical="center" wrapText="1"/>
    </xf>
    <xf numFmtId="0" fontId="11" fillId="81" borderId="90" xfId="0" applyFont="1" applyFill="1" applyBorder="1" applyAlignment="1">
      <alignment vertical="center" wrapText="1"/>
    </xf>
    <xf numFmtId="0" fontId="99" fillId="81" borderId="93" xfId="0" applyFont="1" applyFill="1" applyBorder="1"/>
    <xf numFmtId="0" fontId="99" fillId="81" borderId="96" xfId="0" applyFont="1" applyFill="1" applyBorder="1"/>
    <xf numFmtId="0" fontId="49" fillId="37" borderId="0" xfId="0" applyFont="1" applyFill="1" applyAlignment="1">
      <alignment vertical="center" wrapText="1"/>
    </xf>
    <xf numFmtId="0" fontId="106" fillId="0" borderId="0" xfId="0" applyFont="1" applyAlignment="1">
      <alignment vertical="center"/>
    </xf>
    <xf numFmtId="0" fontId="107" fillId="0" borderId="0" xfId="0" applyFont="1" applyAlignment="1">
      <alignment vertical="center"/>
    </xf>
    <xf numFmtId="0" fontId="107" fillId="0" borderId="0" xfId="0" applyFont="1"/>
    <xf numFmtId="0" fontId="11" fillId="83" borderId="80" xfId="0" applyFont="1" applyFill="1" applyBorder="1" applyAlignment="1">
      <alignment vertical="center" wrapText="1"/>
    </xf>
    <xf numFmtId="1" fontId="11" fillId="83" borderId="1" xfId="968" applyNumberFormat="1" applyFont="1" applyFill="1" applyBorder="1" applyAlignment="1">
      <alignment horizontal="center" vertical="center" wrapText="1"/>
    </xf>
    <xf numFmtId="1" fontId="11" fillId="37" borderId="1" xfId="968" applyNumberFormat="1" applyFont="1" applyFill="1" applyBorder="1" applyAlignment="1">
      <alignment horizontal="center" vertical="center" wrapText="1"/>
    </xf>
    <xf numFmtId="1" fontId="11" fillId="33" borderId="1" xfId="968" applyNumberFormat="1" applyFont="1" applyFill="1" applyBorder="1" applyAlignment="1">
      <alignment horizontal="center" vertical="center" wrapText="1"/>
    </xf>
    <xf numFmtId="2" fontId="92" fillId="83" borderId="39" xfId="0" applyNumberFormat="1" applyFont="1" applyFill="1" applyBorder="1" applyAlignment="1">
      <alignment horizontal="center" vertical="center" wrapText="1"/>
    </xf>
    <xf numFmtId="0" fontId="11" fillId="83" borderId="1" xfId="0" applyFont="1" applyFill="1" applyBorder="1" applyAlignment="1">
      <alignment horizontal="center" vertical="center" wrapText="1"/>
    </xf>
    <xf numFmtId="0" fontId="11" fillId="83" borderId="81" xfId="0" applyFont="1" applyFill="1" applyBorder="1" applyAlignment="1">
      <alignment horizontal="center" vertical="center" wrapText="1"/>
    </xf>
    <xf numFmtId="2" fontId="102" fillId="83" borderId="1" xfId="0" applyNumberFormat="1" applyFont="1" applyFill="1" applyBorder="1" applyAlignment="1">
      <alignment horizontal="center" vertical="center" wrapText="1"/>
    </xf>
    <xf numFmtId="0" fontId="92" fillId="83" borderId="39" xfId="0" applyFont="1" applyFill="1" applyBorder="1" applyAlignment="1">
      <alignment horizontal="center" vertical="center" wrapText="1"/>
    </xf>
    <xf numFmtId="0" fontId="62" fillId="84" borderId="78" xfId="0" applyFont="1" applyFill="1" applyBorder="1" applyAlignment="1">
      <alignment horizontal="center" vertical="center" wrapText="1"/>
    </xf>
    <xf numFmtId="0" fontId="62" fillId="84" borderId="82" xfId="0" applyFont="1" applyFill="1" applyBorder="1" applyAlignment="1">
      <alignment horizontal="center" vertical="center" wrapText="1"/>
    </xf>
    <xf numFmtId="0" fontId="62" fillId="84" borderId="77" xfId="0" applyFont="1" applyFill="1" applyBorder="1" applyAlignment="1">
      <alignment horizontal="center" vertical="center" wrapText="1"/>
    </xf>
    <xf numFmtId="0" fontId="62" fillId="84" borderId="23" xfId="0" applyFont="1" applyFill="1" applyBorder="1" applyAlignment="1">
      <alignment horizontal="center" vertical="center" wrapText="1"/>
    </xf>
    <xf numFmtId="0" fontId="89" fillId="0" borderId="92" xfId="0" applyFont="1" applyBorder="1"/>
    <xf numFmtId="1" fontId="92" fillId="83" borderId="39" xfId="0" applyNumberFormat="1" applyFont="1" applyFill="1" applyBorder="1" applyAlignment="1">
      <alignment horizontal="center" vertical="center" wrapText="1"/>
    </xf>
    <xf numFmtId="9" fontId="92" fillId="83" borderId="1" xfId="0" applyNumberFormat="1" applyFont="1" applyFill="1" applyBorder="1" applyAlignment="1">
      <alignment horizontal="center" vertical="center" wrapText="1"/>
    </xf>
    <xf numFmtId="0" fontId="92" fillId="83" borderId="1" xfId="0" applyFont="1" applyFill="1" applyBorder="1" applyAlignment="1">
      <alignment horizontal="center" vertical="center" wrapText="1"/>
    </xf>
    <xf numFmtId="9" fontId="109" fillId="0" borderId="23" xfId="0" applyNumberFormat="1" applyFont="1" applyBorder="1" applyAlignment="1">
      <alignment horizontal="center" vertical="center"/>
    </xf>
    <xf numFmtId="9" fontId="109" fillId="0" borderId="24" xfId="0" applyNumberFormat="1" applyFont="1" applyBorder="1" applyAlignment="1">
      <alignment horizontal="center" vertical="center"/>
    </xf>
    <xf numFmtId="9" fontId="109" fillId="0" borderId="77" xfId="0" applyNumberFormat="1" applyFont="1" applyBorder="1" applyAlignment="1">
      <alignment horizontal="center" vertical="center"/>
    </xf>
    <xf numFmtId="9" fontId="109" fillId="0" borderId="25" xfId="0" applyNumberFormat="1" applyFont="1" applyBorder="1" applyAlignment="1">
      <alignment horizontal="center" vertical="center"/>
    </xf>
    <xf numFmtId="0" fontId="11" fillId="83" borderId="40" xfId="0" applyFont="1" applyFill="1" applyBorder="1" applyAlignment="1">
      <alignment horizontal="center" vertical="center" wrapText="1"/>
    </xf>
    <xf numFmtId="0" fontId="89" fillId="83" borderId="1" xfId="0" applyFont="1" applyFill="1" applyBorder="1"/>
    <xf numFmtId="0" fontId="89" fillId="0" borderId="81" xfId="0" applyFont="1" applyBorder="1"/>
    <xf numFmtId="0" fontId="62" fillId="84" borderId="94" xfId="0" applyFont="1" applyFill="1" applyBorder="1" applyAlignment="1">
      <alignment horizontal="center" vertical="center" wrapText="1"/>
    </xf>
    <xf numFmtId="0" fontId="62" fillId="84" borderId="92" xfId="0" applyFont="1" applyFill="1" applyBorder="1" applyAlignment="1">
      <alignment horizontal="center" vertical="center" wrapText="1"/>
    </xf>
    <xf numFmtId="165" fontId="102" fillId="33" borderId="39" xfId="0" applyNumberFormat="1" applyFont="1" applyFill="1" applyBorder="1" applyAlignment="1">
      <alignment horizontal="center" vertical="center" wrapText="1"/>
    </xf>
    <xf numFmtId="1" fontId="102" fillId="0" borderId="39" xfId="0" applyNumberFormat="1" applyFont="1" applyBorder="1" applyAlignment="1">
      <alignment horizontal="center" vertical="center" wrapText="1"/>
    </xf>
    <xf numFmtId="1" fontId="102" fillId="33" borderId="39" xfId="0" applyNumberFormat="1" applyFont="1" applyFill="1" applyBorder="1" applyAlignment="1">
      <alignment horizontal="center" vertical="center" wrapText="1"/>
    </xf>
    <xf numFmtId="1" fontId="92" fillId="33" borderId="1" xfId="0" applyNumberFormat="1" applyFont="1" applyFill="1" applyBorder="1" applyAlignment="1">
      <alignment horizontal="center" vertical="center"/>
    </xf>
    <xf numFmtId="1" fontId="92" fillId="33" borderId="37" xfId="0" applyNumberFormat="1" applyFont="1" applyFill="1" applyBorder="1" applyAlignment="1">
      <alignment horizontal="center" vertical="center"/>
    </xf>
    <xf numFmtId="2" fontId="11" fillId="33" borderId="40" xfId="0" applyNumberFormat="1" applyFont="1" applyFill="1" applyBorder="1" applyAlignment="1">
      <alignment horizontal="center" wrapText="1"/>
    </xf>
    <xf numFmtId="2" fontId="11" fillId="81" borderId="40" xfId="0" applyNumberFormat="1" applyFont="1" applyFill="1" applyBorder="1" applyAlignment="1">
      <alignment horizontal="center" wrapText="1"/>
    </xf>
    <xf numFmtId="0" fontId="11" fillId="81" borderId="39" xfId="0" applyFont="1" applyFill="1" applyBorder="1" applyAlignment="1">
      <alignment horizontal="center" vertical="center" wrapText="1"/>
    </xf>
    <xf numFmtId="0" fontId="89" fillId="81" borderId="81" xfId="0" applyFont="1" applyFill="1" applyBorder="1"/>
    <xf numFmtId="0" fontId="11" fillId="81" borderId="1" xfId="0" applyFont="1" applyFill="1" applyBorder="1" applyAlignment="1">
      <alignment horizontal="center" vertical="center"/>
    </xf>
    <xf numFmtId="0" fontId="11" fillId="81" borderId="37" xfId="0" applyFont="1" applyFill="1" applyBorder="1" applyAlignment="1">
      <alignment horizontal="center" vertical="center"/>
    </xf>
    <xf numFmtId="0" fontId="62" fillId="81" borderId="18" xfId="0" applyFont="1" applyFill="1" applyBorder="1" applyAlignment="1">
      <alignment vertical="center" wrapText="1"/>
    </xf>
    <xf numFmtId="0" fontId="62" fillId="81" borderId="78" xfId="0" applyFont="1" applyFill="1" applyBorder="1" applyAlignment="1">
      <alignment horizontal="center" vertical="center" wrapText="1"/>
    </xf>
    <xf numFmtId="0" fontId="62" fillId="81" borderId="82" xfId="0" applyFont="1" applyFill="1" applyBorder="1" applyAlignment="1">
      <alignment horizontal="center" vertical="center" wrapText="1"/>
    </xf>
    <xf numFmtId="0" fontId="62" fillId="81" borderId="77" xfId="0" applyFont="1" applyFill="1" applyBorder="1" applyAlignment="1">
      <alignment horizontal="center" vertical="center" wrapText="1"/>
    </xf>
    <xf numFmtId="0" fontId="62" fillId="81" borderId="23" xfId="0" applyFont="1" applyFill="1" applyBorder="1" applyAlignment="1">
      <alignment horizontal="center" vertical="center" wrapText="1"/>
    </xf>
    <xf numFmtId="0" fontId="89" fillId="81" borderId="82" xfId="0" applyFont="1" applyFill="1" applyBorder="1"/>
    <xf numFmtId="0" fontId="89" fillId="81" borderId="92" xfId="0" applyFont="1" applyFill="1" applyBorder="1"/>
    <xf numFmtId="167" fontId="11" fillId="81" borderId="74" xfId="0" applyNumberFormat="1" applyFont="1" applyFill="1" applyBorder="1" applyAlignment="1">
      <alignment horizontal="center" vertical="center" wrapText="1"/>
    </xf>
    <xf numFmtId="0" fontId="11" fillId="81" borderId="76" xfId="0" applyFont="1" applyFill="1" applyBorder="1" applyAlignment="1">
      <alignment horizontal="center" vertical="center" wrapText="1"/>
    </xf>
    <xf numFmtId="1" fontId="47" fillId="82" borderId="0" xfId="0" applyNumberFormat="1" applyFont="1" applyFill="1"/>
    <xf numFmtId="0" fontId="89" fillId="81" borderId="28" xfId="0" applyFont="1" applyFill="1" applyBorder="1"/>
    <xf numFmtId="167" fontId="11" fillId="81" borderId="32" xfId="0" applyNumberFormat="1" applyFont="1" applyFill="1" applyBorder="1" applyAlignment="1">
      <alignment horizontal="center" vertical="center" wrapText="1"/>
    </xf>
    <xf numFmtId="0" fontId="89" fillId="81" borderId="93" xfId="0" applyFont="1" applyFill="1" applyBorder="1"/>
    <xf numFmtId="0" fontId="89" fillId="81" borderId="96" xfId="0" applyFont="1" applyFill="1" applyBorder="1"/>
    <xf numFmtId="0" fontId="99" fillId="37" borderId="0" xfId="0" applyFont="1" applyFill="1"/>
    <xf numFmtId="0" fontId="92" fillId="33" borderId="31" xfId="0" applyFont="1" applyFill="1" applyBorder="1" applyAlignment="1">
      <alignment horizontal="center" vertical="center" wrapText="1"/>
    </xf>
    <xf numFmtId="167" fontId="102" fillId="84" borderId="39" xfId="0" applyNumberFormat="1" applyFont="1" applyFill="1" applyBorder="1" applyAlignment="1">
      <alignment horizontal="center" vertical="center" wrapText="1"/>
    </xf>
    <xf numFmtId="0" fontId="99" fillId="0" borderId="0" xfId="0" applyFont="1"/>
    <xf numFmtId="0" fontId="45" fillId="0" borderId="1" xfId="0" quotePrefix="1" applyFont="1" applyBorder="1" applyAlignment="1">
      <alignment horizontal="center" vertical="center"/>
    </xf>
    <xf numFmtId="0" fontId="45" fillId="0" borderId="82" xfId="0" applyFont="1" applyBorder="1" applyAlignment="1">
      <alignment horizontal="center" vertical="center"/>
    </xf>
    <xf numFmtId="0" fontId="45" fillId="0" borderId="23" xfId="0" applyFont="1" applyBorder="1" applyAlignment="1">
      <alignment horizontal="center"/>
    </xf>
    <xf numFmtId="0" fontId="45" fillId="0" borderId="25" xfId="0" applyFont="1" applyBorder="1" applyAlignment="1">
      <alignment horizontal="center"/>
    </xf>
    <xf numFmtId="2" fontId="11" fillId="85" borderId="39" xfId="0" applyNumberFormat="1" applyFont="1" applyFill="1" applyBorder="1" applyAlignment="1">
      <alignment horizontal="center" vertical="center" wrapText="1"/>
    </xf>
    <xf numFmtId="0" fontId="46" fillId="37" borderId="0" xfId="0" applyFont="1" applyFill="1"/>
    <xf numFmtId="0" fontId="82" fillId="37" borderId="0" xfId="0" applyFont="1" applyFill="1" applyAlignment="1">
      <alignment vertical="top"/>
    </xf>
    <xf numFmtId="3" fontId="70" fillId="37" borderId="0" xfId="1258"/>
    <xf numFmtId="0" fontId="0" fillId="37" borderId="0" xfId="0" applyFill="1" applyAlignment="1">
      <alignment horizontal="right"/>
    </xf>
    <xf numFmtId="3" fontId="46" fillId="0" borderId="0" xfId="0" applyNumberFormat="1" applyFont="1"/>
    <xf numFmtId="1" fontId="11" fillId="85" borderId="1" xfId="968" applyNumberFormat="1" applyFont="1" applyFill="1" applyBorder="1" applyAlignment="1">
      <alignment horizontal="center" vertical="center" wrapText="1"/>
    </xf>
    <xf numFmtId="1" fontId="11" fillId="85" borderId="0" xfId="0" applyNumberFormat="1" applyFont="1" applyFill="1" applyAlignment="1">
      <alignment horizontal="center"/>
    </xf>
    <xf numFmtId="1" fontId="11" fillId="0" borderId="1" xfId="968" applyNumberFormat="1" applyFont="1" applyFill="1" applyBorder="1" applyAlignment="1">
      <alignment horizontal="center" vertical="center" wrapText="1"/>
    </xf>
    <xf numFmtId="0" fontId="61" fillId="84" borderId="39" xfId="0" applyFont="1" applyFill="1" applyBorder="1" applyAlignment="1">
      <alignment horizontal="center" vertical="center" wrapText="1"/>
    </xf>
    <xf numFmtId="0" fontId="11" fillId="85" borderId="39" xfId="0" applyFont="1" applyFill="1" applyBorder="1" applyAlignment="1">
      <alignment horizontal="center" vertical="center" wrapText="1"/>
    </xf>
    <xf numFmtId="167" fontId="102" fillId="85" borderId="32" xfId="0" applyNumberFormat="1" applyFont="1" applyFill="1" applyBorder="1" applyAlignment="1">
      <alignment horizontal="center" vertical="center" wrapText="1"/>
    </xf>
    <xf numFmtId="167" fontId="102" fillId="85" borderId="93" xfId="0" applyNumberFormat="1" applyFont="1" applyFill="1" applyBorder="1" applyAlignment="1">
      <alignment horizontal="center" vertical="center" wrapText="1"/>
    </xf>
    <xf numFmtId="167" fontId="102" fillId="85" borderId="95" xfId="0" applyNumberFormat="1" applyFont="1" applyFill="1" applyBorder="1" applyAlignment="1">
      <alignment horizontal="center" vertical="center" wrapText="1"/>
    </xf>
    <xf numFmtId="2" fontId="102" fillId="33" borderId="26" xfId="0" applyNumberFormat="1" applyFont="1" applyFill="1" applyBorder="1" applyAlignment="1">
      <alignment horizontal="center" vertical="center" wrapText="1"/>
    </xf>
    <xf numFmtId="2" fontId="102" fillId="33" borderId="42" xfId="0" applyNumberFormat="1" applyFont="1" applyFill="1" applyBorder="1" applyAlignment="1">
      <alignment horizontal="center" vertical="center" wrapText="1"/>
    </xf>
    <xf numFmtId="0" fontId="4" fillId="37" borderId="0" xfId="0" applyFont="1" applyFill="1"/>
    <xf numFmtId="0" fontId="82" fillId="92" borderId="0" xfId="0" applyFont="1" applyFill="1" applyAlignment="1">
      <alignment horizontal="right"/>
    </xf>
    <xf numFmtId="0" fontId="82" fillId="92" borderId="0" xfId="0" applyFont="1" applyFill="1"/>
    <xf numFmtId="0" fontId="82" fillId="92" borderId="0" xfId="0" applyFont="1" applyFill="1" applyAlignment="1">
      <alignment vertical="top"/>
    </xf>
    <xf numFmtId="0" fontId="86" fillId="92" borderId="0" xfId="0" applyFont="1" applyFill="1" applyAlignment="1">
      <alignment horizontal="right"/>
    </xf>
    <xf numFmtId="0" fontId="4" fillId="92" borderId="0" xfId="0" applyFont="1" applyFill="1" applyAlignment="1">
      <alignment horizontal="right"/>
    </xf>
    <xf numFmtId="2" fontId="11" fillId="85" borderId="40" xfId="0" applyNumberFormat="1" applyFont="1" applyFill="1" applyBorder="1" applyAlignment="1">
      <alignment horizontal="center" wrapText="1"/>
    </xf>
    <xf numFmtId="0" fontId="82" fillId="37" borderId="0" xfId="0" applyFont="1" applyFill="1" applyAlignment="1">
      <alignment horizontal="right"/>
    </xf>
    <xf numFmtId="0" fontId="111" fillId="84" borderId="0" xfId="0" applyFont="1" applyFill="1" applyAlignment="1">
      <alignment vertical="center" wrapText="1"/>
    </xf>
    <xf numFmtId="0" fontId="11" fillId="37" borderId="0" xfId="0" applyFont="1" applyFill="1" applyAlignment="1">
      <alignment vertical="top"/>
    </xf>
    <xf numFmtId="0" fontId="11" fillId="37" borderId="0" xfId="0" applyFont="1" applyFill="1" applyAlignment="1">
      <alignment vertical="top" wrapText="1"/>
    </xf>
    <xf numFmtId="0" fontId="11" fillId="37" borderId="0" xfId="0" applyFont="1" applyFill="1"/>
    <xf numFmtId="0" fontId="111" fillId="37" borderId="0" xfId="0" applyFont="1" applyFill="1" applyAlignment="1">
      <alignment horizontal="right"/>
    </xf>
    <xf numFmtId="0" fontId="99" fillId="37" borderId="0" xfId="0" applyFont="1" applyFill="1" applyAlignment="1">
      <alignment horizontal="right"/>
    </xf>
    <xf numFmtId="0" fontId="99" fillId="0" borderId="0" xfId="0" applyFont="1" applyAlignment="1">
      <alignment horizontal="right"/>
    </xf>
    <xf numFmtId="0" fontId="4" fillId="0" borderId="0" xfId="0" applyFont="1"/>
    <xf numFmtId="0" fontId="106" fillId="37" borderId="0" xfId="0" applyFont="1" applyFill="1" applyAlignment="1">
      <alignment horizontal="right"/>
    </xf>
    <xf numFmtId="0" fontId="4" fillId="37" borderId="0" xfId="0" applyFont="1" applyFill="1" applyAlignment="1">
      <alignment horizontal="right"/>
    </xf>
    <xf numFmtId="0" fontId="59" fillId="37" borderId="0" xfId="0" applyFont="1" applyFill="1"/>
    <xf numFmtId="1" fontId="11" fillId="89" borderId="1" xfId="968" applyNumberFormat="1" applyFont="1" applyFill="1" applyBorder="1" applyAlignment="1">
      <alignment horizontal="center" vertical="center" wrapText="1"/>
    </xf>
    <xf numFmtId="1" fontId="11" fillId="89" borderId="0" xfId="0" applyNumberFormat="1" applyFont="1" applyFill="1" applyAlignment="1">
      <alignment horizontal="center"/>
    </xf>
    <xf numFmtId="2" fontId="11" fillId="89" borderId="39" xfId="0" applyNumberFormat="1" applyFont="1" applyFill="1" applyBorder="1" applyAlignment="1">
      <alignment horizontal="center" vertical="center" wrapText="1"/>
    </xf>
    <xf numFmtId="0" fontId="11" fillId="89" borderId="39" xfId="0" applyFont="1" applyFill="1" applyBorder="1" applyAlignment="1">
      <alignment horizontal="center" vertical="center" wrapText="1"/>
    </xf>
    <xf numFmtId="0" fontId="74" fillId="0" borderId="23" xfId="0" applyFont="1" applyBorder="1"/>
    <xf numFmtId="0" fontId="0" fillId="0" borderId="25" xfId="0" applyBorder="1"/>
    <xf numFmtId="2" fontId="92" fillId="85" borderId="39" xfId="0" applyNumberFormat="1" applyFont="1" applyFill="1" applyBorder="1" applyAlignment="1">
      <alignment horizontal="center" vertical="center" wrapText="1"/>
    </xf>
    <xf numFmtId="167" fontId="92" fillId="85" borderId="39" xfId="0" applyNumberFormat="1" applyFont="1" applyFill="1" applyBorder="1" applyAlignment="1">
      <alignment horizontal="center" vertical="center" wrapText="1"/>
    </xf>
    <xf numFmtId="0" fontId="113" fillId="0" borderId="0" xfId="0" applyFont="1"/>
    <xf numFmtId="0" fontId="82" fillId="37" borderId="0" xfId="0" applyFont="1" applyFill="1" applyAlignment="1">
      <alignment horizontal="right" vertical="center"/>
    </xf>
    <xf numFmtId="0" fontId="86" fillId="37" borderId="0" xfId="0" applyFont="1" applyFill="1" applyAlignment="1">
      <alignment horizontal="right" vertical="center"/>
    </xf>
    <xf numFmtId="0" fontId="4" fillId="37" borderId="0" xfId="0" applyFont="1" applyFill="1" applyAlignment="1">
      <alignment horizontal="right" vertical="center"/>
    </xf>
    <xf numFmtId="2" fontId="11" fillId="89" borderId="40" xfId="0" applyNumberFormat="1" applyFont="1" applyFill="1" applyBorder="1" applyAlignment="1">
      <alignment horizontal="center" wrapText="1"/>
    </xf>
    <xf numFmtId="0" fontId="11" fillId="37" borderId="40" xfId="0" applyFont="1" applyFill="1" applyBorder="1" applyAlignment="1">
      <alignment horizontal="center" wrapText="1"/>
    </xf>
    <xf numFmtId="167" fontId="102" fillId="89" borderId="32" xfId="0" applyNumberFormat="1" applyFont="1" applyFill="1" applyBorder="1" applyAlignment="1">
      <alignment horizontal="center" vertical="center" wrapText="1"/>
    </xf>
    <xf numFmtId="167" fontId="102" fillId="89" borderId="93" xfId="0" applyNumberFormat="1" applyFont="1" applyFill="1" applyBorder="1" applyAlignment="1">
      <alignment horizontal="center" vertical="center" wrapText="1"/>
    </xf>
    <xf numFmtId="167" fontId="102" fillId="89" borderId="95" xfId="0" applyNumberFormat="1" applyFont="1" applyFill="1" applyBorder="1" applyAlignment="1">
      <alignment horizontal="center" vertical="center" wrapText="1"/>
    </xf>
    <xf numFmtId="0" fontId="99" fillId="89" borderId="1" xfId="0" applyFont="1" applyFill="1" applyBorder="1" applyAlignment="1">
      <alignment horizontal="left" vertical="center"/>
    </xf>
    <xf numFmtId="1" fontId="92" fillId="85" borderId="39" xfId="0" applyNumberFormat="1" applyFont="1" applyFill="1" applyBorder="1" applyAlignment="1">
      <alignment horizontal="center" vertical="center" wrapText="1"/>
    </xf>
    <xf numFmtId="1" fontId="92" fillId="89" borderId="39" xfId="0" applyNumberFormat="1" applyFont="1" applyFill="1" applyBorder="1" applyAlignment="1">
      <alignment horizontal="center" vertical="center" wrapText="1"/>
    </xf>
    <xf numFmtId="0" fontId="50" fillId="0" borderId="0" xfId="0" applyFont="1" applyAlignment="1">
      <alignment wrapText="1"/>
    </xf>
    <xf numFmtId="0" fontId="50" fillId="0" borderId="0" xfId="0" applyFont="1" applyAlignment="1">
      <alignment horizontal="center" wrapText="1"/>
    </xf>
    <xf numFmtId="164" fontId="54" fillId="88" borderId="1" xfId="0" applyNumberFormat="1" applyFont="1" applyFill="1" applyBorder="1"/>
    <xf numFmtId="0" fontId="115" fillId="0" borderId="0" xfId="0" applyFont="1"/>
    <xf numFmtId="0" fontId="116" fillId="0" borderId="0" xfId="0" applyFont="1" applyAlignment="1">
      <alignment wrapText="1"/>
    </xf>
    <xf numFmtId="0" fontId="50" fillId="0" borderId="0" xfId="0" applyFont="1" applyAlignment="1">
      <alignment horizontal="center" wrapText="1"/>
    </xf>
    <xf numFmtId="0" fontId="50" fillId="0" borderId="0" xfId="0" applyFont="1" applyAlignment="1">
      <alignment wrapText="1"/>
    </xf>
    <xf numFmtId="0" fontId="45" fillId="0" borderId="23" xfId="0" applyFont="1" applyBorder="1" applyAlignment="1">
      <alignment horizontal="center"/>
    </xf>
    <xf numFmtId="0" fontId="45" fillId="0" borderId="25" xfId="0" applyFont="1" applyBorder="1" applyAlignment="1">
      <alignment horizontal="center"/>
    </xf>
    <xf numFmtId="0" fontId="92" fillId="33" borderId="31" xfId="0" applyFont="1" applyFill="1" applyBorder="1" applyAlignment="1">
      <alignment horizontal="center" vertical="center" wrapText="1"/>
    </xf>
    <xf numFmtId="0" fontId="54" fillId="0" borderId="1" xfId="0" applyFont="1" applyFill="1" applyBorder="1" applyAlignment="1">
      <alignment horizontal="left"/>
    </xf>
    <xf numFmtId="2" fontId="54" fillId="0" borderId="26" xfId="0" applyNumberFormat="1" applyFont="1" applyFill="1" applyBorder="1" applyAlignment="1">
      <alignment horizontal="center"/>
    </xf>
    <xf numFmtId="0" fontId="15" fillId="3" borderId="0" xfId="3" applyBorder="1"/>
    <xf numFmtId="172" fontId="0" fillId="0" borderId="36" xfId="0" applyNumberFormat="1" applyBorder="1"/>
    <xf numFmtId="0" fontId="0" fillId="0" borderId="36" xfId="0" applyBorder="1" applyAlignment="1">
      <alignment horizontal="left"/>
    </xf>
    <xf numFmtId="0" fontId="80" fillId="0" borderId="36" xfId="0" applyFont="1" applyFill="1" applyBorder="1" applyAlignment="1">
      <alignment horizontal="right"/>
    </xf>
    <xf numFmtId="0" fontId="8" fillId="0" borderId="36" xfId="0" applyFont="1" applyFill="1" applyBorder="1" applyAlignment="1">
      <alignment horizontal="center"/>
    </xf>
    <xf numFmtId="0" fontId="15" fillId="3" borderId="36" xfId="3" applyBorder="1"/>
    <xf numFmtId="0" fontId="54" fillId="0" borderId="28" xfId="0" applyFont="1" applyFill="1" applyBorder="1" applyAlignment="1">
      <alignment horizontal="center"/>
    </xf>
    <xf numFmtId="172" fontId="0" fillId="0" borderId="19" xfId="0" applyNumberFormat="1" applyBorder="1"/>
    <xf numFmtId="0" fontId="0" fillId="0" borderId="19" xfId="0" applyBorder="1" applyAlignment="1">
      <alignment horizontal="left"/>
    </xf>
    <xf numFmtId="0" fontId="8" fillId="0" borderId="19" xfId="0" applyFont="1" applyFill="1" applyBorder="1" applyAlignment="1">
      <alignment horizontal="center"/>
    </xf>
    <xf numFmtId="0" fontId="15" fillId="3" borderId="19" xfId="3" applyBorder="1"/>
    <xf numFmtId="0" fontId="0" fillId="0" borderId="0" xfId="0" quotePrefix="1"/>
    <xf numFmtId="0" fontId="0" fillId="0" borderId="19" xfId="0" applyFill="1" applyBorder="1"/>
    <xf numFmtId="0" fontId="0" fillId="0" borderId="36" xfId="0" applyFill="1" applyBorder="1"/>
    <xf numFmtId="0" fontId="8" fillId="0" borderId="40" xfId="0" applyFont="1" applyFill="1" applyBorder="1" applyAlignment="1">
      <alignment horizontal="center"/>
    </xf>
    <xf numFmtId="0" fontId="8" fillId="34" borderId="32" xfId="0" applyFont="1" applyFill="1" applyBorder="1" applyAlignment="1">
      <alignment horizontal="left" vertical="center" wrapText="1"/>
    </xf>
    <xf numFmtId="0" fontId="0" fillId="0" borderId="31" xfId="0" applyBorder="1"/>
    <xf numFmtId="0" fontId="0" fillId="0" borderId="31" xfId="0" applyFill="1" applyBorder="1"/>
    <xf numFmtId="0" fontId="0" fillId="0" borderId="70" xfId="0" applyFill="1" applyBorder="1"/>
    <xf numFmtId="0" fontId="0" fillId="0" borderId="40" xfId="0" applyFill="1" applyBorder="1"/>
    <xf numFmtId="0" fontId="8" fillId="0" borderId="70" xfId="0" applyFont="1" applyFill="1" applyBorder="1" applyAlignment="1">
      <alignment horizontal="center"/>
    </xf>
    <xf numFmtId="0" fontId="0" fillId="0" borderId="70" xfId="0" applyBorder="1" applyAlignment="1">
      <alignment horizontal="left"/>
    </xf>
    <xf numFmtId="0" fontId="80" fillId="0" borderId="42" xfId="0" applyFont="1" applyFill="1" applyBorder="1" applyAlignment="1">
      <alignment horizontal="right"/>
    </xf>
    <xf numFmtId="165" fontId="54" fillId="0" borderId="1" xfId="0" applyNumberFormat="1" applyFont="1" applyFill="1" applyBorder="1" applyAlignment="1">
      <alignment horizontal="center"/>
    </xf>
    <xf numFmtId="165" fontId="54" fillId="0" borderId="28" xfId="0" applyNumberFormat="1" applyFont="1" applyFill="1" applyBorder="1" applyAlignment="1">
      <alignment horizontal="center"/>
    </xf>
    <xf numFmtId="165" fontId="54" fillId="0" borderId="26" xfId="0" applyNumberFormat="1" applyFont="1" applyFill="1" applyBorder="1" applyAlignment="1">
      <alignment horizontal="center"/>
    </xf>
    <xf numFmtId="0" fontId="0" fillId="0" borderId="12" xfId="0" applyBorder="1" applyAlignment="1">
      <alignment horizontal="center"/>
    </xf>
    <xf numFmtId="0" fontId="0" fillId="0" borderId="30" xfId="0" applyBorder="1" applyAlignment="1">
      <alignment horizontal="center"/>
    </xf>
    <xf numFmtId="0" fontId="0" fillId="0" borderId="0" xfId="0" applyAlignment="1">
      <alignment horizontal="right"/>
    </xf>
    <xf numFmtId="0" fontId="0" fillId="32" borderId="1" xfId="0" applyFill="1" applyBorder="1"/>
    <xf numFmtId="0" fontId="0" fillId="32" borderId="1" xfId="0" applyFont="1" applyFill="1" applyBorder="1"/>
    <xf numFmtId="9" fontId="40" fillId="0" borderId="0" xfId="968" applyFont="1" applyFill="1"/>
    <xf numFmtId="172" fontId="0" fillId="0" borderId="15" xfId="0" applyNumberFormat="1" applyBorder="1"/>
    <xf numFmtId="0" fontId="117" fillId="84" borderId="41" xfId="0" applyFont="1" applyFill="1" applyBorder="1" applyAlignment="1">
      <alignment vertical="center" wrapText="1"/>
    </xf>
    <xf numFmtId="0" fontId="119" fillId="84" borderId="37" xfId="0" applyFont="1" applyFill="1" applyBorder="1" applyAlignment="1">
      <alignment vertical="center" wrapText="1"/>
    </xf>
    <xf numFmtId="0" fontId="120" fillId="84" borderId="70" xfId="0" applyFont="1" applyFill="1" applyBorder="1" applyAlignment="1">
      <alignment horizontal="center" vertical="center" wrapText="1"/>
    </xf>
    <xf numFmtId="0" fontId="120" fillId="84" borderId="39" xfId="0" applyFont="1" applyFill="1" applyBorder="1" applyAlignment="1">
      <alignment vertical="center" wrapText="1"/>
    </xf>
    <xf numFmtId="0" fontId="121" fillId="84" borderId="37" xfId="0" applyFont="1" applyFill="1" applyBorder="1" applyAlignment="1">
      <alignment vertical="center" wrapText="1"/>
    </xf>
    <xf numFmtId="0" fontId="119" fillId="84" borderId="1" xfId="0" applyFont="1" applyFill="1" applyBorder="1" applyAlignment="1">
      <alignment vertical="center" wrapText="1"/>
    </xf>
    <xf numFmtId="0" fontId="119" fillId="84" borderId="1" xfId="0" applyFont="1" applyFill="1" applyBorder="1" applyAlignment="1">
      <alignment horizontal="center" vertical="center" wrapText="1"/>
    </xf>
    <xf numFmtId="49" fontId="123" fillId="84" borderId="26" xfId="0" applyNumberFormat="1" applyFont="1" applyFill="1" applyBorder="1" applyAlignment="1">
      <alignment vertical="center" wrapText="1"/>
    </xf>
    <xf numFmtId="0" fontId="121" fillId="84" borderId="26" xfId="0" applyFont="1" applyFill="1" applyBorder="1" applyAlignment="1">
      <alignment vertical="center" wrapText="1"/>
    </xf>
    <xf numFmtId="0" fontId="119" fillId="84" borderId="28" xfId="0" applyFont="1" applyFill="1" applyBorder="1" applyAlignment="1">
      <alignment vertical="center" wrapText="1"/>
    </xf>
    <xf numFmtId="0" fontId="119" fillId="84" borderId="28" xfId="0" applyFont="1" applyFill="1" applyBorder="1" applyAlignment="1">
      <alignment horizontal="center" vertical="center" wrapText="1"/>
    </xf>
    <xf numFmtId="0" fontId="119" fillId="84" borderId="26" xfId="0" applyFont="1" applyFill="1" applyBorder="1" applyAlignment="1">
      <alignment vertical="center" wrapText="1"/>
    </xf>
    <xf numFmtId="0" fontId="119" fillId="84" borderId="26" xfId="0" applyFont="1" applyFill="1" applyBorder="1" applyAlignment="1">
      <alignment horizontal="center" vertical="center" wrapText="1"/>
    </xf>
    <xf numFmtId="0" fontId="119" fillId="84" borderId="1" xfId="0" applyFont="1" applyFill="1" applyBorder="1" applyAlignment="1">
      <alignment horizontal="left" vertical="center" wrapText="1"/>
    </xf>
    <xf numFmtId="0" fontId="119" fillId="84" borderId="27" xfId="0" applyFont="1" applyFill="1" applyBorder="1" applyAlignment="1">
      <alignment vertical="center" wrapText="1"/>
    </xf>
    <xf numFmtId="0" fontId="121" fillId="84" borderId="1" xfId="0" applyFont="1" applyFill="1" applyBorder="1" applyAlignment="1">
      <alignment vertical="center" wrapText="1"/>
    </xf>
    <xf numFmtId="0" fontId="119" fillId="84" borderId="28" xfId="0" quotePrefix="1" applyFont="1" applyFill="1" applyBorder="1" applyAlignment="1">
      <alignment vertical="center" wrapText="1"/>
    </xf>
    <xf numFmtId="0" fontId="121" fillId="84" borderId="39" xfId="0" applyFont="1" applyFill="1" applyBorder="1" applyAlignment="1">
      <alignment vertical="center" wrapText="1"/>
    </xf>
    <xf numFmtId="0" fontId="125" fillId="84" borderId="37" xfId="0" applyFont="1" applyFill="1" applyBorder="1" applyAlignment="1">
      <alignment horizontal="center" vertical="center" wrapText="1"/>
    </xf>
    <xf numFmtId="0" fontId="125" fillId="84" borderId="1" xfId="0" applyFont="1" applyFill="1" applyBorder="1" applyAlignment="1">
      <alignment horizontal="center" vertical="center" wrapText="1"/>
    </xf>
    <xf numFmtId="0" fontId="125" fillId="84" borderId="0" xfId="0" applyFont="1" applyFill="1" applyAlignment="1">
      <alignment horizontal="center" vertical="center" wrapText="1"/>
    </xf>
    <xf numFmtId="0" fontId="125" fillId="84" borderId="37" xfId="0" applyFont="1" applyFill="1" applyBorder="1" applyAlignment="1">
      <alignment vertical="center" wrapText="1"/>
    </xf>
    <xf numFmtId="0" fontId="125" fillId="84" borderId="36" xfId="0" applyFont="1" applyFill="1" applyBorder="1" applyAlignment="1">
      <alignment vertical="center" wrapText="1"/>
    </xf>
    <xf numFmtId="0" fontId="125" fillId="84" borderId="38" xfId="0" applyFont="1" applyFill="1" applyBorder="1" applyAlignment="1">
      <alignment vertical="center" wrapText="1"/>
    </xf>
    <xf numFmtId="0" fontId="125" fillId="84" borderId="38" xfId="0" applyFont="1" applyFill="1" applyBorder="1" applyAlignment="1">
      <alignment horizontal="center" vertical="center" wrapText="1"/>
    </xf>
    <xf numFmtId="0" fontId="59" fillId="84" borderId="1" xfId="0" applyFont="1" applyFill="1" applyBorder="1" applyAlignment="1">
      <alignment horizontal="center" vertical="center" wrapText="1"/>
    </xf>
    <xf numFmtId="0" fontId="125" fillId="84" borderId="26" xfId="0" applyFont="1" applyFill="1" applyBorder="1" applyAlignment="1">
      <alignment vertical="center" wrapText="1"/>
    </xf>
    <xf numFmtId="0" fontId="59" fillId="84" borderId="28" xfId="0" applyFont="1" applyFill="1" applyBorder="1" applyAlignment="1">
      <alignment horizontal="center" vertical="center" wrapText="1"/>
    </xf>
    <xf numFmtId="0" fontId="59" fillId="84" borderId="26" xfId="0" applyFont="1" applyFill="1" applyBorder="1" applyAlignment="1">
      <alignment horizontal="center" vertical="center" wrapText="1"/>
    </xf>
    <xf numFmtId="0" fontId="47" fillId="84" borderId="1" xfId="0" applyFont="1" applyFill="1" applyBorder="1" applyAlignment="1">
      <alignment horizontal="center" vertical="center" wrapText="1"/>
    </xf>
    <xf numFmtId="0" fontId="125" fillId="84" borderId="1" xfId="0" applyFont="1" applyFill="1" applyBorder="1" applyAlignment="1">
      <alignment vertical="center" wrapText="1"/>
    </xf>
    <xf numFmtId="0" fontId="59" fillId="0" borderId="1" xfId="0" applyFont="1" applyBorder="1" applyAlignment="1">
      <alignment horizontal="center" vertical="center" wrapText="1"/>
    </xf>
    <xf numFmtId="0" fontId="59" fillId="84" borderId="28" xfId="0" applyFont="1" applyFill="1" applyBorder="1" applyAlignment="1">
      <alignment vertical="center" wrapText="1"/>
    </xf>
    <xf numFmtId="0" fontId="59" fillId="84" borderId="1" xfId="0" applyFont="1" applyFill="1" applyBorder="1" applyAlignment="1">
      <alignment vertical="center" wrapText="1"/>
    </xf>
    <xf numFmtId="2" fontId="59" fillId="84" borderId="1" xfId="0" applyNumberFormat="1" applyFont="1" applyFill="1" applyBorder="1" applyAlignment="1">
      <alignment horizontal="center" vertical="center" wrapText="1"/>
    </xf>
    <xf numFmtId="0" fontId="0" fillId="0" borderId="0" xfId="0" applyBorder="1" applyAlignment="1">
      <alignment horizontal="center"/>
    </xf>
    <xf numFmtId="0" fontId="7" fillId="26" borderId="38" xfId="0" applyFont="1" applyFill="1" applyBorder="1" applyAlignment="1">
      <alignment horizontal="center" vertical="center" wrapText="1"/>
    </xf>
    <xf numFmtId="0" fontId="7" fillId="26" borderId="38" xfId="0" applyFont="1" applyFill="1" applyBorder="1" applyAlignment="1">
      <alignment horizontal="right" vertical="center" wrapText="1"/>
    </xf>
    <xf numFmtId="0" fontId="7" fillId="26" borderId="39" xfId="0" applyFont="1" applyFill="1" applyBorder="1" applyAlignment="1">
      <alignment horizontal="left" vertical="center" wrapText="1"/>
    </xf>
    <xf numFmtId="2" fontId="54" fillId="0" borderId="0" xfId="0" applyNumberFormat="1" applyFont="1" applyFill="1" applyBorder="1" applyAlignment="1">
      <alignment horizontal="center"/>
    </xf>
    <xf numFmtId="2" fontId="54" fillId="0" borderId="19" xfId="0" applyNumberFormat="1" applyFont="1" applyFill="1" applyBorder="1" applyAlignment="1">
      <alignment horizontal="center"/>
    </xf>
    <xf numFmtId="2" fontId="54" fillId="0" borderId="28" xfId="0" applyNumberFormat="1" applyFont="1" applyFill="1" applyBorder="1" applyAlignment="1">
      <alignment horizontal="center"/>
    </xf>
    <xf numFmtId="0" fontId="46" fillId="0" borderId="33" xfId="0" applyFont="1" applyBorder="1" applyAlignment="1">
      <alignment horizontal="center"/>
    </xf>
    <xf numFmtId="0" fontId="0" fillId="0" borderId="34"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5" xfId="0" applyBorder="1" applyAlignment="1">
      <alignment horizontal="center"/>
    </xf>
    <xf numFmtId="0" fontId="0" fillId="32" borderId="29" xfId="0" applyFill="1" applyBorder="1"/>
    <xf numFmtId="0" fontId="0" fillId="32" borderId="17" xfId="0" applyFill="1" applyBorder="1"/>
    <xf numFmtId="0" fontId="0" fillId="32" borderId="13" xfId="0" applyFill="1" applyBorder="1"/>
    <xf numFmtId="0" fontId="7" fillId="26" borderId="39" xfId="0" applyFont="1" applyFill="1" applyBorder="1" applyAlignment="1">
      <alignment horizontal="right" vertical="center" wrapText="1"/>
    </xf>
    <xf numFmtId="0" fontId="8" fillId="27" borderId="39" xfId="0" applyFont="1" applyFill="1" applyBorder="1" applyAlignment="1">
      <alignment horizontal="center"/>
    </xf>
    <xf numFmtId="0" fontId="54" fillId="0" borderId="26" xfId="0" applyFont="1" applyFill="1" applyBorder="1" applyAlignment="1">
      <alignment horizontal="left"/>
    </xf>
    <xf numFmtId="0" fontId="0" fillId="0" borderId="100" xfId="0" applyBorder="1"/>
    <xf numFmtId="0" fontId="0" fillId="0" borderId="15" xfId="0" applyBorder="1"/>
    <xf numFmtId="0" fontId="0" fillId="0" borderId="15" xfId="0" applyBorder="1" applyAlignment="1">
      <alignment horizontal="left"/>
    </xf>
    <xf numFmtId="0" fontId="54" fillId="0" borderId="93" xfId="0" applyFont="1" applyFill="1" applyBorder="1" applyAlignment="1">
      <alignment horizontal="center"/>
    </xf>
    <xf numFmtId="2" fontId="54" fillId="0" borderId="93" xfId="0" applyNumberFormat="1" applyFont="1" applyFill="1" applyBorder="1" applyAlignment="1">
      <alignment horizontal="center"/>
    </xf>
    <xf numFmtId="165" fontId="54" fillId="0" borderId="93" xfId="0" applyNumberFormat="1" applyFont="1" applyFill="1" applyBorder="1" applyAlignment="1">
      <alignment horizontal="center"/>
    </xf>
    <xf numFmtId="0" fontId="80" fillId="0" borderId="15" xfId="0" applyFont="1" applyFill="1" applyBorder="1" applyAlignment="1">
      <alignment horizontal="right"/>
    </xf>
    <xf numFmtId="0" fontId="8" fillId="0" borderId="15" xfId="0" applyFont="1" applyFill="1" applyBorder="1" applyAlignment="1">
      <alignment horizontal="center"/>
    </xf>
    <xf numFmtId="0" fontId="54" fillId="0" borderId="93" xfId="0" applyFont="1" applyFill="1" applyBorder="1" applyAlignment="1">
      <alignment horizontal="left"/>
    </xf>
    <xf numFmtId="0" fontId="15" fillId="3" borderId="15" xfId="3" applyBorder="1"/>
    <xf numFmtId="0" fontId="80" fillId="0" borderId="95" xfId="0" applyFont="1" applyFill="1" applyBorder="1" applyAlignment="1">
      <alignment horizontal="right"/>
    </xf>
    <xf numFmtId="0" fontId="126" fillId="37" borderId="0" xfId="0" applyFont="1" applyFill="1"/>
    <xf numFmtId="0" fontId="119" fillId="0" borderId="0" xfId="0" applyFont="1" applyAlignment="1">
      <alignment horizontal="center" vertical="center" wrapText="1"/>
    </xf>
    <xf numFmtId="0" fontId="119" fillId="84" borderId="0" xfId="0" applyFont="1" applyFill="1" applyAlignment="1">
      <alignment horizontal="center" vertical="center" wrapText="1"/>
    </xf>
    <xf numFmtId="0" fontId="119" fillId="0" borderId="0" xfId="0" applyFont="1" applyAlignment="1">
      <alignment vertical="center" wrapText="1"/>
    </xf>
    <xf numFmtId="0" fontId="126" fillId="37" borderId="0" xfId="0" applyFont="1" applyFill="1" applyAlignment="1">
      <alignment vertical="center"/>
    </xf>
    <xf numFmtId="0" fontId="59" fillId="0" borderId="0" xfId="0" applyFont="1" applyAlignment="1">
      <alignment horizontal="right"/>
    </xf>
    <xf numFmtId="17" fontId="0" fillId="0" borderId="0" xfId="0" applyNumberFormat="1"/>
    <xf numFmtId="0" fontId="119" fillId="32" borderId="26" xfId="0" applyFont="1" applyFill="1" applyBorder="1" applyAlignment="1">
      <alignment vertical="center" wrapText="1"/>
    </xf>
    <xf numFmtId="0" fontId="59" fillId="32" borderId="1" xfId="0" applyFont="1" applyFill="1" applyBorder="1" applyAlignment="1">
      <alignment horizontal="center" vertical="center" wrapText="1"/>
    </xf>
    <xf numFmtId="0" fontId="59" fillId="32" borderId="26" xfId="0" applyFont="1" applyFill="1" applyBorder="1" applyAlignment="1">
      <alignment horizontal="center" vertical="center" wrapText="1"/>
    </xf>
    <xf numFmtId="0" fontId="119" fillId="32" borderId="28" xfId="0" applyFont="1" applyFill="1" applyBorder="1" applyAlignment="1">
      <alignment horizontal="left" vertical="center" wrapText="1"/>
    </xf>
    <xf numFmtId="0" fontId="59" fillId="32" borderId="28" xfId="0" applyFont="1" applyFill="1" applyBorder="1" applyAlignment="1">
      <alignment horizontal="center" vertical="center" wrapText="1"/>
    </xf>
    <xf numFmtId="176" fontId="0" fillId="0" borderId="0" xfId="0" applyNumberFormat="1"/>
    <xf numFmtId="0" fontId="92" fillId="33" borderId="31" xfId="0"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49" fillId="0" borderId="13" xfId="0" applyFont="1" applyBorder="1" applyAlignment="1">
      <alignment horizontal="center" wrapText="1"/>
    </xf>
    <xf numFmtId="167" fontId="102" fillId="84" borderId="1" xfId="0" applyNumberFormat="1" applyFont="1" applyFill="1" applyBorder="1" applyAlignment="1">
      <alignment horizontal="center" vertical="center" wrapText="1"/>
    </xf>
    <xf numFmtId="167" fontId="102" fillId="84" borderId="37" xfId="0" applyNumberFormat="1" applyFont="1" applyFill="1" applyBorder="1" applyAlignment="1">
      <alignment horizontal="center" vertical="center" wrapText="1"/>
    </xf>
    <xf numFmtId="167" fontId="92" fillId="89" borderId="39" xfId="0" applyNumberFormat="1" applyFont="1" applyFill="1" applyBorder="1" applyAlignment="1">
      <alignment horizontal="center" vertical="center" wrapText="1"/>
    </xf>
    <xf numFmtId="2" fontId="92" fillId="89" borderId="39" xfId="0" applyNumberFormat="1" applyFont="1" applyFill="1" applyBorder="1" applyAlignment="1">
      <alignment horizontal="center" vertical="center" wrapText="1"/>
    </xf>
    <xf numFmtId="167" fontId="92" fillId="33" borderId="39" xfId="0" applyNumberFormat="1" applyFont="1" applyFill="1" applyBorder="1" applyAlignment="1">
      <alignment horizontal="center" vertical="center" wrapText="1"/>
    </xf>
    <xf numFmtId="167" fontId="92" fillId="84" borderId="1" xfId="0" applyNumberFormat="1" applyFont="1" applyFill="1" applyBorder="1" applyAlignment="1">
      <alignment horizontal="center" vertical="center"/>
    </xf>
    <xf numFmtId="167" fontId="92" fillId="84" borderId="37" xfId="0" applyNumberFormat="1" applyFont="1" applyFill="1" applyBorder="1" applyAlignment="1">
      <alignment horizontal="center" vertical="center"/>
    </xf>
    <xf numFmtId="0" fontId="127" fillId="37" borderId="0" xfId="0" applyFont="1" applyFill="1"/>
    <xf numFmtId="0" fontId="73" fillId="37" borderId="0" xfId="0" applyFont="1" applyFill="1"/>
    <xf numFmtId="0" fontId="80" fillId="0" borderId="21" xfId="0" applyFont="1" applyFill="1" applyBorder="1" applyAlignment="1">
      <alignment horizontal="right"/>
    </xf>
    <xf numFmtId="0" fontId="54" fillId="0" borderId="0" xfId="0" applyFont="1" applyFill="1" applyBorder="1" applyAlignment="1">
      <alignment horizontal="left"/>
    </xf>
    <xf numFmtId="0" fontId="54" fillId="0" borderId="36" xfId="0" applyFont="1" applyFill="1" applyBorder="1" applyAlignment="1">
      <alignment horizontal="center"/>
    </xf>
    <xf numFmtId="2" fontId="54" fillId="0" borderId="36" xfId="0" applyNumberFormat="1" applyFont="1" applyFill="1" applyBorder="1" applyAlignment="1">
      <alignment horizontal="center"/>
    </xf>
    <xf numFmtId="0" fontId="54" fillId="0" borderId="36" xfId="0" applyFont="1" applyFill="1" applyBorder="1" applyAlignment="1">
      <alignment horizontal="left"/>
    </xf>
    <xf numFmtId="0" fontId="15" fillId="3" borderId="21" xfId="3" applyBorder="1"/>
    <xf numFmtId="0" fontId="15" fillId="3" borderId="42" xfId="3" applyBorder="1"/>
    <xf numFmtId="0" fontId="15" fillId="3" borderId="41" xfId="3" applyBorder="1"/>
    <xf numFmtId="0" fontId="11" fillId="0" borderId="0" xfId="550" applyBorder="1"/>
    <xf numFmtId="0" fontId="0" fillId="0" borderId="0" xfId="0" applyFill="1" applyAlignment="1">
      <alignment horizontal="left"/>
    </xf>
    <xf numFmtId="0" fontId="59" fillId="34" borderId="20" xfId="0" applyFont="1" applyFill="1" applyBorder="1" applyAlignment="1">
      <alignment vertical="top" wrapText="1"/>
    </xf>
    <xf numFmtId="0" fontId="80" fillId="34" borderId="20" xfId="0" applyFont="1" applyFill="1" applyBorder="1" applyAlignment="1">
      <alignment horizontal="right" vertical="center" wrapText="1"/>
    </xf>
    <xf numFmtId="0" fontId="80" fillId="34" borderId="32" xfId="0" applyFont="1" applyFill="1" applyBorder="1" applyAlignment="1">
      <alignment horizontal="right" vertical="center" wrapText="1"/>
    </xf>
    <xf numFmtId="0" fontId="119" fillId="75" borderId="1" xfId="0" applyFont="1" applyFill="1" applyBorder="1" applyAlignment="1">
      <alignment vertical="center" wrapText="1"/>
    </xf>
    <xf numFmtId="0" fontId="59" fillId="75" borderId="1" xfId="0" applyFont="1" applyFill="1" applyBorder="1" applyAlignment="1">
      <alignment horizontal="center" vertical="center" wrapText="1"/>
    </xf>
    <xf numFmtId="0" fontId="119" fillId="75" borderId="1" xfId="0" applyFont="1" applyFill="1" applyBorder="1" applyAlignment="1">
      <alignment horizontal="center" vertical="center" wrapText="1"/>
    </xf>
    <xf numFmtId="0" fontId="119" fillId="75" borderId="27" xfId="0" applyFont="1" applyFill="1" applyBorder="1" applyAlignment="1">
      <alignment vertical="center" wrapText="1"/>
    </xf>
    <xf numFmtId="0" fontId="59" fillId="75" borderId="26" xfId="0" applyFont="1" applyFill="1" applyBorder="1" applyAlignment="1">
      <alignment horizontal="center" vertical="center" wrapText="1"/>
    </xf>
    <xf numFmtId="0" fontId="119" fillId="75" borderId="26" xfId="0" applyFont="1" applyFill="1" applyBorder="1" applyAlignment="1">
      <alignment horizontal="center" vertical="center" wrapText="1"/>
    </xf>
    <xf numFmtId="0" fontId="119" fillId="75" borderId="28" xfId="0" applyFont="1" applyFill="1" applyBorder="1" applyAlignment="1">
      <alignment vertical="center" wrapText="1"/>
    </xf>
    <xf numFmtId="0" fontId="59" fillId="75" borderId="1" xfId="0" applyFont="1" applyFill="1" applyBorder="1"/>
    <xf numFmtId="0" fontId="7" fillId="26" borderId="38" xfId="6970" applyFont="1" applyFill="1" applyBorder="1" applyAlignment="1">
      <alignment horizontal="left" vertical="center" wrapText="1"/>
    </xf>
    <xf numFmtId="1" fontId="7" fillId="83" borderId="37" xfId="6970" applyNumberFormat="1" applyFont="1" applyFill="1" applyBorder="1" applyAlignment="1">
      <alignment horizontal="right"/>
    </xf>
    <xf numFmtId="1" fontId="7" fillId="83" borderId="38" xfId="6970" applyNumberFormat="1" applyFont="1" applyFill="1" applyBorder="1" applyAlignment="1">
      <alignment horizontal="right"/>
    </xf>
    <xf numFmtId="0" fontId="7" fillId="29" borderId="15" xfId="6970" applyFont="1" applyFill="1" applyBorder="1" applyAlignment="1">
      <alignment horizontal="left" wrapText="1"/>
    </xf>
    <xf numFmtId="0" fontId="7" fillId="29" borderId="15" xfId="6970" applyFont="1" applyFill="1" applyBorder="1" applyAlignment="1">
      <alignment horizontal="right" wrapText="1"/>
    </xf>
    <xf numFmtId="0" fontId="7" fillId="93" borderId="0" xfId="6970" applyFont="1" applyFill="1"/>
    <xf numFmtId="177" fontId="7" fillId="93" borderId="0" xfId="6970" applyNumberFormat="1" applyFont="1" applyFill="1"/>
    <xf numFmtId="0" fontId="0" fillId="0" borderId="34" xfId="0" applyBorder="1"/>
    <xf numFmtId="0" fontId="0" fillId="0" borderId="29" xfId="0" applyBorder="1"/>
    <xf numFmtId="0" fontId="0" fillId="0" borderId="35" xfId="0" applyBorder="1"/>
    <xf numFmtId="0" fontId="0" fillId="0" borderId="17" xfId="0" applyBorder="1"/>
    <xf numFmtId="0" fontId="0" fillId="0" borderId="14" xfId="0" applyBorder="1"/>
    <xf numFmtId="0" fontId="0" fillId="0" borderId="13" xfId="0" applyBorder="1"/>
    <xf numFmtId="0" fontId="46" fillId="0" borderId="33" xfId="0" applyFont="1" applyBorder="1"/>
    <xf numFmtId="0" fontId="46" fillId="0" borderId="34" xfId="0" applyFont="1" applyBorder="1"/>
    <xf numFmtId="0" fontId="46" fillId="0" borderId="34" xfId="0" applyFont="1" applyFill="1" applyBorder="1"/>
    <xf numFmtId="0" fontId="46" fillId="0" borderId="29" xfId="0" applyFont="1" applyBorder="1"/>
    <xf numFmtId="0" fontId="46" fillId="0" borderId="35" xfId="0" applyFont="1" applyBorder="1"/>
    <xf numFmtId="0" fontId="46" fillId="0" borderId="103" xfId="0" applyFont="1" applyBorder="1"/>
    <xf numFmtId="0" fontId="46" fillId="0" borderId="104" xfId="0" applyFont="1" applyBorder="1"/>
    <xf numFmtId="0" fontId="54" fillId="0" borderId="41" xfId="0" applyFont="1" applyBorder="1"/>
    <xf numFmtId="0" fontId="54" fillId="0" borderId="19" xfId="0" applyFont="1" applyBorder="1"/>
    <xf numFmtId="0" fontId="54" fillId="0" borderId="21" xfId="0" applyFont="1" applyBorder="1"/>
    <xf numFmtId="0" fontId="54" fillId="0" borderId="0" xfId="0" applyFont="1" applyBorder="1"/>
    <xf numFmtId="0" fontId="54" fillId="0" borderId="22" xfId="0" applyFont="1" applyBorder="1"/>
    <xf numFmtId="0" fontId="54" fillId="0" borderId="15" xfId="0" applyFont="1" applyBorder="1"/>
    <xf numFmtId="0" fontId="54" fillId="0" borderId="26" xfId="0" applyFont="1" applyBorder="1"/>
    <xf numFmtId="0" fontId="7" fillId="26" borderId="105" xfId="0" applyFont="1" applyFill="1" applyBorder="1" applyAlignment="1">
      <alignment horizontal="right" vertical="center" wrapText="1"/>
    </xf>
    <xf numFmtId="0" fontId="8" fillId="34" borderId="106" xfId="0" applyFont="1" applyFill="1" applyBorder="1" applyAlignment="1">
      <alignment horizontal="right" vertical="center" wrapText="1"/>
    </xf>
    <xf numFmtId="0" fontId="54" fillId="0" borderId="17" xfId="0" applyFont="1" applyBorder="1"/>
    <xf numFmtId="2" fontId="54" fillId="0" borderId="0" xfId="0" applyNumberFormat="1" applyFont="1" applyBorder="1" applyAlignment="1">
      <alignment horizontal="center"/>
    </xf>
    <xf numFmtId="0" fontId="54" fillId="88" borderId="93" xfId="0" applyFont="1" applyFill="1" applyBorder="1"/>
    <xf numFmtId="0" fontId="54" fillId="0" borderId="93" xfId="0" applyFont="1" applyBorder="1" applyAlignment="1">
      <alignment horizontal="center"/>
    </xf>
    <xf numFmtId="2" fontId="54" fillId="0" borderId="15" xfId="0" applyNumberFormat="1" applyFont="1" applyBorder="1" applyAlignment="1">
      <alignment horizontal="center"/>
    </xf>
    <xf numFmtId="0" fontId="54" fillId="0" borderId="13" xfId="0" applyFont="1" applyBorder="1"/>
    <xf numFmtId="0" fontId="81" fillId="0" borderId="35" xfId="0" applyFont="1" applyBorder="1"/>
    <xf numFmtId="0" fontId="7" fillId="26" borderId="38" xfId="0" applyFont="1" applyFill="1" applyBorder="1" applyAlignment="1">
      <alignment horizontal="left" vertical="center" wrapText="1"/>
    </xf>
    <xf numFmtId="0" fontId="59" fillId="26" borderId="38" xfId="0" applyFont="1" applyFill="1" applyBorder="1" applyAlignment="1">
      <alignment horizontal="left" vertical="center"/>
    </xf>
    <xf numFmtId="0" fontId="7" fillId="26" borderId="38" xfId="0" applyFont="1" applyFill="1" applyBorder="1" applyAlignment="1">
      <alignment horizontal="center" vertical="center"/>
    </xf>
    <xf numFmtId="165" fontId="54" fillId="0" borderId="19" xfId="0" applyNumberFormat="1" applyFont="1" applyBorder="1"/>
    <xf numFmtId="165" fontId="54" fillId="0" borderId="0" xfId="0" applyNumberFormat="1" applyFont="1" applyBorder="1"/>
    <xf numFmtId="165" fontId="54" fillId="0" borderId="15" xfId="0" applyNumberFormat="1" applyFont="1" applyBorder="1"/>
    <xf numFmtId="165" fontId="54" fillId="0" borderId="31" xfId="0" applyNumberFormat="1" applyFont="1" applyBorder="1"/>
    <xf numFmtId="165" fontId="54" fillId="0" borderId="70" xfId="0" applyNumberFormat="1" applyFont="1" applyBorder="1"/>
    <xf numFmtId="165" fontId="54" fillId="0" borderId="100" xfId="0" applyNumberFormat="1" applyFont="1" applyBorder="1"/>
    <xf numFmtId="172" fontId="0" fillId="0" borderId="0" xfId="0" applyNumberFormat="1" applyFill="1"/>
    <xf numFmtId="172" fontId="0" fillId="0" borderId="0" xfId="0" applyNumberFormat="1" applyFill="1" applyBorder="1"/>
    <xf numFmtId="0" fontId="48" fillId="0" borderId="16" xfId="0" quotePrefix="1" applyFont="1" applyBorder="1" applyAlignment="1">
      <alignment wrapText="1"/>
    </xf>
    <xf numFmtId="0" fontId="48" fillId="0" borderId="12" xfId="0" quotePrefix="1" applyFont="1" applyBorder="1" applyAlignment="1">
      <alignment wrapText="1"/>
    </xf>
    <xf numFmtId="0" fontId="48" fillId="35" borderId="12" xfId="0" applyFont="1" applyFill="1" applyBorder="1" applyAlignment="1">
      <alignment wrapText="1"/>
    </xf>
    <xf numFmtId="0" fontId="49" fillId="35" borderId="13" xfId="0" applyFont="1" applyFill="1" applyBorder="1" applyAlignment="1">
      <alignment horizontal="center" wrapText="1"/>
    </xf>
    <xf numFmtId="0" fontId="55" fillId="0" borderId="22" xfId="0" applyFont="1" applyBorder="1"/>
    <xf numFmtId="167" fontId="49" fillId="0" borderId="17" xfId="0" applyNumberFormat="1" applyFont="1" applyBorder="1" applyAlignment="1">
      <alignment horizontal="center" wrapText="1"/>
    </xf>
    <xf numFmtId="167" fontId="49" fillId="0" borderId="13" xfId="0" applyNumberFormat="1" applyFont="1" applyBorder="1" applyAlignment="1">
      <alignment horizontal="center" wrapText="1"/>
    </xf>
    <xf numFmtId="1" fontId="49" fillId="0" borderId="17" xfId="0" applyNumberFormat="1" applyFont="1" applyBorder="1" applyAlignment="1">
      <alignment horizontal="center" wrapText="1"/>
    </xf>
    <xf numFmtId="1" fontId="49" fillId="0" borderId="13" xfId="0" applyNumberFormat="1" applyFont="1" applyBorder="1" applyAlignment="1">
      <alignment horizontal="center" wrapText="1"/>
    </xf>
    <xf numFmtId="0" fontId="11" fillId="0" borderId="36" xfId="550" applyBorder="1"/>
    <xf numFmtId="0" fontId="0" fillId="0" borderId="41" xfId="0" applyFill="1" applyBorder="1"/>
    <xf numFmtId="0" fontId="0" fillId="0" borderId="21" xfId="0" applyFill="1" applyBorder="1"/>
    <xf numFmtId="0" fontId="0" fillId="0" borderId="42" xfId="0" applyFill="1" applyBorder="1"/>
    <xf numFmtId="0" fontId="54" fillId="88" borderId="0" xfId="0" applyFont="1" applyFill="1" applyBorder="1"/>
    <xf numFmtId="9" fontId="109" fillId="33" borderId="23" xfId="0" applyNumberFormat="1" applyFont="1" applyFill="1" applyBorder="1" applyAlignment="1">
      <alignment horizontal="center" vertical="center"/>
    </xf>
    <xf numFmtId="9" fontId="0" fillId="33" borderId="77" xfId="0" applyNumberFormat="1" applyFill="1" applyBorder="1" applyAlignment="1">
      <alignment horizontal="center" vertical="center"/>
    </xf>
    <xf numFmtId="9" fontId="109" fillId="33" borderId="77" xfId="0" applyNumberFormat="1" applyFont="1" applyFill="1" applyBorder="1" applyAlignment="1">
      <alignment horizontal="center" vertical="center"/>
    </xf>
    <xf numFmtId="9" fontId="0" fillId="33" borderId="25" xfId="0" applyNumberFormat="1" applyFill="1" applyBorder="1" applyAlignment="1">
      <alignment horizontal="center" vertical="center"/>
    </xf>
    <xf numFmtId="0" fontId="0" fillId="0" borderId="15" xfId="0" applyFill="1" applyBorder="1" applyAlignment="1">
      <alignment horizontal="center"/>
    </xf>
    <xf numFmtId="9" fontId="47" fillId="0" borderId="77" xfId="0" applyNumberFormat="1" applyFont="1" applyBorder="1" applyAlignment="1">
      <alignment horizontal="center" vertical="center"/>
    </xf>
    <xf numFmtId="0" fontId="47" fillId="0" borderId="15" xfId="0" applyFont="1" applyBorder="1" applyAlignment="1">
      <alignment horizontal="center"/>
    </xf>
    <xf numFmtId="43" fontId="0" fillId="0" borderId="0" xfId="0" applyNumberFormat="1"/>
    <xf numFmtId="0" fontId="47" fillId="0" borderId="26" xfId="0" applyFont="1" applyFill="1" applyBorder="1" applyAlignment="1">
      <alignment horizontal="center"/>
    </xf>
    <xf numFmtId="165" fontId="47" fillId="0" borderId="26" xfId="0" applyNumberFormat="1" applyFont="1" applyFill="1" applyBorder="1" applyAlignment="1">
      <alignment horizontal="center"/>
    </xf>
    <xf numFmtId="2" fontId="47" fillId="0" borderId="26" xfId="0" applyNumberFormat="1" applyFont="1" applyFill="1" applyBorder="1" applyAlignment="1">
      <alignment horizontal="center"/>
    </xf>
    <xf numFmtId="0" fontId="50" fillId="0" borderId="0" xfId="0" applyFont="1" applyAlignment="1">
      <alignment wrapText="1"/>
    </xf>
    <xf numFmtId="0" fontId="50" fillId="0" borderId="0" xfId="0" applyFont="1" applyAlignment="1">
      <alignment horizontal="center" wrapText="1"/>
    </xf>
    <xf numFmtId="3" fontId="118" fillId="84" borderId="37" xfId="1258" applyFont="1" applyFill="1" applyBorder="1" applyAlignment="1">
      <alignment horizontal="center" vertical="center" wrapText="1"/>
    </xf>
    <xf numFmtId="3" fontId="118" fillId="84" borderId="38" xfId="1258" applyFont="1" applyFill="1" applyBorder="1" applyAlignment="1">
      <alignment horizontal="center" vertical="center" wrapText="1"/>
    </xf>
    <xf numFmtId="3" fontId="118" fillId="84" borderId="39" xfId="1258" applyFont="1" applyFill="1" applyBorder="1" applyAlignment="1">
      <alignment horizontal="center" vertical="center" wrapText="1"/>
    </xf>
    <xf numFmtId="0" fontId="125" fillId="84" borderId="37" xfId="0" applyFont="1" applyFill="1" applyBorder="1" applyAlignment="1">
      <alignment horizontal="center" vertical="center" wrapText="1"/>
    </xf>
    <xf numFmtId="0" fontId="125" fillId="84" borderId="39" xfId="0" applyFont="1" applyFill="1" applyBorder="1" applyAlignment="1">
      <alignment horizontal="center" vertical="center" wrapText="1"/>
    </xf>
    <xf numFmtId="0" fontId="117" fillId="84" borderId="38" xfId="0" applyFont="1" applyFill="1" applyBorder="1" applyAlignment="1">
      <alignment horizontal="center" vertical="center" wrapText="1"/>
    </xf>
    <xf numFmtId="0" fontId="117" fillId="84" borderId="39" xfId="0" applyFont="1" applyFill="1" applyBorder="1" applyAlignment="1">
      <alignment horizontal="center" vertical="center" wrapText="1"/>
    </xf>
    <xf numFmtId="0" fontId="45" fillId="0" borderId="74" xfId="0" applyFont="1" applyBorder="1" applyAlignment="1">
      <alignment textRotation="180" wrapText="1"/>
    </xf>
    <xf numFmtId="0" fontId="45" fillId="0" borderId="80" xfId="0" applyFont="1" applyBorder="1" applyAlignment="1">
      <alignment textRotation="180" wrapText="1"/>
    </xf>
    <xf numFmtId="0" fontId="45" fillId="0" borderId="39" xfId="0" applyFont="1" applyBorder="1" applyAlignment="1">
      <alignment wrapText="1"/>
    </xf>
    <xf numFmtId="0" fontId="45" fillId="0" borderId="31" xfId="0" applyFont="1" applyBorder="1" applyAlignment="1">
      <alignment wrapText="1"/>
    </xf>
    <xf numFmtId="0" fontId="94" fillId="0" borderId="75" xfId="0" applyFont="1" applyBorder="1" applyAlignment="1">
      <alignment horizontal="center" vertical="center" wrapText="1"/>
    </xf>
    <xf numFmtId="0" fontId="94" fillId="0" borderId="76" xfId="0" applyFont="1" applyBorder="1" applyAlignment="1">
      <alignment horizontal="center" vertical="center" wrapText="1"/>
    </xf>
    <xf numFmtId="0" fontId="45" fillId="0" borderId="1" xfId="0" applyFont="1" applyBorder="1" applyAlignment="1">
      <alignment wrapText="1"/>
    </xf>
    <xf numFmtId="0" fontId="45" fillId="0" borderId="81" xfId="0" applyFont="1" applyBorder="1" applyAlignment="1">
      <alignment wrapText="1"/>
    </xf>
    <xf numFmtId="0" fontId="94" fillId="0" borderId="79" xfId="0" applyFont="1" applyBorder="1" applyAlignment="1">
      <alignment horizontal="center" vertical="center" textRotation="180" wrapText="1"/>
    </xf>
    <xf numFmtId="0" fontId="94" fillId="0" borderId="80" xfId="0" applyFont="1" applyBorder="1" applyAlignment="1">
      <alignment horizontal="center" vertical="center" textRotation="180" wrapText="1"/>
    </xf>
    <xf numFmtId="0" fontId="94" fillId="0" borderId="83" xfId="0" applyFont="1" applyBorder="1" applyAlignment="1">
      <alignment horizontal="center" vertical="center" textRotation="180" wrapText="1"/>
    </xf>
    <xf numFmtId="0" fontId="94" fillId="0" borderId="39" xfId="0" applyFont="1" applyBorder="1" applyAlignment="1">
      <alignment vertical="center" wrapText="1"/>
    </xf>
    <xf numFmtId="0" fontId="94" fillId="0" borderId="1" xfId="0" applyFont="1" applyBorder="1" applyAlignment="1">
      <alignment vertical="center" wrapText="1"/>
    </xf>
    <xf numFmtId="0" fontId="45" fillId="0" borderId="28" xfId="0" applyFont="1" applyBorder="1" applyAlignment="1">
      <alignment wrapText="1"/>
    </xf>
    <xf numFmtId="0" fontId="50" fillId="0" borderId="35" xfId="0" applyFont="1" applyBorder="1" applyAlignment="1">
      <alignment horizontal="center" wrapText="1"/>
    </xf>
    <xf numFmtId="0" fontId="50" fillId="0" borderId="17"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94" fillId="0" borderId="33" xfId="0" applyFont="1" applyBorder="1" applyAlignment="1">
      <alignment horizontal="center" vertical="center" wrapText="1"/>
    </xf>
    <xf numFmtId="0" fontId="94" fillId="0" borderId="29" xfId="0" applyFont="1" applyBorder="1" applyAlignment="1">
      <alignment horizontal="center" vertical="center" wrapText="1"/>
    </xf>
    <xf numFmtId="0" fontId="94" fillId="0" borderId="35" xfId="0" applyFont="1" applyBorder="1" applyAlignment="1">
      <alignment horizontal="center" vertical="center" wrapText="1"/>
    </xf>
    <xf numFmtId="0" fontId="94" fillId="0" borderId="17" xfId="0" applyFont="1" applyBorder="1" applyAlignment="1">
      <alignment horizontal="center" vertical="center" wrapText="1"/>
    </xf>
    <xf numFmtId="0" fontId="94" fillId="0" borderId="101" xfId="0" applyFont="1" applyBorder="1" applyAlignment="1">
      <alignment horizontal="center" vertical="center" wrapText="1"/>
    </xf>
    <xf numFmtId="0" fontId="94" fillId="0" borderId="102" xfId="0" applyFont="1" applyBorder="1" applyAlignment="1">
      <alignment horizontal="center" vertical="center" wrapText="1"/>
    </xf>
    <xf numFmtId="0" fontId="95" fillId="33" borderId="30" xfId="0" applyFont="1" applyFill="1" applyBorder="1" applyAlignment="1">
      <alignment vertical="center" wrapText="1"/>
    </xf>
    <xf numFmtId="0" fontId="0" fillId="33" borderId="12" xfId="0" applyFill="1" applyBorder="1" applyAlignment="1">
      <alignment vertical="center" wrapText="1"/>
    </xf>
    <xf numFmtId="0" fontId="95" fillId="33" borderId="30" xfId="0" applyFont="1" applyFill="1" applyBorder="1" applyAlignment="1">
      <alignment horizontal="center" vertical="center" wrapText="1"/>
    </xf>
    <xf numFmtId="0" fontId="0" fillId="33" borderId="12" xfId="0" applyFill="1" applyBorder="1" applyAlignment="1">
      <alignment horizontal="center" vertical="center" wrapText="1"/>
    </xf>
    <xf numFmtId="0" fontId="62" fillId="89" borderId="77" xfId="0" applyFont="1" applyFill="1" applyBorder="1" applyAlignment="1">
      <alignment horizontal="center" vertical="top" wrapText="1"/>
    </xf>
    <xf numFmtId="0" fontId="62" fillId="89" borderId="78" xfId="0" applyFont="1" applyFill="1" applyBorder="1" applyAlignment="1">
      <alignment horizontal="center" vertical="top" wrapText="1"/>
    </xf>
    <xf numFmtId="0" fontId="95" fillId="89" borderId="30" xfId="0" applyFont="1" applyFill="1" applyBorder="1" applyAlignment="1">
      <alignment horizontal="center" vertical="center" wrapText="1"/>
    </xf>
    <xf numFmtId="0" fontId="0" fillId="89" borderId="12" xfId="0" applyFill="1" applyBorder="1" applyAlignment="1">
      <alignment horizontal="center" vertical="center" wrapText="1"/>
    </xf>
    <xf numFmtId="0" fontId="46" fillId="84" borderId="23" xfId="1258" applyNumberFormat="1" applyFont="1" applyFill="1" applyBorder="1" applyAlignment="1">
      <alignment horizontal="left" vertical="center" wrapText="1"/>
    </xf>
    <xf numFmtId="0" fontId="92" fillId="84" borderId="24" xfId="0" applyFont="1" applyFill="1" applyBorder="1" applyAlignment="1">
      <alignment horizontal="left" vertical="center" wrapText="1"/>
    </xf>
    <xf numFmtId="0" fontId="92" fillId="84" borderId="25" xfId="0" applyFont="1" applyFill="1" applyBorder="1" applyAlignment="1">
      <alignment horizontal="left" vertical="center" wrapText="1"/>
    </xf>
    <xf numFmtId="9" fontId="45" fillId="0" borderId="88" xfId="0" applyNumberFormat="1" applyFont="1" applyBorder="1" applyAlignment="1">
      <alignment horizontal="center" vertical="center"/>
    </xf>
    <xf numFmtId="9" fontId="45" fillId="0" borderId="89" xfId="0" applyNumberFormat="1" applyFont="1" applyBorder="1" applyAlignment="1">
      <alignment horizontal="center" vertical="center"/>
    </xf>
    <xf numFmtId="9" fontId="45" fillId="0" borderId="91" xfId="0" applyNumberFormat="1" applyFont="1" applyBorder="1" applyAlignment="1">
      <alignment horizontal="center" vertical="center"/>
    </xf>
    <xf numFmtId="9" fontId="45" fillId="0" borderId="97" xfId="0" applyNumberFormat="1" applyFont="1" applyBorder="1" applyAlignment="1">
      <alignment horizontal="center" vertical="center"/>
    </xf>
    <xf numFmtId="9" fontId="45" fillId="0" borderId="98" xfId="0" applyNumberFormat="1" applyFont="1" applyBorder="1" applyAlignment="1">
      <alignment horizontal="center" vertical="center"/>
    </xf>
    <xf numFmtId="9" fontId="45" fillId="0" borderId="99" xfId="0" applyNumberFormat="1" applyFont="1" applyBorder="1" applyAlignment="1">
      <alignment horizontal="center" vertical="center"/>
    </xf>
    <xf numFmtId="0" fontId="96" fillId="86" borderId="30" xfId="0" applyFont="1" applyFill="1" applyBorder="1" applyAlignment="1">
      <alignment horizontal="center" vertical="center" textRotation="180" wrapText="1"/>
    </xf>
    <xf numFmtId="0" fontId="96" fillId="86" borderId="16" xfId="0" applyFont="1" applyFill="1" applyBorder="1" applyAlignment="1">
      <alignment horizontal="center" vertical="center" textRotation="180" wrapText="1"/>
    </xf>
    <xf numFmtId="0" fontId="96" fillId="86" borderId="12" xfId="0" applyFont="1" applyFill="1" applyBorder="1" applyAlignment="1">
      <alignment horizontal="center" vertical="center" textRotation="180" wrapText="1"/>
    </xf>
    <xf numFmtId="0" fontId="94" fillId="0" borderId="30" xfId="0" applyFont="1" applyBorder="1" applyAlignment="1">
      <alignment horizontal="center" vertical="center" wrapText="1"/>
    </xf>
    <xf numFmtId="0" fontId="94" fillId="0" borderId="16" xfId="0" applyFont="1" applyBorder="1" applyAlignment="1">
      <alignment horizontal="center" vertical="center" wrapText="1"/>
    </xf>
    <xf numFmtId="0" fontId="94" fillId="0" borderId="12" xfId="0" applyFont="1" applyBorder="1" applyAlignment="1">
      <alignment horizontal="center" vertical="center" wrapText="1"/>
    </xf>
    <xf numFmtId="9" fontId="45" fillId="0" borderId="87" xfId="0" applyNumberFormat="1" applyFont="1" applyBorder="1" applyAlignment="1">
      <alignment horizontal="center" vertical="center"/>
    </xf>
    <xf numFmtId="9" fontId="45" fillId="0" borderId="27" xfId="0" applyNumberFormat="1" applyFont="1" applyBorder="1" applyAlignment="1">
      <alignment horizontal="center" vertical="center"/>
    </xf>
    <xf numFmtId="9" fontId="45" fillId="0" borderId="85" xfId="0" applyNumberFormat="1" applyFont="1" applyBorder="1" applyAlignment="1">
      <alignment horizontal="center" vertical="center"/>
    </xf>
    <xf numFmtId="0" fontId="45" fillId="0" borderId="27" xfId="0" applyFont="1" applyBorder="1" applyAlignment="1">
      <alignment horizontal="center" vertical="center"/>
    </xf>
    <xf numFmtId="0" fontId="45" fillId="0" borderId="85" xfId="0" applyFont="1" applyBorder="1" applyAlignment="1">
      <alignment horizontal="center" vertical="center"/>
    </xf>
    <xf numFmtId="0" fontId="45" fillId="0" borderId="89" xfId="0" applyFont="1" applyBorder="1" applyAlignment="1">
      <alignment horizontal="center" vertical="center"/>
    </xf>
    <xf numFmtId="0" fontId="45" fillId="0" borderId="91" xfId="0" applyFont="1" applyBorder="1" applyAlignment="1">
      <alignment horizontal="center" vertical="center"/>
    </xf>
    <xf numFmtId="0" fontId="94" fillId="0" borderId="28" xfId="0" applyFont="1" applyBorder="1" applyAlignment="1">
      <alignment vertical="center" wrapText="1"/>
    </xf>
    <xf numFmtId="0" fontId="94" fillId="0" borderId="85" xfId="0" applyFont="1" applyBorder="1" applyAlignment="1">
      <alignment vertical="center" wrapText="1"/>
    </xf>
    <xf numFmtId="3" fontId="96" fillId="86" borderId="30" xfId="0" applyNumberFormat="1" applyFont="1" applyFill="1" applyBorder="1" applyAlignment="1">
      <alignment horizontal="center" vertical="center" textRotation="180" wrapText="1"/>
    </xf>
    <xf numFmtId="3" fontId="46" fillId="84" borderId="23" xfId="1258" applyFont="1" applyFill="1" applyBorder="1" applyAlignment="1">
      <alignment horizontal="left" vertical="center" wrapText="1"/>
    </xf>
    <xf numFmtId="0" fontId="95" fillId="84" borderId="24" xfId="0" applyFont="1" applyFill="1" applyBorder="1" applyAlignment="1">
      <alignment horizontal="left" vertical="center" wrapText="1"/>
    </xf>
    <xf numFmtId="0" fontId="95" fillId="84" borderId="25" xfId="0" applyFont="1" applyFill="1" applyBorder="1" applyAlignment="1">
      <alignment horizontal="left" vertical="center" wrapText="1"/>
    </xf>
    <xf numFmtId="0" fontId="95" fillId="84" borderId="30" xfId="0" applyFont="1" applyFill="1" applyBorder="1" applyAlignment="1">
      <alignment horizontal="center" vertical="center" wrapText="1"/>
    </xf>
    <xf numFmtId="0" fontId="0" fillId="0" borderId="12" xfId="0" applyBorder="1" applyAlignment="1">
      <alignment horizontal="center" vertical="center" wrapText="1"/>
    </xf>
    <xf numFmtId="0" fontId="62" fillId="37" borderId="77" xfId="0" applyFont="1" applyFill="1" applyBorder="1" applyAlignment="1">
      <alignment horizontal="center" vertical="top" wrapText="1"/>
    </xf>
    <xf numFmtId="0" fontId="62" fillId="37" borderId="78" xfId="0" applyFont="1" applyFill="1" applyBorder="1" applyAlignment="1">
      <alignment horizontal="center" vertical="top" wrapText="1"/>
    </xf>
    <xf numFmtId="0" fontId="0" fillId="0" borderId="27" xfId="0" applyBorder="1"/>
    <xf numFmtId="0" fontId="0" fillId="0" borderId="85" xfId="0" applyBorder="1"/>
    <xf numFmtId="0" fontId="0" fillId="0" borderId="16" xfId="0" applyBorder="1"/>
    <xf numFmtId="0" fontId="0" fillId="0" borderId="12" xfId="0" applyBorder="1"/>
    <xf numFmtId="0" fontId="46" fillId="0" borderId="30" xfId="0" applyFont="1" applyBorder="1" applyAlignment="1">
      <alignment horizontal="center" vertical="center" wrapText="1"/>
    </xf>
    <xf numFmtId="0" fontId="46" fillId="0" borderId="16" xfId="0" applyFont="1" applyBorder="1" applyAlignment="1">
      <alignment horizontal="center" vertical="center" wrapText="1"/>
    </xf>
    <xf numFmtId="0" fontId="46" fillId="0" borderId="12" xfId="0" applyFont="1" applyBorder="1" applyAlignment="1">
      <alignment horizontal="center" vertical="center" wrapText="1"/>
    </xf>
    <xf numFmtId="0" fontId="62" fillId="81" borderId="77" xfId="0" applyFont="1" applyFill="1" applyBorder="1" applyAlignment="1">
      <alignment horizontal="center" vertical="top" wrapText="1"/>
    </xf>
    <xf numFmtId="0" fontId="62" fillId="81" borderId="78" xfId="0" applyFont="1" applyFill="1" applyBorder="1" applyAlignment="1">
      <alignment horizontal="center" vertical="top" wrapText="1"/>
    </xf>
    <xf numFmtId="9" fontId="128" fillId="0" borderId="87" xfId="0" applyNumberFormat="1" applyFont="1" applyBorder="1" applyAlignment="1">
      <alignment horizontal="center" vertical="center"/>
    </xf>
    <xf numFmtId="0" fontId="128" fillId="0" borderId="27" xfId="0" applyFont="1" applyBorder="1" applyAlignment="1">
      <alignment horizontal="center" vertical="center"/>
    </xf>
    <xf numFmtId="0" fontId="128" fillId="0" borderId="85" xfId="0" applyFont="1" applyBorder="1" applyAlignment="1">
      <alignment horizontal="center" vertical="center"/>
    </xf>
    <xf numFmtId="9" fontId="128" fillId="0" borderId="97" xfId="0" applyNumberFormat="1" applyFont="1" applyBorder="1" applyAlignment="1">
      <alignment horizontal="center" vertical="center"/>
    </xf>
    <xf numFmtId="9" fontId="128" fillId="0" borderId="98" xfId="0" applyNumberFormat="1" applyFont="1" applyBorder="1" applyAlignment="1">
      <alignment horizontal="center" vertical="center"/>
    </xf>
    <xf numFmtId="9" fontId="128" fillId="0" borderId="99" xfId="0" applyNumberFormat="1" applyFont="1" applyBorder="1" applyAlignment="1">
      <alignment horizontal="center" vertical="center"/>
    </xf>
    <xf numFmtId="0" fontId="62" fillId="85" borderId="77" xfId="0" applyFont="1" applyFill="1" applyBorder="1" applyAlignment="1">
      <alignment horizontal="center" vertical="top" wrapText="1"/>
    </xf>
    <xf numFmtId="0" fontId="62" fillId="85" borderId="78" xfId="0" applyFont="1" applyFill="1" applyBorder="1" applyAlignment="1">
      <alignment horizontal="center" vertical="top" wrapText="1"/>
    </xf>
    <xf numFmtId="0" fontId="95" fillId="85" borderId="30" xfId="0" applyFont="1" applyFill="1" applyBorder="1" applyAlignment="1">
      <alignment horizontal="center" vertical="center" wrapText="1"/>
    </xf>
    <xf numFmtId="0" fontId="0" fillId="85" borderId="12" xfId="0" applyFill="1" applyBorder="1" applyAlignment="1">
      <alignment horizontal="center" vertical="center" wrapText="1"/>
    </xf>
    <xf numFmtId="9" fontId="45" fillId="33" borderId="87" xfId="0" applyNumberFormat="1" applyFont="1" applyFill="1" applyBorder="1" applyAlignment="1">
      <alignment horizontal="center" vertical="center"/>
    </xf>
    <xf numFmtId="9" fontId="45" fillId="33" borderId="27" xfId="0" applyNumberFormat="1" applyFont="1" applyFill="1" applyBorder="1" applyAlignment="1">
      <alignment horizontal="center" vertical="center"/>
    </xf>
    <xf numFmtId="9" fontId="45" fillId="33" borderId="85" xfId="0" applyNumberFormat="1" applyFont="1" applyFill="1" applyBorder="1" applyAlignment="1">
      <alignment horizontal="center" vertical="center"/>
    </xf>
    <xf numFmtId="9" fontId="45" fillId="33" borderId="97" xfId="0" applyNumberFormat="1" applyFont="1" applyFill="1" applyBorder="1" applyAlignment="1">
      <alignment horizontal="center" vertical="center"/>
    </xf>
    <xf numFmtId="9" fontId="45" fillId="33" borderId="98" xfId="0" applyNumberFormat="1" applyFont="1" applyFill="1" applyBorder="1" applyAlignment="1">
      <alignment horizontal="center" vertical="center"/>
    </xf>
    <xf numFmtId="9" fontId="45" fillId="33" borderId="99" xfId="0" applyNumberFormat="1" applyFont="1" applyFill="1" applyBorder="1" applyAlignment="1">
      <alignment horizontal="center" vertical="center"/>
    </xf>
    <xf numFmtId="0" fontId="0" fillId="33" borderId="27" xfId="0" applyFill="1" applyBorder="1"/>
    <xf numFmtId="0" fontId="0" fillId="33" borderId="85" xfId="0" applyFill="1" applyBorder="1"/>
    <xf numFmtId="0" fontId="92" fillId="33" borderId="41" xfId="0" applyFont="1" applyFill="1" applyBorder="1" applyAlignment="1">
      <alignment horizontal="center" vertical="center" wrapText="1"/>
    </xf>
    <xf numFmtId="0" fontId="92" fillId="33" borderId="19" xfId="0" applyFont="1" applyFill="1" applyBorder="1" applyAlignment="1">
      <alignment horizontal="center" vertical="center" wrapText="1"/>
    </xf>
    <xf numFmtId="0" fontId="92" fillId="33" borderId="31" xfId="0" applyFont="1" applyFill="1" applyBorder="1" applyAlignment="1">
      <alignment horizontal="center" vertical="center" wrapText="1"/>
    </xf>
    <xf numFmtId="0" fontId="92" fillId="33" borderId="21" xfId="0" applyFont="1" applyFill="1" applyBorder="1" applyAlignment="1">
      <alignment horizontal="center" vertical="center" wrapText="1"/>
    </xf>
    <xf numFmtId="0" fontId="92" fillId="33" borderId="0" xfId="0" applyFont="1" applyFill="1" applyBorder="1" applyAlignment="1">
      <alignment horizontal="center" vertical="center" wrapText="1"/>
    </xf>
    <xf numFmtId="0" fontId="92" fillId="33" borderId="70" xfId="0" applyFont="1" applyFill="1" applyBorder="1" applyAlignment="1">
      <alignment horizontal="center" vertical="center" wrapText="1"/>
    </xf>
    <xf numFmtId="0" fontId="92" fillId="33" borderId="22" xfId="0" applyFont="1" applyFill="1" applyBorder="1" applyAlignment="1">
      <alignment horizontal="center" vertical="center" wrapText="1"/>
    </xf>
    <xf numFmtId="0" fontId="92" fillId="33" borderId="15" xfId="0" applyFont="1" applyFill="1" applyBorder="1" applyAlignment="1">
      <alignment horizontal="center" vertical="center" wrapText="1"/>
    </xf>
    <xf numFmtId="0" fontId="92" fillId="33" borderId="100" xfId="0" applyFont="1" applyFill="1" applyBorder="1" applyAlignment="1">
      <alignment horizontal="center" vertical="center" wrapText="1"/>
    </xf>
    <xf numFmtId="0" fontId="99" fillId="85" borderId="37" xfId="0" applyFont="1" applyFill="1" applyBorder="1" applyAlignment="1">
      <alignment horizontal="center" vertical="center"/>
    </xf>
    <xf numFmtId="0" fontId="99" fillId="85" borderId="38" xfId="0" applyFont="1" applyFill="1" applyBorder="1" applyAlignment="1">
      <alignment horizontal="center" vertical="center"/>
    </xf>
    <xf numFmtId="0" fontId="99" fillId="85" borderId="39" xfId="0" applyFont="1" applyFill="1" applyBorder="1" applyAlignment="1">
      <alignment horizontal="center" vertical="center"/>
    </xf>
    <xf numFmtId="0" fontId="95" fillId="33" borderId="12" xfId="0" applyFont="1" applyFill="1" applyBorder="1" applyAlignment="1">
      <alignment vertical="center" wrapText="1"/>
    </xf>
    <xf numFmtId="0" fontId="95" fillId="33" borderId="12" xfId="0" applyFont="1" applyFill="1" applyBorder="1" applyAlignment="1">
      <alignment horizontal="center" vertical="center" wrapText="1"/>
    </xf>
    <xf numFmtId="0" fontId="62" fillId="85" borderId="23" xfId="0" applyFont="1" applyFill="1" applyBorder="1" applyAlignment="1">
      <alignment horizontal="center" vertical="top" wrapText="1"/>
    </xf>
    <xf numFmtId="0" fontId="95" fillId="85" borderId="12" xfId="0" applyFont="1" applyFill="1" applyBorder="1" applyAlignment="1">
      <alignment horizontal="center" vertical="center" wrapText="1"/>
    </xf>
    <xf numFmtId="0" fontId="110" fillId="37" borderId="23" xfId="1258" applyNumberFormat="1" applyFont="1" applyBorder="1" applyAlignment="1">
      <alignment horizontal="left"/>
    </xf>
    <xf numFmtId="0" fontId="110" fillId="37" borderId="24" xfId="1258" applyNumberFormat="1" applyFont="1" applyBorder="1" applyAlignment="1">
      <alignment horizontal="left"/>
    </xf>
    <xf numFmtId="0" fontId="110" fillId="37" borderId="25" xfId="1258" applyNumberFormat="1" applyFont="1" applyBorder="1" applyAlignment="1">
      <alignment horizontal="left"/>
    </xf>
    <xf numFmtId="0" fontId="62" fillId="85" borderId="25" xfId="0" applyFont="1" applyFill="1" applyBorder="1" applyAlignment="1">
      <alignment horizontal="center" vertical="top" wrapText="1"/>
    </xf>
    <xf numFmtId="167" fontId="92" fillId="33" borderId="41" xfId="0" applyNumberFormat="1" applyFont="1" applyFill="1" applyBorder="1" applyAlignment="1">
      <alignment horizontal="center" vertical="center" wrapText="1"/>
    </xf>
    <xf numFmtId="167" fontId="92" fillId="33" borderId="19" xfId="0" applyNumberFormat="1" applyFont="1" applyFill="1" applyBorder="1" applyAlignment="1">
      <alignment horizontal="center" vertical="center" wrapText="1"/>
    </xf>
    <xf numFmtId="167" fontId="92" fillId="33" borderId="31" xfId="0" applyNumberFormat="1" applyFont="1" applyFill="1" applyBorder="1" applyAlignment="1">
      <alignment horizontal="center" vertical="center" wrapText="1"/>
    </xf>
    <xf numFmtId="167" fontId="92" fillId="33" borderId="21" xfId="0" applyNumberFormat="1" applyFont="1" applyFill="1" applyBorder="1" applyAlignment="1">
      <alignment horizontal="center" vertical="center" wrapText="1"/>
    </xf>
    <xf numFmtId="167" fontId="92" fillId="33" borderId="0" xfId="0" applyNumberFormat="1" applyFont="1" applyFill="1" applyBorder="1" applyAlignment="1">
      <alignment horizontal="center" vertical="center" wrapText="1"/>
    </xf>
    <xf numFmtId="167" fontId="92" fillId="33" borderId="70" xfId="0" applyNumberFormat="1" applyFont="1" applyFill="1" applyBorder="1" applyAlignment="1">
      <alignment horizontal="center" vertical="center" wrapText="1"/>
    </xf>
    <xf numFmtId="0" fontId="0" fillId="0" borderId="89" xfId="0" applyBorder="1"/>
    <xf numFmtId="0" fontId="0" fillId="0" borderId="91" xfId="0" applyBorder="1"/>
    <xf numFmtId="3" fontId="110" fillId="37" borderId="23" xfId="1258" applyFont="1" applyBorder="1" applyAlignment="1">
      <alignment horizontal="left"/>
    </xf>
    <xf numFmtId="0" fontId="99" fillId="37" borderId="24" xfId="0" applyFont="1" applyFill="1" applyBorder="1" applyAlignment="1">
      <alignment horizontal="left"/>
    </xf>
    <xf numFmtId="0" fontId="99" fillId="37" borderId="25" xfId="0" applyFont="1" applyFill="1" applyBorder="1" applyAlignment="1">
      <alignment horizontal="left"/>
    </xf>
    <xf numFmtId="0" fontId="45" fillId="0" borderId="23" xfId="0" applyFont="1" applyBorder="1" applyAlignment="1">
      <alignment horizontal="center"/>
    </xf>
    <xf numFmtId="0" fontId="45" fillId="0" borderId="25" xfId="0" applyFont="1" applyBorder="1" applyAlignment="1">
      <alignment horizontal="center"/>
    </xf>
    <xf numFmtId="0" fontId="92" fillId="33" borderId="0" xfId="0" applyFont="1" applyFill="1" applyAlignment="1">
      <alignment horizontal="center" vertical="center" wrapText="1"/>
    </xf>
    <xf numFmtId="0" fontId="45" fillId="33" borderId="27" xfId="0" applyFont="1" applyFill="1" applyBorder="1" applyAlignment="1">
      <alignment horizontal="center" vertical="center"/>
    </xf>
    <xf numFmtId="0" fontId="45" fillId="33" borderId="85" xfId="0" applyFont="1" applyFill="1" applyBorder="1" applyAlignment="1">
      <alignment horizontal="center" vertical="center"/>
    </xf>
    <xf numFmtId="9" fontId="45" fillId="33" borderId="88" xfId="0" applyNumberFormat="1" applyFont="1" applyFill="1" applyBorder="1" applyAlignment="1">
      <alignment horizontal="center" vertical="center"/>
    </xf>
    <xf numFmtId="0" fontId="45" fillId="33" borderId="89" xfId="0" applyFont="1" applyFill="1" applyBorder="1" applyAlignment="1">
      <alignment horizontal="center" vertical="center"/>
    </xf>
    <xf numFmtId="0" fontId="45" fillId="33" borderId="91" xfId="0" applyFont="1" applyFill="1" applyBorder="1" applyAlignment="1">
      <alignment horizontal="center" vertical="center"/>
    </xf>
    <xf numFmtId="9" fontId="45" fillId="33" borderId="89" xfId="0" applyNumberFormat="1" applyFont="1" applyFill="1" applyBorder="1" applyAlignment="1">
      <alignment horizontal="center" vertical="center"/>
    </xf>
    <xf numFmtId="9" fontId="45" fillId="33" borderId="91" xfId="0" applyNumberFormat="1" applyFont="1" applyFill="1" applyBorder="1" applyAlignment="1">
      <alignment horizontal="center" vertical="center"/>
    </xf>
    <xf numFmtId="0" fontId="50" fillId="0" borderId="30" xfId="0" applyFont="1" applyBorder="1" applyAlignment="1">
      <alignment wrapText="1"/>
    </xf>
    <xf numFmtId="0" fontId="50" fillId="0" borderId="12" xfId="0" applyFont="1" applyBorder="1" applyAlignment="1">
      <alignment wrapText="1"/>
    </xf>
    <xf numFmtId="0" fontId="50" fillId="0" borderId="33" xfId="0" applyFont="1" applyBorder="1" applyAlignment="1">
      <alignment horizontal="center" wrapText="1"/>
    </xf>
    <xf numFmtId="0" fontId="50" fillId="0" borderId="34" xfId="0" applyFont="1" applyBorder="1" applyAlignment="1">
      <alignment horizontal="center" wrapText="1"/>
    </xf>
    <xf numFmtId="0" fontId="50" fillId="0" borderId="29" xfId="0" applyFont="1" applyBorder="1" applyAlignment="1">
      <alignment horizontal="center" wrapText="1"/>
    </xf>
    <xf numFmtId="0" fontId="50" fillId="0" borderId="23" xfId="0" applyFont="1" applyBorder="1" applyAlignment="1">
      <alignment horizontal="center" wrapText="1"/>
    </xf>
    <xf numFmtId="0" fontId="50" fillId="0" borderId="24" xfId="0" applyFont="1" applyBorder="1" applyAlignment="1">
      <alignment horizontal="center" wrapText="1"/>
    </xf>
    <xf numFmtId="0" fontId="50" fillId="0" borderId="25" xfId="0" applyFont="1" applyBorder="1" applyAlignment="1">
      <alignment horizontal="center" wrapText="1"/>
    </xf>
    <xf numFmtId="0" fontId="50" fillId="0" borderId="59" xfId="0" applyFont="1" applyBorder="1" applyAlignment="1">
      <alignment wrapText="1"/>
    </xf>
    <xf numFmtId="0" fontId="50" fillId="0" borderId="58" xfId="0" applyFont="1" applyBorder="1" applyAlignment="1">
      <alignment wrapText="1"/>
    </xf>
    <xf numFmtId="0" fontId="50" fillId="0" borderId="0" xfId="0" applyFont="1" applyBorder="1" applyAlignment="1">
      <alignment horizontal="center" wrapText="1"/>
    </xf>
    <xf numFmtId="0" fontId="50" fillId="0" borderId="37" xfId="0" applyFont="1" applyBorder="1" applyAlignment="1">
      <alignment wrapText="1"/>
    </xf>
    <xf numFmtId="0" fontId="50" fillId="0" borderId="41" xfId="0" applyFont="1" applyBorder="1" applyAlignment="1">
      <alignment horizontal="center" wrapText="1"/>
    </xf>
    <xf numFmtId="0" fontId="50" fillId="0" borderId="19" xfId="0" applyFont="1" applyBorder="1" applyAlignment="1">
      <alignment horizontal="center" wrapText="1"/>
    </xf>
    <xf numFmtId="0" fontId="50" fillId="0" borderId="31" xfId="0" applyFont="1" applyBorder="1" applyAlignment="1">
      <alignment horizontal="center" wrapText="1"/>
    </xf>
    <xf numFmtId="0" fontId="50" fillId="0" borderId="42" xfId="0" applyFont="1" applyBorder="1" applyAlignment="1">
      <alignment horizontal="center" wrapText="1"/>
    </xf>
    <xf numFmtId="0" fontId="50" fillId="0" borderId="36" xfId="0" applyFont="1" applyBorder="1" applyAlignment="1">
      <alignment horizontal="center" wrapText="1"/>
    </xf>
    <xf numFmtId="0" fontId="50" fillId="0" borderId="40" xfId="0" applyFont="1" applyBorder="1" applyAlignment="1">
      <alignment horizontal="center" wrapText="1"/>
    </xf>
    <xf numFmtId="0" fontId="48" fillId="0" borderId="34"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15" xfId="0" applyFont="1" applyBorder="1" applyAlignment="1">
      <alignment horizontal="center" vertical="center" wrapText="1"/>
    </xf>
    <xf numFmtId="0" fontId="50" fillId="0" borderId="16" xfId="0" applyFont="1" applyBorder="1" applyAlignment="1">
      <alignment wrapText="1"/>
    </xf>
    <xf numFmtId="0" fontId="48" fillId="0" borderId="33" xfId="0" applyFont="1" applyBorder="1" applyAlignment="1">
      <alignment vertical="center" wrapText="1"/>
    </xf>
    <xf numFmtId="0" fontId="48" fillId="0" borderId="34" xfId="0" applyFont="1" applyBorder="1" applyAlignment="1">
      <alignment vertical="center" wrapText="1"/>
    </xf>
    <xf numFmtId="0" fontId="48" fillId="0" borderId="29" xfId="0" applyFont="1" applyBorder="1" applyAlignment="1">
      <alignment vertical="center" wrapText="1"/>
    </xf>
    <xf numFmtId="0" fontId="48" fillId="0" borderId="35"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50" fillId="0" borderId="24" xfId="0" applyFont="1" applyBorder="1" applyAlignment="1">
      <alignment horizontal="center" vertical="top" wrapText="1"/>
    </xf>
    <xf numFmtId="0" fontId="50" fillId="0" borderId="25" xfId="0" applyFont="1" applyBorder="1" applyAlignment="1">
      <alignment horizontal="center" vertical="top" wrapText="1"/>
    </xf>
    <xf numFmtId="0" fontId="50" fillId="0" borderId="23" xfId="0" applyFont="1" applyBorder="1" applyAlignment="1">
      <alignment horizontal="center" vertical="top" wrapText="1"/>
    </xf>
    <xf numFmtId="0" fontId="48" fillId="0" borderId="24" xfId="0" applyFont="1" applyFill="1" applyBorder="1" applyAlignment="1">
      <alignment horizontal="center" vertical="top" wrapText="1"/>
    </xf>
    <xf numFmtId="0" fontId="48" fillId="0" borderId="25" xfId="0" applyFont="1" applyFill="1" applyBorder="1" applyAlignment="1">
      <alignment horizontal="center"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62" fillId="37" borderId="1" xfId="0" applyFont="1" applyFill="1" applyBorder="1" applyAlignment="1">
      <alignment horizontal="center" vertical="top" wrapText="1"/>
    </xf>
    <xf numFmtId="0" fontId="0" fillId="37" borderId="1" xfId="0" applyFill="1" applyBorder="1" applyAlignment="1">
      <alignment horizontal="center" vertical="top" wrapText="1"/>
    </xf>
    <xf numFmtId="0" fontId="82" fillId="37" borderId="1" xfId="0" applyFont="1" applyFill="1" applyBorder="1" applyAlignment="1">
      <alignment horizontal="center" vertical="top" wrapText="1"/>
    </xf>
    <xf numFmtId="0" fontId="62" fillId="37" borderId="1" xfId="0" applyFont="1" applyFill="1" applyBorder="1" applyAlignment="1">
      <alignment vertical="top" wrapText="1"/>
    </xf>
    <xf numFmtId="0" fontId="82" fillId="37" borderId="41" xfId="0" applyFont="1" applyFill="1" applyBorder="1" applyAlignment="1">
      <alignment horizontal="center" vertical="center" wrapText="1"/>
    </xf>
    <xf numFmtId="0" fontId="82" fillId="37" borderId="19" xfId="0" applyFont="1" applyFill="1" applyBorder="1" applyAlignment="1">
      <alignment horizontal="center" vertical="center" wrapText="1"/>
    </xf>
    <xf numFmtId="0" fontId="82" fillId="37" borderId="31" xfId="0" applyFont="1" applyFill="1" applyBorder="1" applyAlignment="1">
      <alignment horizontal="center" vertical="center" wrapText="1"/>
    </xf>
    <xf numFmtId="0" fontId="82" fillId="37" borderId="21" xfId="0" applyFont="1" applyFill="1" applyBorder="1" applyAlignment="1">
      <alignment horizontal="center" vertical="center" wrapText="1"/>
    </xf>
    <xf numFmtId="0" fontId="82" fillId="37" borderId="0" xfId="0" applyFont="1" applyFill="1" applyBorder="1" applyAlignment="1">
      <alignment horizontal="center" vertical="center" wrapText="1"/>
    </xf>
    <xf numFmtId="0" fontId="82" fillId="37" borderId="70" xfId="0" applyFont="1" applyFill="1" applyBorder="1" applyAlignment="1">
      <alignment horizontal="center" vertical="center" wrapText="1"/>
    </xf>
    <xf numFmtId="0" fontId="82" fillId="37" borderId="42" xfId="0" applyFont="1" applyFill="1" applyBorder="1" applyAlignment="1">
      <alignment horizontal="center" vertical="center" wrapText="1"/>
    </xf>
    <xf numFmtId="0" fontId="82" fillId="37" borderId="36" xfId="0" applyFont="1" applyFill="1" applyBorder="1" applyAlignment="1">
      <alignment horizontal="center" vertical="center" wrapText="1"/>
    </xf>
    <xf numFmtId="0" fontId="82" fillId="37" borderId="40" xfId="0" applyFont="1" applyFill="1" applyBorder="1" applyAlignment="1">
      <alignment horizontal="center" vertical="center" wrapText="1"/>
    </xf>
    <xf numFmtId="0" fontId="49" fillId="0" borderId="33" xfId="0" applyFont="1" applyBorder="1" applyAlignment="1">
      <alignment horizontal="center" vertical="center" wrapText="1"/>
    </xf>
    <xf numFmtId="0" fontId="49" fillId="0" borderId="34"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cellXfs>
  <cellStyles count="6971">
    <cellStyle name="20 % - Markeringsfarve1" xfId="1260" xr:uid="{00000000-0005-0000-0000-000000000000}"/>
    <cellStyle name="20 % - Markeringsfarve1 2" xfId="1261" xr:uid="{00000000-0005-0000-0000-000001000000}"/>
    <cellStyle name="20 % - Markeringsfarve1 3" xfId="2586" xr:uid="{135F4595-F8BD-4459-9134-0C53A788ADAC}"/>
    <cellStyle name="20 % - Markeringsfarve2" xfId="1262" xr:uid="{00000000-0005-0000-0000-000002000000}"/>
    <cellStyle name="20 % - Markeringsfarve2 2" xfId="1263" xr:uid="{00000000-0005-0000-0000-000003000000}"/>
    <cellStyle name="20 % - Markeringsfarve2 3" xfId="2587" xr:uid="{22A9BFCA-D7A2-4454-B925-5331D14C4E61}"/>
    <cellStyle name="20 % - Markeringsfarve3" xfId="1264" xr:uid="{00000000-0005-0000-0000-000004000000}"/>
    <cellStyle name="20 % - Markeringsfarve3 2" xfId="1265" xr:uid="{00000000-0005-0000-0000-000005000000}"/>
    <cellStyle name="20 % - Markeringsfarve3 3" xfId="2588" xr:uid="{CFC757D9-9939-472D-BD3A-638858576F1A}"/>
    <cellStyle name="20 % - Markeringsfarve4" xfId="1266" xr:uid="{00000000-0005-0000-0000-000006000000}"/>
    <cellStyle name="20 % - Markeringsfarve4 2" xfId="1267" xr:uid="{00000000-0005-0000-0000-000007000000}"/>
    <cellStyle name="20 % - Markeringsfarve4 3" xfId="2589" xr:uid="{FA2BC2EA-70C8-4419-A7C4-5B4C20F7E1CB}"/>
    <cellStyle name="20 % - Markeringsfarve5" xfId="1268" xr:uid="{00000000-0005-0000-0000-000008000000}"/>
    <cellStyle name="20 % - Markeringsfarve5 2" xfId="1269" xr:uid="{00000000-0005-0000-0000-000009000000}"/>
    <cellStyle name="20 % - Markeringsfarve5 3" xfId="2590" xr:uid="{AE95A634-372A-4AA5-AFE6-1E2FEBDD4A25}"/>
    <cellStyle name="20 % - Markeringsfarve6" xfId="1270" xr:uid="{00000000-0005-0000-0000-00000A000000}"/>
    <cellStyle name="20 % - Markeringsfarve6 2" xfId="1271" xr:uid="{00000000-0005-0000-0000-00000B000000}"/>
    <cellStyle name="20 % - Markeringsfarve6 3" xfId="2591" xr:uid="{B5B46348-71F9-4DF7-995E-D376E5D3C56D}"/>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40 % - Markeringsfarve1" xfId="1272" xr:uid="{00000000-0005-0000-0000-000018000000}"/>
    <cellStyle name="40 % - Markeringsfarve1 2" xfId="1273" xr:uid="{00000000-0005-0000-0000-000019000000}"/>
    <cellStyle name="40 % - Markeringsfarve1 3" xfId="2592" xr:uid="{F1D287DE-09C5-4118-AEA0-C4812786FA53}"/>
    <cellStyle name="40 % - Markeringsfarve2" xfId="1274" xr:uid="{00000000-0005-0000-0000-00001A000000}"/>
    <cellStyle name="40 % - Markeringsfarve2 2" xfId="1275" xr:uid="{00000000-0005-0000-0000-00001B000000}"/>
    <cellStyle name="40 % - Markeringsfarve2 3" xfId="2593" xr:uid="{CB06E381-6186-464D-BFF6-591602C798FB}"/>
    <cellStyle name="40 % - Markeringsfarve3" xfId="1276" xr:uid="{00000000-0005-0000-0000-00001C000000}"/>
    <cellStyle name="40 % - Markeringsfarve3 2" xfId="1277" xr:uid="{00000000-0005-0000-0000-00001D000000}"/>
    <cellStyle name="40 % - Markeringsfarve3 3" xfId="2594" xr:uid="{9F89632D-0223-44FB-BEFB-F194ED332DA0}"/>
    <cellStyle name="40 % - Markeringsfarve4" xfId="1278" xr:uid="{00000000-0005-0000-0000-00001E000000}"/>
    <cellStyle name="40 % - Markeringsfarve4 2" xfId="1279" xr:uid="{00000000-0005-0000-0000-00001F000000}"/>
    <cellStyle name="40 % - Markeringsfarve4 3" xfId="2595" xr:uid="{6B6FA26D-D7D9-49D8-9C74-7977749D407E}"/>
    <cellStyle name="40 % - Markeringsfarve5" xfId="1280" xr:uid="{00000000-0005-0000-0000-000020000000}"/>
    <cellStyle name="40 % - Markeringsfarve5 2" xfId="1281" xr:uid="{00000000-0005-0000-0000-000021000000}"/>
    <cellStyle name="40 % - Markeringsfarve5 3" xfId="2596" xr:uid="{6BEDEBE0-9333-4464-909A-6646045222C4}"/>
    <cellStyle name="40 % - Markeringsfarve6" xfId="1282" xr:uid="{00000000-0005-0000-0000-000022000000}"/>
    <cellStyle name="40 % - Markeringsfarve6 2" xfId="1283" xr:uid="{00000000-0005-0000-0000-000023000000}"/>
    <cellStyle name="40 % - Markeringsfarve6 3" xfId="2597" xr:uid="{6FBBB8E0-3B6E-43BD-80D9-D7AAD483C00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5x indented GHG Textfiels 2" xfId="2598" xr:uid="{157CEF8C-1040-4470-AB58-985C8ACB82FC}"/>
    <cellStyle name="60 % - Markeringsfarve1" xfId="1284" xr:uid="{00000000-0005-0000-0000-000031000000}"/>
    <cellStyle name="60 % - Markeringsfarve1 2" xfId="2599" xr:uid="{1B8F605D-9069-431D-87E1-008003429B0D}"/>
    <cellStyle name="60 % - Markeringsfarve2" xfId="1285" xr:uid="{00000000-0005-0000-0000-000032000000}"/>
    <cellStyle name="60 % - Markeringsfarve2 2" xfId="2600" xr:uid="{C344133D-C7FB-4DAA-9C9F-28FCE077B531}"/>
    <cellStyle name="60 % - Markeringsfarve3" xfId="1286" xr:uid="{00000000-0005-0000-0000-000033000000}"/>
    <cellStyle name="60 % - Markeringsfarve3 2" xfId="2601" xr:uid="{5423C402-57E4-4496-85B8-A2C87C957B0B}"/>
    <cellStyle name="60 % - Markeringsfarve4" xfId="1287" xr:uid="{00000000-0005-0000-0000-000034000000}"/>
    <cellStyle name="60 % - Markeringsfarve4 2" xfId="2602" xr:uid="{B907310D-3C65-4E0A-B4C6-EDE5FC4476CF}"/>
    <cellStyle name="60 % - Markeringsfarve5" xfId="1288" xr:uid="{00000000-0005-0000-0000-000035000000}"/>
    <cellStyle name="60 % - Markeringsfarve5 2" xfId="2603" xr:uid="{30D1AE32-EBAF-4A07-9CAC-C6C384153BD8}"/>
    <cellStyle name="60 % - Markeringsfarve6" xfId="1289" xr:uid="{00000000-0005-0000-0000-000036000000}"/>
    <cellStyle name="60 % - Markeringsfarve6 2" xfId="2604" xr:uid="{117988F5-4355-4526-8A7F-7B02821EF8BC}"/>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ggOrange_CRFReport-template" xfId="32" xr:uid="{00000000-0005-0000-0000-00003D000000}"/>
    <cellStyle name="AggOrange9_CRFReport-template" xfId="33" xr:uid="{00000000-0005-0000-0000-00003E000000}"/>
    <cellStyle name="Bad 2" xfId="34" xr:uid="{00000000-0005-0000-0000-00003F000000}"/>
    <cellStyle name="Bad 3" xfId="35" xr:uid="{00000000-0005-0000-0000-000040000000}"/>
    <cellStyle name="Bruger data" xfId="1253" xr:uid="{00000000-0005-0000-0000-000041000000}"/>
    <cellStyle name="Calcolo" xfId="36" xr:uid="{00000000-0005-0000-0000-000042000000}"/>
    <cellStyle name="Calcolo 2" xfId="37" xr:uid="{00000000-0005-0000-0000-000043000000}"/>
    <cellStyle name="Calcolo 2 2" xfId="1290" xr:uid="{00000000-0005-0000-0000-000044000000}"/>
    <cellStyle name="Calcolo 3" xfId="1291" xr:uid="{00000000-0005-0000-0000-000045000000}"/>
    <cellStyle name="Calculation 2" xfId="38" xr:uid="{00000000-0005-0000-0000-000046000000}"/>
    <cellStyle name="Cella collegata" xfId="39" xr:uid="{00000000-0005-0000-0000-000047000000}"/>
    <cellStyle name="Cella da controllare" xfId="40" xr:uid="{00000000-0005-0000-0000-000048000000}"/>
    <cellStyle name="Colore 1" xfId="41" xr:uid="{00000000-0005-0000-0000-000049000000}"/>
    <cellStyle name="Colore 2" xfId="42" xr:uid="{00000000-0005-0000-0000-00004A000000}"/>
    <cellStyle name="Colore 3" xfId="43" xr:uid="{00000000-0005-0000-0000-00004B000000}"/>
    <cellStyle name="Colore 4" xfId="44" xr:uid="{00000000-0005-0000-0000-00004C000000}"/>
    <cellStyle name="Colore 5" xfId="45" xr:uid="{00000000-0005-0000-0000-00004D000000}"/>
    <cellStyle name="Colore 6" xfId="46" xr:uid="{00000000-0005-0000-0000-00004E000000}"/>
    <cellStyle name="Comma" xfId="47" builtinId="3"/>
    <cellStyle name="Comma 2" xfId="48" xr:uid="{00000000-0005-0000-0000-000050000000}"/>
    <cellStyle name="Comma 2 10" xfId="2605" xr:uid="{07072C41-71DE-4EF3-A4AC-0329D0C5C78E}"/>
    <cellStyle name="Comma 2 2" xfId="49" xr:uid="{00000000-0005-0000-0000-000051000000}"/>
    <cellStyle name="Comma 2 2 2" xfId="2607" xr:uid="{8E5D7C90-9CB3-45D5-8CF3-5DBFA3CCB7B7}"/>
    <cellStyle name="Comma 2 2 2 2" xfId="2608" xr:uid="{2130FD32-2C64-4223-B287-6CA4A9FCF640}"/>
    <cellStyle name="Comma 2 2 2 3" xfId="4527" xr:uid="{F03A6F21-E65C-4FBC-89D5-98AB9DAFB4C2}"/>
    <cellStyle name="Comma 2 2 2 4" xfId="5809" xr:uid="{51A6860B-AC18-48F9-B8BE-80BA6AE39BA2}"/>
    <cellStyle name="Comma 2 2 3" xfId="2609" xr:uid="{762A1755-CD26-4A49-AB15-EE181F3B462B}"/>
    <cellStyle name="Comma 2 2 3 2" xfId="4528" xr:uid="{476826B3-936B-482E-9D57-564FD3FF8302}"/>
    <cellStyle name="Comma 2 2 3 3" xfId="5810" xr:uid="{284B1233-7F77-4692-9FFC-CF3A840C0868}"/>
    <cellStyle name="Comma 2 2 4" xfId="4526" xr:uid="{51DF797C-6936-41D0-AC40-F7052E6C0D35}"/>
    <cellStyle name="Comma 2 2 5" xfId="5808" xr:uid="{F52E9258-EE5D-425B-A7BF-F6F8D8A245EC}"/>
    <cellStyle name="Comma 2 2 6" xfId="2606" xr:uid="{23EAAC6A-E518-4A9C-959F-AE5270BDD31F}"/>
    <cellStyle name="Comma 2 3" xfId="50" xr:uid="{00000000-0005-0000-0000-000052000000}"/>
    <cellStyle name="Comma 2 3 2" xfId="1292" xr:uid="{00000000-0005-0000-0000-000053000000}"/>
    <cellStyle name="Comma 2 3 2 2" xfId="1293" xr:uid="{00000000-0005-0000-0000-000054000000}"/>
    <cellStyle name="Comma 2 3 2 2 2" xfId="4531" xr:uid="{7213A233-0B90-4107-8438-DCD4807E6D56}"/>
    <cellStyle name="Comma 2 3 2 2 3" xfId="2612" xr:uid="{11FFFB8E-1ACE-44F4-BB0E-54CDF7E287DF}"/>
    <cellStyle name="Comma 2 3 2 3" xfId="4530" xr:uid="{493F0920-1550-45DA-85B3-CDB7AA338E6B}"/>
    <cellStyle name="Comma 2 3 2 4" xfId="5812" xr:uid="{CC19D272-5B8D-4595-8509-7E3E23D36B66}"/>
    <cellStyle name="Comma 2 3 2 5" xfId="2611" xr:uid="{10789FBE-91FF-46F3-A589-E2E54D327238}"/>
    <cellStyle name="Comma 2 3 3" xfId="2613" xr:uid="{35500606-BD11-43FF-A04E-4CFAB9AB4FEE}"/>
    <cellStyle name="Comma 2 3 3 2" xfId="4532" xr:uid="{ADB9BCDB-CCC2-47E0-B081-D408D2462514}"/>
    <cellStyle name="Comma 2 3 3 3" xfId="5813" xr:uid="{DBD09C03-6BC1-4C1A-AA8A-1B0B2DE06A38}"/>
    <cellStyle name="Comma 2 3 4" xfId="2614" xr:uid="{41019E59-81DB-4908-B0D9-F616798FF7AD}"/>
    <cellStyle name="Comma 2 3 4 2" xfId="4533" xr:uid="{4B789FC1-6E81-4394-82CA-DEEF6D57BF65}"/>
    <cellStyle name="Comma 2 3 4 3" xfId="5814" xr:uid="{71311E5F-8844-4C6D-B2A7-3F9E1F338858}"/>
    <cellStyle name="Comma 2 3 5" xfId="2615" xr:uid="{80CB021D-4E8D-49A0-B08C-7ACB84E33FFB}"/>
    <cellStyle name="Comma 2 3 5 2" xfId="4534" xr:uid="{61410ED2-BE81-418B-AB28-BCC6AC907C05}"/>
    <cellStyle name="Comma 2 3 5 3" xfId="5815" xr:uid="{CCE30DD6-D117-4FE5-81F5-D9085349F850}"/>
    <cellStyle name="Comma 2 3 6" xfId="4529" xr:uid="{7E56354E-4C7E-4689-AF31-B607BC12E24A}"/>
    <cellStyle name="Comma 2 3 7" xfId="5811" xr:uid="{6D07E8E1-4FD3-4B24-98FC-825E1B37A4A0}"/>
    <cellStyle name="Comma 2 3 8" xfId="2610" xr:uid="{5963EEB3-6336-485C-B87E-65C099A806BF}"/>
    <cellStyle name="Comma 2 4" xfId="1294" xr:uid="{00000000-0005-0000-0000-000055000000}"/>
    <cellStyle name="Comma 2 4 2" xfId="4535" xr:uid="{856E831D-F07A-4A53-994F-2E1204E7FA63}"/>
    <cellStyle name="Comma 2 4 3" xfId="5816" xr:uid="{74C3612D-150B-4A3C-A2AA-26FF0A8E2327}"/>
    <cellStyle name="Comma 2 4 4" xfId="2616" xr:uid="{4105B42B-595D-4114-8525-0D1A1D3222D0}"/>
    <cellStyle name="Comma 2 5" xfId="2617" xr:uid="{5689246B-C520-414D-A68D-3AC6BE34D6B4}"/>
    <cellStyle name="Comma 2 5 2" xfId="2618" xr:uid="{AAAE9B4A-AEF0-4CB4-8060-DC1C842F2470}"/>
    <cellStyle name="Comma 2 5 2 2" xfId="4537" xr:uid="{73B667F8-CEC9-444B-8F0C-6081965467CF}"/>
    <cellStyle name="Comma 2 5 2 3" xfId="5818" xr:uid="{CCEAF00F-DF31-4D5F-B5D9-D6944E21B2D0}"/>
    <cellStyle name="Comma 2 5 3" xfId="4536" xr:uid="{470E6876-E4FE-4C13-98A9-E8FC185A7E1D}"/>
    <cellStyle name="Comma 2 5 4" xfId="5817" xr:uid="{F2EACDBC-3A74-435B-AEF8-294371D4A8DF}"/>
    <cellStyle name="Comma 2 6" xfId="2619" xr:uid="{501B6C15-5F98-45F8-8882-9FB8820FE96F}"/>
    <cellStyle name="Comma 2 6 2" xfId="4538" xr:uid="{3E0ED0F9-F6D5-414D-A473-9E6F426A9190}"/>
    <cellStyle name="Comma 2 6 3" xfId="5819" xr:uid="{C8077B81-EC2B-4027-BDED-CB5520B38AB0}"/>
    <cellStyle name="Comma 2 7" xfId="2620" xr:uid="{5A4E0375-9F2A-4607-A8E8-54606C3A37A6}"/>
    <cellStyle name="Comma 2 7 2" xfId="4539" xr:uid="{576E4192-EE01-4C9A-A85D-EB20EA1D8DF7}"/>
    <cellStyle name="Comma 2 7 3" xfId="5820" xr:uid="{5CB109AD-8D4D-4AE2-9424-2240FD7348D7}"/>
    <cellStyle name="Comma 2 8" xfId="4525" xr:uid="{0D3DD6AD-F146-47DE-873E-0B55E9068F23}"/>
    <cellStyle name="Comma 2 9" xfId="5807" xr:uid="{DFA9DCA4-B0CE-4A21-BA24-A2958DE4C237}"/>
    <cellStyle name="Comma 3" xfId="51" xr:uid="{00000000-0005-0000-0000-000056000000}"/>
    <cellStyle name="Comma 3 2" xfId="2622" xr:uid="{ED3A89DF-F18E-4928-A1A4-13D0CAFDF48C}"/>
    <cellStyle name="Comma 3 2 2" xfId="2623" xr:uid="{9A40CF28-859B-4133-87AA-FD64F35B9407}"/>
    <cellStyle name="Comma 3 2 3" xfId="4541" xr:uid="{E717803F-F25D-4CA2-8E0A-56246ED101EB}"/>
    <cellStyle name="Comma 3 2 4" xfId="5822" xr:uid="{CEF8F8EC-EFB8-4F42-ABE7-10A67FE7BF1B}"/>
    <cellStyle name="Comma 3 3" xfId="2624" xr:uid="{B1AB9893-6890-4D1D-BAF6-2C57967D9D53}"/>
    <cellStyle name="Comma 3 3 2" xfId="4542" xr:uid="{0E4346B9-A856-4532-A686-99B776FF2BAF}"/>
    <cellStyle name="Comma 3 3 3" xfId="5823" xr:uid="{6ED8C6AF-174F-4D72-BCD3-30B1FC434DFE}"/>
    <cellStyle name="Comma 3 4" xfId="4540" xr:uid="{71A932D2-D02C-488C-BB3C-BCD87EF333E9}"/>
    <cellStyle name="Comma 3 5" xfId="5821" xr:uid="{E2E39F79-8306-4F43-9740-CA87C94F9859}"/>
    <cellStyle name="Comma 3 6" xfId="2621" xr:uid="{BC5D62CA-284C-4700-9CEF-B54EA5668EDA}"/>
    <cellStyle name="Comma 4" xfId="52" xr:uid="{00000000-0005-0000-0000-000057000000}"/>
    <cellStyle name="Comma 4 2" xfId="53" xr:uid="{00000000-0005-0000-0000-000058000000}"/>
    <cellStyle name="Comma 4 2 2" xfId="2627" xr:uid="{4E33E8F0-E4ED-4400-89CC-A7E578BA790C}"/>
    <cellStyle name="Comma 4 2 3" xfId="4544" xr:uid="{66EC1B8C-4ECE-4DDB-93BD-E6B2C77065F0}"/>
    <cellStyle name="Comma 4 2 4" xfId="5825" xr:uid="{DB7FDAC5-F994-4AC8-AF91-425B7FBDC5E7}"/>
    <cellStyle name="Comma 4 2 5" xfId="2626" xr:uid="{D11EF1B6-E3B4-4F75-B7EB-CACBFEC5BCAC}"/>
    <cellStyle name="Comma 4 3" xfId="2628" xr:uid="{A4A07A48-1355-4B9B-B954-D1F94C9D8007}"/>
    <cellStyle name="Comma 4 3 2" xfId="4545" xr:uid="{71FA2AD0-CF4E-4AA4-81F8-B766697CAF59}"/>
    <cellStyle name="Comma 4 3 3" xfId="5826" xr:uid="{AAC923BD-FF0F-44E5-B686-610834EE5178}"/>
    <cellStyle name="Comma 4 4" xfId="4543" xr:uid="{31C9F786-CDA7-44A3-93C0-280AA9989D7D}"/>
    <cellStyle name="Comma 4 5" xfId="5824" xr:uid="{213FFDA8-E01C-45B1-9459-770A0AB0F4D9}"/>
    <cellStyle name="Comma 4 6" xfId="2625" xr:uid="{DC4A5CEA-8C68-473A-9B28-37C28099DC5A}"/>
    <cellStyle name="Comma 5" xfId="54" xr:uid="{00000000-0005-0000-0000-000059000000}"/>
    <cellStyle name="Comma 5 2" xfId="2629" xr:uid="{23A21D87-3CF9-42BE-A7ED-972175E47667}"/>
    <cellStyle name="Comma 5 3" xfId="2630" xr:uid="{62BEAAA4-2164-4072-AAD4-244577425C4E}"/>
    <cellStyle name="Comma 5 3 2" xfId="4546" xr:uid="{3B0AA891-FA99-4C99-8666-A275B1C4CFAF}"/>
    <cellStyle name="Comma 5 3 3" xfId="5827" xr:uid="{E81F8B88-167F-4D79-8CB5-310EF5CC7C5B}"/>
    <cellStyle name="Comma 6" xfId="1295" xr:uid="{00000000-0005-0000-0000-00005A000000}"/>
    <cellStyle name="Comma 6 2" xfId="4547" xr:uid="{8C8B61CA-89AE-47E9-946C-1D93A61ADF60}"/>
    <cellStyle name="Comma 6 3" xfId="5828" xr:uid="{22EDCFFB-AE1F-4CBB-8ABD-74FAF2F53C5B}"/>
    <cellStyle name="Comma 6 4" xfId="2631" xr:uid="{B3775D92-7E98-436A-A203-3F9DEDE40BCB}"/>
    <cellStyle name="Comma 7" xfId="2632" xr:uid="{3D91D855-D38D-4FA3-9771-C444BDFA2F69}"/>
    <cellStyle name="Comma 7 2" xfId="4548" xr:uid="{9CD68069-D787-45BC-BC32-B236893F674D}"/>
    <cellStyle name="Comma 7 3" xfId="5829" xr:uid="{B0E218BA-79FA-4D7C-88C4-20821E2A9CF4}"/>
    <cellStyle name="Comma 8" xfId="2633" xr:uid="{CA941864-E587-4009-9E67-7E6C77ABA12A}"/>
    <cellStyle name="Comma0 - Type3" xfId="55" xr:uid="{00000000-0005-0000-0000-00005B000000}"/>
    <cellStyle name="CustomizationCells" xfId="56" xr:uid="{00000000-0005-0000-0000-00005C000000}"/>
    <cellStyle name="CustomizationCells 2" xfId="57" xr:uid="{00000000-0005-0000-0000-00005D000000}"/>
    <cellStyle name="CustomizationCells 3" xfId="2634" xr:uid="{146D01EB-6F1B-4F18-8F69-CC4AF91F5D02}"/>
    <cellStyle name="Euro" xfId="58" xr:uid="{00000000-0005-0000-0000-00005E000000}"/>
    <cellStyle name="Euro 10" xfId="59" xr:uid="{00000000-0005-0000-0000-00005F000000}"/>
    <cellStyle name="Euro 10 2" xfId="60" xr:uid="{00000000-0005-0000-0000-000060000000}"/>
    <cellStyle name="Euro 10 2 2" xfId="2635" xr:uid="{1EDEA218-6934-4CF5-A2E3-7C8FC104EB45}"/>
    <cellStyle name="Euro 10 3" xfId="61" xr:uid="{00000000-0005-0000-0000-000061000000}"/>
    <cellStyle name="Euro 10 3 2" xfId="62" xr:uid="{00000000-0005-0000-0000-000062000000}"/>
    <cellStyle name="Euro 10 3 2 2" xfId="1296" xr:uid="{00000000-0005-0000-0000-000063000000}"/>
    <cellStyle name="Euro 10 3 3" xfId="2636" xr:uid="{C828FBB5-3AD2-41BF-9ACD-064A6D11F400}"/>
    <cellStyle name="Euro 10 3 4" xfId="2637" xr:uid="{E7B3121A-8F02-42CA-B0FE-2FF50EF7B100}"/>
    <cellStyle name="Euro 10 4" xfId="1297" xr:uid="{00000000-0005-0000-0000-000064000000}"/>
    <cellStyle name="Euro 10 4 2" xfId="1298" xr:uid="{00000000-0005-0000-0000-000065000000}"/>
    <cellStyle name="Euro 10 5" xfId="1299" xr:uid="{00000000-0005-0000-0000-000066000000}"/>
    <cellStyle name="Euro 10 6" xfId="2638" xr:uid="{DFDC68DE-66EF-4A3A-8273-D936E0F346FA}"/>
    <cellStyle name="Euro 11" xfId="63" xr:uid="{00000000-0005-0000-0000-000067000000}"/>
    <cellStyle name="Euro 11 2" xfId="64" xr:uid="{00000000-0005-0000-0000-000068000000}"/>
    <cellStyle name="Euro 11 2 2" xfId="2639" xr:uid="{331925C2-6CAE-4C5F-B6DC-A8C8721A51B7}"/>
    <cellStyle name="Euro 11 3" xfId="65" xr:uid="{00000000-0005-0000-0000-000069000000}"/>
    <cellStyle name="Euro 11 3 2" xfId="66" xr:uid="{00000000-0005-0000-0000-00006A000000}"/>
    <cellStyle name="Euro 11 3 2 2" xfId="1300" xr:uid="{00000000-0005-0000-0000-00006B000000}"/>
    <cellStyle name="Euro 11 3 3" xfId="2640" xr:uid="{9F1C7BCA-893D-465D-B2F8-B8886B3AF40D}"/>
    <cellStyle name="Euro 11 3 4" xfId="2641" xr:uid="{220F82BE-8871-4B76-BA7E-09F0EC9348BF}"/>
    <cellStyle name="Euro 11 4" xfId="1301" xr:uid="{00000000-0005-0000-0000-00006C000000}"/>
    <cellStyle name="Euro 11 4 2" xfId="1302" xr:uid="{00000000-0005-0000-0000-00006D000000}"/>
    <cellStyle name="Euro 11 5" xfId="1303" xr:uid="{00000000-0005-0000-0000-00006E000000}"/>
    <cellStyle name="Euro 11 6" xfId="2642" xr:uid="{8D2FD16C-1E65-4DA3-928C-91F79A8EE1F1}"/>
    <cellStyle name="Euro 12" xfId="67" xr:uid="{00000000-0005-0000-0000-00006F000000}"/>
    <cellStyle name="Euro 12 2" xfId="68" xr:uid="{00000000-0005-0000-0000-000070000000}"/>
    <cellStyle name="Euro 12 2 2" xfId="2643" xr:uid="{E1DB87D4-09AA-40E0-AF5D-B5EF2EC94131}"/>
    <cellStyle name="Euro 12 3" xfId="69" xr:uid="{00000000-0005-0000-0000-000071000000}"/>
    <cellStyle name="Euro 12 3 2" xfId="70" xr:uid="{00000000-0005-0000-0000-000072000000}"/>
    <cellStyle name="Euro 12 3 2 2" xfId="1304" xr:uid="{00000000-0005-0000-0000-000073000000}"/>
    <cellStyle name="Euro 12 3 3" xfId="2644" xr:uid="{8201B9F2-DA16-4705-A1B2-772E2805E52C}"/>
    <cellStyle name="Euro 12 3 4" xfId="2645" xr:uid="{BEBB773B-6963-4C25-9DF1-114B7DCAC88B}"/>
    <cellStyle name="Euro 12 4" xfId="1305" xr:uid="{00000000-0005-0000-0000-000074000000}"/>
    <cellStyle name="Euro 12 4 2" xfId="1306" xr:uid="{00000000-0005-0000-0000-000075000000}"/>
    <cellStyle name="Euro 12 5" xfId="1307" xr:uid="{00000000-0005-0000-0000-000076000000}"/>
    <cellStyle name="Euro 12 6" xfId="2646" xr:uid="{3473EA4D-3D37-4829-9E57-6152F0314504}"/>
    <cellStyle name="Euro 13" xfId="71" xr:uid="{00000000-0005-0000-0000-000077000000}"/>
    <cellStyle name="Euro 13 2" xfId="72" xr:uid="{00000000-0005-0000-0000-000078000000}"/>
    <cellStyle name="Euro 13 2 2" xfId="2647" xr:uid="{680A9CAA-9020-4B94-AE95-89D403E71CEF}"/>
    <cellStyle name="Euro 13 3" xfId="73" xr:uid="{00000000-0005-0000-0000-000079000000}"/>
    <cellStyle name="Euro 13 3 2" xfId="74" xr:uid="{00000000-0005-0000-0000-00007A000000}"/>
    <cellStyle name="Euro 13 3 2 2" xfId="1308" xr:uid="{00000000-0005-0000-0000-00007B000000}"/>
    <cellStyle name="Euro 13 3 3" xfId="2648" xr:uid="{CC55402C-95D2-440D-8FE6-8172EDE9172F}"/>
    <cellStyle name="Euro 13 3 4" xfId="2649" xr:uid="{73C0E437-9AB2-424A-9939-E6B2D5E3D54B}"/>
    <cellStyle name="Euro 13 4" xfId="1309" xr:uid="{00000000-0005-0000-0000-00007C000000}"/>
    <cellStyle name="Euro 13 4 2" xfId="1310" xr:uid="{00000000-0005-0000-0000-00007D000000}"/>
    <cellStyle name="Euro 13 5" xfId="1311" xr:uid="{00000000-0005-0000-0000-00007E000000}"/>
    <cellStyle name="Euro 13 6" xfId="2650" xr:uid="{D2518D39-A69F-4A55-9B00-B5EE0CD816B6}"/>
    <cellStyle name="Euro 14" xfId="75" xr:uid="{00000000-0005-0000-0000-00007F000000}"/>
    <cellStyle name="Euro 14 2" xfId="76" xr:uid="{00000000-0005-0000-0000-000080000000}"/>
    <cellStyle name="Euro 14 2 2" xfId="2651" xr:uid="{EE797687-1F32-42C6-8F11-E3ED55DE2706}"/>
    <cellStyle name="Euro 14 3" xfId="77" xr:uid="{00000000-0005-0000-0000-000081000000}"/>
    <cellStyle name="Euro 14 3 2" xfId="78" xr:uid="{00000000-0005-0000-0000-000082000000}"/>
    <cellStyle name="Euro 14 3 2 2" xfId="1312" xr:uid="{00000000-0005-0000-0000-000083000000}"/>
    <cellStyle name="Euro 14 3 3" xfId="2652" xr:uid="{05A7F513-95F6-47C1-938A-53BD109AC640}"/>
    <cellStyle name="Euro 14 3 4" xfId="2653" xr:uid="{A7DCC8A8-53B6-4611-9828-277C1CD2DA0C}"/>
    <cellStyle name="Euro 14 4" xfId="1313" xr:uid="{00000000-0005-0000-0000-000084000000}"/>
    <cellStyle name="Euro 14 4 2" xfId="1314" xr:uid="{00000000-0005-0000-0000-000085000000}"/>
    <cellStyle name="Euro 14 5" xfId="1315" xr:uid="{00000000-0005-0000-0000-000086000000}"/>
    <cellStyle name="Euro 14 6" xfId="2654" xr:uid="{9CCA283E-AB64-49A5-B3E7-5442BE444A2C}"/>
    <cellStyle name="Euro 15" xfId="79" xr:uid="{00000000-0005-0000-0000-000087000000}"/>
    <cellStyle name="Euro 15 2" xfId="80" xr:uid="{00000000-0005-0000-0000-000088000000}"/>
    <cellStyle name="Euro 15 2 2" xfId="2655" xr:uid="{5E5702C8-6CE0-4949-A91E-AF89A080D9FE}"/>
    <cellStyle name="Euro 15 3" xfId="81" xr:uid="{00000000-0005-0000-0000-000089000000}"/>
    <cellStyle name="Euro 15 3 2" xfId="82" xr:uid="{00000000-0005-0000-0000-00008A000000}"/>
    <cellStyle name="Euro 15 3 2 2" xfId="1316" xr:uid="{00000000-0005-0000-0000-00008B000000}"/>
    <cellStyle name="Euro 15 3 3" xfId="2656" xr:uid="{B83CC740-E139-42C0-8BA1-57FAE3C5229F}"/>
    <cellStyle name="Euro 15 3 4" xfId="2657" xr:uid="{A0740F92-99B8-4233-A480-AD3345542EEE}"/>
    <cellStyle name="Euro 15 4" xfId="1317" xr:uid="{00000000-0005-0000-0000-00008C000000}"/>
    <cellStyle name="Euro 15 4 2" xfId="1318" xr:uid="{00000000-0005-0000-0000-00008D000000}"/>
    <cellStyle name="Euro 15 5" xfId="1319" xr:uid="{00000000-0005-0000-0000-00008E000000}"/>
    <cellStyle name="Euro 15 6" xfId="2658" xr:uid="{5FDB20AF-A1BC-4AAA-B4F4-5567D2F2E219}"/>
    <cellStyle name="Euro 16" xfId="83" xr:uid="{00000000-0005-0000-0000-00008F000000}"/>
    <cellStyle name="Euro 16 2" xfId="84" xr:uid="{00000000-0005-0000-0000-000090000000}"/>
    <cellStyle name="Euro 16 2 2" xfId="2659" xr:uid="{F49E82B6-DE35-4F24-85DC-B38CDE23003B}"/>
    <cellStyle name="Euro 16 3" xfId="85" xr:uid="{00000000-0005-0000-0000-000091000000}"/>
    <cellStyle name="Euro 16 3 2" xfId="86" xr:uid="{00000000-0005-0000-0000-000092000000}"/>
    <cellStyle name="Euro 16 3 2 2" xfId="1320" xr:uid="{00000000-0005-0000-0000-000093000000}"/>
    <cellStyle name="Euro 16 3 3" xfId="2660" xr:uid="{8A3C2048-4A6A-4D62-A337-77C0D3D9F33C}"/>
    <cellStyle name="Euro 16 3 4" xfId="2661" xr:uid="{E873FE57-590D-4331-B576-ABD032879413}"/>
    <cellStyle name="Euro 16 4" xfId="1321" xr:uid="{00000000-0005-0000-0000-000094000000}"/>
    <cellStyle name="Euro 16 4 2" xfId="1322" xr:uid="{00000000-0005-0000-0000-000095000000}"/>
    <cellStyle name="Euro 16 5" xfId="1323" xr:uid="{00000000-0005-0000-0000-000096000000}"/>
    <cellStyle name="Euro 16 6" xfId="2662" xr:uid="{E1516FBE-F6C8-4946-BCA8-08FA79ADFE19}"/>
    <cellStyle name="Euro 17" xfId="87" xr:uid="{00000000-0005-0000-0000-000097000000}"/>
    <cellStyle name="Euro 17 2" xfId="88" xr:uid="{00000000-0005-0000-0000-000098000000}"/>
    <cellStyle name="Euro 17 2 2" xfId="2663" xr:uid="{0A5D3732-C88C-4EDA-A018-4EA80FD69FC7}"/>
    <cellStyle name="Euro 17 3" xfId="89" xr:uid="{00000000-0005-0000-0000-000099000000}"/>
    <cellStyle name="Euro 17 3 2" xfId="90" xr:uid="{00000000-0005-0000-0000-00009A000000}"/>
    <cellStyle name="Euro 17 3 2 2" xfId="1324" xr:uid="{00000000-0005-0000-0000-00009B000000}"/>
    <cellStyle name="Euro 17 3 3" xfId="2664" xr:uid="{A8648A47-2CCF-4FCF-8309-74F052EAAF7A}"/>
    <cellStyle name="Euro 17 3 4" xfId="2665" xr:uid="{2B5F9414-3BAD-409A-B6A9-8142BA3C80DC}"/>
    <cellStyle name="Euro 17 4" xfId="1325" xr:uid="{00000000-0005-0000-0000-00009C000000}"/>
    <cellStyle name="Euro 17 4 2" xfId="1326" xr:uid="{00000000-0005-0000-0000-00009D000000}"/>
    <cellStyle name="Euro 17 5" xfId="1327" xr:uid="{00000000-0005-0000-0000-00009E000000}"/>
    <cellStyle name="Euro 17 6" xfId="2666" xr:uid="{B0C92C5E-DD11-4102-8032-ADE2BA48EF4B}"/>
    <cellStyle name="Euro 18" xfId="91" xr:uid="{00000000-0005-0000-0000-00009F000000}"/>
    <cellStyle name="Euro 18 2" xfId="92" xr:uid="{00000000-0005-0000-0000-0000A0000000}"/>
    <cellStyle name="Euro 18 2 2" xfId="2667" xr:uid="{170EC77F-3FBB-4CED-A07E-2FD3B613E388}"/>
    <cellStyle name="Euro 18 3" xfId="93" xr:uid="{00000000-0005-0000-0000-0000A1000000}"/>
    <cellStyle name="Euro 18 3 2" xfId="94" xr:uid="{00000000-0005-0000-0000-0000A2000000}"/>
    <cellStyle name="Euro 18 3 2 2" xfId="1328" xr:uid="{00000000-0005-0000-0000-0000A3000000}"/>
    <cellStyle name="Euro 18 3 3" xfId="2668" xr:uid="{291A26A0-E010-4D40-AACF-128993C94151}"/>
    <cellStyle name="Euro 18 3 4" xfId="2669" xr:uid="{F6314749-1347-4A19-BAEC-00EADEAA6F4B}"/>
    <cellStyle name="Euro 18 4" xfId="1329" xr:uid="{00000000-0005-0000-0000-0000A4000000}"/>
    <cellStyle name="Euro 18 4 2" xfId="1330" xr:uid="{00000000-0005-0000-0000-0000A5000000}"/>
    <cellStyle name="Euro 18 5" xfId="1331" xr:uid="{00000000-0005-0000-0000-0000A6000000}"/>
    <cellStyle name="Euro 18 6" xfId="2670" xr:uid="{E4A462D4-8C57-4E28-8EB6-79E01CBC064F}"/>
    <cellStyle name="Euro 19" xfId="95" xr:uid="{00000000-0005-0000-0000-0000A7000000}"/>
    <cellStyle name="Euro 19 2" xfId="96" xr:uid="{00000000-0005-0000-0000-0000A8000000}"/>
    <cellStyle name="Euro 19 2 2" xfId="2671" xr:uid="{90E03497-86E7-499C-8618-AE9BB6581498}"/>
    <cellStyle name="Euro 19 3" xfId="97" xr:uid="{00000000-0005-0000-0000-0000A9000000}"/>
    <cellStyle name="Euro 19 3 2" xfId="98" xr:uid="{00000000-0005-0000-0000-0000AA000000}"/>
    <cellStyle name="Euro 19 3 2 2" xfId="1332" xr:uid="{00000000-0005-0000-0000-0000AB000000}"/>
    <cellStyle name="Euro 19 3 3" xfId="2672" xr:uid="{7F3427F6-1472-46E9-94A9-635F8F6F7CA8}"/>
    <cellStyle name="Euro 19 3 4" xfId="2673" xr:uid="{F7B1939E-0A03-40E8-954B-33BD11B02C9A}"/>
    <cellStyle name="Euro 19 4" xfId="1333" xr:uid="{00000000-0005-0000-0000-0000AC000000}"/>
    <cellStyle name="Euro 19 4 2" xfId="1334" xr:uid="{00000000-0005-0000-0000-0000AD000000}"/>
    <cellStyle name="Euro 19 5" xfId="1335" xr:uid="{00000000-0005-0000-0000-0000AE000000}"/>
    <cellStyle name="Euro 19 6" xfId="2674" xr:uid="{39E6090D-7D34-436A-A546-E8DE96CE574A}"/>
    <cellStyle name="Euro 2" xfId="99" xr:uid="{00000000-0005-0000-0000-0000AF000000}"/>
    <cellStyle name="Euro 2 2" xfId="100" xr:uid="{00000000-0005-0000-0000-0000B0000000}"/>
    <cellStyle name="Euro 2 2 2" xfId="2675" xr:uid="{0E18AF62-9E79-42C6-8CC9-6470CB952FDC}"/>
    <cellStyle name="Euro 2 3" xfId="101" xr:uid="{00000000-0005-0000-0000-0000B1000000}"/>
    <cellStyle name="Euro 2 3 2" xfId="102" xr:uid="{00000000-0005-0000-0000-0000B2000000}"/>
    <cellStyle name="Euro 2 3 2 2" xfId="1336" xr:uid="{00000000-0005-0000-0000-0000B3000000}"/>
    <cellStyle name="Euro 2 3 3" xfId="2676" xr:uid="{87448957-AA65-4C29-B29B-6D4156D7EE85}"/>
    <cellStyle name="Euro 2 3 4" xfId="2677" xr:uid="{BA144953-A22B-4C5E-9E99-CC3E8AD8551C}"/>
    <cellStyle name="Euro 2 4" xfId="1337" xr:uid="{00000000-0005-0000-0000-0000B4000000}"/>
    <cellStyle name="Euro 2 4 2" xfId="1338" xr:uid="{00000000-0005-0000-0000-0000B5000000}"/>
    <cellStyle name="Euro 2 5" xfId="1339" xr:uid="{00000000-0005-0000-0000-0000B6000000}"/>
    <cellStyle name="Euro 2 6" xfId="2678" xr:uid="{7F215AB3-C351-4CE4-B8CC-C1B0D27FD038}"/>
    <cellStyle name="Euro 20" xfId="103" xr:uid="{00000000-0005-0000-0000-0000B7000000}"/>
    <cellStyle name="Euro 20 2" xfId="104" xr:uid="{00000000-0005-0000-0000-0000B8000000}"/>
    <cellStyle name="Euro 20 2 2" xfId="2679" xr:uid="{FBA05471-7C11-4AC9-80EE-84F0B5EF0054}"/>
    <cellStyle name="Euro 20 3" xfId="105" xr:uid="{00000000-0005-0000-0000-0000B9000000}"/>
    <cellStyle name="Euro 20 3 2" xfId="106" xr:uid="{00000000-0005-0000-0000-0000BA000000}"/>
    <cellStyle name="Euro 20 3 2 2" xfId="1340" xr:uid="{00000000-0005-0000-0000-0000BB000000}"/>
    <cellStyle name="Euro 20 3 3" xfId="2680" xr:uid="{CF3097BD-D466-4F64-9A16-E78FCE6E0F1F}"/>
    <cellStyle name="Euro 20 3 4" xfId="2681" xr:uid="{7F88354C-CFF2-4BA3-96EB-54AA16EFE55A}"/>
    <cellStyle name="Euro 20 4" xfId="1341" xr:uid="{00000000-0005-0000-0000-0000BC000000}"/>
    <cellStyle name="Euro 20 4 2" xfId="1342" xr:uid="{00000000-0005-0000-0000-0000BD000000}"/>
    <cellStyle name="Euro 20 5" xfId="1343" xr:uid="{00000000-0005-0000-0000-0000BE000000}"/>
    <cellStyle name="Euro 20 6" xfId="2682" xr:uid="{B2120D1B-40EB-42F5-9F7D-5BF72FDFC8B3}"/>
    <cellStyle name="Euro 21" xfId="107" xr:uid="{00000000-0005-0000-0000-0000BF000000}"/>
    <cellStyle name="Euro 21 2" xfId="108" xr:uid="{00000000-0005-0000-0000-0000C0000000}"/>
    <cellStyle name="Euro 21 2 2" xfId="2683" xr:uid="{58F7FCB7-54EA-49C3-82A3-A0B842E39078}"/>
    <cellStyle name="Euro 21 3" xfId="109" xr:uid="{00000000-0005-0000-0000-0000C1000000}"/>
    <cellStyle name="Euro 21 3 2" xfId="110" xr:uid="{00000000-0005-0000-0000-0000C2000000}"/>
    <cellStyle name="Euro 21 3 2 2" xfId="1344" xr:uid="{00000000-0005-0000-0000-0000C3000000}"/>
    <cellStyle name="Euro 21 3 3" xfId="2684" xr:uid="{E0E03CBA-DA8D-4AEC-83F9-88AD427C3C50}"/>
    <cellStyle name="Euro 21 3 4" xfId="2685" xr:uid="{384B87F9-49EF-4A33-9B92-3422E3C414B6}"/>
    <cellStyle name="Euro 21 4" xfId="1345" xr:uid="{00000000-0005-0000-0000-0000C4000000}"/>
    <cellStyle name="Euro 21 4 2" xfId="1346" xr:uid="{00000000-0005-0000-0000-0000C5000000}"/>
    <cellStyle name="Euro 21 5" xfId="1347" xr:uid="{00000000-0005-0000-0000-0000C6000000}"/>
    <cellStyle name="Euro 21 6" xfId="2686" xr:uid="{F76F4CDE-361A-4965-9436-12F2A306F611}"/>
    <cellStyle name="Euro 22" xfId="111" xr:uid="{00000000-0005-0000-0000-0000C7000000}"/>
    <cellStyle name="Euro 22 2" xfId="112" xr:uid="{00000000-0005-0000-0000-0000C8000000}"/>
    <cellStyle name="Euro 22 2 2" xfId="2687" xr:uid="{42A1A8EC-9210-4BE0-BF2E-F255F17C295A}"/>
    <cellStyle name="Euro 22 3" xfId="113" xr:uid="{00000000-0005-0000-0000-0000C9000000}"/>
    <cellStyle name="Euro 22 3 2" xfId="114" xr:uid="{00000000-0005-0000-0000-0000CA000000}"/>
    <cellStyle name="Euro 22 3 2 2" xfId="1348" xr:uid="{00000000-0005-0000-0000-0000CB000000}"/>
    <cellStyle name="Euro 22 3 3" xfId="2688" xr:uid="{598F09EA-8CC2-4872-8D15-6747F9563DD5}"/>
    <cellStyle name="Euro 22 3 4" xfId="2689" xr:uid="{CF638226-B2D2-41FB-BBB2-CBFF505F77A3}"/>
    <cellStyle name="Euro 22 4" xfId="1349" xr:uid="{00000000-0005-0000-0000-0000CC000000}"/>
    <cellStyle name="Euro 22 4 2" xfId="1350" xr:uid="{00000000-0005-0000-0000-0000CD000000}"/>
    <cellStyle name="Euro 22 5" xfId="1351" xr:uid="{00000000-0005-0000-0000-0000CE000000}"/>
    <cellStyle name="Euro 22 6" xfId="2690" xr:uid="{AAA5F09E-FB5F-42D9-A8C3-37318C6BA195}"/>
    <cellStyle name="Euro 23" xfId="115" xr:uid="{00000000-0005-0000-0000-0000CF000000}"/>
    <cellStyle name="Euro 23 2" xfId="116" xr:uid="{00000000-0005-0000-0000-0000D0000000}"/>
    <cellStyle name="Euro 23 2 2" xfId="2691" xr:uid="{880AEAA4-7EA0-4158-B5E9-EDC7886BFC0D}"/>
    <cellStyle name="Euro 23 3" xfId="117" xr:uid="{00000000-0005-0000-0000-0000D1000000}"/>
    <cellStyle name="Euro 23 3 2" xfId="118" xr:uid="{00000000-0005-0000-0000-0000D2000000}"/>
    <cellStyle name="Euro 23 3 2 2" xfId="1352" xr:uid="{00000000-0005-0000-0000-0000D3000000}"/>
    <cellStyle name="Euro 23 3 3" xfId="2692" xr:uid="{4A5B6CB2-17C5-48D3-BB52-67C166B845AB}"/>
    <cellStyle name="Euro 23 3 4" xfId="2693" xr:uid="{AFEF329C-6B2A-474A-B4E6-1461FAC2DAFE}"/>
    <cellStyle name="Euro 23 4" xfId="1353" xr:uid="{00000000-0005-0000-0000-0000D4000000}"/>
    <cellStyle name="Euro 23 4 2" xfId="1354" xr:uid="{00000000-0005-0000-0000-0000D5000000}"/>
    <cellStyle name="Euro 23 5" xfId="1355" xr:uid="{00000000-0005-0000-0000-0000D6000000}"/>
    <cellStyle name="Euro 23 6" xfId="2694" xr:uid="{FA76A8E0-FAAF-4B31-AE2A-3D19760E009C}"/>
    <cellStyle name="Euro 24" xfId="119" xr:uid="{00000000-0005-0000-0000-0000D7000000}"/>
    <cellStyle name="Euro 24 2" xfId="120" xr:uid="{00000000-0005-0000-0000-0000D8000000}"/>
    <cellStyle name="Euro 24 2 2" xfId="2695" xr:uid="{FE019703-0AF5-4DE0-8FF4-69A104E028BF}"/>
    <cellStyle name="Euro 24 3" xfId="121" xr:uid="{00000000-0005-0000-0000-0000D9000000}"/>
    <cellStyle name="Euro 24 3 2" xfId="122" xr:uid="{00000000-0005-0000-0000-0000DA000000}"/>
    <cellStyle name="Euro 24 3 2 2" xfId="1356" xr:uid="{00000000-0005-0000-0000-0000DB000000}"/>
    <cellStyle name="Euro 24 3 3" xfId="2696" xr:uid="{A1C4E74E-6992-498C-8EBC-E4B4438FB842}"/>
    <cellStyle name="Euro 24 3 4" xfId="2697" xr:uid="{2BBBCCB6-CF10-442C-AFB3-F52B2D49D461}"/>
    <cellStyle name="Euro 24 4" xfId="1357" xr:uid="{00000000-0005-0000-0000-0000DC000000}"/>
    <cellStyle name="Euro 24 4 2" xfId="1358" xr:uid="{00000000-0005-0000-0000-0000DD000000}"/>
    <cellStyle name="Euro 24 5" xfId="1359" xr:uid="{00000000-0005-0000-0000-0000DE000000}"/>
    <cellStyle name="Euro 24 6" xfId="2698" xr:uid="{702B47EB-746B-49F9-BFAF-2BDD85CB7ADB}"/>
    <cellStyle name="Euro 25" xfId="123" xr:uid="{00000000-0005-0000-0000-0000DF000000}"/>
    <cellStyle name="Euro 25 2" xfId="124" xr:uid="{00000000-0005-0000-0000-0000E0000000}"/>
    <cellStyle name="Euro 25 2 2" xfId="2699" xr:uid="{C75D7263-6F45-4A28-818F-C56907F398D4}"/>
    <cellStyle name="Euro 25 3" xfId="125" xr:uid="{00000000-0005-0000-0000-0000E1000000}"/>
    <cellStyle name="Euro 25 3 2" xfId="126" xr:uid="{00000000-0005-0000-0000-0000E2000000}"/>
    <cellStyle name="Euro 25 3 2 2" xfId="1360" xr:uid="{00000000-0005-0000-0000-0000E3000000}"/>
    <cellStyle name="Euro 25 3 3" xfId="2700" xr:uid="{AC3590E8-9D7E-49FA-818B-8AB7CA73EA8D}"/>
    <cellStyle name="Euro 25 3 4" xfId="2701" xr:uid="{AD24C7A4-6705-4788-9A92-B4C1FF90404C}"/>
    <cellStyle name="Euro 25 4" xfId="1361" xr:uid="{00000000-0005-0000-0000-0000E4000000}"/>
    <cellStyle name="Euro 25 4 2" xfId="1362" xr:uid="{00000000-0005-0000-0000-0000E5000000}"/>
    <cellStyle name="Euro 25 5" xfId="1363" xr:uid="{00000000-0005-0000-0000-0000E6000000}"/>
    <cellStyle name="Euro 25 6" xfId="2702" xr:uid="{33F33BE8-3FD4-4570-AFAB-9EBF27F17449}"/>
    <cellStyle name="Euro 26" xfId="127" xr:uid="{00000000-0005-0000-0000-0000E7000000}"/>
    <cellStyle name="Euro 26 2" xfId="128" xr:uid="{00000000-0005-0000-0000-0000E8000000}"/>
    <cellStyle name="Euro 26 2 2" xfId="2703" xr:uid="{4D0D7CB8-8102-4B57-AFC8-511569225417}"/>
    <cellStyle name="Euro 26 3" xfId="129" xr:uid="{00000000-0005-0000-0000-0000E9000000}"/>
    <cellStyle name="Euro 26 3 2" xfId="130" xr:uid="{00000000-0005-0000-0000-0000EA000000}"/>
    <cellStyle name="Euro 26 3 2 2" xfId="1364" xr:uid="{00000000-0005-0000-0000-0000EB000000}"/>
    <cellStyle name="Euro 26 3 3" xfId="2704" xr:uid="{540FBB34-6C1B-4354-A037-2DED92BB5CED}"/>
    <cellStyle name="Euro 26 3 4" xfId="2705" xr:uid="{E2B01B84-E1D2-4C91-8342-0E0BE9808E45}"/>
    <cellStyle name="Euro 26 4" xfId="1365" xr:uid="{00000000-0005-0000-0000-0000EC000000}"/>
    <cellStyle name="Euro 26 4 2" xfId="1366" xr:uid="{00000000-0005-0000-0000-0000ED000000}"/>
    <cellStyle name="Euro 26 5" xfId="1367" xr:uid="{00000000-0005-0000-0000-0000EE000000}"/>
    <cellStyle name="Euro 26 6" xfId="2706" xr:uid="{40BF3909-6F13-49F9-A21B-77A7060E71FA}"/>
    <cellStyle name="Euro 27" xfId="131" xr:uid="{00000000-0005-0000-0000-0000EF000000}"/>
    <cellStyle name="Euro 27 2" xfId="132" xr:uid="{00000000-0005-0000-0000-0000F0000000}"/>
    <cellStyle name="Euro 27 2 2" xfId="2707" xr:uid="{4520C66C-8411-459D-9C2C-9268F54F6A07}"/>
    <cellStyle name="Euro 27 3" xfId="133" xr:uid="{00000000-0005-0000-0000-0000F1000000}"/>
    <cellStyle name="Euro 27 3 2" xfId="134" xr:uid="{00000000-0005-0000-0000-0000F2000000}"/>
    <cellStyle name="Euro 27 3 2 2" xfId="1368" xr:uid="{00000000-0005-0000-0000-0000F3000000}"/>
    <cellStyle name="Euro 27 3 3" xfId="2708" xr:uid="{B7EC0180-69BD-41A9-8860-689A797CBC24}"/>
    <cellStyle name="Euro 27 3 4" xfId="2709" xr:uid="{BC10AAC0-2B6F-42C9-8940-6D63A63EFF17}"/>
    <cellStyle name="Euro 27 4" xfId="1369" xr:uid="{00000000-0005-0000-0000-0000F4000000}"/>
    <cellStyle name="Euro 27 4 2" xfId="1370" xr:uid="{00000000-0005-0000-0000-0000F5000000}"/>
    <cellStyle name="Euro 27 5" xfId="1371" xr:uid="{00000000-0005-0000-0000-0000F6000000}"/>
    <cellStyle name="Euro 27 6" xfId="2710" xr:uid="{8272CA44-52B6-4A6D-A15C-73EDF87356AD}"/>
    <cellStyle name="Euro 28" xfId="135" xr:uid="{00000000-0005-0000-0000-0000F7000000}"/>
    <cellStyle name="Euro 28 2" xfId="136" xr:uid="{00000000-0005-0000-0000-0000F8000000}"/>
    <cellStyle name="Euro 28 2 2" xfId="2711" xr:uid="{DD3268E3-FAA3-4F0D-A8F7-BBAC0C7AA4D7}"/>
    <cellStyle name="Euro 28 3" xfId="137" xr:uid="{00000000-0005-0000-0000-0000F9000000}"/>
    <cellStyle name="Euro 28 3 2" xfId="138" xr:uid="{00000000-0005-0000-0000-0000FA000000}"/>
    <cellStyle name="Euro 28 3 2 2" xfId="1372" xr:uid="{00000000-0005-0000-0000-0000FB000000}"/>
    <cellStyle name="Euro 28 3 3" xfId="2712" xr:uid="{CA019CE7-3EE7-43EA-A83E-437A87CB33EC}"/>
    <cellStyle name="Euro 28 3 4" xfId="2713" xr:uid="{E434B639-9134-4B5E-8F95-149BC2421D05}"/>
    <cellStyle name="Euro 28 4" xfId="1373" xr:uid="{00000000-0005-0000-0000-0000FC000000}"/>
    <cellStyle name="Euro 28 4 2" xfId="1374" xr:uid="{00000000-0005-0000-0000-0000FD000000}"/>
    <cellStyle name="Euro 28 5" xfId="1375" xr:uid="{00000000-0005-0000-0000-0000FE000000}"/>
    <cellStyle name="Euro 28 6" xfId="2714" xr:uid="{EAD2B4C3-CAA7-43BC-9CE0-EE04E10C7481}"/>
    <cellStyle name="Euro 29" xfId="139" xr:uid="{00000000-0005-0000-0000-0000FF000000}"/>
    <cellStyle name="Euro 29 2" xfId="140" xr:uid="{00000000-0005-0000-0000-000000010000}"/>
    <cellStyle name="Euro 29 2 2" xfId="2715" xr:uid="{582D9CDA-A8E0-43AC-8BBD-894105C28170}"/>
    <cellStyle name="Euro 29 3" xfId="141" xr:uid="{00000000-0005-0000-0000-000001010000}"/>
    <cellStyle name="Euro 29 3 2" xfId="142" xr:uid="{00000000-0005-0000-0000-000002010000}"/>
    <cellStyle name="Euro 29 3 2 2" xfId="1376" xr:uid="{00000000-0005-0000-0000-000003010000}"/>
    <cellStyle name="Euro 29 3 3" xfId="2716" xr:uid="{E0DEC5B4-CD53-4246-8688-D0E1074888FA}"/>
    <cellStyle name="Euro 29 3 4" xfId="2717" xr:uid="{0510A841-8B04-4D7C-918E-B75C81C6E396}"/>
    <cellStyle name="Euro 29 4" xfId="1377" xr:uid="{00000000-0005-0000-0000-000004010000}"/>
    <cellStyle name="Euro 29 4 2" xfId="1378" xr:uid="{00000000-0005-0000-0000-000005010000}"/>
    <cellStyle name="Euro 29 5" xfId="1379" xr:uid="{00000000-0005-0000-0000-000006010000}"/>
    <cellStyle name="Euro 29 6" xfId="2718" xr:uid="{7CFA3418-25AA-49AD-A875-C650174521FF}"/>
    <cellStyle name="Euro 3" xfId="143" xr:uid="{00000000-0005-0000-0000-000007010000}"/>
    <cellStyle name="Euro 3 2" xfId="144" xr:uid="{00000000-0005-0000-0000-000008010000}"/>
    <cellStyle name="Euro 3 2 2" xfId="2719" xr:uid="{7842479A-6192-4A05-A076-3F99CB6A2C1B}"/>
    <cellStyle name="Euro 3 3" xfId="145" xr:uid="{00000000-0005-0000-0000-000009010000}"/>
    <cellStyle name="Euro 3 3 2" xfId="146" xr:uid="{00000000-0005-0000-0000-00000A010000}"/>
    <cellStyle name="Euro 3 3 2 2" xfId="1380" xr:uid="{00000000-0005-0000-0000-00000B010000}"/>
    <cellStyle name="Euro 3 3 3" xfId="2720" xr:uid="{E2BC4866-779A-4CBA-B602-FF25D795FE98}"/>
    <cellStyle name="Euro 3 3 4" xfId="2721" xr:uid="{0380DA26-A941-406D-A874-6ECB9BA2B621}"/>
    <cellStyle name="Euro 3 4" xfId="1381" xr:uid="{00000000-0005-0000-0000-00000C010000}"/>
    <cellStyle name="Euro 3 4 2" xfId="1382" xr:uid="{00000000-0005-0000-0000-00000D010000}"/>
    <cellStyle name="Euro 3 5" xfId="1383" xr:uid="{00000000-0005-0000-0000-00000E010000}"/>
    <cellStyle name="Euro 3 6" xfId="2722" xr:uid="{F2C1D668-F89B-4B89-B4AE-ADB3F2017056}"/>
    <cellStyle name="Euro 30" xfId="147" xr:uid="{00000000-0005-0000-0000-00000F010000}"/>
    <cellStyle name="Euro 30 2" xfId="148" xr:uid="{00000000-0005-0000-0000-000010010000}"/>
    <cellStyle name="Euro 30 2 2" xfId="2723" xr:uid="{32CD2FED-26DF-4E91-8164-1EFDA740E819}"/>
    <cellStyle name="Euro 30 3" xfId="149" xr:uid="{00000000-0005-0000-0000-000011010000}"/>
    <cellStyle name="Euro 30 3 2" xfId="150" xr:uid="{00000000-0005-0000-0000-000012010000}"/>
    <cellStyle name="Euro 30 3 2 2" xfId="1384" xr:uid="{00000000-0005-0000-0000-000013010000}"/>
    <cellStyle name="Euro 30 3 3" xfId="2724" xr:uid="{C1069973-7C3B-4E50-8069-C512C20CF5F5}"/>
    <cellStyle name="Euro 30 3 4" xfId="2725" xr:uid="{91FAD84C-3C15-4073-A180-6273190039FF}"/>
    <cellStyle name="Euro 30 4" xfId="1385" xr:uid="{00000000-0005-0000-0000-000014010000}"/>
    <cellStyle name="Euro 30 4 2" xfId="1386" xr:uid="{00000000-0005-0000-0000-000015010000}"/>
    <cellStyle name="Euro 30 5" xfId="1387" xr:uid="{00000000-0005-0000-0000-000016010000}"/>
    <cellStyle name="Euro 30 6" xfId="2726" xr:uid="{B990D8D1-F729-421B-A0AC-9D0DBBE58806}"/>
    <cellStyle name="Euro 31" xfId="151" xr:uid="{00000000-0005-0000-0000-000017010000}"/>
    <cellStyle name="Euro 31 2" xfId="152" xr:uid="{00000000-0005-0000-0000-000018010000}"/>
    <cellStyle name="Euro 31 2 2" xfId="2727" xr:uid="{703387C0-C48D-4B43-8840-32C11040AEAC}"/>
    <cellStyle name="Euro 31 3" xfId="153" xr:uid="{00000000-0005-0000-0000-000019010000}"/>
    <cellStyle name="Euro 31 3 2" xfId="154" xr:uid="{00000000-0005-0000-0000-00001A010000}"/>
    <cellStyle name="Euro 31 3 2 2" xfId="1388" xr:uid="{00000000-0005-0000-0000-00001B010000}"/>
    <cellStyle name="Euro 31 3 3" xfId="2728" xr:uid="{1A4F0AA8-E15D-465A-9CD0-AFD3B519C456}"/>
    <cellStyle name="Euro 31 3 4" xfId="2729" xr:uid="{2285BFDC-3494-4492-8F52-03C195897CBD}"/>
    <cellStyle name="Euro 31 4" xfId="1389" xr:uid="{00000000-0005-0000-0000-00001C010000}"/>
    <cellStyle name="Euro 31 4 2" xfId="1390" xr:uid="{00000000-0005-0000-0000-00001D010000}"/>
    <cellStyle name="Euro 31 5" xfId="1391" xr:uid="{00000000-0005-0000-0000-00001E010000}"/>
    <cellStyle name="Euro 31 6" xfId="2730" xr:uid="{4E3EFAA0-846A-4C22-A0C7-58DC8870394E}"/>
    <cellStyle name="Euro 32" xfId="155" xr:uid="{00000000-0005-0000-0000-00001F010000}"/>
    <cellStyle name="Euro 32 2" xfId="156" xr:uid="{00000000-0005-0000-0000-000020010000}"/>
    <cellStyle name="Euro 32 2 2" xfId="2731" xr:uid="{B14ED377-514D-40F7-92DE-F67FDC3E21B5}"/>
    <cellStyle name="Euro 32 3" xfId="157" xr:uid="{00000000-0005-0000-0000-000021010000}"/>
    <cellStyle name="Euro 32 3 2" xfId="158" xr:uid="{00000000-0005-0000-0000-000022010000}"/>
    <cellStyle name="Euro 32 3 2 2" xfId="1392" xr:uid="{00000000-0005-0000-0000-000023010000}"/>
    <cellStyle name="Euro 32 3 3" xfId="2732" xr:uid="{6A290810-16DE-4AD3-B01F-D0644D605390}"/>
    <cellStyle name="Euro 32 3 4" xfId="2733" xr:uid="{9F3403EF-684C-4A21-B1E7-37D702DDF410}"/>
    <cellStyle name="Euro 32 4" xfId="1393" xr:uid="{00000000-0005-0000-0000-000024010000}"/>
    <cellStyle name="Euro 32 4 2" xfId="1394" xr:uid="{00000000-0005-0000-0000-000025010000}"/>
    <cellStyle name="Euro 32 5" xfId="1395" xr:uid="{00000000-0005-0000-0000-000026010000}"/>
    <cellStyle name="Euro 32 6" xfId="2734" xr:uid="{F4568375-EE0C-4897-981B-D61D8965453A}"/>
    <cellStyle name="Euro 33" xfId="159" xr:uid="{00000000-0005-0000-0000-000027010000}"/>
    <cellStyle name="Euro 33 2" xfId="160" xr:uid="{00000000-0005-0000-0000-000028010000}"/>
    <cellStyle name="Euro 33 2 2" xfId="2735" xr:uid="{F8E392CF-5595-46E0-BC24-2CE6C61869A0}"/>
    <cellStyle name="Euro 33 3" xfId="161" xr:uid="{00000000-0005-0000-0000-000029010000}"/>
    <cellStyle name="Euro 33 3 2" xfId="162" xr:uid="{00000000-0005-0000-0000-00002A010000}"/>
    <cellStyle name="Euro 33 3 2 2" xfId="1396" xr:uid="{00000000-0005-0000-0000-00002B010000}"/>
    <cellStyle name="Euro 33 3 3" xfId="2736" xr:uid="{ABB5720B-388D-45ED-9E91-6A6D62BCCE9E}"/>
    <cellStyle name="Euro 33 3 4" xfId="2737" xr:uid="{03BCC889-9EB4-4E25-80DD-E9635791F2AA}"/>
    <cellStyle name="Euro 33 4" xfId="1397" xr:uid="{00000000-0005-0000-0000-00002C010000}"/>
    <cellStyle name="Euro 33 4 2" xfId="1398" xr:uid="{00000000-0005-0000-0000-00002D010000}"/>
    <cellStyle name="Euro 33 5" xfId="1399" xr:uid="{00000000-0005-0000-0000-00002E010000}"/>
    <cellStyle name="Euro 33 6" xfId="2738" xr:uid="{CDB4F35D-6F29-493B-82B7-C3AB16514BD7}"/>
    <cellStyle name="Euro 34" xfId="163" xr:uid="{00000000-0005-0000-0000-00002F010000}"/>
    <cellStyle name="Euro 34 2" xfId="164" xr:uid="{00000000-0005-0000-0000-000030010000}"/>
    <cellStyle name="Euro 34 2 2" xfId="2739" xr:uid="{C4CE7A7B-5507-4854-9A7F-77AA5EEDADDA}"/>
    <cellStyle name="Euro 34 3" xfId="165" xr:uid="{00000000-0005-0000-0000-000031010000}"/>
    <cellStyle name="Euro 34 3 2" xfId="166" xr:uid="{00000000-0005-0000-0000-000032010000}"/>
    <cellStyle name="Euro 34 3 2 2" xfId="1400" xr:uid="{00000000-0005-0000-0000-000033010000}"/>
    <cellStyle name="Euro 34 3 3" xfId="2740" xr:uid="{0C6029EB-E2A2-4B6E-A443-4666D7C7EDA2}"/>
    <cellStyle name="Euro 34 3 4" xfId="2741" xr:uid="{A752ED59-8DFE-4AE3-98FC-32F3AA5E3B86}"/>
    <cellStyle name="Euro 34 4" xfId="1401" xr:uid="{00000000-0005-0000-0000-000034010000}"/>
    <cellStyle name="Euro 34 4 2" xfId="1402" xr:uid="{00000000-0005-0000-0000-000035010000}"/>
    <cellStyle name="Euro 34 5" xfId="1403" xr:uid="{00000000-0005-0000-0000-000036010000}"/>
    <cellStyle name="Euro 34 6" xfId="2742" xr:uid="{55A9E201-F218-4B57-BA59-0A3065C9D442}"/>
    <cellStyle name="Euro 35" xfId="167" xr:uid="{00000000-0005-0000-0000-000037010000}"/>
    <cellStyle name="Euro 35 2" xfId="168" xr:uid="{00000000-0005-0000-0000-000038010000}"/>
    <cellStyle name="Euro 35 2 2" xfId="2743" xr:uid="{F0B4A86B-26D5-4D2B-87C6-D94914D4B03F}"/>
    <cellStyle name="Euro 35 3" xfId="169" xr:uid="{00000000-0005-0000-0000-000039010000}"/>
    <cellStyle name="Euro 35 3 2" xfId="170" xr:uid="{00000000-0005-0000-0000-00003A010000}"/>
    <cellStyle name="Euro 35 3 2 2" xfId="1404" xr:uid="{00000000-0005-0000-0000-00003B010000}"/>
    <cellStyle name="Euro 35 3 3" xfId="2744" xr:uid="{2000A90D-8912-41B3-A6AD-B05ADFD8FD1A}"/>
    <cellStyle name="Euro 35 3 4" xfId="2745" xr:uid="{7A83A180-7A43-48B0-99E9-0C9E7E75A693}"/>
    <cellStyle name="Euro 35 4" xfId="1405" xr:uid="{00000000-0005-0000-0000-00003C010000}"/>
    <cellStyle name="Euro 35 4 2" xfId="1406" xr:uid="{00000000-0005-0000-0000-00003D010000}"/>
    <cellStyle name="Euro 35 5" xfId="1407" xr:uid="{00000000-0005-0000-0000-00003E010000}"/>
    <cellStyle name="Euro 35 6" xfId="2746" xr:uid="{53521B25-13C8-4C1E-AF1E-26A90BA7AE5C}"/>
    <cellStyle name="Euro 36" xfId="171" xr:uid="{00000000-0005-0000-0000-00003F010000}"/>
    <cellStyle name="Euro 36 2" xfId="172" xr:uid="{00000000-0005-0000-0000-000040010000}"/>
    <cellStyle name="Euro 36 2 2" xfId="2747" xr:uid="{B9584DE4-8A71-45A4-A229-333313AC54A9}"/>
    <cellStyle name="Euro 36 3" xfId="173" xr:uid="{00000000-0005-0000-0000-000041010000}"/>
    <cellStyle name="Euro 36 3 2" xfId="174" xr:uid="{00000000-0005-0000-0000-000042010000}"/>
    <cellStyle name="Euro 36 3 2 2" xfId="1408" xr:uid="{00000000-0005-0000-0000-000043010000}"/>
    <cellStyle name="Euro 36 3 3" xfId="2748" xr:uid="{30887B0A-BF65-4BB9-8C5B-FF885973C679}"/>
    <cellStyle name="Euro 36 3 4" xfId="2749" xr:uid="{02DDE347-B7A0-4595-9C23-F699A0BC904A}"/>
    <cellStyle name="Euro 36 4" xfId="1409" xr:uid="{00000000-0005-0000-0000-000044010000}"/>
    <cellStyle name="Euro 36 4 2" xfId="1410" xr:uid="{00000000-0005-0000-0000-000045010000}"/>
    <cellStyle name="Euro 36 5" xfId="1411" xr:uid="{00000000-0005-0000-0000-000046010000}"/>
    <cellStyle name="Euro 36 6" xfId="2750" xr:uid="{81FCC6A1-61F8-43FE-8165-B4F7B4DB2CE5}"/>
    <cellStyle name="Euro 37" xfId="175" xr:uid="{00000000-0005-0000-0000-000047010000}"/>
    <cellStyle name="Euro 37 2" xfId="176" xr:uid="{00000000-0005-0000-0000-000048010000}"/>
    <cellStyle name="Euro 37 2 2" xfId="2751" xr:uid="{E04E70E3-A6B6-4C9E-9A24-34AC3E435677}"/>
    <cellStyle name="Euro 37 3" xfId="177" xr:uid="{00000000-0005-0000-0000-000049010000}"/>
    <cellStyle name="Euro 37 3 2" xfId="178" xr:uid="{00000000-0005-0000-0000-00004A010000}"/>
    <cellStyle name="Euro 37 3 2 2" xfId="1412" xr:uid="{00000000-0005-0000-0000-00004B010000}"/>
    <cellStyle name="Euro 37 3 3" xfId="2752" xr:uid="{A6F22637-26EE-4071-B06F-9A77816F49B0}"/>
    <cellStyle name="Euro 37 3 4" xfId="2753" xr:uid="{590A254F-E152-49F6-B86E-FB2ABDAF27C6}"/>
    <cellStyle name="Euro 37 4" xfId="1413" xr:uid="{00000000-0005-0000-0000-00004C010000}"/>
    <cellStyle name="Euro 37 4 2" xfId="1414" xr:uid="{00000000-0005-0000-0000-00004D010000}"/>
    <cellStyle name="Euro 37 5" xfId="1415" xr:uid="{00000000-0005-0000-0000-00004E010000}"/>
    <cellStyle name="Euro 37 6" xfId="2754" xr:uid="{457C010B-FF35-4DA0-BD44-564D4177A3E2}"/>
    <cellStyle name="Euro 38" xfId="179" xr:uid="{00000000-0005-0000-0000-00004F010000}"/>
    <cellStyle name="Euro 38 2" xfId="180" xr:uid="{00000000-0005-0000-0000-000050010000}"/>
    <cellStyle name="Euro 38 2 2" xfId="2755" xr:uid="{AEBF3F9D-7647-43CF-A5C2-F78ABE523F0D}"/>
    <cellStyle name="Euro 38 3" xfId="181" xr:uid="{00000000-0005-0000-0000-000051010000}"/>
    <cellStyle name="Euro 38 3 2" xfId="182" xr:uid="{00000000-0005-0000-0000-000052010000}"/>
    <cellStyle name="Euro 38 3 2 2" xfId="1416" xr:uid="{00000000-0005-0000-0000-000053010000}"/>
    <cellStyle name="Euro 38 3 3" xfId="2756" xr:uid="{08DB3719-4E57-4C41-BBEA-2BB1D5E1D312}"/>
    <cellStyle name="Euro 38 3 4" xfId="2757" xr:uid="{7F6BB06B-11EC-499C-A7D4-9B95D9C53BE9}"/>
    <cellStyle name="Euro 38 4" xfId="1417" xr:uid="{00000000-0005-0000-0000-000054010000}"/>
    <cellStyle name="Euro 38 4 2" xfId="1418" xr:uid="{00000000-0005-0000-0000-000055010000}"/>
    <cellStyle name="Euro 38 5" xfId="1419" xr:uid="{00000000-0005-0000-0000-000056010000}"/>
    <cellStyle name="Euro 38 6" xfId="2758" xr:uid="{BE8D73F1-14AB-4158-B91A-3FD62EC6FCD4}"/>
    <cellStyle name="Euro 39" xfId="183" xr:uid="{00000000-0005-0000-0000-000057010000}"/>
    <cellStyle name="Euro 39 2" xfId="184" xr:uid="{00000000-0005-0000-0000-000058010000}"/>
    <cellStyle name="Euro 39 2 2" xfId="2759" xr:uid="{D9057C53-7D7E-4F22-8607-B7DABF636F34}"/>
    <cellStyle name="Euro 39 3" xfId="185" xr:uid="{00000000-0005-0000-0000-000059010000}"/>
    <cellStyle name="Euro 39 3 2" xfId="186" xr:uid="{00000000-0005-0000-0000-00005A010000}"/>
    <cellStyle name="Euro 39 3 2 2" xfId="1420" xr:uid="{00000000-0005-0000-0000-00005B010000}"/>
    <cellStyle name="Euro 39 3 3" xfId="2760" xr:uid="{57D9087A-1D30-48FD-BB65-8C09DFD442E5}"/>
    <cellStyle name="Euro 39 3 4" xfId="2761" xr:uid="{995C539C-7F7D-47D8-90DA-226CB2422EF3}"/>
    <cellStyle name="Euro 39 4" xfId="1421" xr:uid="{00000000-0005-0000-0000-00005C010000}"/>
    <cellStyle name="Euro 39 4 2" xfId="1422" xr:uid="{00000000-0005-0000-0000-00005D010000}"/>
    <cellStyle name="Euro 39 5" xfId="1423" xr:uid="{00000000-0005-0000-0000-00005E010000}"/>
    <cellStyle name="Euro 39 6" xfId="2762" xr:uid="{96BEC250-9C31-4C49-857B-968E840864E9}"/>
    <cellStyle name="Euro 4" xfId="187" xr:uid="{00000000-0005-0000-0000-00005F010000}"/>
    <cellStyle name="Euro 4 2" xfId="188" xr:uid="{00000000-0005-0000-0000-000060010000}"/>
    <cellStyle name="Euro 4 2 2" xfId="2763" xr:uid="{A3482B85-0F02-43C0-A434-FE690A8CD09F}"/>
    <cellStyle name="Euro 4 3" xfId="189" xr:uid="{00000000-0005-0000-0000-000061010000}"/>
    <cellStyle name="Euro 4 3 2" xfId="190" xr:uid="{00000000-0005-0000-0000-000062010000}"/>
    <cellStyle name="Euro 4 3 2 2" xfId="1424" xr:uid="{00000000-0005-0000-0000-000063010000}"/>
    <cellStyle name="Euro 4 3 3" xfId="2764" xr:uid="{3BD4257B-C9E3-4A88-8108-0DE78A87560E}"/>
    <cellStyle name="Euro 4 3 4" xfId="2765" xr:uid="{BC93E2D0-9AAF-4A54-B97B-B1809099C469}"/>
    <cellStyle name="Euro 4 4" xfId="1425" xr:uid="{00000000-0005-0000-0000-000064010000}"/>
    <cellStyle name="Euro 4 4 2" xfId="1426" xr:uid="{00000000-0005-0000-0000-000065010000}"/>
    <cellStyle name="Euro 4 5" xfId="1427" xr:uid="{00000000-0005-0000-0000-000066010000}"/>
    <cellStyle name="Euro 4 6" xfId="2766" xr:uid="{D2B3C8F7-E7A5-4ECF-9F74-C564C6A51716}"/>
    <cellStyle name="Euro 40" xfId="191" xr:uid="{00000000-0005-0000-0000-000067010000}"/>
    <cellStyle name="Euro 40 2" xfId="192" xr:uid="{00000000-0005-0000-0000-000068010000}"/>
    <cellStyle name="Euro 40 2 2" xfId="2767" xr:uid="{DC3492BA-6EA2-49E6-BB10-CD9BA4593D3D}"/>
    <cellStyle name="Euro 40 3" xfId="193" xr:uid="{00000000-0005-0000-0000-000069010000}"/>
    <cellStyle name="Euro 40 3 2" xfId="194" xr:uid="{00000000-0005-0000-0000-00006A010000}"/>
    <cellStyle name="Euro 40 3 2 2" xfId="1428" xr:uid="{00000000-0005-0000-0000-00006B010000}"/>
    <cellStyle name="Euro 40 3 3" xfId="2768" xr:uid="{9B3908D0-8E9D-46FD-A78C-5FDC3ADDB1FC}"/>
    <cellStyle name="Euro 40 3 4" xfId="2769" xr:uid="{CBCBC6FA-B88E-4D61-8CC7-15CCA14E5581}"/>
    <cellStyle name="Euro 40 4" xfId="1429" xr:uid="{00000000-0005-0000-0000-00006C010000}"/>
    <cellStyle name="Euro 40 4 2" xfId="1430" xr:uid="{00000000-0005-0000-0000-00006D010000}"/>
    <cellStyle name="Euro 40 5" xfId="1431" xr:uid="{00000000-0005-0000-0000-00006E010000}"/>
    <cellStyle name="Euro 40 6" xfId="2770" xr:uid="{96EF9291-FF9D-4E63-B4DB-CE7995090597}"/>
    <cellStyle name="Euro 41" xfId="195" xr:uid="{00000000-0005-0000-0000-00006F010000}"/>
    <cellStyle name="Euro 41 2" xfId="196" xr:uid="{00000000-0005-0000-0000-000070010000}"/>
    <cellStyle name="Euro 41 2 2" xfId="2771" xr:uid="{C97650D4-752D-4E55-956E-7B208AF13EE7}"/>
    <cellStyle name="Euro 41 3" xfId="197" xr:uid="{00000000-0005-0000-0000-000071010000}"/>
    <cellStyle name="Euro 41 3 2" xfId="198" xr:uid="{00000000-0005-0000-0000-000072010000}"/>
    <cellStyle name="Euro 41 3 2 2" xfId="1432" xr:uid="{00000000-0005-0000-0000-000073010000}"/>
    <cellStyle name="Euro 41 3 3" xfId="2772" xr:uid="{2557ADB5-E29D-4646-89FB-BD4C6110D934}"/>
    <cellStyle name="Euro 41 3 4" xfId="2773" xr:uid="{B1404088-A954-4710-A7AA-96266A2639BD}"/>
    <cellStyle name="Euro 41 4" xfId="1433" xr:uid="{00000000-0005-0000-0000-000074010000}"/>
    <cellStyle name="Euro 41 4 2" xfId="1434" xr:uid="{00000000-0005-0000-0000-000075010000}"/>
    <cellStyle name="Euro 41 5" xfId="1435" xr:uid="{00000000-0005-0000-0000-000076010000}"/>
    <cellStyle name="Euro 41 6" xfId="2774" xr:uid="{5E1BB319-D45F-4C84-AC87-6E351EF4F86F}"/>
    <cellStyle name="Euro 42" xfId="199" xr:uid="{00000000-0005-0000-0000-000077010000}"/>
    <cellStyle name="Euro 42 2" xfId="200" xr:uid="{00000000-0005-0000-0000-000078010000}"/>
    <cellStyle name="Euro 42 2 2" xfId="2775" xr:uid="{D32EC4B1-0FF1-4A30-8429-17524946B732}"/>
    <cellStyle name="Euro 42 3" xfId="201" xr:uid="{00000000-0005-0000-0000-000079010000}"/>
    <cellStyle name="Euro 42 3 2" xfId="202" xr:uid="{00000000-0005-0000-0000-00007A010000}"/>
    <cellStyle name="Euro 42 3 2 2" xfId="1436" xr:uid="{00000000-0005-0000-0000-00007B010000}"/>
    <cellStyle name="Euro 42 3 3" xfId="2776" xr:uid="{F012731B-4967-46AB-A7F7-2B4726A8670B}"/>
    <cellStyle name="Euro 42 3 4" xfId="2777" xr:uid="{4F3FE6A1-3053-4916-9913-33CD7EAD6365}"/>
    <cellStyle name="Euro 42 4" xfId="1437" xr:uid="{00000000-0005-0000-0000-00007C010000}"/>
    <cellStyle name="Euro 42 4 2" xfId="1438" xr:uid="{00000000-0005-0000-0000-00007D010000}"/>
    <cellStyle name="Euro 42 5" xfId="1439" xr:uid="{00000000-0005-0000-0000-00007E010000}"/>
    <cellStyle name="Euro 42 6" xfId="2778" xr:uid="{7EB66470-5D1D-41E2-A21C-074E1D426E16}"/>
    <cellStyle name="Euro 43" xfId="203" xr:uid="{00000000-0005-0000-0000-00007F010000}"/>
    <cellStyle name="Euro 43 2" xfId="204" xr:uid="{00000000-0005-0000-0000-000080010000}"/>
    <cellStyle name="Euro 43 2 2" xfId="2779" xr:uid="{2CEE256B-2478-4FA5-904B-F9EC08CE3B55}"/>
    <cellStyle name="Euro 43 3" xfId="205" xr:uid="{00000000-0005-0000-0000-000081010000}"/>
    <cellStyle name="Euro 43 3 2" xfId="206" xr:uid="{00000000-0005-0000-0000-000082010000}"/>
    <cellStyle name="Euro 43 3 2 2" xfId="1440" xr:uid="{00000000-0005-0000-0000-000083010000}"/>
    <cellStyle name="Euro 43 3 3" xfId="2780" xr:uid="{FF869E05-9B77-441F-979C-BDFCF7BDDF11}"/>
    <cellStyle name="Euro 43 3 4" xfId="2781" xr:uid="{C925B9E8-48C2-428A-BFCF-5E2D71A7516B}"/>
    <cellStyle name="Euro 43 4" xfId="1441" xr:uid="{00000000-0005-0000-0000-000084010000}"/>
    <cellStyle name="Euro 43 4 2" xfId="1442" xr:uid="{00000000-0005-0000-0000-000085010000}"/>
    <cellStyle name="Euro 43 5" xfId="1443" xr:uid="{00000000-0005-0000-0000-000086010000}"/>
    <cellStyle name="Euro 43 6" xfId="2782" xr:uid="{6A7A5863-F133-4EEF-8E2E-E7D986BF8635}"/>
    <cellStyle name="Euro 44" xfId="207" xr:uid="{00000000-0005-0000-0000-000087010000}"/>
    <cellStyle name="Euro 44 2" xfId="208" xr:uid="{00000000-0005-0000-0000-000088010000}"/>
    <cellStyle name="Euro 44 2 2" xfId="2783" xr:uid="{EB62E236-BAB2-417E-933D-71DC3CBC12B0}"/>
    <cellStyle name="Euro 44 3" xfId="209" xr:uid="{00000000-0005-0000-0000-000089010000}"/>
    <cellStyle name="Euro 44 3 2" xfId="210" xr:uid="{00000000-0005-0000-0000-00008A010000}"/>
    <cellStyle name="Euro 44 3 2 2" xfId="1444" xr:uid="{00000000-0005-0000-0000-00008B010000}"/>
    <cellStyle name="Euro 44 3 3" xfId="2784" xr:uid="{D82C0626-F081-4427-B078-739EEDCEEF35}"/>
    <cellStyle name="Euro 44 3 4" xfId="2785" xr:uid="{0AEF48BD-DD17-44C6-BBE6-0F16FDC661BB}"/>
    <cellStyle name="Euro 44 4" xfId="1445" xr:uid="{00000000-0005-0000-0000-00008C010000}"/>
    <cellStyle name="Euro 44 4 2" xfId="1446" xr:uid="{00000000-0005-0000-0000-00008D010000}"/>
    <cellStyle name="Euro 44 5" xfId="1447" xr:uid="{00000000-0005-0000-0000-00008E010000}"/>
    <cellStyle name="Euro 44 6" xfId="2786" xr:uid="{BDF4F773-6D67-438F-84CA-F2916CB7326D}"/>
    <cellStyle name="Euro 45" xfId="211" xr:uid="{00000000-0005-0000-0000-00008F010000}"/>
    <cellStyle name="Euro 45 2" xfId="212" xr:uid="{00000000-0005-0000-0000-000090010000}"/>
    <cellStyle name="Euro 45 3" xfId="2788" xr:uid="{1C29E9DF-CB16-4C99-907F-3A203DA31AA9}"/>
    <cellStyle name="Euro 45 4" xfId="2787" xr:uid="{3B7C3440-34CB-42FB-A379-1FA90B9C90BC}"/>
    <cellStyle name="Euro 46" xfId="213" xr:uid="{00000000-0005-0000-0000-000091010000}"/>
    <cellStyle name="Euro 46 2" xfId="214" xr:uid="{00000000-0005-0000-0000-000092010000}"/>
    <cellStyle name="Euro 47" xfId="215" xr:uid="{00000000-0005-0000-0000-000093010000}"/>
    <cellStyle name="Euro 47 2" xfId="216" xr:uid="{00000000-0005-0000-0000-000094010000}"/>
    <cellStyle name="Euro 47 2 2" xfId="1448" xr:uid="{00000000-0005-0000-0000-000095010000}"/>
    <cellStyle name="Euro 47 3" xfId="2789" xr:uid="{2D373E04-786B-437F-B74E-9CD65F822A7A}"/>
    <cellStyle name="Euro 47 4" xfId="2790" xr:uid="{041FD63F-E2F3-43B4-B998-9533EB526FF8}"/>
    <cellStyle name="Euro 48" xfId="217" xr:uid="{00000000-0005-0000-0000-000096010000}"/>
    <cellStyle name="Euro 48 2" xfId="2791" xr:uid="{3B2C8E0C-850F-4944-87BB-E0864CBE5FCD}"/>
    <cellStyle name="Euro 49" xfId="1449" xr:uid="{00000000-0005-0000-0000-000097010000}"/>
    <cellStyle name="Euro 49 2" xfId="1450" xr:uid="{00000000-0005-0000-0000-000098010000}"/>
    <cellStyle name="Euro 5" xfId="218" xr:uid="{00000000-0005-0000-0000-000099010000}"/>
    <cellStyle name="Euro 5 2" xfId="219" xr:uid="{00000000-0005-0000-0000-00009A010000}"/>
    <cellStyle name="Euro 5 2 2" xfId="2792" xr:uid="{9AAED175-3C19-4561-B62E-CA396A36D3DB}"/>
    <cellStyle name="Euro 5 3" xfId="220" xr:uid="{00000000-0005-0000-0000-00009B010000}"/>
    <cellStyle name="Euro 5 3 2" xfId="221" xr:uid="{00000000-0005-0000-0000-00009C010000}"/>
    <cellStyle name="Euro 5 3 2 2" xfId="1451" xr:uid="{00000000-0005-0000-0000-00009D010000}"/>
    <cellStyle name="Euro 5 3 3" xfId="2793" xr:uid="{75DF7CAC-087A-4374-A763-8282155D222A}"/>
    <cellStyle name="Euro 5 3 4" xfId="2794" xr:uid="{EC43CB9C-0685-4992-96F3-89230F8CC3FC}"/>
    <cellStyle name="Euro 5 4" xfId="1452" xr:uid="{00000000-0005-0000-0000-00009E010000}"/>
    <cellStyle name="Euro 5 4 2" xfId="1453" xr:uid="{00000000-0005-0000-0000-00009F010000}"/>
    <cellStyle name="Euro 5 5" xfId="1454" xr:uid="{00000000-0005-0000-0000-0000A0010000}"/>
    <cellStyle name="Euro 5 6" xfId="2795" xr:uid="{C3883014-11A2-4879-947D-D664061B6402}"/>
    <cellStyle name="Euro 50" xfId="1455" xr:uid="{00000000-0005-0000-0000-0000A1010000}"/>
    <cellStyle name="Euro 51" xfId="2796" xr:uid="{5CD19968-DF78-42F1-B008-0E0FD898890A}"/>
    <cellStyle name="Euro 6" xfId="222" xr:uid="{00000000-0005-0000-0000-0000A2010000}"/>
    <cellStyle name="Euro 6 2" xfId="223" xr:uid="{00000000-0005-0000-0000-0000A3010000}"/>
    <cellStyle name="Euro 6 2 2" xfId="2797" xr:uid="{EAA83E63-2EC4-431E-A3E3-FD65E9AE501F}"/>
    <cellStyle name="Euro 6 3" xfId="224" xr:uid="{00000000-0005-0000-0000-0000A4010000}"/>
    <cellStyle name="Euro 6 3 2" xfId="225" xr:uid="{00000000-0005-0000-0000-0000A5010000}"/>
    <cellStyle name="Euro 6 3 2 2" xfId="1456" xr:uid="{00000000-0005-0000-0000-0000A6010000}"/>
    <cellStyle name="Euro 6 3 3" xfId="2798" xr:uid="{E0B013FC-7BBE-42DE-BC33-7AF187AE6ED3}"/>
    <cellStyle name="Euro 6 3 4" xfId="2799" xr:uid="{C998797A-1F5B-4715-B4C0-1BA4CC778D4A}"/>
    <cellStyle name="Euro 6 4" xfId="1457" xr:uid="{00000000-0005-0000-0000-0000A7010000}"/>
    <cellStyle name="Euro 6 4 2" xfId="1458" xr:uid="{00000000-0005-0000-0000-0000A8010000}"/>
    <cellStyle name="Euro 6 5" xfId="1459" xr:uid="{00000000-0005-0000-0000-0000A9010000}"/>
    <cellStyle name="Euro 6 6" xfId="2800" xr:uid="{DDC6D7BB-7C13-44AE-80B9-4209F77B16F4}"/>
    <cellStyle name="Euro 7" xfId="226" xr:uid="{00000000-0005-0000-0000-0000AA010000}"/>
    <cellStyle name="Euro 7 2" xfId="227" xr:uid="{00000000-0005-0000-0000-0000AB010000}"/>
    <cellStyle name="Euro 7 2 2" xfId="2801" xr:uid="{CC454D83-CD78-4CAD-B372-0706F963DFFA}"/>
    <cellStyle name="Euro 7 3" xfId="228" xr:uid="{00000000-0005-0000-0000-0000AC010000}"/>
    <cellStyle name="Euro 7 3 2" xfId="229" xr:uid="{00000000-0005-0000-0000-0000AD010000}"/>
    <cellStyle name="Euro 7 3 2 2" xfId="1460" xr:uid="{00000000-0005-0000-0000-0000AE010000}"/>
    <cellStyle name="Euro 7 3 3" xfId="2802" xr:uid="{BF10C45E-0E6B-4DBC-A46D-699F2601D1C8}"/>
    <cellStyle name="Euro 7 3 4" xfId="2803" xr:uid="{584E6976-125C-48CD-AAFE-FBE4CAE3C356}"/>
    <cellStyle name="Euro 7 4" xfId="1461" xr:uid="{00000000-0005-0000-0000-0000AF010000}"/>
    <cellStyle name="Euro 7 4 2" xfId="1462" xr:uid="{00000000-0005-0000-0000-0000B0010000}"/>
    <cellStyle name="Euro 7 5" xfId="1463" xr:uid="{00000000-0005-0000-0000-0000B1010000}"/>
    <cellStyle name="Euro 7 6" xfId="2804" xr:uid="{A2FDC9C4-D79D-4E8D-A66F-5DD100B06AB1}"/>
    <cellStyle name="Euro 8" xfId="230" xr:uid="{00000000-0005-0000-0000-0000B2010000}"/>
    <cellStyle name="Euro 8 2" xfId="231" xr:uid="{00000000-0005-0000-0000-0000B3010000}"/>
    <cellStyle name="Euro 8 2 2" xfId="2805" xr:uid="{3F3E1FB7-8983-41DB-BCA2-279AE1E5490B}"/>
    <cellStyle name="Euro 8 3" xfId="232" xr:uid="{00000000-0005-0000-0000-0000B4010000}"/>
    <cellStyle name="Euro 8 3 2" xfId="233" xr:uid="{00000000-0005-0000-0000-0000B5010000}"/>
    <cellStyle name="Euro 8 3 2 2" xfId="1464" xr:uid="{00000000-0005-0000-0000-0000B6010000}"/>
    <cellStyle name="Euro 8 3 3" xfId="2806" xr:uid="{0774113B-D4CD-4E75-A7A6-14263932FD40}"/>
    <cellStyle name="Euro 8 3 4" xfId="2807" xr:uid="{98042DA7-A808-4894-BD7F-67CE9B680396}"/>
    <cellStyle name="Euro 8 4" xfId="1465" xr:uid="{00000000-0005-0000-0000-0000B7010000}"/>
    <cellStyle name="Euro 8 4 2" xfId="1466" xr:uid="{00000000-0005-0000-0000-0000B8010000}"/>
    <cellStyle name="Euro 8 5" xfId="1467" xr:uid="{00000000-0005-0000-0000-0000B9010000}"/>
    <cellStyle name="Euro 8 6" xfId="2808" xr:uid="{F0A6F14F-DB48-403B-B5A7-DD529AD7368B}"/>
    <cellStyle name="Euro 9" xfId="234" xr:uid="{00000000-0005-0000-0000-0000BA010000}"/>
    <cellStyle name="Euro 9 2" xfId="235" xr:uid="{00000000-0005-0000-0000-0000BB010000}"/>
    <cellStyle name="Euro 9 2 2" xfId="2809" xr:uid="{883CFC32-AF9F-4156-B184-D2E8CC2A726B}"/>
    <cellStyle name="Euro 9 3" xfId="236" xr:uid="{00000000-0005-0000-0000-0000BC010000}"/>
    <cellStyle name="Euro 9 3 2" xfId="237" xr:uid="{00000000-0005-0000-0000-0000BD010000}"/>
    <cellStyle name="Euro 9 3 2 2" xfId="1468" xr:uid="{00000000-0005-0000-0000-0000BE010000}"/>
    <cellStyle name="Euro 9 3 3" xfId="2810" xr:uid="{8D99E67A-5527-4696-9534-C18DB320C3A5}"/>
    <cellStyle name="Euro 9 3 4" xfId="2811" xr:uid="{36FFD0E8-7D5E-4D70-8C8B-7DF530B645C2}"/>
    <cellStyle name="Euro 9 4" xfId="1469" xr:uid="{00000000-0005-0000-0000-0000BF010000}"/>
    <cellStyle name="Euro 9 4 2" xfId="1470" xr:uid="{00000000-0005-0000-0000-0000C0010000}"/>
    <cellStyle name="Euro 9 5" xfId="1471" xr:uid="{00000000-0005-0000-0000-0000C1010000}"/>
    <cellStyle name="Euro 9 6" xfId="2812" xr:uid="{21BC70AD-71F4-4186-AF5E-A6C6D4637D6C}"/>
    <cellStyle name="Explanatory Text 2" xfId="1254" xr:uid="{00000000-0005-0000-0000-0000C2010000}"/>
    <cellStyle name="Fixed2 - Type2" xfId="238" xr:uid="{00000000-0005-0000-0000-0000C3010000}"/>
    <cellStyle name="Good 2" xfId="1472" xr:uid="{00000000-0005-0000-0000-0000C4010000}"/>
    <cellStyle name="Heading 1 2" xfId="1255" xr:uid="{00000000-0005-0000-0000-0000C5010000}"/>
    <cellStyle name="Heading 1 3" xfId="1256" xr:uid="{00000000-0005-0000-0000-0000C6010000}"/>
    <cellStyle name="Heading 2 2" xfId="1257" xr:uid="{00000000-0005-0000-0000-0000C7010000}"/>
    <cellStyle name="Hyperlink" xfId="1258" builtinId="8"/>
    <cellStyle name="Hyperlink 2" xfId="1473" xr:uid="{00000000-0005-0000-0000-0000C9010000}"/>
    <cellStyle name="Input 2" xfId="239" xr:uid="{00000000-0005-0000-0000-0000CA010000}"/>
    <cellStyle name="Input 2 2" xfId="240" xr:uid="{00000000-0005-0000-0000-0000CB010000}"/>
    <cellStyle name="Input 2 2 2" xfId="1474" xr:uid="{00000000-0005-0000-0000-0000CC010000}"/>
    <cellStyle name="Input 2 3" xfId="1475" xr:uid="{00000000-0005-0000-0000-0000CD010000}"/>
    <cellStyle name="Input 3" xfId="241" xr:uid="{00000000-0005-0000-0000-0000CE010000}"/>
    <cellStyle name="Input 3 2" xfId="1476" xr:uid="{00000000-0005-0000-0000-0000CF010000}"/>
    <cellStyle name="Input 3 2 2" xfId="2813" xr:uid="{EF4791D3-2837-44D6-9F1E-8B294D314839}"/>
    <cellStyle name="InputCells" xfId="242" xr:uid="{00000000-0005-0000-0000-0000D0010000}"/>
    <cellStyle name="Komma 2" xfId="1477" xr:uid="{00000000-0005-0000-0000-0000D1010000}"/>
    <cellStyle name="Komma 2 2" xfId="2814" xr:uid="{3B8F8072-1FFC-430B-A0F4-6C721347CCFC}"/>
    <cellStyle name="Komma 3" xfId="2815" xr:uid="{074034F4-947A-4275-9599-349D952D4503}"/>
    <cellStyle name="Komma 3 2" xfId="4549" xr:uid="{7A437492-B734-4BCC-8E9E-E00AA9D364D2}"/>
    <cellStyle name="Komma 3 3" xfId="5830" xr:uid="{26212406-E667-4EBB-99D9-0462CD66396B}"/>
    <cellStyle name="Kontroller celle" xfId="1478" xr:uid="{00000000-0005-0000-0000-0000D2010000}"/>
    <cellStyle name="Kontroller celle 2" xfId="2816" xr:uid="{EF563239-A846-4A75-B4EB-742116F49614}"/>
    <cellStyle name="Link 2" xfId="2817" xr:uid="{8FE95863-50C7-473F-BFE4-6B40BE51BFA1}"/>
    <cellStyle name="Markeringsfarve1" xfId="1479" xr:uid="{00000000-0005-0000-0000-0000D3010000}"/>
    <cellStyle name="Markeringsfarve1 2" xfId="2818" xr:uid="{9174A573-A411-4F25-8E6E-D88B7A67C871}"/>
    <cellStyle name="Markeringsfarve2" xfId="1480" xr:uid="{00000000-0005-0000-0000-0000D4010000}"/>
    <cellStyle name="Markeringsfarve2 2" xfId="2819" xr:uid="{934FF41D-523B-4BF6-8FF2-6FEEE49E8FEE}"/>
    <cellStyle name="Markeringsfarve3" xfId="1481" xr:uid="{00000000-0005-0000-0000-0000D5010000}"/>
    <cellStyle name="Markeringsfarve3 2" xfId="2820" xr:uid="{4D22709D-6B1B-4EAC-853D-701431AF4CB1}"/>
    <cellStyle name="Markeringsfarve4" xfId="1482" xr:uid="{00000000-0005-0000-0000-0000D6010000}"/>
    <cellStyle name="Markeringsfarve4 2" xfId="2821" xr:uid="{A8D99893-C516-43AF-9013-B091C9E6945F}"/>
    <cellStyle name="Markeringsfarve5" xfId="1483" xr:uid="{00000000-0005-0000-0000-0000D7010000}"/>
    <cellStyle name="Markeringsfarve5 2" xfId="2822" xr:uid="{8403B1B9-6540-4934-87AF-75FA9FD50CB9}"/>
    <cellStyle name="Markeringsfarve6" xfId="1484" xr:uid="{00000000-0005-0000-0000-0000D8010000}"/>
    <cellStyle name="Markeringsfarve6 2" xfId="2823" xr:uid="{F09F4017-0BF0-41AE-BD29-43EEE77E5D56}"/>
    <cellStyle name="Migliaia [0] 10" xfId="243" xr:uid="{00000000-0005-0000-0000-0000D9010000}"/>
    <cellStyle name="Migliaia [0] 10 2" xfId="1485" xr:uid="{00000000-0005-0000-0000-0000DA010000}"/>
    <cellStyle name="Migliaia [0] 10 2 2" xfId="1486" xr:uid="{00000000-0005-0000-0000-0000DB010000}"/>
    <cellStyle name="Migliaia [0] 10 2 2 2" xfId="4552" xr:uid="{999B3FD6-67AE-44AB-907A-C4AFA58230E8}"/>
    <cellStyle name="Migliaia [0] 10 2 2 3" xfId="2826" xr:uid="{4A2A0D4B-26C8-409B-862C-0C1DB0D91680}"/>
    <cellStyle name="Migliaia [0] 10 2 3" xfId="4551" xr:uid="{CA0CB759-0B9A-45D6-A0AE-2F917C5081E3}"/>
    <cellStyle name="Migliaia [0] 10 2 4" xfId="5832" xr:uid="{7AEB3FF7-432E-44AA-8172-CE9C777C0198}"/>
    <cellStyle name="Migliaia [0] 10 2 5" xfId="2825" xr:uid="{56BAC4E8-C04D-4429-B195-E3FD40ABE7D3}"/>
    <cellStyle name="Migliaia [0] 10 3" xfId="1487" xr:uid="{00000000-0005-0000-0000-0000DC010000}"/>
    <cellStyle name="Migliaia [0] 10 3 2" xfId="4553" xr:uid="{E030A518-07C0-487F-9BD6-245C69FE5AA8}"/>
    <cellStyle name="Migliaia [0] 10 3 3" xfId="5833" xr:uid="{A664D942-F57E-411A-83AD-BBFC362ADD73}"/>
    <cellStyle name="Migliaia [0] 10 3 4" xfId="2827" xr:uid="{47FA5C3F-DCD9-4510-BDA4-730F76541B70}"/>
    <cellStyle name="Migliaia [0] 10 4" xfId="2828" xr:uid="{7CB6AC36-41A6-4376-BA12-9F99B415003A}"/>
    <cellStyle name="Migliaia [0] 10 4 2" xfId="4554" xr:uid="{42CAF7B4-D30F-4275-97DC-72D8FD76F764}"/>
    <cellStyle name="Migliaia [0] 10 4 3" xfId="5834" xr:uid="{9D19FBA8-D655-4015-8F82-2F1261C500C5}"/>
    <cellStyle name="Migliaia [0] 10 5" xfId="4550" xr:uid="{BCEB1AC9-0C9F-4486-8C45-0A9276028903}"/>
    <cellStyle name="Migliaia [0] 10 6" xfId="5831" xr:uid="{13C84C13-B035-47AE-AFE6-38877BACBA26}"/>
    <cellStyle name="Migliaia [0] 10 7" xfId="2824" xr:uid="{61A91452-1E55-4A98-80FE-70069A3AE398}"/>
    <cellStyle name="Migliaia [0] 11" xfId="244" xr:uid="{00000000-0005-0000-0000-0000DD010000}"/>
    <cellStyle name="Migliaia [0] 11 2" xfId="1488" xr:uid="{00000000-0005-0000-0000-0000DE010000}"/>
    <cellStyle name="Migliaia [0] 11 2 2" xfId="1489" xr:uid="{00000000-0005-0000-0000-0000DF010000}"/>
    <cellStyle name="Migliaia [0] 11 2 2 2" xfId="4557" xr:uid="{23E24C56-AEA8-4643-B43E-3036F456A968}"/>
    <cellStyle name="Migliaia [0] 11 2 2 3" xfId="2831" xr:uid="{764840E9-B2A5-47C9-96B6-BF71D57B73E0}"/>
    <cellStyle name="Migliaia [0] 11 2 3" xfId="4556" xr:uid="{493F877F-2E9F-4705-ACED-B510ADEFCC3A}"/>
    <cellStyle name="Migliaia [0] 11 2 4" xfId="5836" xr:uid="{CE80F89E-96EC-4755-ABBD-25897286F924}"/>
    <cellStyle name="Migliaia [0] 11 2 5" xfId="2830" xr:uid="{E593B6A2-C878-4D71-9452-E4317F029FF2}"/>
    <cellStyle name="Migliaia [0] 11 3" xfId="1490" xr:uid="{00000000-0005-0000-0000-0000E0010000}"/>
    <cellStyle name="Migliaia [0] 11 3 2" xfId="4558" xr:uid="{4F45E4F8-7A27-4FC4-9579-672B92584CD5}"/>
    <cellStyle name="Migliaia [0] 11 3 3" xfId="5837" xr:uid="{9E6DAAAF-7D03-4C4F-A45C-FB356F2B8D6F}"/>
    <cellStyle name="Migliaia [0] 11 3 4" xfId="2832" xr:uid="{0CA9844A-4371-4CB6-9E73-D18C81EB3EB8}"/>
    <cellStyle name="Migliaia [0] 11 4" xfId="2833" xr:uid="{2F2731B5-BD61-4E8F-B816-BDA9DBB55759}"/>
    <cellStyle name="Migliaia [0] 11 4 2" xfId="4559" xr:uid="{8544E5B5-9610-4D5E-A25A-031A731D95BD}"/>
    <cellStyle name="Migliaia [0] 11 4 3" xfId="5838" xr:uid="{7C2C0142-35DD-4656-97ED-44B09C2560A4}"/>
    <cellStyle name="Migliaia [0] 11 5" xfId="4555" xr:uid="{DFEB13CA-4012-4558-A3E4-8DFCB6B4784B}"/>
    <cellStyle name="Migliaia [0] 11 6" xfId="5835" xr:uid="{F191B135-8A2F-4D89-8C7E-3B7E08CB70FB}"/>
    <cellStyle name="Migliaia [0] 11 7" xfId="2829" xr:uid="{58B0FE29-850A-4580-97E4-0F16E310B732}"/>
    <cellStyle name="Migliaia [0] 12" xfId="245" xr:uid="{00000000-0005-0000-0000-0000E1010000}"/>
    <cellStyle name="Migliaia [0] 12 2" xfId="1491" xr:uid="{00000000-0005-0000-0000-0000E2010000}"/>
    <cellStyle name="Migliaia [0] 12 2 2" xfId="1492" xr:uid="{00000000-0005-0000-0000-0000E3010000}"/>
    <cellStyle name="Migliaia [0] 12 2 2 2" xfId="4562" xr:uid="{10A5570A-6DB3-4D72-954F-5F02503D261A}"/>
    <cellStyle name="Migliaia [0] 12 2 2 3" xfId="2836" xr:uid="{531F8008-F03F-46E7-95F0-49C85054C880}"/>
    <cellStyle name="Migliaia [0] 12 2 3" xfId="4561" xr:uid="{EC24913A-74EC-4D9B-8800-6114077B579C}"/>
    <cellStyle name="Migliaia [0] 12 2 4" xfId="5840" xr:uid="{FAB03C12-8009-4821-8474-7E56BB49616C}"/>
    <cellStyle name="Migliaia [0] 12 2 5" xfId="2835" xr:uid="{991B8689-4909-4645-A50A-0CE6E70C88F2}"/>
    <cellStyle name="Migliaia [0] 12 3" xfId="1493" xr:uid="{00000000-0005-0000-0000-0000E4010000}"/>
    <cellStyle name="Migliaia [0] 12 3 2" xfId="4563" xr:uid="{9B8EFC47-D882-4B05-9B6B-3048D7C90C16}"/>
    <cellStyle name="Migliaia [0] 12 3 3" xfId="5841" xr:uid="{303721FE-7B31-4311-B01E-B04D41D6AC62}"/>
    <cellStyle name="Migliaia [0] 12 3 4" xfId="2837" xr:uid="{7B69FA74-4B5B-487B-AA7E-0745D5A5CF56}"/>
    <cellStyle name="Migliaia [0] 12 4" xfId="2838" xr:uid="{3B749466-A29E-4335-A3B7-3D4672B57B9A}"/>
    <cellStyle name="Migliaia [0] 12 4 2" xfId="4564" xr:uid="{C7753B1D-1C34-4A30-B14C-36F3682D889B}"/>
    <cellStyle name="Migliaia [0] 12 4 3" xfId="5842" xr:uid="{F7D59A87-2DA1-43DE-A02C-8853FA03EBC5}"/>
    <cellStyle name="Migliaia [0] 12 5" xfId="4560" xr:uid="{990C6E4F-784B-4711-AB35-D0E15F9A54C7}"/>
    <cellStyle name="Migliaia [0] 12 6" xfId="5839" xr:uid="{544904AB-2049-4D94-9672-2E5FC2179FFC}"/>
    <cellStyle name="Migliaia [0] 12 7" xfId="2834" xr:uid="{8251F09E-C866-4E04-A61C-CA02C7D30EF3}"/>
    <cellStyle name="Migliaia [0] 13" xfId="246" xr:uid="{00000000-0005-0000-0000-0000E5010000}"/>
    <cellStyle name="Migliaia [0] 13 2" xfId="1494" xr:uid="{00000000-0005-0000-0000-0000E6010000}"/>
    <cellStyle name="Migliaia [0] 13 2 2" xfId="1495" xr:uid="{00000000-0005-0000-0000-0000E7010000}"/>
    <cellStyle name="Migliaia [0] 13 2 2 2" xfId="4567" xr:uid="{22A955E1-BEBD-46C5-A2BA-429E60A57550}"/>
    <cellStyle name="Migliaia [0] 13 2 2 3" xfId="2841" xr:uid="{2BD6047C-9890-41A6-B215-077D73343DA6}"/>
    <cellStyle name="Migliaia [0] 13 2 3" xfId="4566" xr:uid="{2AA102CB-5459-4977-8D27-116E6057F4AB}"/>
    <cellStyle name="Migliaia [0] 13 2 4" xfId="5844" xr:uid="{05522FDB-75D0-4E38-B8D1-A8C5C62D2260}"/>
    <cellStyle name="Migliaia [0] 13 2 5" xfId="2840" xr:uid="{6ED0F1EC-DEAE-4D28-98DE-8AEF01466F64}"/>
    <cellStyle name="Migliaia [0] 13 3" xfId="1496" xr:uid="{00000000-0005-0000-0000-0000E8010000}"/>
    <cellStyle name="Migliaia [0] 13 3 2" xfId="4568" xr:uid="{80644B9A-D30C-4E61-91AC-21DE9E960AF0}"/>
    <cellStyle name="Migliaia [0] 13 3 3" xfId="5845" xr:uid="{C19A80FE-D3A2-4D78-9792-C18C46D4F4E1}"/>
    <cellStyle name="Migliaia [0] 13 3 4" xfId="2842" xr:uid="{A2673999-0FDE-4D25-AA1C-129A443560CA}"/>
    <cellStyle name="Migliaia [0] 13 4" xfId="2843" xr:uid="{723AD6DC-79C1-44AF-8540-A3888F9770F3}"/>
    <cellStyle name="Migliaia [0] 13 4 2" xfId="4569" xr:uid="{95CAB4F8-932D-48A4-9A44-7411EA5F8638}"/>
    <cellStyle name="Migliaia [0] 13 4 3" xfId="5846" xr:uid="{02BDF1B5-77FB-47EA-ADB0-BE6A51EDC4B3}"/>
    <cellStyle name="Migliaia [0] 13 5" xfId="4565" xr:uid="{E90BE0A7-9E4D-451E-85C8-6695A8BA0BB1}"/>
    <cellStyle name="Migliaia [0] 13 6" xfId="5843" xr:uid="{212C7313-C6A8-4446-A528-BBEC49AB03AE}"/>
    <cellStyle name="Migliaia [0] 13 7" xfId="2839" xr:uid="{7808D493-6B0E-4594-9481-FFC3283BD970}"/>
    <cellStyle name="Migliaia [0] 14" xfId="247" xr:uid="{00000000-0005-0000-0000-0000E9010000}"/>
    <cellStyle name="Migliaia [0] 14 2" xfId="1497" xr:uid="{00000000-0005-0000-0000-0000EA010000}"/>
    <cellStyle name="Migliaia [0] 14 2 2" xfId="1498" xr:uid="{00000000-0005-0000-0000-0000EB010000}"/>
    <cellStyle name="Migliaia [0] 14 2 2 2" xfId="4572" xr:uid="{4B859229-5D16-49C7-8662-7DB5E915B04D}"/>
    <cellStyle name="Migliaia [0] 14 2 2 3" xfId="2846" xr:uid="{67AD4763-4FC5-4356-8372-B99F71F7F15B}"/>
    <cellStyle name="Migliaia [0] 14 2 3" xfId="4571" xr:uid="{706E171F-38F3-4276-BBBA-1E4A7F57691A}"/>
    <cellStyle name="Migliaia [0] 14 2 4" xfId="5848" xr:uid="{6A0F0231-28DD-4134-9FFE-140B9219FEAA}"/>
    <cellStyle name="Migliaia [0] 14 2 5" xfId="2845" xr:uid="{9CB4BD41-B5ED-4A8C-89E5-E0B9BFB162B4}"/>
    <cellStyle name="Migliaia [0] 14 3" xfId="1499" xr:uid="{00000000-0005-0000-0000-0000EC010000}"/>
    <cellStyle name="Migliaia [0] 14 3 2" xfId="4573" xr:uid="{3BD8CF32-A1F8-47EA-800F-A555EE7DD0ED}"/>
    <cellStyle name="Migliaia [0] 14 3 3" xfId="5849" xr:uid="{19BA2A60-42D9-4949-9CDE-EF976C477F4A}"/>
    <cellStyle name="Migliaia [0] 14 3 4" xfId="2847" xr:uid="{F1904C38-82FD-46AC-89CC-381E91BD65C0}"/>
    <cellStyle name="Migliaia [0] 14 4" xfId="2848" xr:uid="{5B8F95D6-E059-4E23-AE14-5C0127C487C7}"/>
    <cellStyle name="Migliaia [0] 14 4 2" xfId="4574" xr:uid="{ACD20E1E-8D79-46BF-8941-879447BDC5B1}"/>
    <cellStyle name="Migliaia [0] 14 4 3" xfId="5850" xr:uid="{AC166BDD-2F64-43F8-AD68-9A08C32B7F54}"/>
    <cellStyle name="Migliaia [0] 14 5" xfId="4570" xr:uid="{1E51847D-9162-4D4C-BDEA-44657EAAD08C}"/>
    <cellStyle name="Migliaia [0] 14 6" xfId="5847" xr:uid="{C5E7C4FC-D559-485A-B54A-E34324DF3DC5}"/>
    <cellStyle name="Migliaia [0] 14 7" xfId="2844" xr:uid="{FA0507C9-7694-48E4-9C1B-3840448FE102}"/>
    <cellStyle name="Migliaia [0] 15" xfId="248" xr:uid="{00000000-0005-0000-0000-0000ED010000}"/>
    <cellStyle name="Migliaia [0] 15 2" xfId="1500" xr:uid="{00000000-0005-0000-0000-0000EE010000}"/>
    <cellStyle name="Migliaia [0] 15 2 2" xfId="1501" xr:uid="{00000000-0005-0000-0000-0000EF010000}"/>
    <cellStyle name="Migliaia [0] 15 2 2 2" xfId="4577" xr:uid="{2CF2CC20-B1B1-40EB-A717-B447D3015A3C}"/>
    <cellStyle name="Migliaia [0] 15 2 2 3" xfId="2851" xr:uid="{B4386033-71A7-4FD1-BFD2-FE7F2F51D49F}"/>
    <cellStyle name="Migliaia [0] 15 2 3" xfId="4576" xr:uid="{873F8A1F-7632-4CDC-9129-8DF3C7C092AE}"/>
    <cellStyle name="Migliaia [0] 15 2 4" xfId="5852" xr:uid="{B3CC6D4A-D5E5-4610-9916-2CFEF82DA286}"/>
    <cellStyle name="Migliaia [0] 15 2 5" xfId="2850" xr:uid="{723DDF5C-E621-4F6C-A450-C482F512ECA8}"/>
    <cellStyle name="Migliaia [0] 15 3" xfId="1502" xr:uid="{00000000-0005-0000-0000-0000F0010000}"/>
    <cellStyle name="Migliaia [0] 15 3 2" xfId="4578" xr:uid="{87FC15DD-8648-4300-94B0-D31DBC0E6182}"/>
    <cellStyle name="Migliaia [0] 15 3 3" xfId="5853" xr:uid="{D9674381-51FB-4D46-A02F-DF04278FF65E}"/>
    <cellStyle name="Migliaia [0] 15 3 4" xfId="2852" xr:uid="{4DBAE9B9-3C6F-4BFD-846E-E8F36C51606C}"/>
    <cellStyle name="Migliaia [0] 15 4" xfId="2853" xr:uid="{01B6110A-7A8D-4FB2-B063-D4A75CFDC6E1}"/>
    <cellStyle name="Migliaia [0] 15 4 2" xfId="4579" xr:uid="{B1590FC4-568A-43D1-9E5F-7DCF91C67C56}"/>
    <cellStyle name="Migliaia [0] 15 4 3" xfId="5854" xr:uid="{539D3572-1822-4CEC-A7F3-6B6B19EA3DEA}"/>
    <cellStyle name="Migliaia [0] 15 5" xfId="4575" xr:uid="{B5100868-4EA1-4890-9B77-B418811CFD68}"/>
    <cellStyle name="Migliaia [0] 15 6" xfId="5851" xr:uid="{082127E1-11AC-42CF-8338-361B49A5E550}"/>
    <cellStyle name="Migliaia [0] 15 7" xfId="2849" xr:uid="{320658C5-3F48-43A9-99DB-57080F51EDB5}"/>
    <cellStyle name="Migliaia [0] 16" xfId="249" xr:uid="{00000000-0005-0000-0000-0000F1010000}"/>
    <cellStyle name="Migliaia [0] 16 2" xfId="1503" xr:uid="{00000000-0005-0000-0000-0000F2010000}"/>
    <cellStyle name="Migliaia [0] 16 2 2" xfId="1504" xr:uid="{00000000-0005-0000-0000-0000F3010000}"/>
    <cellStyle name="Migliaia [0] 16 2 2 2" xfId="4582" xr:uid="{42293C67-41CF-4FA5-960F-186CA322B323}"/>
    <cellStyle name="Migliaia [0] 16 2 2 3" xfId="2856" xr:uid="{7DFE3B25-2BBE-4754-B93B-2B4D3466CBE9}"/>
    <cellStyle name="Migliaia [0] 16 2 3" xfId="4581" xr:uid="{118DC9DF-979F-4883-BB66-9009AB29B3BF}"/>
    <cellStyle name="Migliaia [0] 16 2 4" xfId="5856" xr:uid="{9279FAE0-1441-43B7-8DE4-299CC35F871C}"/>
    <cellStyle name="Migliaia [0] 16 2 5" xfId="2855" xr:uid="{5DB5DB4F-0935-4C0F-8308-93F1F6AE441C}"/>
    <cellStyle name="Migliaia [0] 16 3" xfId="1505" xr:uid="{00000000-0005-0000-0000-0000F4010000}"/>
    <cellStyle name="Migliaia [0] 16 3 2" xfId="4583" xr:uid="{5AF2D3C7-CC2C-4B00-93C0-9E77A872BFEE}"/>
    <cellStyle name="Migliaia [0] 16 3 3" xfId="5857" xr:uid="{6D1A37DA-7FEC-457F-B6CF-6C19FA5A59D2}"/>
    <cellStyle name="Migliaia [0] 16 3 4" xfId="2857" xr:uid="{2663A5EB-FC83-49A6-AE4C-5519AF05CD01}"/>
    <cellStyle name="Migliaia [0] 16 4" xfId="2858" xr:uid="{2BC7E25F-7FC4-4735-B03B-A633849DF74D}"/>
    <cellStyle name="Migliaia [0] 16 4 2" xfId="4584" xr:uid="{17E3B84D-33A7-44A6-8624-C6ACE3024BD8}"/>
    <cellStyle name="Migliaia [0] 16 4 3" xfId="5858" xr:uid="{A67C460F-F99E-47EA-B49B-4848AFA75DA4}"/>
    <cellStyle name="Migliaia [0] 16 5" xfId="4580" xr:uid="{B9F4973C-0DA8-4C34-AF44-321695546224}"/>
    <cellStyle name="Migliaia [0] 16 6" xfId="5855" xr:uid="{C9808045-6E27-4000-8651-4EC8EA5BEC2D}"/>
    <cellStyle name="Migliaia [0] 16 7" xfId="2854" xr:uid="{B959A1C6-9D3F-4F0A-800F-2D7566A28395}"/>
    <cellStyle name="Migliaia [0] 17" xfId="250" xr:uid="{00000000-0005-0000-0000-0000F5010000}"/>
    <cellStyle name="Migliaia [0] 17 2" xfId="1506" xr:uid="{00000000-0005-0000-0000-0000F6010000}"/>
    <cellStyle name="Migliaia [0] 17 2 2" xfId="1507" xr:uid="{00000000-0005-0000-0000-0000F7010000}"/>
    <cellStyle name="Migliaia [0] 17 2 2 2" xfId="4587" xr:uid="{F1FBBD86-94CA-4B9B-9DC5-FBDD765BB64A}"/>
    <cellStyle name="Migliaia [0] 17 2 2 3" xfId="2861" xr:uid="{9950277F-9D4C-499C-AEDB-4955E596D37D}"/>
    <cellStyle name="Migliaia [0] 17 2 3" xfId="4586" xr:uid="{E34047E6-CC60-49F4-912F-5CC30B295292}"/>
    <cellStyle name="Migliaia [0] 17 2 4" xfId="5860" xr:uid="{5380DA51-669E-4756-9E77-9DAFB60A64A3}"/>
    <cellStyle name="Migliaia [0] 17 2 5" xfId="2860" xr:uid="{3469B607-9104-4372-9C79-57A915B5CFC6}"/>
    <cellStyle name="Migliaia [0] 17 3" xfId="1508" xr:uid="{00000000-0005-0000-0000-0000F8010000}"/>
    <cellStyle name="Migliaia [0] 17 3 2" xfId="4588" xr:uid="{14C121D0-B4DA-4EBF-8630-EF82BE993059}"/>
    <cellStyle name="Migliaia [0] 17 3 3" xfId="5861" xr:uid="{DDF2A1B8-D9C9-4B31-9B78-D1C6D62D34C6}"/>
    <cellStyle name="Migliaia [0] 17 3 4" xfId="2862" xr:uid="{2D1A1BFB-4086-42AD-B1D1-1C2254173431}"/>
    <cellStyle name="Migliaia [0] 17 4" xfId="2863" xr:uid="{BDE0EA76-A509-4E7F-BB3F-D3D726ACD764}"/>
    <cellStyle name="Migliaia [0] 17 4 2" xfId="4589" xr:uid="{F7B3D99D-EB1C-4485-BDC8-3111557CDD00}"/>
    <cellStyle name="Migliaia [0] 17 4 3" xfId="5862" xr:uid="{14AB56A1-3C05-4162-9377-B8E9D88DB402}"/>
    <cellStyle name="Migliaia [0] 17 5" xfId="4585" xr:uid="{FDF3D697-A78F-4D9F-98F6-D63E0EF9F157}"/>
    <cellStyle name="Migliaia [0] 17 6" xfId="5859" xr:uid="{7687D6DC-C27C-4423-A9B5-931BD7065F74}"/>
    <cellStyle name="Migliaia [0] 17 7" xfId="2859" xr:uid="{7D91B9B4-FD1D-4560-82FF-7748BCDB0C53}"/>
    <cellStyle name="Migliaia [0] 18" xfId="251" xr:uid="{00000000-0005-0000-0000-0000F9010000}"/>
    <cellStyle name="Migliaia [0] 18 2" xfId="1509" xr:uid="{00000000-0005-0000-0000-0000FA010000}"/>
    <cellStyle name="Migliaia [0] 18 2 2" xfId="1510" xr:uid="{00000000-0005-0000-0000-0000FB010000}"/>
    <cellStyle name="Migliaia [0] 18 2 2 2" xfId="4592" xr:uid="{F505F408-46B4-43A6-80A3-90FAA0F025D3}"/>
    <cellStyle name="Migliaia [0] 18 2 2 3" xfId="2866" xr:uid="{A22E6125-3EFB-42B0-87DC-B40D706D6A1C}"/>
    <cellStyle name="Migliaia [0] 18 2 3" xfId="4591" xr:uid="{13429661-C425-45F6-90A2-866C2FDC7EF0}"/>
    <cellStyle name="Migliaia [0] 18 2 4" xfId="5864" xr:uid="{63FD39A2-DDBF-4E70-AB7F-6C0E93707D1C}"/>
    <cellStyle name="Migliaia [0] 18 2 5" xfId="2865" xr:uid="{61DD176E-D810-443E-8FCD-8DCFE10B37CF}"/>
    <cellStyle name="Migliaia [0] 18 3" xfId="1511" xr:uid="{00000000-0005-0000-0000-0000FC010000}"/>
    <cellStyle name="Migliaia [0] 18 3 2" xfId="4593" xr:uid="{1797A264-FBC6-4482-9D92-A6B54AAE14DC}"/>
    <cellStyle name="Migliaia [0] 18 3 3" xfId="5865" xr:uid="{98B6DE05-E60F-438C-8707-4097884BF390}"/>
    <cellStyle name="Migliaia [0] 18 3 4" xfId="2867" xr:uid="{5322999B-0CDA-487C-B58D-AF0050E74636}"/>
    <cellStyle name="Migliaia [0] 18 4" xfId="2868" xr:uid="{C26C3942-7771-4D14-9CE8-AB97671F23E7}"/>
    <cellStyle name="Migliaia [0] 18 4 2" xfId="4594" xr:uid="{00AABA45-ABB0-4A6B-99D5-8CFACC41315E}"/>
    <cellStyle name="Migliaia [0] 18 4 3" xfId="5866" xr:uid="{01AB2B8E-950A-40E9-95B8-8B9E7AD29E5E}"/>
    <cellStyle name="Migliaia [0] 18 5" xfId="4590" xr:uid="{8E4BAA47-B919-490B-A7D4-01359FF6CF58}"/>
    <cellStyle name="Migliaia [0] 18 6" xfId="5863" xr:uid="{D5C4B93D-77EC-4134-8FF8-34E07775EE3E}"/>
    <cellStyle name="Migliaia [0] 18 7" xfId="2864" xr:uid="{DD37CF0F-097D-4274-8F7B-6C89475AA05A}"/>
    <cellStyle name="Migliaia [0] 19" xfId="252" xr:uid="{00000000-0005-0000-0000-0000FD010000}"/>
    <cellStyle name="Migliaia [0] 19 2" xfId="1512" xr:uid="{00000000-0005-0000-0000-0000FE010000}"/>
    <cellStyle name="Migliaia [0] 19 2 2" xfId="1513" xr:uid="{00000000-0005-0000-0000-0000FF010000}"/>
    <cellStyle name="Migliaia [0] 19 2 2 2" xfId="4597" xr:uid="{5356398C-A651-4D19-8C07-B176DA22E8F7}"/>
    <cellStyle name="Migliaia [0] 19 2 2 3" xfId="2871" xr:uid="{E3E17C4D-34A8-4528-A88B-5C1E5307A0BF}"/>
    <cellStyle name="Migliaia [0] 19 2 3" xfId="4596" xr:uid="{40B5E304-7698-4E99-9C70-58EAD436BBA9}"/>
    <cellStyle name="Migliaia [0] 19 2 4" xfId="5868" xr:uid="{F12D0934-D320-4614-B905-91DCC1899198}"/>
    <cellStyle name="Migliaia [0] 19 2 5" xfId="2870" xr:uid="{65F382B3-2DDE-4CAF-BDA8-B0148BB8953F}"/>
    <cellStyle name="Migliaia [0] 19 3" xfId="1514" xr:uid="{00000000-0005-0000-0000-000000020000}"/>
    <cellStyle name="Migliaia [0] 19 3 2" xfId="4598" xr:uid="{B6FEC387-C1AE-4CAF-885B-B1692C07FAEF}"/>
    <cellStyle name="Migliaia [0] 19 3 3" xfId="5869" xr:uid="{A4081059-7674-4794-93F1-40CD361D0383}"/>
    <cellStyle name="Migliaia [0] 19 3 4" xfId="2872" xr:uid="{12AB1581-2A95-4546-B214-7E38BB96C26E}"/>
    <cellStyle name="Migliaia [0] 19 4" xfId="2873" xr:uid="{AFCEB89A-DD55-4599-80ED-151B98AA9A5A}"/>
    <cellStyle name="Migliaia [0] 19 4 2" xfId="4599" xr:uid="{923C6A1A-9C63-4187-8639-E23A93D47026}"/>
    <cellStyle name="Migliaia [0] 19 4 3" xfId="5870" xr:uid="{604F9DF5-5E35-49DC-93AA-F4C152CC4DFA}"/>
    <cellStyle name="Migliaia [0] 19 5" xfId="4595" xr:uid="{5E1F27F8-0D36-4D21-830A-59B617EA311F}"/>
    <cellStyle name="Migliaia [0] 19 6" xfId="5867" xr:uid="{435F2CA6-0C35-4118-86A8-230721F2278A}"/>
    <cellStyle name="Migliaia [0] 19 7" xfId="2869" xr:uid="{EEB27739-E584-4494-A640-FE53D3149E08}"/>
    <cellStyle name="Migliaia [0] 2" xfId="253" xr:uid="{00000000-0005-0000-0000-000001020000}"/>
    <cellStyle name="Migliaia [0] 2 2" xfId="1515" xr:uid="{00000000-0005-0000-0000-000002020000}"/>
    <cellStyle name="Migliaia [0] 2 2 2" xfId="1516" xr:uid="{00000000-0005-0000-0000-000003020000}"/>
    <cellStyle name="Migliaia [0] 2 2 2 2" xfId="4602" xr:uid="{F9DF5DF2-E6E9-4871-AF91-8AC0E3A655B6}"/>
    <cellStyle name="Migliaia [0] 2 2 2 3" xfId="2876" xr:uid="{765F5C51-ECC4-4806-BE3F-C42227B1D082}"/>
    <cellStyle name="Migliaia [0] 2 2 3" xfId="4601" xr:uid="{47F78B4F-B1F9-42B5-BEAA-F5102EB58557}"/>
    <cellStyle name="Migliaia [0] 2 2 4" xfId="5872" xr:uid="{9A672F3E-0C3F-49EC-B9A4-6FF5E7D47D44}"/>
    <cellStyle name="Migliaia [0] 2 2 5" xfId="2875" xr:uid="{F42E8338-90B5-420E-8F31-26443C4878CF}"/>
    <cellStyle name="Migliaia [0] 2 3" xfId="1517" xr:uid="{00000000-0005-0000-0000-000004020000}"/>
    <cellStyle name="Migliaia [0] 2 3 2" xfId="4603" xr:uid="{9E82E883-FF98-46BA-957F-1A673D16F561}"/>
    <cellStyle name="Migliaia [0] 2 3 3" xfId="5873" xr:uid="{1F2E59E2-85A7-428F-9F2E-FA425B16EF1F}"/>
    <cellStyle name="Migliaia [0] 2 3 4" xfId="2877" xr:uid="{94790294-20A6-44B3-80CD-84B38E881449}"/>
    <cellStyle name="Migliaia [0] 2 4" xfId="2878" xr:uid="{51B5AC5F-46C9-43C4-9596-74D34DC4C39E}"/>
    <cellStyle name="Migliaia [0] 2 4 2" xfId="4604" xr:uid="{493ACE53-F27E-487D-A611-5A1B905F1C2B}"/>
    <cellStyle name="Migliaia [0] 2 4 3" xfId="5874" xr:uid="{F0775D07-6571-4F67-A263-DE5495F4DFEB}"/>
    <cellStyle name="Migliaia [0] 2 5" xfId="4600" xr:uid="{869155F0-6455-49D2-BE20-04EACF6AE4A0}"/>
    <cellStyle name="Migliaia [0] 2 6" xfId="5871" xr:uid="{0A6F5C26-E0D3-491A-B70D-1AAEEA6CE942}"/>
    <cellStyle name="Migliaia [0] 2 7" xfId="2874" xr:uid="{AEAEA709-F113-4B9A-AD16-BCFA3D549B09}"/>
    <cellStyle name="Migliaia [0] 20" xfId="254" xr:uid="{00000000-0005-0000-0000-000005020000}"/>
    <cellStyle name="Migliaia [0] 20 2" xfId="1518" xr:uid="{00000000-0005-0000-0000-000006020000}"/>
    <cellStyle name="Migliaia [0] 20 2 2" xfId="1519" xr:uid="{00000000-0005-0000-0000-000007020000}"/>
    <cellStyle name="Migliaia [0] 20 2 2 2" xfId="4607" xr:uid="{52A86C9F-F69F-4E2E-8052-D3615F821DCE}"/>
    <cellStyle name="Migliaia [0] 20 2 2 3" xfId="2881" xr:uid="{0EBE50B9-81AB-4B9C-AC37-4B0221795BE5}"/>
    <cellStyle name="Migliaia [0] 20 2 3" xfId="4606" xr:uid="{EC9EBDDA-F0F5-4D46-9836-3C974E17BC16}"/>
    <cellStyle name="Migliaia [0] 20 2 4" xfId="5876" xr:uid="{6E765C4A-F353-4E58-9DFA-485D4C803AFA}"/>
    <cellStyle name="Migliaia [0] 20 2 5" xfId="2880" xr:uid="{C126D240-A4F0-4AF9-BDB0-C53E71A62866}"/>
    <cellStyle name="Migliaia [0] 20 3" xfId="1520" xr:uid="{00000000-0005-0000-0000-000008020000}"/>
    <cellStyle name="Migliaia [0] 20 3 2" xfId="4608" xr:uid="{D4583889-12CC-4DDE-94A5-87BC78D061F9}"/>
    <cellStyle name="Migliaia [0] 20 3 3" xfId="5877" xr:uid="{63565DD2-2723-4171-B4F7-5AE7BDBA5573}"/>
    <cellStyle name="Migliaia [0] 20 3 4" xfId="2882" xr:uid="{64AE63C1-0B94-4485-A269-78EAB0B89268}"/>
    <cellStyle name="Migliaia [0] 20 4" xfId="2883" xr:uid="{1FAEDA49-C93A-4B4F-A77E-0AB9AEFF4EDA}"/>
    <cellStyle name="Migliaia [0] 20 4 2" xfId="4609" xr:uid="{A9A52AF6-7F88-4525-A7AA-62344FC314FF}"/>
    <cellStyle name="Migliaia [0] 20 4 3" xfId="5878" xr:uid="{19C71ECC-7AA7-42C0-9E97-314E7E80EEF7}"/>
    <cellStyle name="Migliaia [0] 20 5" xfId="4605" xr:uid="{833261F3-9554-486B-98FE-9383D34F9773}"/>
    <cellStyle name="Migliaia [0] 20 6" xfId="5875" xr:uid="{D8814754-014C-406A-935E-8C5F32EB63AE}"/>
    <cellStyle name="Migliaia [0] 20 7" xfId="2879" xr:uid="{68FF80A9-D920-41D9-9142-D0CEC8DDEAC1}"/>
    <cellStyle name="Migliaia [0] 21" xfId="255" xr:uid="{00000000-0005-0000-0000-000009020000}"/>
    <cellStyle name="Migliaia [0] 21 2" xfId="1521" xr:uid="{00000000-0005-0000-0000-00000A020000}"/>
    <cellStyle name="Migliaia [0] 21 2 2" xfId="1522" xr:uid="{00000000-0005-0000-0000-00000B020000}"/>
    <cellStyle name="Migliaia [0] 21 2 2 2" xfId="4612" xr:uid="{9687E629-5B31-432A-81A3-28B134626BD6}"/>
    <cellStyle name="Migliaia [0] 21 2 2 3" xfId="2886" xr:uid="{94AF720E-573A-42F3-B8D4-13FA00DF4623}"/>
    <cellStyle name="Migliaia [0] 21 2 3" xfId="4611" xr:uid="{B9FDA454-756D-491C-8D16-21409F98C66B}"/>
    <cellStyle name="Migliaia [0] 21 2 4" xfId="5880" xr:uid="{A3B07057-FAFF-4CB3-B3AD-CA47116F49C3}"/>
    <cellStyle name="Migliaia [0] 21 2 5" xfId="2885" xr:uid="{B6280AB1-31AB-4966-BFD9-558C77E56D40}"/>
    <cellStyle name="Migliaia [0] 21 3" xfId="1523" xr:uid="{00000000-0005-0000-0000-00000C020000}"/>
    <cellStyle name="Migliaia [0] 21 3 2" xfId="4613" xr:uid="{34C2D4B4-14C7-4CEE-B7C9-469FEA948EFA}"/>
    <cellStyle name="Migliaia [0] 21 3 3" xfId="5881" xr:uid="{BD80BF2C-43E4-42E3-97B9-D80B604EF368}"/>
    <cellStyle name="Migliaia [0] 21 3 4" xfId="2887" xr:uid="{6B5F1699-B7BC-4625-8382-9E9B19A2D521}"/>
    <cellStyle name="Migliaia [0] 21 4" xfId="2888" xr:uid="{7936A33C-7DCC-4216-B1F3-D4463CCC128B}"/>
    <cellStyle name="Migliaia [0] 21 4 2" xfId="4614" xr:uid="{236D8E76-482A-4EC0-A82C-73AE2A083677}"/>
    <cellStyle name="Migliaia [0] 21 4 3" xfId="5882" xr:uid="{0FD52519-B445-42C1-B467-A2078659FF40}"/>
    <cellStyle name="Migliaia [0] 21 5" xfId="4610" xr:uid="{9F93D2EE-765D-4397-B20F-D0FD0C7FE61A}"/>
    <cellStyle name="Migliaia [0] 21 6" xfId="5879" xr:uid="{F6A5D844-98A9-4D2A-AAAD-5AEB1EF60BF1}"/>
    <cellStyle name="Migliaia [0] 21 7" xfId="2884" xr:uid="{790434CC-2483-4923-944A-461B5F3AC189}"/>
    <cellStyle name="Migliaia [0] 22" xfId="256" xr:uid="{00000000-0005-0000-0000-00000D020000}"/>
    <cellStyle name="Migliaia [0] 22 2" xfId="1524" xr:uid="{00000000-0005-0000-0000-00000E020000}"/>
    <cellStyle name="Migliaia [0] 22 2 2" xfId="1525" xr:uid="{00000000-0005-0000-0000-00000F020000}"/>
    <cellStyle name="Migliaia [0] 22 2 2 2" xfId="4617" xr:uid="{B5D4F39A-BA8E-4FE8-807E-6CAE07E59422}"/>
    <cellStyle name="Migliaia [0] 22 2 2 3" xfId="2891" xr:uid="{DA1163DD-253D-4FE0-89F2-86D37E113841}"/>
    <cellStyle name="Migliaia [0] 22 2 3" xfId="4616" xr:uid="{9BA79069-BE74-4BA1-A1D8-F36935A706D5}"/>
    <cellStyle name="Migliaia [0] 22 2 4" xfId="5884" xr:uid="{BC508E27-EAA5-45AA-BA25-45CD889FDB65}"/>
    <cellStyle name="Migliaia [0] 22 2 5" xfId="2890" xr:uid="{84D46921-BD7F-49F2-B1B8-5B039C56710A}"/>
    <cellStyle name="Migliaia [0] 22 3" xfId="1526" xr:uid="{00000000-0005-0000-0000-000010020000}"/>
    <cellStyle name="Migliaia [0] 22 3 2" xfId="4618" xr:uid="{61DC8A04-8F28-498E-B8A7-A3B3AF59BAD9}"/>
    <cellStyle name="Migliaia [0] 22 3 3" xfId="5885" xr:uid="{54549013-CFDD-493F-B37C-13E6C414BC33}"/>
    <cellStyle name="Migliaia [0] 22 3 4" xfId="2892" xr:uid="{974AB3C2-2AA2-4374-BD93-F0C452995971}"/>
    <cellStyle name="Migliaia [0] 22 4" xfId="2893" xr:uid="{27F8AC92-1811-47A6-87C5-7190B8637D25}"/>
    <cellStyle name="Migliaia [0] 22 4 2" xfId="4619" xr:uid="{4EB8EEFE-B6BE-4865-AD8C-19DD2D2ACD36}"/>
    <cellStyle name="Migliaia [0] 22 4 3" xfId="5886" xr:uid="{ECBF6CE6-E0AD-4863-A0C9-DC42589019B7}"/>
    <cellStyle name="Migliaia [0] 22 5" xfId="4615" xr:uid="{493BC48E-8DEB-4B59-98C7-1A53F84F40C5}"/>
    <cellStyle name="Migliaia [0] 22 6" xfId="5883" xr:uid="{0F0F2605-A312-412C-9EA2-DD692EEB6E05}"/>
    <cellStyle name="Migliaia [0] 22 7" xfId="2889" xr:uid="{275B432B-F039-4594-B076-18A2626599DE}"/>
    <cellStyle name="Migliaia [0] 23" xfId="257" xr:uid="{00000000-0005-0000-0000-000011020000}"/>
    <cellStyle name="Migliaia [0] 23 2" xfId="1527" xr:uid="{00000000-0005-0000-0000-000012020000}"/>
    <cellStyle name="Migliaia [0] 23 2 2" xfId="1528" xr:uid="{00000000-0005-0000-0000-000013020000}"/>
    <cellStyle name="Migliaia [0] 23 2 2 2" xfId="4622" xr:uid="{4FE6D637-F9C3-4AE5-9ED5-ACACCED297D9}"/>
    <cellStyle name="Migliaia [0] 23 2 2 3" xfId="2896" xr:uid="{9CE2E36E-D147-4148-BFC5-79614950684C}"/>
    <cellStyle name="Migliaia [0] 23 2 3" xfId="4621" xr:uid="{FCF050C4-29F8-4F32-995E-65709AC477A6}"/>
    <cellStyle name="Migliaia [0] 23 2 4" xfId="5888" xr:uid="{9051ECFD-F5B1-4A3B-A893-4DA54F705A78}"/>
    <cellStyle name="Migliaia [0] 23 2 5" xfId="2895" xr:uid="{386DB2EC-2787-4D83-AFFF-184865DF4D0C}"/>
    <cellStyle name="Migliaia [0] 23 3" xfId="1529" xr:uid="{00000000-0005-0000-0000-000014020000}"/>
    <cellStyle name="Migliaia [0] 23 3 2" xfId="4623" xr:uid="{8BD72E37-8176-4022-B225-C1DD5676741A}"/>
    <cellStyle name="Migliaia [0] 23 3 3" xfId="5889" xr:uid="{48A0B89F-D314-41C4-BE3B-318EABD43A82}"/>
    <cellStyle name="Migliaia [0] 23 3 4" xfId="2897" xr:uid="{B67A61FA-9570-4615-94C7-6DCED64E611F}"/>
    <cellStyle name="Migliaia [0] 23 4" xfId="2898" xr:uid="{10B569CA-9A84-45AC-B237-C0BCCDC3D4E5}"/>
    <cellStyle name="Migliaia [0] 23 4 2" xfId="4624" xr:uid="{33CBD4C4-C7AF-4D77-B832-D77E27264A87}"/>
    <cellStyle name="Migliaia [0] 23 4 3" xfId="5890" xr:uid="{61FAC30A-E6C3-4A6C-A5F6-2B28FEB222A2}"/>
    <cellStyle name="Migliaia [0] 23 5" xfId="4620" xr:uid="{14B248BD-A24B-4D34-90FD-FC29C50CFC28}"/>
    <cellStyle name="Migliaia [0] 23 6" xfId="5887" xr:uid="{54640D8F-1667-4DE6-A3E8-F9C6FE39AFC4}"/>
    <cellStyle name="Migliaia [0] 23 7" xfId="2894" xr:uid="{A0148927-F9EC-4B1E-8136-48B677D2B0F4}"/>
    <cellStyle name="Migliaia [0] 24" xfId="258" xr:uid="{00000000-0005-0000-0000-000015020000}"/>
    <cellStyle name="Migliaia [0] 24 2" xfId="1530" xr:uid="{00000000-0005-0000-0000-000016020000}"/>
    <cellStyle name="Migliaia [0] 24 2 2" xfId="1531" xr:uid="{00000000-0005-0000-0000-000017020000}"/>
    <cellStyle name="Migliaia [0] 24 2 2 2" xfId="4627" xr:uid="{C77C53CF-7519-41ED-9CF0-FE8E538030B6}"/>
    <cellStyle name="Migliaia [0] 24 2 2 3" xfId="2901" xr:uid="{516691FE-B859-46E3-8E1F-C01E834174B7}"/>
    <cellStyle name="Migliaia [0] 24 2 3" xfId="4626" xr:uid="{7F979F7E-0193-48D9-A4E5-E5D5428B9E6F}"/>
    <cellStyle name="Migliaia [0] 24 2 4" xfId="5892" xr:uid="{321D71A6-96F0-4CEA-8BBE-6D80A7ED6033}"/>
    <cellStyle name="Migliaia [0] 24 2 5" xfId="2900" xr:uid="{52FEDE21-808D-42CA-BBE6-FF253036C656}"/>
    <cellStyle name="Migliaia [0] 24 3" xfId="1532" xr:uid="{00000000-0005-0000-0000-000018020000}"/>
    <cellStyle name="Migliaia [0] 24 3 2" xfId="4628" xr:uid="{B2FD12AF-5E14-42FD-9661-F7CB5D0D7FEE}"/>
    <cellStyle name="Migliaia [0] 24 3 3" xfId="5893" xr:uid="{BB93BE86-7A60-45B5-82ED-230B923BC7E9}"/>
    <cellStyle name="Migliaia [0] 24 3 4" xfId="2902" xr:uid="{FE9454FA-D653-4B9C-81DD-3E1D48544ECD}"/>
    <cellStyle name="Migliaia [0] 24 4" xfId="2903" xr:uid="{BB9FCC56-1F21-498C-A15C-98BC57644022}"/>
    <cellStyle name="Migliaia [0] 24 4 2" xfId="4629" xr:uid="{BA478609-1B24-4B54-A941-36802CF89326}"/>
    <cellStyle name="Migliaia [0] 24 4 3" xfId="5894" xr:uid="{312D4EAC-0725-4729-8A71-EBC7C67E8D0B}"/>
    <cellStyle name="Migliaia [0] 24 5" xfId="4625" xr:uid="{779612A4-8552-4A40-963D-8AF4DE18FBBF}"/>
    <cellStyle name="Migliaia [0] 24 6" xfId="5891" xr:uid="{8D2E8A9B-7663-4958-BEED-12B3C716EB5B}"/>
    <cellStyle name="Migliaia [0] 24 7" xfId="2899" xr:uid="{E90FC525-A8E2-4B4C-87EA-9E4F1BD20788}"/>
    <cellStyle name="Migliaia [0] 25" xfId="259" xr:uid="{00000000-0005-0000-0000-000019020000}"/>
    <cellStyle name="Migliaia [0] 25 2" xfId="1533" xr:uid="{00000000-0005-0000-0000-00001A020000}"/>
    <cellStyle name="Migliaia [0] 25 2 2" xfId="1534" xr:uid="{00000000-0005-0000-0000-00001B020000}"/>
    <cellStyle name="Migliaia [0] 25 2 2 2" xfId="4632" xr:uid="{B5090DFC-94E0-4AD8-A0EE-2515F0FC8078}"/>
    <cellStyle name="Migliaia [0] 25 2 2 3" xfId="2906" xr:uid="{72832195-2E4E-494D-910D-948462742A51}"/>
    <cellStyle name="Migliaia [0] 25 2 3" xfId="4631" xr:uid="{6AD32FF7-4E45-4DDB-8E81-3611D06093CB}"/>
    <cellStyle name="Migliaia [0] 25 2 4" xfId="5896" xr:uid="{B7DC6B56-1DF2-4F63-8C2C-E13F0596504A}"/>
    <cellStyle name="Migliaia [0] 25 2 5" xfId="2905" xr:uid="{683094E8-88C4-4D53-A75F-AC1D737D827C}"/>
    <cellStyle name="Migliaia [0] 25 3" xfId="1535" xr:uid="{00000000-0005-0000-0000-00001C020000}"/>
    <cellStyle name="Migliaia [0] 25 3 2" xfId="4633" xr:uid="{8A2E62A2-F2A6-4CBC-A98F-D17C0E7F31F3}"/>
    <cellStyle name="Migliaia [0] 25 3 3" xfId="5897" xr:uid="{6439D134-E3F6-4CF6-8CC3-A1BECA5312CA}"/>
    <cellStyle name="Migliaia [0] 25 3 4" xfId="2907" xr:uid="{886FB4BD-9996-4294-A612-603012C3814A}"/>
    <cellStyle name="Migliaia [0] 25 4" xfId="2908" xr:uid="{9CA1A7A0-1B29-4C12-B344-92D3AF42243C}"/>
    <cellStyle name="Migliaia [0] 25 4 2" xfId="4634" xr:uid="{9089F64D-A916-4951-85ED-98A8528F7579}"/>
    <cellStyle name="Migliaia [0] 25 4 3" xfId="5898" xr:uid="{90E61FAE-622A-4D77-B697-ADC435DEAE8B}"/>
    <cellStyle name="Migliaia [0] 25 5" xfId="4630" xr:uid="{72CEC4A6-2C5B-4D51-BE2B-2546A28A34ED}"/>
    <cellStyle name="Migliaia [0] 25 6" xfId="5895" xr:uid="{B7412778-5E28-471E-A2C6-9E06BDF454DA}"/>
    <cellStyle name="Migliaia [0] 25 7" xfId="2904" xr:uid="{68509254-141A-4CF8-90A9-D31EEE7B995D}"/>
    <cellStyle name="Migliaia [0] 26" xfId="260" xr:uid="{00000000-0005-0000-0000-00001D020000}"/>
    <cellStyle name="Migliaia [0] 26 2" xfId="1536" xr:uid="{00000000-0005-0000-0000-00001E020000}"/>
    <cellStyle name="Migliaia [0] 26 2 2" xfId="1537" xr:uid="{00000000-0005-0000-0000-00001F020000}"/>
    <cellStyle name="Migliaia [0] 26 2 2 2" xfId="4637" xr:uid="{B9737711-EAE5-4553-BF69-AAFE002D06FF}"/>
    <cellStyle name="Migliaia [0] 26 2 2 3" xfId="2911" xr:uid="{B947241E-5F32-4FA0-A20E-298939BF750B}"/>
    <cellStyle name="Migliaia [0] 26 2 3" xfId="4636" xr:uid="{4877A6E5-0802-4165-B18E-53F75344AEF6}"/>
    <cellStyle name="Migliaia [0] 26 2 4" xfId="5900" xr:uid="{C44FDFA2-4A11-4B6F-A503-2E3D5460EC6B}"/>
    <cellStyle name="Migliaia [0] 26 2 5" xfId="2910" xr:uid="{9DEFA30B-B672-429F-BBB7-2065589B627B}"/>
    <cellStyle name="Migliaia [0] 26 3" xfId="1538" xr:uid="{00000000-0005-0000-0000-000020020000}"/>
    <cellStyle name="Migliaia [0] 26 3 2" xfId="4638" xr:uid="{7C7ABBF5-297B-46A0-9E43-C78929F61AC8}"/>
    <cellStyle name="Migliaia [0] 26 3 3" xfId="5901" xr:uid="{E7E83485-1306-423F-9E7F-721A7C8DD077}"/>
    <cellStyle name="Migliaia [0] 26 3 4" xfId="2912" xr:uid="{8F701692-C2D0-4519-B052-2B6E4167A747}"/>
    <cellStyle name="Migliaia [0] 26 4" xfId="2913" xr:uid="{300932ED-6444-481E-A63E-3474F887973B}"/>
    <cellStyle name="Migliaia [0] 26 4 2" xfId="4639" xr:uid="{2BEE4DC9-ABAF-4497-BB54-862219758988}"/>
    <cellStyle name="Migliaia [0] 26 4 3" xfId="5902" xr:uid="{8FA86D06-BA50-4E4A-91D8-87D9576005A5}"/>
    <cellStyle name="Migliaia [0] 26 5" xfId="4635" xr:uid="{C7CADD94-98E0-466C-8199-9F1BF3EE0D58}"/>
    <cellStyle name="Migliaia [0] 26 6" xfId="5899" xr:uid="{6F18E57F-BF5F-4592-9305-A523410066BD}"/>
    <cellStyle name="Migliaia [0] 26 7" xfId="2909" xr:uid="{1D93C62B-FBBF-4F10-9DD2-49D33B58F971}"/>
    <cellStyle name="Migliaia [0] 27" xfId="261" xr:uid="{00000000-0005-0000-0000-000021020000}"/>
    <cellStyle name="Migliaia [0] 27 2" xfId="1539" xr:uid="{00000000-0005-0000-0000-000022020000}"/>
    <cellStyle name="Migliaia [0] 27 2 2" xfId="1540" xr:uid="{00000000-0005-0000-0000-000023020000}"/>
    <cellStyle name="Migliaia [0] 27 2 2 2" xfId="4642" xr:uid="{268BD990-B538-497C-9EAC-7009B292AC09}"/>
    <cellStyle name="Migliaia [0] 27 2 2 3" xfId="2916" xr:uid="{E856755D-037F-486F-ACD1-97973682B360}"/>
    <cellStyle name="Migliaia [0] 27 2 3" xfId="4641" xr:uid="{47342181-71DF-425D-BC88-5179270BEAE0}"/>
    <cellStyle name="Migliaia [0] 27 2 4" xfId="5904" xr:uid="{B8F3148B-CC5E-443F-82DB-E1C84FF73D7A}"/>
    <cellStyle name="Migliaia [0] 27 2 5" xfId="2915" xr:uid="{08DCAB53-8B6E-427E-BC60-ABE2063DD635}"/>
    <cellStyle name="Migliaia [0] 27 3" xfId="1541" xr:uid="{00000000-0005-0000-0000-000024020000}"/>
    <cellStyle name="Migliaia [0] 27 3 2" xfId="4643" xr:uid="{3A6068C0-C1B4-49C2-9E25-58708E8807A0}"/>
    <cellStyle name="Migliaia [0] 27 3 3" xfId="5905" xr:uid="{2AC384F1-AB72-4ACE-8CCD-FBCDE10D336B}"/>
    <cellStyle name="Migliaia [0] 27 3 4" xfId="2917" xr:uid="{17F3FFE5-3BE4-4D52-A141-1805BC7CEF11}"/>
    <cellStyle name="Migliaia [0] 27 4" xfId="2918" xr:uid="{9717CEA8-237F-46A2-A637-D9E6FBDEECF4}"/>
    <cellStyle name="Migliaia [0] 27 4 2" xfId="4644" xr:uid="{B099B58A-88B2-4189-B900-2693634DD165}"/>
    <cellStyle name="Migliaia [0] 27 4 3" xfId="5906" xr:uid="{0A897DE7-4F4F-49B6-9BC6-D464FE26E338}"/>
    <cellStyle name="Migliaia [0] 27 5" xfId="4640" xr:uid="{A8D139F9-AF86-4FBE-9DB5-CC3149F99CD5}"/>
    <cellStyle name="Migliaia [0] 27 6" xfId="5903" xr:uid="{75A44408-B09C-484B-8B99-B7A549CE31D3}"/>
    <cellStyle name="Migliaia [0] 27 7" xfId="2914" xr:uid="{3CF28187-CC39-4D05-A768-C9624C5ECFCE}"/>
    <cellStyle name="Migliaia [0] 28" xfId="262" xr:uid="{00000000-0005-0000-0000-000025020000}"/>
    <cellStyle name="Migliaia [0] 28 2" xfId="1542" xr:uid="{00000000-0005-0000-0000-000026020000}"/>
    <cellStyle name="Migliaia [0] 28 2 2" xfId="1543" xr:uid="{00000000-0005-0000-0000-000027020000}"/>
    <cellStyle name="Migliaia [0] 28 2 2 2" xfId="4647" xr:uid="{309F0A69-FEDC-4EBD-91CF-D43AB26DD3CE}"/>
    <cellStyle name="Migliaia [0] 28 2 2 3" xfId="2921" xr:uid="{972CAD39-9268-4747-B92B-B163652710E8}"/>
    <cellStyle name="Migliaia [0] 28 2 3" xfId="4646" xr:uid="{6CFA231B-F1ED-4B7D-91ED-6AAD74037BB6}"/>
    <cellStyle name="Migliaia [0] 28 2 4" xfId="5908" xr:uid="{251FA81D-AB71-48AD-B317-BEF9FC84FEF2}"/>
    <cellStyle name="Migliaia [0] 28 2 5" xfId="2920" xr:uid="{8AFBD575-FD75-4996-A1FE-F7A5B68D1AEC}"/>
    <cellStyle name="Migliaia [0] 28 3" xfId="1544" xr:uid="{00000000-0005-0000-0000-000028020000}"/>
    <cellStyle name="Migliaia [0] 28 3 2" xfId="4648" xr:uid="{C9F1638F-A612-4E26-822F-C49C065AA5C1}"/>
    <cellStyle name="Migliaia [0] 28 3 3" xfId="5909" xr:uid="{AD3BD267-C619-4A2E-BF43-858B637FEFBF}"/>
    <cellStyle name="Migliaia [0] 28 3 4" xfId="2922" xr:uid="{BB761218-FD25-4E4F-9FC9-5F4DB99D1B05}"/>
    <cellStyle name="Migliaia [0] 28 4" xfId="2923" xr:uid="{DEA92358-B272-4FE0-AE91-A2842FC939D3}"/>
    <cellStyle name="Migliaia [0] 28 4 2" xfId="4649" xr:uid="{7FD87A0B-D4C2-46E6-B46D-AA83F52E2C57}"/>
    <cellStyle name="Migliaia [0] 28 4 3" xfId="5910" xr:uid="{22311123-DA4C-42A9-B729-C6E26B91FD1E}"/>
    <cellStyle name="Migliaia [0] 28 5" xfId="4645" xr:uid="{EDCC0872-2C33-4E58-8A06-A33642B213B0}"/>
    <cellStyle name="Migliaia [0] 28 6" xfId="5907" xr:uid="{6C5458CD-F69C-40DD-8E6E-3A40428ED8F9}"/>
    <cellStyle name="Migliaia [0] 28 7" xfId="2919" xr:uid="{D845EC11-BD87-4950-AA3B-FDA87D329966}"/>
    <cellStyle name="Migliaia [0] 29" xfId="263" xr:uid="{00000000-0005-0000-0000-000029020000}"/>
    <cellStyle name="Migliaia [0] 29 2" xfId="1545" xr:uid="{00000000-0005-0000-0000-00002A020000}"/>
    <cellStyle name="Migliaia [0] 29 2 2" xfId="1546" xr:uid="{00000000-0005-0000-0000-00002B020000}"/>
    <cellStyle name="Migliaia [0] 29 2 2 2" xfId="4652" xr:uid="{D5801C32-99DB-4218-8F35-03CD6965A3FF}"/>
    <cellStyle name="Migliaia [0] 29 2 2 3" xfId="2926" xr:uid="{720BB586-176C-4735-9304-8C1255CE65AA}"/>
    <cellStyle name="Migliaia [0] 29 2 3" xfId="4651" xr:uid="{E85F9595-857A-4B21-8C0B-5F92D4B77AD4}"/>
    <cellStyle name="Migliaia [0] 29 2 4" xfId="5912" xr:uid="{1B3209BF-D4C5-4116-AC4D-A38380EFCBD9}"/>
    <cellStyle name="Migliaia [0] 29 2 5" xfId="2925" xr:uid="{394CB796-BD80-400D-95FC-54A45E0A49FC}"/>
    <cellStyle name="Migliaia [0] 29 3" xfId="1547" xr:uid="{00000000-0005-0000-0000-00002C020000}"/>
    <cellStyle name="Migliaia [0] 29 3 2" xfId="4653" xr:uid="{82E57E02-C640-4980-B6E8-6B4592377112}"/>
    <cellStyle name="Migliaia [0] 29 3 3" xfId="5913" xr:uid="{82A21DAD-DFF2-4C7A-B2AD-3CBFD3DBE395}"/>
    <cellStyle name="Migliaia [0] 29 3 4" xfId="2927" xr:uid="{38DC9599-8A18-41A1-97DA-821F407D2C1C}"/>
    <cellStyle name="Migliaia [0] 29 4" xfId="2928" xr:uid="{F5A24B15-08AF-4283-A86E-109EC7697FE4}"/>
    <cellStyle name="Migliaia [0] 29 4 2" xfId="4654" xr:uid="{204BFE5A-E34E-4C78-ABC6-EE816F37BAE1}"/>
    <cellStyle name="Migliaia [0] 29 4 3" xfId="5914" xr:uid="{0244F6CE-BDA6-4F96-948F-4416C4A37D19}"/>
    <cellStyle name="Migliaia [0] 29 5" xfId="4650" xr:uid="{191B8EE5-3A0C-4C13-A23F-2873E043F1D9}"/>
    <cellStyle name="Migliaia [0] 29 6" xfId="5911" xr:uid="{1FBCF564-56A6-4811-8D47-346ED1AA1E9B}"/>
    <cellStyle name="Migliaia [0] 29 7" xfId="2924" xr:uid="{33BE0ABB-E903-41C0-9A7A-FE95D2A9E70F}"/>
    <cellStyle name="Migliaia [0] 3" xfId="264" xr:uid="{00000000-0005-0000-0000-00002D020000}"/>
    <cellStyle name="Migliaia [0] 3 2" xfId="1548" xr:uid="{00000000-0005-0000-0000-00002E020000}"/>
    <cellStyle name="Migliaia [0] 3 2 2" xfId="1549" xr:uid="{00000000-0005-0000-0000-00002F020000}"/>
    <cellStyle name="Migliaia [0] 3 2 2 2" xfId="4657" xr:uid="{16B01420-7FC7-450C-8E6B-C8BF9BECE2C2}"/>
    <cellStyle name="Migliaia [0] 3 2 2 3" xfId="2931" xr:uid="{3EC3DB64-8F58-4833-B37F-C6B23F3507ED}"/>
    <cellStyle name="Migliaia [0] 3 2 3" xfId="4656" xr:uid="{9DE57690-7635-4E91-A6A1-6F628884FB86}"/>
    <cellStyle name="Migliaia [0] 3 2 4" xfId="5916" xr:uid="{E3B84E8B-0F94-4D35-B280-44F7E0CF4D8E}"/>
    <cellStyle name="Migliaia [0] 3 2 5" xfId="2930" xr:uid="{D5BC513D-945B-4C4E-A2DC-12047BEAFD27}"/>
    <cellStyle name="Migliaia [0] 3 3" xfId="1550" xr:uid="{00000000-0005-0000-0000-000030020000}"/>
    <cellStyle name="Migliaia [0] 3 3 2" xfId="4658" xr:uid="{51780C54-36CD-417D-B343-B08B55FF5EB1}"/>
    <cellStyle name="Migliaia [0] 3 3 3" xfId="5917" xr:uid="{612F8D8D-994A-42DD-8D27-866C56C341EC}"/>
    <cellStyle name="Migliaia [0] 3 3 4" xfId="2932" xr:uid="{723E80F8-C384-4C28-A62D-51060AC0B376}"/>
    <cellStyle name="Migliaia [0] 3 4" xfId="2933" xr:uid="{828C6A43-A9F6-417C-A7C3-839A8585DAF8}"/>
    <cellStyle name="Migliaia [0] 3 4 2" xfId="4659" xr:uid="{4266368E-5720-4834-8CA0-C12ABB4F240C}"/>
    <cellStyle name="Migliaia [0] 3 4 3" xfId="5918" xr:uid="{0C8B52F7-BD36-4E29-8E52-A961E578A7AD}"/>
    <cellStyle name="Migliaia [0] 3 5" xfId="4655" xr:uid="{CC5EBAC2-DC75-4000-98B9-D16A423DDC34}"/>
    <cellStyle name="Migliaia [0] 3 6" xfId="5915" xr:uid="{25E9EB59-3685-4CF4-84BC-075D06C3B0A3}"/>
    <cellStyle name="Migliaia [0] 3 7" xfId="2929" xr:uid="{486EDCC6-333D-4BF1-8B0E-CFEF90D3DF83}"/>
    <cellStyle name="Migliaia [0] 30" xfId="265" xr:uid="{00000000-0005-0000-0000-000031020000}"/>
    <cellStyle name="Migliaia [0] 30 2" xfId="1551" xr:uid="{00000000-0005-0000-0000-000032020000}"/>
    <cellStyle name="Migliaia [0] 30 2 2" xfId="1552" xr:uid="{00000000-0005-0000-0000-000033020000}"/>
    <cellStyle name="Migliaia [0] 30 2 2 2" xfId="4662" xr:uid="{3B9E95A9-0D4D-4F5F-90CF-DA2709414F2F}"/>
    <cellStyle name="Migliaia [0] 30 2 2 3" xfId="2936" xr:uid="{8D56536F-DC48-4686-A265-701069B89922}"/>
    <cellStyle name="Migliaia [0] 30 2 3" xfId="4661" xr:uid="{02DA3125-4EFB-42DE-B414-710D3DC40C09}"/>
    <cellStyle name="Migliaia [0] 30 2 4" xfId="5920" xr:uid="{16C5FE11-9E49-4A1B-A7B5-3355D4F44771}"/>
    <cellStyle name="Migliaia [0] 30 2 5" xfId="2935" xr:uid="{3285AFE4-13F3-4CCA-95D9-5EEC688EE58F}"/>
    <cellStyle name="Migliaia [0] 30 3" xfId="1553" xr:uid="{00000000-0005-0000-0000-000034020000}"/>
    <cellStyle name="Migliaia [0] 30 3 2" xfId="4663" xr:uid="{4462E0EB-B701-4CEE-9851-900F9A0CAECE}"/>
    <cellStyle name="Migliaia [0] 30 3 3" xfId="5921" xr:uid="{A10100E7-2287-406D-A4EF-2815ADD197BA}"/>
    <cellStyle name="Migliaia [0] 30 3 4" xfId="2937" xr:uid="{1B5E6B2B-CE79-4749-8E61-27BD6BE8469A}"/>
    <cellStyle name="Migliaia [0] 30 4" xfId="2938" xr:uid="{833B0738-56A5-4B91-8F98-4D68676AF07C}"/>
    <cellStyle name="Migliaia [0] 30 4 2" xfId="4664" xr:uid="{69A3D34C-4A4A-4F38-8243-E7DE0AC675F6}"/>
    <cellStyle name="Migliaia [0] 30 4 3" xfId="5922" xr:uid="{10AB3740-54C0-456F-9501-CA25CCC8EFEB}"/>
    <cellStyle name="Migliaia [0] 30 5" xfId="4660" xr:uid="{2E3AB526-C215-498D-A056-8F9C88C7E1DF}"/>
    <cellStyle name="Migliaia [0] 30 6" xfId="5919" xr:uid="{7E6FEEDE-5996-483C-83E5-0C955011CD39}"/>
    <cellStyle name="Migliaia [0] 30 7" xfId="2934" xr:uid="{4AA0737B-9994-46AB-9D4B-7064FB522518}"/>
    <cellStyle name="Migliaia [0] 31" xfId="266" xr:uid="{00000000-0005-0000-0000-000035020000}"/>
    <cellStyle name="Migliaia [0] 31 2" xfId="1554" xr:uid="{00000000-0005-0000-0000-000036020000}"/>
    <cellStyle name="Migliaia [0] 31 2 2" xfId="1555" xr:uid="{00000000-0005-0000-0000-000037020000}"/>
    <cellStyle name="Migliaia [0] 31 2 2 2" xfId="4667" xr:uid="{73D297B1-DD28-4B85-97DB-59C2C34CADE6}"/>
    <cellStyle name="Migliaia [0] 31 2 2 3" xfId="2941" xr:uid="{71DAA2E5-B087-405C-BACB-1EEA87E0731D}"/>
    <cellStyle name="Migliaia [0] 31 2 3" xfId="4666" xr:uid="{BCA40F13-D55B-45EC-A425-8552D89676F5}"/>
    <cellStyle name="Migliaia [0] 31 2 4" xfId="5924" xr:uid="{B6731D77-6FDB-4EAE-B2C4-C789B063961D}"/>
    <cellStyle name="Migliaia [0] 31 2 5" xfId="2940" xr:uid="{A0DB600D-BCE2-4A51-BA53-A8AA1B9163EB}"/>
    <cellStyle name="Migliaia [0] 31 3" xfId="1556" xr:uid="{00000000-0005-0000-0000-000038020000}"/>
    <cellStyle name="Migliaia [0] 31 3 2" xfId="4668" xr:uid="{314F0596-B7F1-4639-9105-178C7E997AC0}"/>
    <cellStyle name="Migliaia [0] 31 3 3" xfId="5925" xr:uid="{02A6340F-5517-4234-A0CB-06695AAA78C8}"/>
    <cellStyle name="Migliaia [0] 31 3 4" xfId="2942" xr:uid="{14A9C402-D71F-42F2-B6FA-280E05644509}"/>
    <cellStyle name="Migliaia [0] 31 4" xfId="2943" xr:uid="{3839F042-9A7D-4118-9051-E0B4D3A1A06C}"/>
    <cellStyle name="Migliaia [0] 31 4 2" xfId="4669" xr:uid="{B2AA0C8C-7B52-4E46-BAFF-BD9221F3901C}"/>
    <cellStyle name="Migliaia [0] 31 4 3" xfId="5926" xr:uid="{3068DFBA-C582-4F2A-979C-C938426C9AF5}"/>
    <cellStyle name="Migliaia [0] 31 5" xfId="4665" xr:uid="{EB7C0013-5998-4FB0-B3CC-21574095610C}"/>
    <cellStyle name="Migliaia [0] 31 6" xfId="5923" xr:uid="{AE5EBDED-FEB3-41ED-933C-BE5034FECF3B}"/>
    <cellStyle name="Migliaia [0] 31 7" xfId="2939" xr:uid="{2BAA86AA-A204-4395-A5A1-6692B7CF6EBC}"/>
    <cellStyle name="Migliaia [0] 32" xfId="267" xr:uid="{00000000-0005-0000-0000-000039020000}"/>
    <cellStyle name="Migliaia [0] 32 2" xfId="1557" xr:uid="{00000000-0005-0000-0000-00003A020000}"/>
    <cellStyle name="Migliaia [0] 32 2 2" xfId="1558" xr:uid="{00000000-0005-0000-0000-00003B020000}"/>
    <cellStyle name="Migliaia [0] 32 2 2 2" xfId="4672" xr:uid="{1005C7E0-A938-45CD-A698-13579BA49C39}"/>
    <cellStyle name="Migliaia [0] 32 2 2 3" xfId="2946" xr:uid="{D2D2D179-0937-4749-8400-10FABC9544FC}"/>
    <cellStyle name="Migliaia [0] 32 2 3" xfId="4671" xr:uid="{85AAD99F-226D-408C-9246-BE0A6B4DA960}"/>
    <cellStyle name="Migliaia [0] 32 2 4" xfId="5928" xr:uid="{49AEF9B9-14C8-4D99-BC45-01A17843A67E}"/>
    <cellStyle name="Migliaia [0] 32 2 5" xfId="2945" xr:uid="{F5D5C489-CA41-48CF-B58C-64293BC034FB}"/>
    <cellStyle name="Migliaia [0] 32 3" xfId="1559" xr:uid="{00000000-0005-0000-0000-00003C020000}"/>
    <cellStyle name="Migliaia [0] 32 3 2" xfId="4673" xr:uid="{8F8A21BF-D9E9-4BC7-B09B-429E9848DB03}"/>
    <cellStyle name="Migliaia [0] 32 3 3" xfId="5929" xr:uid="{203BF6F2-3160-4600-9135-520B7AFA6E04}"/>
    <cellStyle name="Migliaia [0] 32 3 4" xfId="2947" xr:uid="{59AF3253-2581-40AA-B0E7-253D215ECA7B}"/>
    <cellStyle name="Migliaia [0] 32 4" xfId="2948" xr:uid="{F143B702-5802-4EB8-8EFA-AF08CA33EB8B}"/>
    <cellStyle name="Migliaia [0] 32 4 2" xfId="4674" xr:uid="{048BC5CD-09AC-495A-9BD9-E29241CEFF1F}"/>
    <cellStyle name="Migliaia [0] 32 4 3" xfId="5930" xr:uid="{29A75D47-6E1C-438C-92F6-053EEAE3EF58}"/>
    <cellStyle name="Migliaia [0] 32 5" xfId="4670" xr:uid="{8677202E-9F96-418F-8858-BF3D262D5382}"/>
    <cellStyle name="Migliaia [0] 32 6" xfId="5927" xr:uid="{F158F378-C173-413E-A9D3-2F751717D91F}"/>
    <cellStyle name="Migliaia [0] 32 7" xfId="2944" xr:uid="{36E9E9C4-91DB-42BE-8B7F-790411F9D8FE}"/>
    <cellStyle name="Migliaia [0] 33" xfId="268" xr:uid="{00000000-0005-0000-0000-00003D020000}"/>
    <cellStyle name="Migliaia [0] 33 2" xfId="1560" xr:uid="{00000000-0005-0000-0000-00003E020000}"/>
    <cellStyle name="Migliaia [0] 33 2 2" xfId="1561" xr:uid="{00000000-0005-0000-0000-00003F020000}"/>
    <cellStyle name="Migliaia [0] 33 2 2 2" xfId="4677" xr:uid="{15D40228-1DA1-4E2C-B7AB-FCD7DB38128B}"/>
    <cellStyle name="Migliaia [0] 33 2 2 3" xfId="2951" xr:uid="{018E12C9-9B8F-44EE-A956-0B11ED6F3C71}"/>
    <cellStyle name="Migliaia [0] 33 2 3" xfId="4676" xr:uid="{0FD8C634-A8FD-402F-9F65-109946CA0E4C}"/>
    <cellStyle name="Migliaia [0] 33 2 4" xfId="5932" xr:uid="{7E7FB5AA-8182-4996-9514-F5EAB5C1798D}"/>
    <cellStyle name="Migliaia [0] 33 2 5" xfId="2950" xr:uid="{BE96D273-447D-4A3E-89E8-AA105D8E8E37}"/>
    <cellStyle name="Migliaia [0] 33 3" xfId="1562" xr:uid="{00000000-0005-0000-0000-000040020000}"/>
    <cellStyle name="Migliaia [0] 33 3 2" xfId="4678" xr:uid="{2C06F578-29E6-4F23-AB9C-BCFD50C3984B}"/>
    <cellStyle name="Migliaia [0] 33 3 3" xfId="5933" xr:uid="{946FBB9D-EE58-4071-897D-FCD9CC776485}"/>
    <cellStyle name="Migliaia [0] 33 3 4" xfId="2952" xr:uid="{CE510637-AA1E-45AD-B855-1F5020F29F59}"/>
    <cellStyle name="Migliaia [0] 33 4" xfId="2953" xr:uid="{AA339ADB-DB1E-4C24-B771-509C43021060}"/>
    <cellStyle name="Migliaia [0] 33 4 2" xfId="4679" xr:uid="{FBD288A8-E746-479B-9FE8-81B179FEB5C8}"/>
    <cellStyle name="Migliaia [0] 33 4 3" xfId="5934" xr:uid="{D3C214DE-38CE-4BDF-8AFB-3E945A7DC5B0}"/>
    <cellStyle name="Migliaia [0] 33 5" xfId="4675" xr:uid="{9951621B-F5C1-43CA-B4A6-76CAF44F740C}"/>
    <cellStyle name="Migliaia [0] 33 6" xfId="5931" xr:uid="{02928B65-5B48-4FE2-9AA0-54514100CEC4}"/>
    <cellStyle name="Migliaia [0] 33 7" xfId="2949" xr:uid="{5D9E1CE4-F37B-46B0-9EED-3869F330FC67}"/>
    <cellStyle name="Migliaia [0] 34" xfId="269" xr:uid="{00000000-0005-0000-0000-000041020000}"/>
    <cellStyle name="Migliaia [0] 34 2" xfId="1563" xr:uid="{00000000-0005-0000-0000-000042020000}"/>
    <cellStyle name="Migliaia [0] 34 2 2" xfId="1564" xr:uid="{00000000-0005-0000-0000-000043020000}"/>
    <cellStyle name="Migliaia [0] 34 2 2 2" xfId="4682" xr:uid="{7FF47654-05F1-4BC2-9C03-5183BEC807B1}"/>
    <cellStyle name="Migliaia [0] 34 2 2 3" xfId="2956" xr:uid="{1FA5AAB0-1491-4382-8B03-DD4C9B1CE052}"/>
    <cellStyle name="Migliaia [0] 34 2 3" xfId="4681" xr:uid="{3C25559C-64AA-4CAB-B820-4772BE91A039}"/>
    <cellStyle name="Migliaia [0] 34 2 4" xfId="5936" xr:uid="{D00B5096-26DC-446A-91CE-53B268292BDF}"/>
    <cellStyle name="Migliaia [0] 34 2 5" xfId="2955" xr:uid="{EEC7EB8D-A053-4144-A011-C505167621E3}"/>
    <cellStyle name="Migliaia [0] 34 3" xfId="1565" xr:uid="{00000000-0005-0000-0000-000044020000}"/>
    <cellStyle name="Migliaia [0] 34 3 2" xfId="4683" xr:uid="{71731013-A285-47DB-A5DD-F587E7C2E8D7}"/>
    <cellStyle name="Migliaia [0] 34 3 3" xfId="5937" xr:uid="{156B4AC0-27EE-413C-B2A1-F5DE1C7444A0}"/>
    <cellStyle name="Migliaia [0] 34 3 4" xfId="2957" xr:uid="{CD818AFF-BC85-4C57-A0D8-05F5C4C5441C}"/>
    <cellStyle name="Migliaia [0] 34 4" xfId="2958" xr:uid="{D2CE1A90-8373-47AC-A0D3-3ACE96530BDC}"/>
    <cellStyle name="Migliaia [0] 34 4 2" xfId="4684" xr:uid="{10FDFCF9-DAB5-4C97-99B7-46BAE7FCDA90}"/>
    <cellStyle name="Migliaia [0] 34 4 3" xfId="5938" xr:uid="{A8C40249-14EF-46DA-83A2-C47DCB1E5C52}"/>
    <cellStyle name="Migliaia [0] 34 5" xfId="4680" xr:uid="{6748E7CA-2C18-4BF4-B39D-D62B888B5ABA}"/>
    <cellStyle name="Migliaia [0] 34 6" xfId="5935" xr:uid="{B318F912-5BE6-4254-872A-B4E16B5FAECC}"/>
    <cellStyle name="Migliaia [0] 34 7" xfId="2954" xr:uid="{CA22018F-3589-48CB-AD9C-D56B57ABE325}"/>
    <cellStyle name="Migliaia [0] 35" xfId="270" xr:uid="{00000000-0005-0000-0000-000045020000}"/>
    <cellStyle name="Migliaia [0] 35 2" xfId="1566" xr:uid="{00000000-0005-0000-0000-000046020000}"/>
    <cellStyle name="Migliaia [0] 35 2 2" xfId="1567" xr:uid="{00000000-0005-0000-0000-000047020000}"/>
    <cellStyle name="Migliaia [0] 35 2 2 2" xfId="4687" xr:uid="{F23E5477-1FFE-4C3B-9B10-35A9768479F2}"/>
    <cellStyle name="Migliaia [0] 35 2 2 3" xfId="2961" xr:uid="{AF0EE2E9-05B9-4F3B-94A2-EB669D2F2101}"/>
    <cellStyle name="Migliaia [0] 35 2 3" xfId="4686" xr:uid="{0156E53E-1BA6-441D-BA2C-148705B45982}"/>
    <cellStyle name="Migliaia [0] 35 2 4" xfId="5940" xr:uid="{8A84E47A-552F-4EAC-BC05-001E22E23CB3}"/>
    <cellStyle name="Migliaia [0] 35 2 5" xfId="2960" xr:uid="{7E7A23EC-5BA3-411A-AF7C-0F441A10BD4A}"/>
    <cellStyle name="Migliaia [0] 35 3" xfId="1568" xr:uid="{00000000-0005-0000-0000-000048020000}"/>
    <cellStyle name="Migliaia [0] 35 3 2" xfId="4688" xr:uid="{1C781068-C9B4-4218-B066-C62EE3D2F012}"/>
    <cellStyle name="Migliaia [0] 35 3 3" xfId="5941" xr:uid="{410D2716-D1F1-4AAE-B3F4-0B97A9FD13BA}"/>
    <cellStyle name="Migliaia [0] 35 3 4" xfId="2962" xr:uid="{98DFD544-E333-40B6-9816-8B4EA23F57F2}"/>
    <cellStyle name="Migliaia [0] 35 4" xfId="2963" xr:uid="{D303A6E3-B77E-4DEC-B86B-95DF61574933}"/>
    <cellStyle name="Migliaia [0] 35 4 2" xfId="4689" xr:uid="{4A8CE6BB-B5AE-4EF8-B984-206ADA9D19E2}"/>
    <cellStyle name="Migliaia [0] 35 4 3" xfId="5942" xr:uid="{B9808434-302C-4464-8C9A-740DF3737E40}"/>
    <cellStyle name="Migliaia [0] 35 5" xfId="4685" xr:uid="{EC1B6CFE-41DC-4511-B5A2-7302AB8361A2}"/>
    <cellStyle name="Migliaia [0] 35 6" xfId="5939" xr:uid="{E6B0EF93-BAEA-4005-8073-ACF6942D0F58}"/>
    <cellStyle name="Migliaia [0] 35 7" xfId="2959" xr:uid="{55DEA085-289B-402A-9AFA-2145A27F5A7F}"/>
    <cellStyle name="Migliaia [0] 36" xfId="271" xr:uid="{00000000-0005-0000-0000-000049020000}"/>
    <cellStyle name="Migliaia [0] 36 2" xfId="1569" xr:uid="{00000000-0005-0000-0000-00004A020000}"/>
    <cellStyle name="Migliaia [0] 36 2 2" xfId="1570" xr:uid="{00000000-0005-0000-0000-00004B020000}"/>
    <cellStyle name="Migliaia [0] 36 2 2 2" xfId="4692" xr:uid="{6630EAEE-D294-458D-9D0D-2A0A0FC93B9D}"/>
    <cellStyle name="Migliaia [0] 36 2 2 3" xfId="2966" xr:uid="{9BA70B29-EE7E-411C-BE94-0148DC6C5D44}"/>
    <cellStyle name="Migliaia [0] 36 2 3" xfId="4691" xr:uid="{13E2D0BD-8050-4478-8260-323C80ABD532}"/>
    <cellStyle name="Migliaia [0] 36 2 4" xfId="5944" xr:uid="{AC165AD2-39C9-4906-BBC2-97F9B163666E}"/>
    <cellStyle name="Migliaia [0] 36 2 5" xfId="2965" xr:uid="{58C8D901-3503-4C1C-B7D2-1F9951D1ECF2}"/>
    <cellStyle name="Migliaia [0] 36 3" xfId="1571" xr:uid="{00000000-0005-0000-0000-00004C020000}"/>
    <cellStyle name="Migliaia [0] 36 3 2" xfId="4693" xr:uid="{9037FA35-F9B8-4626-B919-399D5007C1B9}"/>
    <cellStyle name="Migliaia [0] 36 3 3" xfId="5945" xr:uid="{85A2BBC8-8511-4C40-BB3C-8F6733FCD897}"/>
    <cellStyle name="Migliaia [0] 36 3 4" xfId="2967" xr:uid="{AA0CB16A-BAD2-4045-A3D2-F042261253A3}"/>
    <cellStyle name="Migliaia [0] 36 4" xfId="2968" xr:uid="{3C097D4F-2462-4C5C-9DAE-903DA1E16549}"/>
    <cellStyle name="Migliaia [0] 36 4 2" xfId="4694" xr:uid="{4484610C-3F2D-449B-8E05-60E252FB917F}"/>
    <cellStyle name="Migliaia [0] 36 4 3" xfId="5946" xr:uid="{5CD857B6-859C-4536-B31C-B1785F24D163}"/>
    <cellStyle name="Migliaia [0] 36 5" xfId="4690" xr:uid="{A98DA38D-DCEB-43A6-90EA-63CC53B72432}"/>
    <cellStyle name="Migliaia [0] 36 6" xfId="5943" xr:uid="{692D149D-6B31-4E81-B8BA-A1C82A620C64}"/>
    <cellStyle name="Migliaia [0] 36 7" xfId="2964" xr:uid="{BD71548B-D8C4-4FC4-A8FD-57A7D72F773F}"/>
    <cellStyle name="Migliaia [0] 37" xfId="272" xr:uid="{00000000-0005-0000-0000-00004D020000}"/>
    <cellStyle name="Migliaia [0] 37 2" xfId="1572" xr:uid="{00000000-0005-0000-0000-00004E020000}"/>
    <cellStyle name="Migliaia [0] 37 2 2" xfId="1573" xr:uid="{00000000-0005-0000-0000-00004F020000}"/>
    <cellStyle name="Migliaia [0] 37 2 2 2" xfId="4697" xr:uid="{DAD01564-95F7-422D-9CCB-2CE88A495CCB}"/>
    <cellStyle name="Migliaia [0] 37 2 2 3" xfId="2971" xr:uid="{0EA2AC64-695E-4C30-9C66-3F18A6175A9B}"/>
    <cellStyle name="Migliaia [0] 37 2 3" xfId="4696" xr:uid="{F348FA34-FD99-437F-BF0F-D98B20A0D88D}"/>
    <cellStyle name="Migliaia [0] 37 2 4" xfId="5948" xr:uid="{4ED181B4-278B-46F9-A99F-74F65201207D}"/>
    <cellStyle name="Migliaia [0] 37 2 5" xfId="2970" xr:uid="{8DA40E09-55B5-4C52-A400-D9336CF9F252}"/>
    <cellStyle name="Migliaia [0] 37 3" xfId="1574" xr:uid="{00000000-0005-0000-0000-000050020000}"/>
    <cellStyle name="Migliaia [0] 37 3 2" xfId="4698" xr:uid="{7688EE82-5B25-4483-95DD-0CB3A4A37323}"/>
    <cellStyle name="Migliaia [0] 37 3 3" xfId="5949" xr:uid="{89769745-8312-4C44-9AC9-E438F4AF19C3}"/>
    <cellStyle name="Migliaia [0] 37 3 4" xfId="2972" xr:uid="{9560137C-3FAD-4A00-B872-4D921230BE19}"/>
    <cellStyle name="Migliaia [0] 37 4" xfId="2973" xr:uid="{3F093CC6-2AF0-4076-B802-88D47EC1625B}"/>
    <cellStyle name="Migliaia [0] 37 4 2" xfId="4699" xr:uid="{62D7847B-C68B-4C3B-8A57-108C2F940BDB}"/>
    <cellStyle name="Migliaia [0] 37 4 3" xfId="5950" xr:uid="{D8A345F9-0F43-4479-8D35-BB3A7CE28175}"/>
    <cellStyle name="Migliaia [0] 37 5" xfId="4695" xr:uid="{30366D83-1F53-49FD-A952-8FF46B04C8DE}"/>
    <cellStyle name="Migliaia [0] 37 6" xfId="5947" xr:uid="{5E3D2523-F733-42E1-90A1-057D77C8BFCF}"/>
    <cellStyle name="Migliaia [0] 37 7" xfId="2969" xr:uid="{D95DC1C0-0311-466A-94CE-9442BFE949E9}"/>
    <cellStyle name="Migliaia [0] 38" xfId="273" xr:uid="{00000000-0005-0000-0000-000051020000}"/>
    <cellStyle name="Migliaia [0] 38 2" xfId="1575" xr:uid="{00000000-0005-0000-0000-000052020000}"/>
    <cellStyle name="Migliaia [0] 38 2 2" xfId="1576" xr:uid="{00000000-0005-0000-0000-000053020000}"/>
    <cellStyle name="Migliaia [0] 38 2 2 2" xfId="4702" xr:uid="{BD6959D5-5CED-40ED-AE2E-F7CE47F57AE9}"/>
    <cellStyle name="Migliaia [0] 38 2 2 3" xfId="2976" xr:uid="{EFF91115-37E4-4AEF-BB62-2A31ACDE5697}"/>
    <cellStyle name="Migliaia [0] 38 2 3" xfId="4701" xr:uid="{16664EEC-BC53-4153-839E-18C5C4A187CC}"/>
    <cellStyle name="Migliaia [0] 38 2 4" xfId="5952" xr:uid="{53444165-4085-46A9-8168-C27C5D0BBCC5}"/>
    <cellStyle name="Migliaia [0] 38 2 5" xfId="2975" xr:uid="{3822B655-0E51-47DE-8651-6832A270281C}"/>
    <cellStyle name="Migliaia [0] 38 3" xfId="1577" xr:uid="{00000000-0005-0000-0000-000054020000}"/>
    <cellStyle name="Migliaia [0] 38 3 2" xfId="4703" xr:uid="{6F66D0F0-81D1-4D25-ADA3-EA445CFC938D}"/>
    <cellStyle name="Migliaia [0] 38 3 3" xfId="5953" xr:uid="{EEB67433-A8B3-4725-B6A4-76BD313824F7}"/>
    <cellStyle name="Migliaia [0] 38 3 4" xfId="2977" xr:uid="{DEF5E573-F308-48FB-9A73-6865D8474A78}"/>
    <cellStyle name="Migliaia [0] 38 4" xfId="2978" xr:uid="{6584EBAF-C1C2-46DF-BD6B-9415B1C9695F}"/>
    <cellStyle name="Migliaia [0] 38 4 2" xfId="4704" xr:uid="{442F5C5D-ABBC-4779-9519-8B79F8942E6F}"/>
    <cellStyle name="Migliaia [0] 38 4 3" xfId="5954" xr:uid="{AA9A3FEE-C824-4980-9C93-7C5B8FCA4BB0}"/>
    <cellStyle name="Migliaia [0] 38 5" xfId="4700" xr:uid="{584A6843-AF8E-41DF-8A28-45672D035C8C}"/>
    <cellStyle name="Migliaia [0] 38 6" xfId="5951" xr:uid="{A7B96F3E-DF5E-4218-BC3D-7716FBF6C591}"/>
    <cellStyle name="Migliaia [0] 38 7" xfId="2974" xr:uid="{395AC7A6-3E82-4A59-98C8-EAED3ACF246A}"/>
    <cellStyle name="Migliaia [0] 39" xfId="274" xr:uid="{00000000-0005-0000-0000-000055020000}"/>
    <cellStyle name="Migliaia [0] 39 2" xfId="1578" xr:uid="{00000000-0005-0000-0000-000056020000}"/>
    <cellStyle name="Migliaia [0] 39 2 2" xfId="1579" xr:uid="{00000000-0005-0000-0000-000057020000}"/>
    <cellStyle name="Migliaia [0] 39 2 2 2" xfId="4707" xr:uid="{8828DD60-1164-442E-A855-02D1B9E4DD34}"/>
    <cellStyle name="Migliaia [0] 39 2 2 3" xfId="2981" xr:uid="{5A374EB6-2F63-4C67-ABDA-FB948117B2A4}"/>
    <cellStyle name="Migliaia [0] 39 2 3" xfId="4706" xr:uid="{1B13F257-DE88-47D4-A53B-C152D3E952B4}"/>
    <cellStyle name="Migliaia [0] 39 2 4" xfId="5956" xr:uid="{06DA20B4-0A0F-44B2-97FD-48FB18AF8762}"/>
    <cellStyle name="Migliaia [0] 39 2 5" xfId="2980" xr:uid="{F8803A83-3151-4E03-BC9D-0A1188E14613}"/>
    <cellStyle name="Migliaia [0] 39 3" xfId="1580" xr:uid="{00000000-0005-0000-0000-000058020000}"/>
    <cellStyle name="Migliaia [0] 39 3 2" xfId="4708" xr:uid="{BA4005BC-1F3E-4079-80B0-B3205CF55272}"/>
    <cellStyle name="Migliaia [0] 39 3 3" xfId="5957" xr:uid="{E9897F66-8636-417F-84C8-5C69F169153F}"/>
    <cellStyle name="Migliaia [0] 39 3 4" xfId="2982" xr:uid="{A2B29CC0-E49E-468F-B523-D63FB3B13651}"/>
    <cellStyle name="Migliaia [0] 39 4" xfId="2983" xr:uid="{04F465FF-822F-41B9-AC29-46ECD945B5E0}"/>
    <cellStyle name="Migliaia [0] 39 4 2" xfId="4709" xr:uid="{35E526DF-732D-4B74-83A7-DE912F68DF1D}"/>
    <cellStyle name="Migliaia [0] 39 4 3" xfId="5958" xr:uid="{AB77DEC9-899A-4654-B95C-814CB727CB47}"/>
    <cellStyle name="Migliaia [0] 39 5" xfId="4705" xr:uid="{D4A85247-552B-4B03-B85D-1403BD23A759}"/>
    <cellStyle name="Migliaia [0] 39 6" xfId="5955" xr:uid="{609725EE-1C69-4426-AB55-C78BF62B398B}"/>
    <cellStyle name="Migliaia [0] 39 7" xfId="2979" xr:uid="{57442825-9EB6-4E55-8EA9-84FC541AF922}"/>
    <cellStyle name="Migliaia [0] 4" xfId="275" xr:uid="{00000000-0005-0000-0000-000059020000}"/>
    <cellStyle name="Migliaia [0] 4 2" xfId="1581" xr:uid="{00000000-0005-0000-0000-00005A020000}"/>
    <cellStyle name="Migliaia [0] 4 2 2" xfId="1582" xr:uid="{00000000-0005-0000-0000-00005B020000}"/>
    <cellStyle name="Migliaia [0] 4 2 2 2" xfId="4712" xr:uid="{A8D51E7E-B26C-4AF3-82CB-F79A0EA8AB30}"/>
    <cellStyle name="Migliaia [0] 4 2 2 3" xfId="2986" xr:uid="{A383A480-D694-41D9-AA73-C66761A9562E}"/>
    <cellStyle name="Migliaia [0] 4 2 3" xfId="4711" xr:uid="{0853E942-ACF7-4A33-A9F8-069F0691215C}"/>
    <cellStyle name="Migliaia [0] 4 2 4" xfId="5960" xr:uid="{AC00550F-3445-49F1-BEAE-598EAC6BF382}"/>
    <cellStyle name="Migliaia [0] 4 2 5" xfId="2985" xr:uid="{CB410A93-260E-4F91-8A5D-DF451A0AA143}"/>
    <cellStyle name="Migliaia [0] 4 3" xfId="1583" xr:uid="{00000000-0005-0000-0000-00005C020000}"/>
    <cellStyle name="Migliaia [0] 4 3 2" xfId="4713" xr:uid="{23C4E08D-7B61-47F6-A95E-71E0DB03C204}"/>
    <cellStyle name="Migliaia [0] 4 3 3" xfId="5961" xr:uid="{9AAE206C-8548-40B8-B0BF-40528F25F033}"/>
    <cellStyle name="Migliaia [0] 4 3 4" xfId="2987" xr:uid="{531F806B-1B91-43E6-B0DA-EC3D2C180126}"/>
    <cellStyle name="Migliaia [0] 4 4" xfId="2988" xr:uid="{8941C3D6-A640-40BA-A107-8FDF0782425C}"/>
    <cellStyle name="Migliaia [0] 4 4 2" xfId="4714" xr:uid="{AFE59084-D100-4D02-ACE1-FDD1F34B03E6}"/>
    <cellStyle name="Migliaia [0] 4 4 3" xfId="5962" xr:uid="{D4910B4A-BE3E-4111-BBDC-7E5D40BD3C02}"/>
    <cellStyle name="Migliaia [0] 4 5" xfId="4710" xr:uid="{FA9F9C77-8651-47CB-9DFB-1EACDC63AE1A}"/>
    <cellStyle name="Migliaia [0] 4 6" xfId="5959" xr:uid="{0C823775-9FA2-4071-B96A-4A8C4574FDE0}"/>
    <cellStyle name="Migliaia [0] 4 7" xfId="2984" xr:uid="{7A2323BA-FF54-4B66-A963-26B775D5A617}"/>
    <cellStyle name="Migliaia [0] 40" xfId="276" xr:uid="{00000000-0005-0000-0000-00005D020000}"/>
    <cellStyle name="Migliaia [0] 40 2" xfId="1584" xr:uid="{00000000-0005-0000-0000-00005E020000}"/>
    <cellStyle name="Migliaia [0] 40 2 2" xfId="1585" xr:uid="{00000000-0005-0000-0000-00005F020000}"/>
    <cellStyle name="Migliaia [0] 40 2 2 2" xfId="4717" xr:uid="{B67E0994-D742-4907-8982-E5C15639BBB9}"/>
    <cellStyle name="Migliaia [0] 40 2 2 3" xfId="2991" xr:uid="{A5BF0269-B57A-4398-A95F-02E2CF823D83}"/>
    <cellStyle name="Migliaia [0] 40 2 3" xfId="4716" xr:uid="{A5892F7F-C0B1-46BC-B695-586CFAC5F8D5}"/>
    <cellStyle name="Migliaia [0] 40 2 4" xfId="5964" xr:uid="{6A1B1D63-B0BF-4521-9725-B64C464C4350}"/>
    <cellStyle name="Migliaia [0] 40 2 5" xfId="2990" xr:uid="{42881A85-6DF1-4050-B1ED-6053D873D2BF}"/>
    <cellStyle name="Migliaia [0] 40 3" xfId="1586" xr:uid="{00000000-0005-0000-0000-000060020000}"/>
    <cellStyle name="Migliaia [0] 40 3 2" xfId="4718" xr:uid="{5FDCCABF-F7F6-4F4C-A6E7-05B847AEF36E}"/>
    <cellStyle name="Migliaia [0] 40 3 3" xfId="5965" xr:uid="{E17BCEFD-5E3E-4F7B-8B4C-CD6C95310297}"/>
    <cellStyle name="Migliaia [0] 40 3 4" xfId="2992" xr:uid="{4C88CBC7-BAAA-48B0-BE9F-2FBA1C921666}"/>
    <cellStyle name="Migliaia [0] 40 4" xfId="2993" xr:uid="{05FED76D-3AA4-40D6-8962-BDC93DAEB807}"/>
    <cellStyle name="Migliaia [0] 40 4 2" xfId="4719" xr:uid="{0B1F7650-0AEA-40BD-BE6A-36FBC7D81F66}"/>
    <cellStyle name="Migliaia [0] 40 4 3" xfId="5966" xr:uid="{93BC0DA4-E036-4553-8B85-02C9BD37FAC8}"/>
    <cellStyle name="Migliaia [0] 40 5" xfId="4715" xr:uid="{8D129912-9091-4651-B122-26DC0C122B9D}"/>
    <cellStyle name="Migliaia [0] 40 6" xfId="5963" xr:uid="{27AC2CC9-FF85-44D0-83BB-66E45E9A8764}"/>
    <cellStyle name="Migliaia [0] 40 7" xfId="2989" xr:uid="{67E5BC92-4330-4577-B05C-EFC38EA577DF}"/>
    <cellStyle name="Migliaia [0] 41" xfId="277" xr:uid="{00000000-0005-0000-0000-000061020000}"/>
    <cellStyle name="Migliaia [0] 41 2" xfId="1587" xr:uid="{00000000-0005-0000-0000-000062020000}"/>
    <cellStyle name="Migliaia [0] 41 2 2" xfId="1588" xr:uid="{00000000-0005-0000-0000-000063020000}"/>
    <cellStyle name="Migliaia [0] 41 2 2 2" xfId="4722" xr:uid="{64525ADA-D9A4-4326-8194-4A134D4C5685}"/>
    <cellStyle name="Migliaia [0] 41 2 2 3" xfId="2996" xr:uid="{7E7952D6-4D76-4609-BB02-67C73D183496}"/>
    <cellStyle name="Migliaia [0] 41 2 3" xfId="4721" xr:uid="{8A9B73AF-377A-4B94-897C-5DEFE39DD291}"/>
    <cellStyle name="Migliaia [0] 41 2 4" xfId="5968" xr:uid="{595916A6-94AB-4DDB-BD39-84A70CCCA407}"/>
    <cellStyle name="Migliaia [0] 41 2 5" xfId="2995" xr:uid="{A0088F7D-0086-4CC8-BCCB-DC2362043D13}"/>
    <cellStyle name="Migliaia [0] 41 3" xfId="1589" xr:uid="{00000000-0005-0000-0000-000064020000}"/>
    <cellStyle name="Migliaia [0] 41 3 2" xfId="4723" xr:uid="{32A434AB-00E1-4EBB-B1AA-18A72553A956}"/>
    <cellStyle name="Migliaia [0] 41 3 3" xfId="5969" xr:uid="{36B50F5F-B327-4E99-A18D-562E0AC9A88B}"/>
    <cellStyle name="Migliaia [0] 41 3 4" xfId="2997" xr:uid="{F96D7F85-DDF9-49C3-9758-D04CB622215D}"/>
    <cellStyle name="Migliaia [0] 41 4" xfId="2998" xr:uid="{7F493A04-A23A-4502-A1E7-B84FCE04D1E4}"/>
    <cellStyle name="Migliaia [0] 41 4 2" xfId="4724" xr:uid="{453D135B-8E46-468E-A011-1A85F31093F8}"/>
    <cellStyle name="Migliaia [0] 41 4 3" xfId="5970" xr:uid="{A2D8FF6A-9C29-4DAE-88ED-EA6435051781}"/>
    <cellStyle name="Migliaia [0] 41 5" xfId="4720" xr:uid="{FFE7B77F-089B-4690-B4F3-A98C65EB636C}"/>
    <cellStyle name="Migliaia [0] 41 6" xfId="5967" xr:uid="{AB866711-6927-4A6A-924F-9AE5D6A9B17A}"/>
    <cellStyle name="Migliaia [0] 41 7" xfId="2994" xr:uid="{FF37B8FB-324F-4B4E-B130-52BCF52012E3}"/>
    <cellStyle name="Migliaia [0] 42" xfId="278" xr:uid="{00000000-0005-0000-0000-000065020000}"/>
    <cellStyle name="Migliaia [0] 42 2" xfId="1590" xr:uid="{00000000-0005-0000-0000-000066020000}"/>
    <cellStyle name="Migliaia [0] 42 2 2" xfId="1591" xr:uid="{00000000-0005-0000-0000-000067020000}"/>
    <cellStyle name="Migliaia [0] 42 2 2 2" xfId="4727" xr:uid="{946180B2-EB30-4AEE-A6EB-B88CAA8B062B}"/>
    <cellStyle name="Migliaia [0] 42 2 2 3" xfId="3001" xr:uid="{03F5D43C-27B5-4EB6-8441-EE151BA1FB25}"/>
    <cellStyle name="Migliaia [0] 42 2 3" xfId="4726" xr:uid="{B11E8D2D-924A-4198-B22F-58E59B21ABC5}"/>
    <cellStyle name="Migliaia [0] 42 2 4" xfId="5972" xr:uid="{3098F2A6-48AD-423C-8C6B-83B28D0D47DF}"/>
    <cellStyle name="Migliaia [0] 42 2 5" xfId="3000" xr:uid="{0071AAD9-B554-46BB-BC4E-0AA71CA5E456}"/>
    <cellStyle name="Migliaia [0] 42 3" xfId="1592" xr:uid="{00000000-0005-0000-0000-000068020000}"/>
    <cellStyle name="Migliaia [0] 42 3 2" xfId="4728" xr:uid="{696D1FC6-30FB-467D-8B71-520889BD61B5}"/>
    <cellStyle name="Migliaia [0] 42 3 3" xfId="5973" xr:uid="{A96B4E05-20C8-4032-91EE-28751DFA68A4}"/>
    <cellStyle name="Migliaia [0] 42 3 4" xfId="3002" xr:uid="{02B3BC19-6DDB-44CE-AF1F-AC842437B619}"/>
    <cellStyle name="Migliaia [0] 42 4" xfId="3003" xr:uid="{F438F24B-7286-4D1B-8C96-AA219D571AAD}"/>
    <cellStyle name="Migliaia [0] 42 4 2" xfId="4729" xr:uid="{BE32381E-EC0D-4D5E-A13D-E1BA5652826F}"/>
    <cellStyle name="Migliaia [0] 42 4 3" xfId="5974" xr:uid="{6B019B82-D4CE-4B7C-8023-8B463F23A0F8}"/>
    <cellStyle name="Migliaia [0] 42 5" xfId="4725" xr:uid="{3CCFFD4B-7CFA-4266-837D-AA58461A3511}"/>
    <cellStyle name="Migliaia [0] 42 6" xfId="5971" xr:uid="{591AF490-B474-4EA1-B7E9-016CA8CAE78B}"/>
    <cellStyle name="Migliaia [0] 42 7" xfId="2999" xr:uid="{DD073DBF-94B6-40F8-9F8B-6DC2C0A221BA}"/>
    <cellStyle name="Migliaia [0] 43" xfId="279" xr:uid="{00000000-0005-0000-0000-000069020000}"/>
    <cellStyle name="Migliaia [0] 43 2" xfId="1593" xr:uid="{00000000-0005-0000-0000-00006A020000}"/>
    <cellStyle name="Migliaia [0] 43 2 2" xfId="1594" xr:uid="{00000000-0005-0000-0000-00006B020000}"/>
    <cellStyle name="Migliaia [0] 43 2 2 2" xfId="4732" xr:uid="{BEB666D9-F925-49E6-8B89-6D4F83810EFB}"/>
    <cellStyle name="Migliaia [0] 43 2 2 3" xfId="3006" xr:uid="{F688392F-EE3F-44B0-AA67-A59E0FCD39B0}"/>
    <cellStyle name="Migliaia [0] 43 2 3" xfId="4731" xr:uid="{B6E568B1-B875-49BF-8C7F-FA09D1A0168E}"/>
    <cellStyle name="Migliaia [0] 43 2 4" xfId="5976" xr:uid="{65548E3E-53D7-48C9-8219-BAA27074D99B}"/>
    <cellStyle name="Migliaia [0] 43 2 5" xfId="3005" xr:uid="{EB00C479-0029-4A1F-9E06-F9B859891257}"/>
    <cellStyle name="Migliaia [0] 43 3" xfId="1595" xr:uid="{00000000-0005-0000-0000-00006C020000}"/>
    <cellStyle name="Migliaia [0] 43 3 2" xfId="4733" xr:uid="{FE20A76B-F4B3-4813-9CCD-DEB84E953CCD}"/>
    <cellStyle name="Migliaia [0] 43 3 3" xfId="5977" xr:uid="{347F3CF2-AB1F-41CF-AEF5-29CE902283B7}"/>
    <cellStyle name="Migliaia [0] 43 3 4" xfId="3007" xr:uid="{CC0FD5C5-F2FE-4003-A8D9-B8A5EC46C8EB}"/>
    <cellStyle name="Migliaia [0] 43 4" xfId="3008" xr:uid="{B8ABF366-877C-4F95-9482-95E802883843}"/>
    <cellStyle name="Migliaia [0] 43 4 2" xfId="4734" xr:uid="{F6B7CB94-9F97-4476-906E-59A2FEBD2705}"/>
    <cellStyle name="Migliaia [0] 43 4 3" xfId="5978" xr:uid="{232535AA-35DF-4C54-BF16-83225B56AD1F}"/>
    <cellStyle name="Migliaia [0] 43 5" xfId="4730" xr:uid="{0C08CDA1-9DCC-4C62-A9B3-FC8AE539BC42}"/>
    <cellStyle name="Migliaia [0] 43 6" xfId="5975" xr:uid="{ECE68018-24DA-472B-8C1A-F5C9B8C2710A}"/>
    <cellStyle name="Migliaia [0] 43 7" xfId="3004" xr:uid="{7DABDD17-45ED-4E0D-881D-6B9954C2E143}"/>
    <cellStyle name="Migliaia [0] 44" xfId="280" xr:uid="{00000000-0005-0000-0000-00006D020000}"/>
    <cellStyle name="Migliaia [0] 44 2" xfId="1596" xr:uid="{00000000-0005-0000-0000-00006E020000}"/>
    <cellStyle name="Migliaia [0] 44 2 2" xfId="1597" xr:uid="{00000000-0005-0000-0000-00006F020000}"/>
    <cellStyle name="Migliaia [0] 44 2 2 2" xfId="4737" xr:uid="{2BDA5DCA-F418-4067-9D65-90484E2680E4}"/>
    <cellStyle name="Migliaia [0] 44 2 2 3" xfId="3011" xr:uid="{DDC972D2-1B48-41A1-9A39-5F08BF63BA1F}"/>
    <cellStyle name="Migliaia [0] 44 2 3" xfId="4736" xr:uid="{806605C9-7B7D-4356-A835-E15FC738A0B4}"/>
    <cellStyle name="Migliaia [0] 44 2 4" xfId="5980" xr:uid="{59EFC19B-CFF2-4E5A-A432-D3A8417E2135}"/>
    <cellStyle name="Migliaia [0] 44 2 5" xfId="3010" xr:uid="{95E04E5C-BB5B-46D8-BFC4-80C69A9DAE5C}"/>
    <cellStyle name="Migliaia [0] 44 3" xfId="1598" xr:uid="{00000000-0005-0000-0000-000070020000}"/>
    <cellStyle name="Migliaia [0] 44 3 2" xfId="4738" xr:uid="{C1300508-25CB-4478-9CE6-A54FC7911D69}"/>
    <cellStyle name="Migliaia [0] 44 3 3" xfId="5981" xr:uid="{B3A9DEA3-055E-49AD-92FE-5ADA617F3188}"/>
    <cellStyle name="Migliaia [0] 44 3 4" xfId="3012" xr:uid="{D094741B-D001-4657-9388-3FB5253DB83C}"/>
    <cellStyle name="Migliaia [0] 44 4" xfId="3013" xr:uid="{ACAA4913-E25F-4F83-A980-F3D8CF6D86FF}"/>
    <cellStyle name="Migliaia [0] 44 4 2" xfId="4739" xr:uid="{A7475D7A-AF49-47FA-9918-C28B93F0340E}"/>
    <cellStyle name="Migliaia [0] 44 4 3" xfId="5982" xr:uid="{EC755725-9159-445B-917E-D2F63FB45E38}"/>
    <cellStyle name="Migliaia [0] 44 5" xfId="4735" xr:uid="{27B32F46-751F-4DDB-B9C0-23C00BD74279}"/>
    <cellStyle name="Migliaia [0] 44 6" xfId="5979" xr:uid="{A93D00CD-7F32-445D-82E0-D4E4A755EB5E}"/>
    <cellStyle name="Migliaia [0] 44 7" xfId="3009" xr:uid="{16EEF622-FDA7-44B6-86E0-CD52C5F4B29E}"/>
    <cellStyle name="Migliaia [0] 45" xfId="281" xr:uid="{00000000-0005-0000-0000-000071020000}"/>
    <cellStyle name="Migliaia [0] 45 2" xfId="1599" xr:uid="{00000000-0005-0000-0000-000072020000}"/>
    <cellStyle name="Migliaia [0] 45 2 2" xfId="1600" xr:uid="{00000000-0005-0000-0000-000073020000}"/>
    <cellStyle name="Migliaia [0] 45 2 2 2" xfId="4742" xr:uid="{2B9BC03F-5C64-42C3-8ADF-E3BF653F5333}"/>
    <cellStyle name="Migliaia [0] 45 2 2 3" xfId="3016" xr:uid="{9D3DBA6E-1AB6-4ADF-880C-265C5DA5BADF}"/>
    <cellStyle name="Migliaia [0] 45 2 3" xfId="4741" xr:uid="{3ED02E97-F2F6-426C-AE69-256D9843C76B}"/>
    <cellStyle name="Migliaia [0] 45 2 4" xfId="5984" xr:uid="{11EACD2A-2469-41AD-87BB-68F5CA71A613}"/>
    <cellStyle name="Migliaia [0] 45 2 5" xfId="3015" xr:uid="{EC87042B-7706-4147-AE6D-DD2FBAA2983C}"/>
    <cellStyle name="Migliaia [0] 45 3" xfId="1601" xr:uid="{00000000-0005-0000-0000-000074020000}"/>
    <cellStyle name="Migliaia [0] 45 3 2" xfId="4743" xr:uid="{ECCAB311-E634-446F-90C5-B34133EB8BEA}"/>
    <cellStyle name="Migliaia [0] 45 3 3" xfId="5985" xr:uid="{8B17E855-9881-45AF-9D2C-B28920935627}"/>
    <cellStyle name="Migliaia [0] 45 3 4" xfId="3017" xr:uid="{65F986BA-FFDA-48F1-9934-EBBB713CA2C5}"/>
    <cellStyle name="Migliaia [0] 45 4" xfId="3018" xr:uid="{217A928D-6633-4DA2-BBB4-0F8F676D0367}"/>
    <cellStyle name="Migliaia [0] 45 4 2" xfId="4744" xr:uid="{6A155E66-6988-4B49-BAAC-F1C10BFCEB13}"/>
    <cellStyle name="Migliaia [0] 45 4 3" xfId="5986" xr:uid="{453D02FA-D640-434B-B9D2-E03C7E7D2FDC}"/>
    <cellStyle name="Migliaia [0] 45 5" xfId="4740" xr:uid="{942CF0F0-8629-4A2C-9782-6A35286B5348}"/>
    <cellStyle name="Migliaia [0] 45 6" xfId="5983" xr:uid="{B906DD77-E567-4C94-8606-463CAB5B59EF}"/>
    <cellStyle name="Migliaia [0] 45 7" xfId="3014" xr:uid="{7AB7EE48-3AC1-4058-A25D-CACB64A61283}"/>
    <cellStyle name="Migliaia [0] 46" xfId="282" xr:uid="{00000000-0005-0000-0000-000075020000}"/>
    <cellStyle name="Migliaia [0] 46 2" xfId="1602" xr:uid="{00000000-0005-0000-0000-000076020000}"/>
    <cellStyle name="Migliaia [0] 46 2 2" xfId="1603" xr:uid="{00000000-0005-0000-0000-000077020000}"/>
    <cellStyle name="Migliaia [0] 46 2 2 2" xfId="4747" xr:uid="{2DE913F7-AEAA-4682-9239-6B1CC7DC555B}"/>
    <cellStyle name="Migliaia [0] 46 2 2 3" xfId="3021" xr:uid="{EDB0151E-E63E-4166-A4AC-50D7308FDC18}"/>
    <cellStyle name="Migliaia [0] 46 2 3" xfId="4746" xr:uid="{448BABE9-8069-4D39-8ED6-6557A147D58C}"/>
    <cellStyle name="Migliaia [0] 46 2 4" xfId="5988" xr:uid="{F06252DA-9D41-4DF4-ABAA-F28FE002D131}"/>
    <cellStyle name="Migliaia [0] 46 2 5" xfId="3020" xr:uid="{8B3711D1-AB3C-4313-96B9-4714E95D6B03}"/>
    <cellStyle name="Migliaia [0] 46 3" xfId="1604" xr:uid="{00000000-0005-0000-0000-000078020000}"/>
    <cellStyle name="Migliaia [0] 46 3 2" xfId="4748" xr:uid="{F0413EF7-58ED-4C4C-9992-554D6003141B}"/>
    <cellStyle name="Migliaia [0] 46 3 3" xfId="5989" xr:uid="{6EF2ABA0-ADC2-4889-9CFA-164F38011A96}"/>
    <cellStyle name="Migliaia [0] 46 3 4" xfId="3022" xr:uid="{312F8264-ADD4-4B85-B962-D8ABF23DE534}"/>
    <cellStyle name="Migliaia [0] 46 4" xfId="3023" xr:uid="{D286E590-F3DA-4F1C-A09E-E5D015321844}"/>
    <cellStyle name="Migliaia [0] 46 4 2" xfId="4749" xr:uid="{878AC833-CE81-49DD-883A-8896BE8C6946}"/>
    <cellStyle name="Migliaia [0] 46 4 3" xfId="5990" xr:uid="{2AB91E66-E5FC-4468-8A39-D2747548EC6F}"/>
    <cellStyle name="Migliaia [0] 46 5" xfId="4745" xr:uid="{7117FE0C-FBA8-400F-A40A-C7D3817AA449}"/>
    <cellStyle name="Migliaia [0] 46 6" xfId="5987" xr:uid="{A3F47528-F144-49B8-AED4-31A61EBC8513}"/>
    <cellStyle name="Migliaia [0] 46 7" xfId="3019" xr:uid="{6FA81226-43D9-4F0A-BA5D-B4B3CB79A803}"/>
    <cellStyle name="Migliaia [0] 47" xfId="283" xr:uid="{00000000-0005-0000-0000-000079020000}"/>
    <cellStyle name="Migliaia [0] 47 2" xfId="1605" xr:uid="{00000000-0005-0000-0000-00007A020000}"/>
    <cellStyle name="Migliaia [0] 47 2 2" xfId="1606" xr:uid="{00000000-0005-0000-0000-00007B020000}"/>
    <cellStyle name="Migliaia [0] 47 2 2 2" xfId="4752" xr:uid="{E0EABA7C-02EF-4888-BC8E-4DAEA00F8F37}"/>
    <cellStyle name="Migliaia [0] 47 2 2 3" xfId="3026" xr:uid="{4FDD2D7B-084B-462D-B7A3-B8CF1EE0FBEF}"/>
    <cellStyle name="Migliaia [0] 47 2 3" xfId="4751" xr:uid="{AE0A290A-BF37-4B09-A0A6-25FC4791A790}"/>
    <cellStyle name="Migliaia [0] 47 2 4" xfId="5992" xr:uid="{1C845458-BB1C-449A-87AC-17DCF1B3390D}"/>
    <cellStyle name="Migliaia [0] 47 2 5" xfId="3025" xr:uid="{4B03B115-80AF-4B0F-BCC1-4FFB4C5097D2}"/>
    <cellStyle name="Migliaia [0] 47 3" xfId="1607" xr:uid="{00000000-0005-0000-0000-00007C020000}"/>
    <cellStyle name="Migliaia [0] 47 3 2" xfId="4753" xr:uid="{07271A6C-2904-4FDA-9172-6A0D74B425DF}"/>
    <cellStyle name="Migliaia [0] 47 3 3" xfId="5993" xr:uid="{A67F32A4-5200-4BEE-8814-F20E0EE42923}"/>
    <cellStyle name="Migliaia [0] 47 3 4" xfId="3027" xr:uid="{34E74E3A-52C6-41D6-8532-D0B7C45654AF}"/>
    <cellStyle name="Migliaia [0] 47 4" xfId="3028" xr:uid="{A08CCED2-52D7-4820-836D-AE8E49F843F0}"/>
    <cellStyle name="Migliaia [0] 47 4 2" xfId="4754" xr:uid="{D19F98DE-0F5E-494A-AA0D-177E05CF59ED}"/>
    <cellStyle name="Migliaia [0] 47 4 3" xfId="5994" xr:uid="{93BE1A5A-F66D-4D20-8E23-2D721F5F64A4}"/>
    <cellStyle name="Migliaia [0] 47 5" xfId="4750" xr:uid="{8B81B289-0240-4755-9675-8E647636CDEC}"/>
    <cellStyle name="Migliaia [0] 47 6" xfId="5991" xr:uid="{6C6DCC2F-22CE-4209-B0C5-246C9D88910A}"/>
    <cellStyle name="Migliaia [0] 47 7" xfId="3024" xr:uid="{FD9ED4E9-F80E-48AE-BE88-23719607ED4A}"/>
    <cellStyle name="Migliaia [0] 48" xfId="284" xr:uid="{00000000-0005-0000-0000-00007D020000}"/>
    <cellStyle name="Migliaia [0] 48 2" xfId="1608" xr:uid="{00000000-0005-0000-0000-00007E020000}"/>
    <cellStyle name="Migliaia [0] 48 2 2" xfId="1609" xr:uid="{00000000-0005-0000-0000-00007F020000}"/>
    <cellStyle name="Migliaia [0] 48 2 2 2" xfId="4757" xr:uid="{E21B50A1-F9B5-48B1-A582-797784CCAAFD}"/>
    <cellStyle name="Migliaia [0] 48 2 2 3" xfId="3031" xr:uid="{A26D150C-7E87-4D3D-842D-3630BDD2A056}"/>
    <cellStyle name="Migliaia [0] 48 2 3" xfId="4756" xr:uid="{5CB06C82-91CB-4FDA-9DDC-FD848F1B46B6}"/>
    <cellStyle name="Migliaia [0] 48 2 4" xfId="5996" xr:uid="{4B6B8CD4-5446-4FCE-9AD8-142F75B1CD97}"/>
    <cellStyle name="Migliaia [0] 48 2 5" xfId="3030" xr:uid="{9FF1E0A9-37E8-4AA5-B4A3-AE6B0FF3F938}"/>
    <cellStyle name="Migliaia [0] 48 3" xfId="1610" xr:uid="{00000000-0005-0000-0000-000080020000}"/>
    <cellStyle name="Migliaia [0] 48 3 2" xfId="4758" xr:uid="{1914A914-C0EE-4986-8718-FA74D963126D}"/>
    <cellStyle name="Migliaia [0] 48 3 3" xfId="5997" xr:uid="{F0BBCFDE-49A2-4572-B02A-DBEB5F6DA331}"/>
    <cellStyle name="Migliaia [0] 48 3 4" xfId="3032" xr:uid="{CD1CEB34-8707-44F7-BC78-50FCFB201E79}"/>
    <cellStyle name="Migliaia [0] 48 4" xfId="3033" xr:uid="{CE6C6FAF-B33C-4A65-8476-6703F9EEC77B}"/>
    <cellStyle name="Migliaia [0] 48 4 2" xfId="4759" xr:uid="{98C9696E-ECF2-49D8-8456-FBCE29D3B987}"/>
    <cellStyle name="Migliaia [0] 48 4 3" xfId="5998" xr:uid="{AB248E03-66B4-4B48-9D97-44F855A2A998}"/>
    <cellStyle name="Migliaia [0] 48 5" xfId="4755" xr:uid="{D8484013-E32B-4F88-8865-0B2A9D89846B}"/>
    <cellStyle name="Migliaia [0] 48 6" xfId="5995" xr:uid="{261F27A2-BAB4-441B-8BC6-8058A415DEF8}"/>
    <cellStyle name="Migliaia [0] 48 7" xfId="3029" xr:uid="{3D3AB772-CF43-49D1-A55A-921BE16FE5F8}"/>
    <cellStyle name="Migliaia [0] 49" xfId="285" xr:uid="{00000000-0005-0000-0000-000081020000}"/>
    <cellStyle name="Migliaia [0] 49 2" xfId="1611" xr:uid="{00000000-0005-0000-0000-000082020000}"/>
    <cellStyle name="Migliaia [0] 49 2 2" xfId="1612" xr:uid="{00000000-0005-0000-0000-000083020000}"/>
    <cellStyle name="Migliaia [0] 49 2 2 2" xfId="4762" xr:uid="{3C6003DF-869B-461D-8753-1ED04AB8B518}"/>
    <cellStyle name="Migliaia [0] 49 2 2 3" xfId="3036" xr:uid="{32268093-270A-4804-95A9-BCFE2C33FA8E}"/>
    <cellStyle name="Migliaia [0] 49 2 3" xfId="4761" xr:uid="{BD7F406C-7365-4FE1-B0B4-4408BD27A330}"/>
    <cellStyle name="Migliaia [0] 49 2 4" xfId="6000" xr:uid="{EAEFD5DB-C7A2-41F1-B91F-CCFD2EDFF54E}"/>
    <cellStyle name="Migliaia [0] 49 2 5" xfId="3035" xr:uid="{CED74A81-A9F8-48D5-B306-ABF2B2DF4910}"/>
    <cellStyle name="Migliaia [0] 49 3" xfId="1613" xr:uid="{00000000-0005-0000-0000-000084020000}"/>
    <cellStyle name="Migliaia [0] 49 3 2" xfId="4763" xr:uid="{E5CD9F26-ED87-4977-A337-DECA20E1124C}"/>
    <cellStyle name="Migliaia [0] 49 3 3" xfId="6001" xr:uid="{09D198C6-D025-496F-86F7-2A708A4ECB65}"/>
    <cellStyle name="Migliaia [0] 49 3 4" xfId="3037" xr:uid="{52D3F223-2A44-4E42-AC74-467957D02FEB}"/>
    <cellStyle name="Migliaia [0] 49 4" xfId="3038" xr:uid="{D065ECA2-E2B6-446C-86B2-01B5FFA9DBB0}"/>
    <cellStyle name="Migliaia [0] 49 4 2" xfId="4764" xr:uid="{D1DA396D-20DC-44EC-80AA-45BEE6402603}"/>
    <cellStyle name="Migliaia [0] 49 4 3" xfId="6002" xr:uid="{0CE3157A-F034-4BFC-BA7A-5E0A8BFA7ECA}"/>
    <cellStyle name="Migliaia [0] 49 5" xfId="4760" xr:uid="{39BA03DC-FEC9-44F1-AB6C-527FDA81A51D}"/>
    <cellStyle name="Migliaia [0] 49 6" xfId="5999" xr:uid="{B3E44F3A-CF40-4017-9D3A-7297D8BE74F0}"/>
    <cellStyle name="Migliaia [0] 49 7" xfId="3034" xr:uid="{9C199CD1-15E7-4FFD-BF5D-716F687F1BEA}"/>
    <cellStyle name="Migliaia [0] 5" xfId="286" xr:uid="{00000000-0005-0000-0000-000085020000}"/>
    <cellStyle name="Migliaia [0] 5 2" xfId="1614" xr:uid="{00000000-0005-0000-0000-000086020000}"/>
    <cellStyle name="Migliaia [0] 5 2 2" xfId="1615" xr:uid="{00000000-0005-0000-0000-000087020000}"/>
    <cellStyle name="Migliaia [0] 5 2 2 2" xfId="4767" xr:uid="{69ADC4E3-B026-4351-82BE-096B2247E0AB}"/>
    <cellStyle name="Migliaia [0] 5 2 2 3" xfId="3041" xr:uid="{AF19255E-C24E-4158-8FF4-C6C15647A130}"/>
    <cellStyle name="Migliaia [0] 5 2 3" xfId="4766" xr:uid="{AAF02636-24C8-41CE-9119-236991F3296B}"/>
    <cellStyle name="Migliaia [0] 5 2 4" xfId="6004" xr:uid="{81A99985-9F3C-476A-96FF-4A9D149E3EE1}"/>
    <cellStyle name="Migliaia [0] 5 2 5" xfId="3040" xr:uid="{65F3B956-7D7C-45D3-8CE2-1B6DF77BDE2D}"/>
    <cellStyle name="Migliaia [0] 5 3" xfId="1616" xr:uid="{00000000-0005-0000-0000-000088020000}"/>
    <cellStyle name="Migliaia [0] 5 3 2" xfId="4768" xr:uid="{EEA64456-ECD8-45E4-8A53-6E42394FDD0C}"/>
    <cellStyle name="Migliaia [0] 5 3 3" xfId="6005" xr:uid="{67E8C61C-4043-43B8-907F-F5F9B8856E02}"/>
    <cellStyle name="Migliaia [0] 5 3 4" xfId="3042" xr:uid="{17168358-18AF-45FE-921A-42CBE63FB5DA}"/>
    <cellStyle name="Migliaia [0] 5 4" xfId="3043" xr:uid="{EA0C2312-05AA-4F91-865D-92231B8278CA}"/>
    <cellStyle name="Migliaia [0] 5 4 2" xfId="4769" xr:uid="{8AF591E4-31E7-42B5-8345-B85016F1D6C2}"/>
    <cellStyle name="Migliaia [0] 5 4 3" xfId="6006" xr:uid="{9EBF40E5-A356-488A-AEEB-671F944DD992}"/>
    <cellStyle name="Migliaia [0] 5 5" xfId="4765" xr:uid="{3C6DB823-6801-463D-97C9-65D553F44DC7}"/>
    <cellStyle name="Migliaia [0] 5 6" xfId="6003" xr:uid="{28CE114B-9253-431D-BBD6-76D162CCFAAC}"/>
    <cellStyle name="Migliaia [0] 5 7" xfId="3039" xr:uid="{3F0DB9DB-E00E-459B-B0E7-0B35896E61C4}"/>
    <cellStyle name="Migliaia [0] 50" xfId="287" xr:uid="{00000000-0005-0000-0000-000089020000}"/>
    <cellStyle name="Migliaia [0] 50 2" xfId="1617" xr:uid="{00000000-0005-0000-0000-00008A020000}"/>
    <cellStyle name="Migliaia [0] 50 2 2" xfId="1618" xr:uid="{00000000-0005-0000-0000-00008B020000}"/>
    <cellStyle name="Migliaia [0] 50 2 2 2" xfId="4772" xr:uid="{1B09896B-A258-412A-A7DD-E7DB6D81541A}"/>
    <cellStyle name="Migliaia [0] 50 2 2 3" xfId="3046" xr:uid="{6501384D-D0CB-4354-B932-812AEBBC6B88}"/>
    <cellStyle name="Migliaia [0] 50 2 3" xfId="4771" xr:uid="{C77DDA14-7259-4990-B0D4-73A23DBB14B7}"/>
    <cellStyle name="Migliaia [0] 50 2 4" xfId="6008" xr:uid="{8EF7FCB7-F223-4BF7-9277-E9A53A29E859}"/>
    <cellStyle name="Migliaia [0] 50 2 5" xfId="3045" xr:uid="{EED3D59E-5F89-4CC4-966C-01CB231358D6}"/>
    <cellStyle name="Migliaia [0] 50 3" xfId="1619" xr:uid="{00000000-0005-0000-0000-00008C020000}"/>
    <cellStyle name="Migliaia [0] 50 3 2" xfId="4773" xr:uid="{7A24BE6B-A743-4370-9A0C-C46050A87090}"/>
    <cellStyle name="Migliaia [0] 50 3 3" xfId="6009" xr:uid="{D98FA3CE-2541-4421-A400-D0232D7559F7}"/>
    <cellStyle name="Migliaia [0] 50 3 4" xfId="3047" xr:uid="{D9EC0509-567B-4F93-BD4C-9AFF436746F4}"/>
    <cellStyle name="Migliaia [0] 50 4" xfId="3048" xr:uid="{CAE89269-BD28-4093-9E2F-D1E40A8F8202}"/>
    <cellStyle name="Migliaia [0] 50 4 2" xfId="4774" xr:uid="{70405372-B612-46CC-8641-9F5DBCB4E0F1}"/>
    <cellStyle name="Migliaia [0] 50 4 3" xfId="6010" xr:uid="{674A426F-A4AA-4F46-960C-5D4843A32D7E}"/>
    <cellStyle name="Migliaia [0] 50 5" xfId="4770" xr:uid="{1362F498-5A50-4EAD-9FC1-6C4B94FEF5BE}"/>
    <cellStyle name="Migliaia [0] 50 6" xfId="6007" xr:uid="{B4B0825C-A5DA-473D-8EC6-40CBCAF67322}"/>
    <cellStyle name="Migliaia [0] 50 7" xfId="3044" xr:uid="{E0E10029-BAA8-4245-B483-84A5D72059E2}"/>
    <cellStyle name="Migliaia [0] 51" xfId="288" xr:uid="{00000000-0005-0000-0000-00008D020000}"/>
    <cellStyle name="Migliaia [0] 51 2" xfId="1620" xr:uid="{00000000-0005-0000-0000-00008E020000}"/>
    <cellStyle name="Migliaia [0] 51 2 2" xfId="1621" xr:uid="{00000000-0005-0000-0000-00008F020000}"/>
    <cellStyle name="Migliaia [0] 51 2 2 2" xfId="4777" xr:uid="{D057B8B0-6A27-4052-A826-3ED5C60BF2FE}"/>
    <cellStyle name="Migliaia [0] 51 2 2 3" xfId="3051" xr:uid="{5771EA5A-8C39-42DB-8645-129826F8F624}"/>
    <cellStyle name="Migliaia [0] 51 2 3" xfId="4776" xr:uid="{2B4E65B6-8FF6-4A35-A3E7-5BF79BAFD099}"/>
    <cellStyle name="Migliaia [0] 51 2 4" xfId="6012" xr:uid="{8E85BB4A-456D-4332-AEF4-BD3537B3F358}"/>
    <cellStyle name="Migliaia [0] 51 2 5" xfId="3050" xr:uid="{A3A741F7-3D2D-4092-BB8E-EBB5E98B0FA6}"/>
    <cellStyle name="Migliaia [0] 51 3" xfId="1622" xr:uid="{00000000-0005-0000-0000-000090020000}"/>
    <cellStyle name="Migliaia [0] 51 3 2" xfId="4778" xr:uid="{59AFADEC-D985-494A-AC3B-B927EC602DF8}"/>
    <cellStyle name="Migliaia [0] 51 3 3" xfId="6013" xr:uid="{43A95878-3908-4303-BA22-168A8EAE614C}"/>
    <cellStyle name="Migliaia [0] 51 3 4" xfId="3052" xr:uid="{EE70C815-DD67-445E-8CD2-670D8D2CBD85}"/>
    <cellStyle name="Migliaia [0] 51 4" xfId="3053" xr:uid="{CC7E76CC-99AA-4139-AB8A-1F39706E4C26}"/>
    <cellStyle name="Migliaia [0] 51 4 2" xfId="4779" xr:uid="{233A750B-33EC-40F0-BBE5-797030766A56}"/>
    <cellStyle name="Migliaia [0] 51 4 3" xfId="6014" xr:uid="{0F3D1A97-E64A-49BF-82A3-AE10E560097C}"/>
    <cellStyle name="Migliaia [0] 51 5" xfId="4775" xr:uid="{42248D48-CD4C-46EF-9510-257DE98A6F9E}"/>
    <cellStyle name="Migliaia [0] 51 6" xfId="6011" xr:uid="{6DD7CE24-44CB-42E2-A807-FF2C6F89D3D0}"/>
    <cellStyle name="Migliaia [0] 51 7" xfId="3049" xr:uid="{4A28D015-CC96-47E3-B146-54586E08B880}"/>
    <cellStyle name="Migliaia [0] 52" xfId="289" xr:uid="{00000000-0005-0000-0000-000091020000}"/>
    <cellStyle name="Migliaia [0] 52 2" xfId="1623" xr:uid="{00000000-0005-0000-0000-000092020000}"/>
    <cellStyle name="Migliaia [0] 52 2 2" xfId="1624" xr:uid="{00000000-0005-0000-0000-000093020000}"/>
    <cellStyle name="Migliaia [0] 52 2 2 2" xfId="4782" xr:uid="{5F6F9507-4B46-4DAA-A72B-9B2FECC3A56B}"/>
    <cellStyle name="Migliaia [0] 52 2 2 3" xfId="3056" xr:uid="{A6BEC58A-B439-4B86-B230-5FE5DC12D512}"/>
    <cellStyle name="Migliaia [0] 52 2 3" xfId="4781" xr:uid="{6F7DEC58-B58C-4CAA-A1D8-25A8864451CC}"/>
    <cellStyle name="Migliaia [0] 52 2 4" xfId="6016" xr:uid="{A30B5FE9-AA91-4881-860B-3E88A7275B2F}"/>
    <cellStyle name="Migliaia [0] 52 2 5" xfId="3055" xr:uid="{38A63953-4C32-4A85-AB5C-09DDD2102FDF}"/>
    <cellStyle name="Migliaia [0] 52 3" xfId="1625" xr:uid="{00000000-0005-0000-0000-000094020000}"/>
    <cellStyle name="Migliaia [0] 52 3 2" xfId="4783" xr:uid="{BDC2EB66-46E4-4F6D-9082-7368C569F5DB}"/>
    <cellStyle name="Migliaia [0] 52 3 3" xfId="6017" xr:uid="{2E580CF6-88A9-4019-98C1-7542B28963C3}"/>
    <cellStyle name="Migliaia [0] 52 3 4" xfId="3057" xr:uid="{8165A51B-2992-41F2-B079-B1C4CAAE80F4}"/>
    <cellStyle name="Migliaia [0] 52 4" xfId="3058" xr:uid="{B2498148-7299-45FA-9073-DAAC32142C6C}"/>
    <cellStyle name="Migliaia [0] 52 4 2" xfId="4784" xr:uid="{1831141C-B017-4F27-8A31-A5E223483273}"/>
    <cellStyle name="Migliaia [0] 52 4 3" xfId="6018" xr:uid="{8C94118D-6A8A-4A4D-AF09-04FAD040C927}"/>
    <cellStyle name="Migliaia [0] 52 5" xfId="4780" xr:uid="{C8C9579A-C7B0-4236-A5E1-6DBCB79F7A78}"/>
    <cellStyle name="Migliaia [0] 52 6" xfId="6015" xr:uid="{7665F33B-1CEF-4D5F-B08D-32E36C47DDC8}"/>
    <cellStyle name="Migliaia [0] 52 7" xfId="3054" xr:uid="{37DC50DF-5C3C-4046-A602-543B1D222D34}"/>
    <cellStyle name="Migliaia [0] 53" xfId="290" xr:uid="{00000000-0005-0000-0000-000095020000}"/>
    <cellStyle name="Migliaia [0] 53 2" xfId="1626" xr:uid="{00000000-0005-0000-0000-000096020000}"/>
    <cellStyle name="Migliaia [0] 53 2 2" xfId="1627" xr:uid="{00000000-0005-0000-0000-000097020000}"/>
    <cellStyle name="Migliaia [0] 53 2 2 2" xfId="4787" xr:uid="{316087C8-DD39-4656-838C-F5E8D129AB49}"/>
    <cellStyle name="Migliaia [0] 53 2 2 3" xfId="3061" xr:uid="{8CF465D2-6F86-4BE8-B656-25F2BAE81AEC}"/>
    <cellStyle name="Migliaia [0] 53 2 3" xfId="4786" xr:uid="{52CCD22F-2397-414D-A008-AF8DE7223F9A}"/>
    <cellStyle name="Migliaia [0] 53 2 4" xfId="6020" xr:uid="{265A2FC2-65CD-43A1-BC2E-59755C673984}"/>
    <cellStyle name="Migliaia [0] 53 2 5" xfId="3060" xr:uid="{3AB1EE8F-EEE8-4D3A-9991-B66419621C3B}"/>
    <cellStyle name="Migliaia [0] 53 3" xfId="1628" xr:uid="{00000000-0005-0000-0000-000098020000}"/>
    <cellStyle name="Migliaia [0] 53 3 2" xfId="4788" xr:uid="{86E21B47-AC8B-4AF4-A9FF-338B02DE17DA}"/>
    <cellStyle name="Migliaia [0] 53 3 3" xfId="6021" xr:uid="{5E8E526E-77C7-4135-87CA-203D5A40E355}"/>
    <cellStyle name="Migliaia [0] 53 3 4" xfId="3062" xr:uid="{21E48DE2-A40A-4B88-B9F5-D01C35C8AEA6}"/>
    <cellStyle name="Migliaia [0] 53 4" xfId="3063" xr:uid="{CB5EFF73-451C-4B4B-9D75-5D534B37EEAA}"/>
    <cellStyle name="Migliaia [0] 53 4 2" xfId="4789" xr:uid="{C9A8684B-13EB-4703-A62D-4A361CFB5639}"/>
    <cellStyle name="Migliaia [0] 53 4 3" xfId="6022" xr:uid="{EC04CCD8-DF98-4924-8969-4D0946570BAD}"/>
    <cellStyle name="Migliaia [0] 53 5" xfId="4785" xr:uid="{D3A35F88-C82B-433A-94C0-6CA780A2FDA8}"/>
    <cellStyle name="Migliaia [0] 53 6" xfId="6019" xr:uid="{C60CEE32-BB38-4B9D-9B58-907D432916DC}"/>
    <cellStyle name="Migliaia [0] 53 7" xfId="3059" xr:uid="{45D240B8-8F67-49BD-8A4F-90257045FAFA}"/>
    <cellStyle name="Migliaia [0] 54" xfId="291" xr:uid="{00000000-0005-0000-0000-000099020000}"/>
    <cellStyle name="Migliaia [0] 54 2" xfId="1629" xr:uid="{00000000-0005-0000-0000-00009A020000}"/>
    <cellStyle name="Migliaia [0] 54 2 2" xfId="1630" xr:uid="{00000000-0005-0000-0000-00009B020000}"/>
    <cellStyle name="Migliaia [0] 54 2 2 2" xfId="4792" xr:uid="{114F6748-BE84-419C-B17C-553AF166F672}"/>
    <cellStyle name="Migliaia [0] 54 2 2 3" xfId="3066" xr:uid="{FC73AD0A-9DC6-47B1-9A14-F6044BED51A0}"/>
    <cellStyle name="Migliaia [0] 54 2 3" xfId="4791" xr:uid="{F4FB53CB-1F1F-40B9-A88D-929B8DE091F1}"/>
    <cellStyle name="Migliaia [0] 54 2 4" xfId="6024" xr:uid="{DD369C1A-8FCB-443C-9A84-B2F92A14B8C5}"/>
    <cellStyle name="Migliaia [0] 54 2 5" xfId="3065" xr:uid="{34B2E2B9-9190-4F3D-9835-7EDC5219BB10}"/>
    <cellStyle name="Migliaia [0] 54 3" xfId="1631" xr:uid="{00000000-0005-0000-0000-00009C020000}"/>
    <cellStyle name="Migliaia [0] 54 3 2" xfId="4793" xr:uid="{79657E01-1E47-410E-B0BE-B436B89CB00E}"/>
    <cellStyle name="Migliaia [0] 54 3 3" xfId="6025" xr:uid="{D58E503D-AFC4-4434-B549-2FB18BF4012D}"/>
    <cellStyle name="Migliaia [0] 54 3 4" xfId="3067" xr:uid="{39BC87CC-51BF-441E-A4B9-4ED72DF7966A}"/>
    <cellStyle name="Migliaia [0] 54 4" xfId="3068" xr:uid="{61DE0B87-E9F6-4FF9-9E1B-A605C81E72A6}"/>
    <cellStyle name="Migliaia [0] 54 4 2" xfId="4794" xr:uid="{09EE1087-4741-4BAF-9268-F67AE36BC563}"/>
    <cellStyle name="Migliaia [0] 54 4 3" xfId="6026" xr:uid="{A52AF561-328C-4B27-AEA8-A3658BC4099C}"/>
    <cellStyle name="Migliaia [0] 54 5" xfId="4790" xr:uid="{3A46AD77-BC3C-49BD-AF16-95C600A9DCE0}"/>
    <cellStyle name="Migliaia [0] 54 6" xfId="6023" xr:uid="{7B799D0F-88BE-441F-9654-36EFF451D92A}"/>
    <cellStyle name="Migliaia [0] 54 7" xfId="3064" xr:uid="{37B45DBE-00BD-43F3-B428-A7DC649A027E}"/>
    <cellStyle name="Migliaia [0] 55" xfId="292" xr:uid="{00000000-0005-0000-0000-00009D020000}"/>
    <cellStyle name="Migliaia [0] 55 2" xfId="1632" xr:uid="{00000000-0005-0000-0000-00009E020000}"/>
    <cellStyle name="Migliaia [0] 55 2 2" xfId="1633" xr:uid="{00000000-0005-0000-0000-00009F020000}"/>
    <cellStyle name="Migliaia [0] 55 2 2 2" xfId="4797" xr:uid="{BFE43E66-7FB7-46EC-A49A-89D14BFC2C6E}"/>
    <cellStyle name="Migliaia [0] 55 2 2 3" xfId="3071" xr:uid="{3E7D282B-A20A-442F-832F-47838B302013}"/>
    <cellStyle name="Migliaia [0] 55 2 3" xfId="4796" xr:uid="{84C0092C-7441-4F8A-9269-0AD44C246B4E}"/>
    <cellStyle name="Migliaia [0] 55 2 4" xfId="6028" xr:uid="{D467B8C5-D001-4F40-B1D1-DA6912AA2941}"/>
    <cellStyle name="Migliaia [0] 55 2 5" xfId="3070" xr:uid="{4C250386-9609-48B5-A067-D65B9C35E1FA}"/>
    <cellStyle name="Migliaia [0] 55 3" xfId="1634" xr:uid="{00000000-0005-0000-0000-0000A0020000}"/>
    <cellStyle name="Migliaia [0] 55 3 2" xfId="4798" xr:uid="{9A159581-4814-4B47-8AE6-D8DF7B45E838}"/>
    <cellStyle name="Migliaia [0] 55 3 3" xfId="6029" xr:uid="{47DC5F4A-B314-4732-BEE8-76C710FF9B70}"/>
    <cellStyle name="Migliaia [0] 55 3 4" xfId="3072" xr:uid="{2331F957-0EBA-4C06-B16C-2AAC73AAE6FE}"/>
    <cellStyle name="Migliaia [0] 55 4" xfId="3073" xr:uid="{04C9F5AA-9885-4D04-93F8-1D79B8CFA665}"/>
    <cellStyle name="Migliaia [0] 55 4 2" xfId="4799" xr:uid="{E91482C7-31B0-45CE-B034-D2D681E127E6}"/>
    <cellStyle name="Migliaia [0] 55 4 3" xfId="6030" xr:uid="{2DB7BE47-676B-4576-BFE9-F1D088692DA8}"/>
    <cellStyle name="Migliaia [0] 55 5" xfId="4795" xr:uid="{1FB84817-2C66-4069-B9B9-D3CA52F84505}"/>
    <cellStyle name="Migliaia [0] 55 6" xfId="6027" xr:uid="{97DF3CA0-740A-4BB4-B6AA-8286821F3E9D}"/>
    <cellStyle name="Migliaia [0] 55 7" xfId="3069" xr:uid="{640039D4-44CD-486D-9E5B-88C6D27EB6FD}"/>
    <cellStyle name="Migliaia [0] 56" xfId="293" xr:uid="{00000000-0005-0000-0000-0000A1020000}"/>
    <cellStyle name="Migliaia [0] 56 2" xfId="1635" xr:uid="{00000000-0005-0000-0000-0000A2020000}"/>
    <cellStyle name="Migliaia [0] 56 2 2" xfId="1636" xr:uid="{00000000-0005-0000-0000-0000A3020000}"/>
    <cellStyle name="Migliaia [0] 56 2 2 2" xfId="4802" xr:uid="{AD020D14-894C-4083-BFC7-86D1DA4C5BF4}"/>
    <cellStyle name="Migliaia [0] 56 2 2 3" xfId="3076" xr:uid="{ED7E2A12-86EA-493B-9B24-D25FB970958A}"/>
    <cellStyle name="Migliaia [0] 56 2 3" xfId="4801" xr:uid="{0BECB78D-8A69-4675-87D2-29487D49AE10}"/>
    <cellStyle name="Migliaia [0] 56 2 4" xfId="6032" xr:uid="{9FC27219-0FFA-4845-8B98-CCD22747FE4E}"/>
    <cellStyle name="Migliaia [0] 56 2 5" xfId="3075" xr:uid="{70BB7426-E453-4F53-B893-A1FCA6BE7167}"/>
    <cellStyle name="Migliaia [0] 56 3" xfId="1637" xr:uid="{00000000-0005-0000-0000-0000A4020000}"/>
    <cellStyle name="Migliaia [0] 56 3 2" xfId="4803" xr:uid="{6A029718-D782-45EB-82F2-892452A3A8B7}"/>
    <cellStyle name="Migliaia [0] 56 3 3" xfId="6033" xr:uid="{50B662D2-3531-4E7A-8CDF-E200654BF44F}"/>
    <cellStyle name="Migliaia [0] 56 3 4" xfId="3077" xr:uid="{8D716C5B-1195-488D-AD59-C7AA64FD2993}"/>
    <cellStyle name="Migliaia [0] 56 4" xfId="3078" xr:uid="{A8BF5B66-CB83-4980-8DC5-A239E5F88147}"/>
    <cellStyle name="Migliaia [0] 56 4 2" xfId="4804" xr:uid="{904ED14C-6FD4-4260-854B-6C8E1FCB5C73}"/>
    <cellStyle name="Migliaia [0] 56 4 3" xfId="6034" xr:uid="{827AA4E7-B042-4911-97F8-213F987E80F5}"/>
    <cellStyle name="Migliaia [0] 56 5" xfId="4800" xr:uid="{4ADB6B4B-1699-47F6-B319-530865D8AB5A}"/>
    <cellStyle name="Migliaia [0] 56 6" xfId="6031" xr:uid="{3637DAC5-A674-4909-9BB2-EF30B1F50CEB}"/>
    <cellStyle name="Migliaia [0] 56 7" xfId="3074" xr:uid="{B4A479B9-8C6E-451C-9DFE-A1D74A2E20A1}"/>
    <cellStyle name="Migliaia [0] 57" xfId="294" xr:uid="{00000000-0005-0000-0000-0000A5020000}"/>
    <cellStyle name="Migliaia [0] 57 2" xfId="1638" xr:uid="{00000000-0005-0000-0000-0000A6020000}"/>
    <cellStyle name="Migliaia [0] 57 2 2" xfId="1639" xr:uid="{00000000-0005-0000-0000-0000A7020000}"/>
    <cellStyle name="Migliaia [0] 57 2 2 2" xfId="4807" xr:uid="{BCCBF600-990C-4B36-B3D0-FA136E4272E4}"/>
    <cellStyle name="Migliaia [0] 57 2 2 3" xfId="3081" xr:uid="{907FFE9F-6FCA-4ED8-8407-2CDF41CF0B12}"/>
    <cellStyle name="Migliaia [0] 57 2 3" xfId="4806" xr:uid="{1B769285-B18C-4CF7-8A40-ACBBCCD9AF7C}"/>
    <cellStyle name="Migliaia [0] 57 2 4" xfId="6036" xr:uid="{C7C5C9FE-0F1D-4187-952B-7970CC7030B0}"/>
    <cellStyle name="Migliaia [0] 57 2 5" xfId="3080" xr:uid="{E6681FF5-925E-4399-887A-093A7484D249}"/>
    <cellStyle name="Migliaia [0] 57 3" xfId="1640" xr:uid="{00000000-0005-0000-0000-0000A8020000}"/>
    <cellStyle name="Migliaia [0] 57 3 2" xfId="4808" xr:uid="{46460498-71DB-43A4-A232-3013A84AC5AE}"/>
    <cellStyle name="Migliaia [0] 57 3 3" xfId="6037" xr:uid="{9884EB31-2CF3-4F3C-8E48-ABA0336B62C0}"/>
    <cellStyle name="Migliaia [0] 57 3 4" xfId="3082" xr:uid="{FA3DA1C4-F236-442B-952B-9F63C7EE7F59}"/>
    <cellStyle name="Migliaia [0] 57 4" xfId="3083" xr:uid="{652C5535-FB99-4133-A7FC-6C75DED114FE}"/>
    <cellStyle name="Migliaia [0] 57 4 2" xfId="4809" xr:uid="{B1984610-FD6E-44BE-9B0F-DA13F6E70060}"/>
    <cellStyle name="Migliaia [0] 57 4 3" xfId="6038" xr:uid="{37021624-C8C4-4FF8-BA1E-B1377B32593F}"/>
    <cellStyle name="Migliaia [0] 57 5" xfId="4805" xr:uid="{9CA9186F-1D48-4469-92E4-E90142B6D1E9}"/>
    <cellStyle name="Migliaia [0] 57 6" xfId="6035" xr:uid="{3D7EFBEC-E2B2-4B75-965D-BB75CE03351F}"/>
    <cellStyle name="Migliaia [0] 57 7" xfId="3079" xr:uid="{0B26BB52-6D74-4D2F-A2E6-3EEB3BD45DB3}"/>
    <cellStyle name="Migliaia [0] 58" xfId="295" xr:uid="{00000000-0005-0000-0000-0000A9020000}"/>
    <cellStyle name="Migliaia [0] 58 2" xfId="1641" xr:uid="{00000000-0005-0000-0000-0000AA020000}"/>
    <cellStyle name="Migliaia [0] 58 2 2" xfId="1642" xr:uid="{00000000-0005-0000-0000-0000AB020000}"/>
    <cellStyle name="Migliaia [0] 58 2 2 2" xfId="4812" xr:uid="{776D53D5-5899-429A-80CA-3198C0EC423C}"/>
    <cellStyle name="Migliaia [0] 58 2 2 3" xfId="3086" xr:uid="{C86D34DD-E3DD-4B79-914A-659786E0BE4F}"/>
    <cellStyle name="Migliaia [0] 58 2 3" xfId="4811" xr:uid="{54968533-7AE0-45E8-ACC9-C00AC9607A28}"/>
    <cellStyle name="Migliaia [0] 58 2 4" xfId="6040" xr:uid="{7BE0BBDD-9E08-47D4-8BA7-F6678B510173}"/>
    <cellStyle name="Migliaia [0] 58 2 5" xfId="3085" xr:uid="{CD93F50D-1EBF-4731-902C-A51E31D60490}"/>
    <cellStyle name="Migliaia [0] 58 3" xfId="1643" xr:uid="{00000000-0005-0000-0000-0000AC020000}"/>
    <cellStyle name="Migliaia [0] 58 3 2" xfId="4813" xr:uid="{C2CDBF34-AD80-4D88-B1DE-BD295D5F52B5}"/>
    <cellStyle name="Migliaia [0] 58 3 3" xfId="6041" xr:uid="{B1319965-46CD-44F6-8740-9C7B3E4E2FF8}"/>
    <cellStyle name="Migliaia [0] 58 3 4" xfId="3087" xr:uid="{08F753D8-5EC7-4895-B287-CD3C065F4E48}"/>
    <cellStyle name="Migliaia [0] 58 4" xfId="3088" xr:uid="{D02DA499-F2E2-48F0-B72C-7C407089A775}"/>
    <cellStyle name="Migliaia [0] 58 4 2" xfId="4814" xr:uid="{F0A8FA95-3E7D-4082-8412-1637A1B8E477}"/>
    <cellStyle name="Migliaia [0] 58 4 3" xfId="6042" xr:uid="{95E10B2C-64C9-41AC-B8F8-200AE4D3AEFA}"/>
    <cellStyle name="Migliaia [0] 58 5" xfId="4810" xr:uid="{3149DE35-87CA-4936-9630-FEE6A384A6D4}"/>
    <cellStyle name="Migliaia [0] 58 6" xfId="6039" xr:uid="{6800754F-0A58-4557-8046-3705C745A255}"/>
    <cellStyle name="Migliaia [0] 58 7" xfId="3084" xr:uid="{DA1B74D2-0738-46AA-99BE-FB9910D24126}"/>
    <cellStyle name="Migliaia [0] 59" xfId="296" xr:uid="{00000000-0005-0000-0000-0000AD020000}"/>
    <cellStyle name="Migliaia [0] 59 2" xfId="1644" xr:uid="{00000000-0005-0000-0000-0000AE020000}"/>
    <cellStyle name="Migliaia [0] 59 2 2" xfId="1645" xr:uid="{00000000-0005-0000-0000-0000AF020000}"/>
    <cellStyle name="Migliaia [0] 59 2 2 2" xfId="4817" xr:uid="{33C5FD98-19B5-460A-9B32-58149E090107}"/>
    <cellStyle name="Migliaia [0] 59 2 2 3" xfId="3091" xr:uid="{670297E0-5EB0-400A-BC46-1C1307F45750}"/>
    <cellStyle name="Migliaia [0] 59 2 3" xfId="4816" xr:uid="{71F6711F-25E0-42D8-A95F-D229288203FD}"/>
    <cellStyle name="Migliaia [0] 59 2 4" xfId="6044" xr:uid="{BC034600-EB98-412C-ACC9-BFDD02587706}"/>
    <cellStyle name="Migliaia [0] 59 2 5" xfId="3090" xr:uid="{F4B9DAEF-D9A9-4586-A567-BB64EE875908}"/>
    <cellStyle name="Migliaia [0] 59 3" xfId="1646" xr:uid="{00000000-0005-0000-0000-0000B0020000}"/>
    <cellStyle name="Migliaia [0] 59 3 2" xfId="4818" xr:uid="{EB9817E4-1086-4664-B73E-B58E57CA1FBA}"/>
    <cellStyle name="Migliaia [0] 59 3 3" xfId="6045" xr:uid="{B52BFB1A-28E7-417A-8CCF-1E007ADAF3FF}"/>
    <cellStyle name="Migliaia [0] 59 3 4" xfId="3092" xr:uid="{4BDC48B6-5B27-4D1A-AEF8-52FAA4229BE3}"/>
    <cellStyle name="Migliaia [0] 59 4" xfId="3093" xr:uid="{74607B56-75B4-41D7-8722-27D5621E1CAE}"/>
    <cellStyle name="Migliaia [0] 59 4 2" xfId="4819" xr:uid="{80C400A6-B90A-4204-81B7-730CEFEC2390}"/>
    <cellStyle name="Migliaia [0] 59 4 3" xfId="6046" xr:uid="{20CC54EB-6DED-476B-A13A-33EE0E996F19}"/>
    <cellStyle name="Migliaia [0] 59 5" xfId="4815" xr:uid="{E3ACD634-6BB8-4A42-A021-E00918023DEF}"/>
    <cellStyle name="Migliaia [0] 59 6" xfId="6043" xr:uid="{24A8B4F7-5C46-439A-BE01-A146F1C5384A}"/>
    <cellStyle name="Migliaia [0] 59 7" xfId="3089" xr:uid="{0C50AC25-51E0-4A2F-85C2-9FFC90D3ECB4}"/>
    <cellStyle name="Migliaia [0] 6" xfId="297" xr:uid="{00000000-0005-0000-0000-0000B1020000}"/>
    <cellStyle name="Migliaia [0] 6 2" xfId="1647" xr:uid="{00000000-0005-0000-0000-0000B2020000}"/>
    <cellStyle name="Migliaia [0] 6 2 2" xfId="1648" xr:uid="{00000000-0005-0000-0000-0000B3020000}"/>
    <cellStyle name="Migliaia [0] 6 2 2 2" xfId="4822" xr:uid="{FF5AD1E6-BF59-4926-860A-A6AF43F6EDD7}"/>
    <cellStyle name="Migliaia [0] 6 2 2 3" xfId="3096" xr:uid="{88769076-2B97-4D93-A1B7-1FD5D4A4DE80}"/>
    <cellStyle name="Migliaia [0] 6 2 3" xfId="4821" xr:uid="{07119281-F52E-4B61-B6B8-6853C39659D0}"/>
    <cellStyle name="Migliaia [0] 6 2 4" xfId="6048" xr:uid="{6E5A1789-70C8-4D16-96A1-50B74A305560}"/>
    <cellStyle name="Migliaia [0] 6 2 5" xfId="3095" xr:uid="{B036836A-83C9-48FA-9A4A-5D3972FC7101}"/>
    <cellStyle name="Migliaia [0] 6 3" xfId="1649" xr:uid="{00000000-0005-0000-0000-0000B4020000}"/>
    <cellStyle name="Migliaia [0] 6 3 2" xfId="4823" xr:uid="{7E9DC6DA-73D6-44AA-AFAE-9AFAD5309075}"/>
    <cellStyle name="Migliaia [0] 6 3 3" xfId="6049" xr:uid="{0317DC0F-AC0C-4EE0-A856-82BCF9EAC3FE}"/>
    <cellStyle name="Migliaia [0] 6 3 4" xfId="3097" xr:uid="{C4071D29-EBE0-4E0C-9B02-F64AA92CBDC6}"/>
    <cellStyle name="Migliaia [0] 6 4" xfId="3098" xr:uid="{6FE6AD64-0378-4351-B73D-F471E98294AF}"/>
    <cellStyle name="Migliaia [0] 6 4 2" xfId="4824" xr:uid="{C738CE35-7D29-4F54-B19D-AE4AB19913A7}"/>
    <cellStyle name="Migliaia [0] 6 4 3" xfId="6050" xr:uid="{AC863FE8-FF82-49F9-9828-D7A33A4C7C31}"/>
    <cellStyle name="Migliaia [0] 6 5" xfId="4820" xr:uid="{34ACB464-23E0-4A92-B6DB-E45AE5B36925}"/>
    <cellStyle name="Migliaia [0] 6 6" xfId="6047" xr:uid="{B1A0424C-8D6F-44D8-AD14-84D4B0537A13}"/>
    <cellStyle name="Migliaia [0] 6 7" xfId="3094" xr:uid="{970D0782-8B41-4CA2-8EE1-02BAFF50D160}"/>
    <cellStyle name="Migliaia [0] 7" xfId="298" xr:uid="{00000000-0005-0000-0000-0000B5020000}"/>
    <cellStyle name="Migliaia [0] 7 2" xfId="1650" xr:uid="{00000000-0005-0000-0000-0000B6020000}"/>
    <cellStyle name="Migliaia [0] 7 2 2" xfId="1651" xr:uid="{00000000-0005-0000-0000-0000B7020000}"/>
    <cellStyle name="Migliaia [0] 7 2 2 2" xfId="4827" xr:uid="{3A230641-9A52-4047-B624-C50A6C2658C9}"/>
    <cellStyle name="Migliaia [0] 7 2 2 3" xfId="3101" xr:uid="{1285F521-5119-45F3-9B09-FE0AE282ED90}"/>
    <cellStyle name="Migliaia [0] 7 2 3" xfId="4826" xr:uid="{30DB4908-B790-40A6-8735-F2E75985CFBD}"/>
    <cellStyle name="Migliaia [0] 7 2 4" xfId="6052" xr:uid="{E0C8543D-CE12-485D-94A1-4EFE78497198}"/>
    <cellStyle name="Migliaia [0] 7 2 5" xfId="3100" xr:uid="{314EBA8D-5665-44F2-B50A-D71B73D77714}"/>
    <cellStyle name="Migliaia [0] 7 3" xfId="1652" xr:uid="{00000000-0005-0000-0000-0000B8020000}"/>
    <cellStyle name="Migliaia [0] 7 3 2" xfId="4828" xr:uid="{5991A37A-BC88-4FE1-A1EA-DDBCAE813419}"/>
    <cellStyle name="Migliaia [0] 7 3 3" xfId="6053" xr:uid="{D351C09E-EEDC-4759-84B0-B06D795522C0}"/>
    <cellStyle name="Migliaia [0] 7 3 4" xfId="3102" xr:uid="{999862CA-74D9-47CB-901B-27C03647BD3B}"/>
    <cellStyle name="Migliaia [0] 7 4" xfId="3103" xr:uid="{09E6BB3F-14A3-45CB-8011-94723E00218C}"/>
    <cellStyle name="Migliaia [0] 7 4 2" xfId="4829" xr:uid="{F7546F5C-EB34-4392-9AA3-880BEBC9E473}"/>
    <cellStyle name="Migliaia [0] 7 4 3" xfId="6054" xr:uid="{3389BD2C-FF73-4DC5-8845-50CC901B7313}"/>
    <cellStyle name="Migliaia [0] 7 5" xfId="4825" xr:uid="{BA326C9D-72AD-49D3-BE9A-C036757DAFD9}"/>
    <cellStyle name="Migliaia [0] 7 6" xfId="6051" xr:uid="{A4F0FA15-22CB-446D-9876-CA21805D843A}"/>
    <cellStyle name="Migliaia [0] 7 7" xfId="3099" xr:uid="{1FE9D56E-3E9A-4936-99BE-862A4D79822E}"/>
    <cellStyle name="Migliaia [0] 8" xfId="299" xr:uid="{00000000-0005-0000-0000-0000B9020000}"/>
    <cellStyle name="Migliaia [0] 8 2" xfId="1653" xr:uid="{00000000-0005-0000-0000-0000BA020000}"/>
    <cellStyle name="Migliaia [0] 8 2 2" xfId="1654" xr:uid="{00000000-0005-0000-0000-0000BB020000}"/>
    <cellStyle name="Migliaia [0] 8 2 2 2" xfId="4832" xr:uid="{9FF8390D-759B-407C-B69D-8F4ACB183510}"/>
    <cellStyle name="Migliaia [0] 8 2 2 3" xfId="3106" xr:uid="{CE98BE60-9006-41AE-9AF0-2EFD47090D4C}"/>
    <cellStyle name="Migliaia [0] 8 2 3" xfId="4831" xr:uid="{A8C927B4-1E32-482C-A022-A6005C8DAE4A}"/>
    <cellStyle name="Migliaia [0] 8 2 4" xfId="6056" xr:uid="{E152400E-ED79-44C2-A01E-B930E293D9F2}"/>
    <cellStyle name="Migliaia [0] 8 2 5" xfId="3105" xr:uid="{5EF69358-7B7B-4A74-B581-C1A333FE779B}"/>
    <cellStyle name="Migliaia [0] 8 3" xfId="1655" xr:uid="{00000000-0005-0000-0000-0000BC020000}"/>
    <cellStyle name="Migliaia [0] 8 3 2" xfId="4833" xr:uid="{E55D5662-5EC5-4C89-81E2-268A5AF9CF4C}"/>
    <cellStyle name="Migliaia [0] 8 3 3" xfId="6057" xr:uid="{AB173F62-079B-4446-A80C-A8CDF8B32301}"/>
    <cellStyle name="Migliaia [0] 8 3 4" xfId="3107" xr:uid="{EA9158A6-4B9F-4616-9C20-EA3633CFC18D}"/>
    <cellStyle name="Migliaia [0] 8 4" xfId="3108" xr:uid="{42B44F06-A944-448B-B636-0A94D87A6196}"/>
    <cellStyle name="Migliaia [0] 8 4 2" xfId="4834" xr:uid="{0018B7D3-7EC0-4AF5-8260-6ACDB9FE225A}"/>
    <cellStyle name="Migliaia [0] 8 4 3" xfId="6058" xr:uid="{64F68C14-9D61-4E40-A078-7F44F6A3061B}"/>
    <cellStyle name="Migliaia [0] 8 5" xfId="4830" xr:uid="{56154EF9-C464-4DE3-9645-CF40DA145D87}"/>
    <cellStyle name="Migliaia [0] 8 6" xfId="6055" xr:uid="{24649AC4-A41B-478E-AD8D-63197797D7FC}"/>
    <cellStyle name="Migliaia [0] 8 7" xfId="3104" xr:uid="{9ED4EE9C-176B-4AE4-A8CB-F564CB0B63AB}"/>
    <cellStyle name="Migliaia [0] 9" xfId="300" xr:uid="{00000000-0005-0000-0000-0000BD020000}"/>
    <cellStyle name="Migliaia [0] 9 2" xfId="1656" xr:uid="{00000000-0005-0000-0000-0000BE020000}"/>
    <cellStyle name="Migliaia [0] 9 2 2" xfId="1657" xr:uid="{00000000-0005-0000-0000-0000BF020000}"/>
    <cellStyle name="Migliaia [0] 9 2 2 2" xfId="4837" xr:uid="{5FD7E025-5265-4BBB-8D2C-1F4E23AD1990}"/>
    <cellStyle name="Migliaia [0] 9 2 2 3" xfId="3111" xr:uid="{1981BF27-08BC-4CC5-94C3-737DE5898ADF}"/>
    <cellStyle name="Migliaia [0] 9 2 3" xfId="4836" xr:uid="{4E4EC15B-B91E-4087-899B-AEED016B64C7}"/>
    <cellStyle name="Migliaia [0] 9 2 4" xfId="6060" xr:uid="{6CFC8A18-C5C9-45B1-9BC2-3D210B8763A5}"/>
    <cellStyle name="Migliaia [0] 9 2 5" xfId="3110" xr:uid="{B2D83EED-D225-4823-BB0E-34B1D854D514}"/>
    <cellStyle name="Migliaia [0] 9 3" xfId="1658" xr:uid="{00000000-0005-0000-0000-0000C0020000}"/>
    <cellStyle name="Migliaia [0] 9 3 2" xfId="4838" xr:uid="{0F8FBF84-3CE8-4C49-A992-F0056AD59728}"/>
    <cellStyle name="Migliaia [0] 9 3 3" xfId="6061" xr:uid="{05A47E1A-B474-45C5-8F9D-874462179E20}"/>
    <cellStyle name="Migliaia [0] 9 3 4" xfId="3112" xr:uid="{79205EAD-548A-4299-ADDC-BC70D5B50083}"/>
    <cellStyle name="Migliaia [0] 9 4" xfId="3113" xr:uid="{19D79E60-EEE3-4AFF-9789-9908328B7618}"/>
    <cellStyle name="Migliaia [0] 9 4 2" xfId="4839" xr:uid="{672546F8-B57B-4A09-806D-F24E1A45D124}"/>
    <cellStyle name="Migliaia [0] 9 4 3" xfId="6062" xr:uid="{C3490AC5-BC11-484A-A3B8-A8D8D45F77E7}"/>
    <cellStyle name="Migliaia [0] 9 5" xfId="4835" xr:uid="{7FF4374C-0386-4479-AAC9-401AD615DAB2}"/>
    <cellStyle name="Migliaia [0] 9 6" xfId="6059" xr:uid="{1169638F-FCB5-4427-BF62-698B0CFAB2A4}"/>
    <cellStyle name="Migliaia [0] 9 7" xfId="3109" xr:uid="{E97C50CB-0575-494D-A9D4-E7B7C540CDF9}"/>
    <cellStyle name="Migliaia 10" xfId="301" xr:uid="{00000000-0005-0000-0000-0000C1020000}"/>
    <cellStyle name="Migliaia 10 10" xfId="6063" xr:uid="{9F3F750A-25A9-4F5F-8AAE-D77FD64D6E26}"/>
    <cellStyle name="Migliaia 10 11" xfId="3114" xr:uid="{87F0B160-BE96-4131-8803-06789C394A9A}"/>
    <cellStyle name="Migliaia 10 2" xfId="302" xr:uid="{00000000-0005-0000-0000-0000C2020000}"/>
    <cellStyle name="Migliaia 10 2 2" xfId="1659" xr:uid="{00000000-0005-0000-0000-0000C3020000}"/>
    <cellStyle name="Migliaia 10 2 2 2" xfId="4842" xr:uid="{4FCCF3A9-551F-4251-A9FA-066227C7A3CC}"/>
    <cellStyle name="Migliaia 10 2 2 3" xfId="6065" xr:uid="{F236CB6D-CD39-47FC-965F-4D8928DB3590}"/>
    <cellStyle name="Migliaia 10 2 2 4" xfId="3116" xr:uid="{307CC970-7098-47DB-8D61-6D998AE07405}"/>
    <cellStyle name="Migliaia 10 2 3" xfId="3117" xr:uid="{14E37A83-20BF-4C1A-90EE-3795AF12FBED}"/>
    <cellStyle name="Migliaia 10 2 3 2" xfId="4843" xr:uid="{3A07B38C-04D6-4CB5-9F52-879D0FDB345C}"/>
    <cellStyle name="Migliaia 10 2 3 3" xfId="6066" xr:uid="{A3A626A1-4E21-41B2-8711-6F4F455DCC2D}"/>
    <cellStyle name="Migliaia 10 2 4" xfId="4841" xr:uid="{F2E1EBAC-0DE2-4790-8A21-20FE86499B4E}"/>
    <cellStyle name="Migliaia 10 2 5" xfId="6064" xr:uid="{4902E973-CA72-49EA-8846-1609DFB6CDB3}"/>
    <cellStyle name="Migliaia 10 2 6" xfId="3115" xr:uid="{2ABEF558-69AA-4301-BCE1-CA87D073A5BB}"/>
    <cellStyle name="Migliaia 10 3" xfId="303" xr:uid="{00000000-0005-0000-0000-0000C4020000}"/>
    <cellStyle name="Migliaia 10 3 2" xfId="304" xr:uid="{00000000-0005-0000-0000-0000C5020000}"/>
    <cellStyle name="Migliaia 10 3 2 2" xfId="1660" xr:uid="{00000000-0005-0000-0000-0000C6020000}"/>
    <cellStyle name="Migliaia 10 3 2 2 2" xfId="4846" xr:uid="{E1235BE6-2F34-41F0-BC63-0F6DBE40EB9F}"/>
    <cellStyle name="Migliaia 10 3 2 2 3" xfId="6069" xr:uid="{C13E6D0F-BAB4-490D-860E-2E7D42017FCE}"/>
    <cellStyle name="Migliaia 10 3 2 2 4" xfId="3120" xr:uid="{DF55D60F-9DD1-4D2D-9D89-C6E84D2A4718}"/>
    <cellStyle name="Migliaia 10 3 2 3" xfId="4845" xr:uid="{3B06EAF2-A82A-4A34-B174-E3D996F1FE55}"/>
    <cellStyle name="Migliaia 10 3 2 4" xfId="6068" xr:uid="{FC2CB318-F6FE-4ACB-BED8-EC3F67D4821D}"/>
    <cellStyle name="Migliaia 10 3 2 5" xfId="3119" xr:uid="{1E34D88F-DEF6-4F54-8120-3FBA217AAEB4}"/>
    <cellStyle name="Migliaia 10 3 3" xfId="3121" xr:uid="{0948A49E-6D7B-42C7-BF5B-976A458A2C37}"/>
    <cellStyle name="Migliaia 10 3 3 2" xfId="4847" xr:uid="{08CECC23-E5FF-4977-825A-CBC4C1C262AB}"/>
    <cellStyle name="Migliaia 10 3 3 3" xfId="6070" xr:uid="{CBC98E31-301A-4B97-813F-5F47DC5A6D78}"/>
    <cellStyle name="Migliaia 10 3 4" xfId="3122" xr:uid="{B7E0A7F7-2847-44E4-84FC-0E1BFDD43C6F}"/>
    <cellStyle name="Migliaia 10 3 4 2" xfId="4848" xr:uid="{84E2367F-EA71-47BD-A054-361AC4EBDDF5}"/>
    <cellStyle name="Migliaia 10 3 4 3" xfId="6071" xr:uid="{90618E43-F9FF-4B04-8CDC-5F117A836CED}"/>
    <cellStyle name="Migliaia 10 3 5" xfId="3123" xr:uid="{F96CBF0E-061A-48FC-9797-824F455E142B}"/>
    <cellStyle name="Migliaia 10 3 5 2" xfId="4849" xr:uid="{5B7DC88E-31B8-478D-8015-192461C09EEA}"/>
    <cellStyle name="Migliaia 10 3 5 3" xfId="6072" xr:uid="{F1CCDB85-F1B0-47A8-9401-26F98A8398E2}"/>
    <cellStyle name="Migliaia 10 3 6" xfId="4844" xr:uid="{FDE819AD-8544-4629-833F-AAFE16D76846}"/>
    <cellStyle name="Migliaia 10 3 7" xfId="6067" xr:uid="{4DF2092F-3ABA-4FB2-B53D-B465F95C33F9}"/>
    <cellStyle name="Migliaia 10 3 8" xfId="3118" xr:uid="{746B2425-6AD4-4F0C-BB23-1E59ABD48EC1}"/>
    <cellStyle name="Migliaia 10 4" xfId="1661" xr:uid="{00000000-0005-0000-0000-0000C7020000}"/>
    <cellStyle name="Migliaia 10 4 2" xfId="1662" xr:uid="{00000000-0005-0000-0000-0000C8020000}"/>
    <cellStyle name="Migliaia 10 4 2 2" xfId="4851" xr:uid="{8F9C726E-1C8B-4551-B54D-5238D09BF7D0}"/>
    <cellStyle name="Migliaia 10 4 2 3" xfId="3125" xr:uid="{2D4C33D0-627F-4385-A6F8-68EC9772BE78}"/>
    <cellStyle name="Migliaia 10 4 3" xfId="4850" xr:uid="{BB6069B6-2D7D-4094-BF97-248D87C1D109}"/>
    <cellStyle name="Migliaia 10 4 4" xfId="6073" xr:uid="{360C3AFB-E763-427F-A942-1698565FD6CE}"/>
    <cellStyle name="Migliaia 10 4 5" xfId="3124" xr:uid="{9C1BE531-3890-42D5-96D3-125218BF4744}"/>
    <cellStyle name="Migliaia 10 5" xfId="1663" xr:uid="{00000000-0005-0000-0000-0000C9020000}"/>
    <cellStyle name="Migliaia 10 5 2" xfId="4852" xr:uid="{E060A36F-61DF-4504-B124-0E69E2C47AC5}"/>
    <cellStyle name="Migliaia 10 5 3" xfId="6074" xr:uid="{9E882E1C-D9DC-497A-B655-2C78871294F7}"/>
    <cellStyle name="Migliaia 10 5 4" xfId="3126" xr:uid="{FAEC4E63-52D4-44A3-92D4-07B0C8162E94}"/>
    <cellStyle name="Migliaia 10 6" xfId="3127" xr:uid="{0F51BBE6-FE90-4D8C-8B79-7A1342EA8CB3}"/>
    <cellStyle name="Migliaia 10 6 2" xfId="4853" xr:uid="{29BFF3CF-F15F-4255-BBA9-0630A2E67775}"/>
    <cellStyle name="Migliaia 10 6 3" xfId="6075" xr:uid="{DBEB1514-0A89-4CBD-BD9D-319B65171784}"/>
    <cellStyle name="Migliaia 10 7" xfId="3128" xr:uid="{D0143A49-652C-4E00-B6A3-460BB4626E63}"/>
    <cellStyle name="Migliaia 10 7 2" xfId="4854" xr:uid="{4F79149A-4801-46BD-8949-B3D68BE4121D}"/>
    <cellStyle name="Migliaia 10 7 3" xfId="6076" xr:uid="{490A4E8B-87DE-4B89-A1A7-F6C3A2A17262}"/>
    <cellStyle name="Migliaia 10 8" xfId="3129" xr:uid="{BF9A5880-9F67-48E8-ADB4-666ADFB60A7D}"/>
    <cellStyle name="Migliaia 10 8 2" xfId="4855" xr:uid="{48EDDB18-C419-43C8-B92D-D749E9574BC4}"/>
    <cellStyle name="Migliaia 10 8 3" xfId="6077" xr:uid="{50214093-927B-41B6-893F-AC512265B1E8}"/>
    <cellStyle name="Migliaia 10 9" xfId="4840" xr:uid="{608DDB49-0C32-46DA-8C0D-F30A28222E60}"/>
    <cellStyle name="Migliaia 11" xfId="305" xr:uid="{00000000-0005-0000-0000-0000CA020000}"/>
    <cellStyle name="Migliaia 11 10" xfId="6078" xr:uid="{0EAFB025-663C-4013-981E-176C1559EAAC}"/>
    <cellStyle name="Migliaia 11 11" xfId="3130" xr:uid="{54D4DD11-4824-4ADC-BE1F-0FB9DD0C6FCC}"/>
    <cellStyle name="Migliaia 11 2" xfId="306" xr:uid="{00000000-0005-0000-0000-0000CB020000}"/>
    <cellStyle name="Migliaia 11 2 2" xfId="1664" xr:uid="{00000000-0005-0000-0000-0000CC020000}"/>
    <cellStyle name="Migliaia 11 2 2 2" xfId="4858" xr:uid="{0304DF01-975C-4853-85F4-F4F21E1AFE16}"/>
    <cellStyle name="Migliaia 11 2 2 3" xfId="6080" xr:uid="{9B6CABAB-B548-4639-AA2E-EECD3EF420E7}"/>
    <cellStyle name="Migliaia 11 2 2 4" xfId="3132" xr:uid="{F6DF6EF6-1AC3-4CEA-AA8D-544D2A4A17DB}"/>
    <cellStyle name="Migliaia 11 2 3" xfId="3133" xr:uid="{E8CC12A4-850F-44C1-A0BC-A9947DEF2FC0}"/>
    <cellStyle name="Migliaia 11 2 3 2" xfId="4859" xr:uid="{D7B585F8-783F-4544-90B0-41C573527E3B}"/>
    <cellStyle name="Migliaia 11 2 3 3" xfId="6081" xr:uid="{0D7E27F5-92FC-4969-BF57-43D4795617E4}"/>
    <cellStyle name="Migliaia 11 2 4" xfId="4857" xr:uid="{1F8B22D0-8E08-4D4E-8CB2-EB859C1F9D58}"/>
    <cellStyle name="Migliaia 11 2 5" xfId="6079" xr:uid="{8E6B8D50-9008-4732-9215-4845FADAC8CB}"/>
    <cellStyle name="Migliaia 11 2 6" xfId="3131" xr:uid="{1407B6B4-6D42-4A83-93C1-184B4BB79A70}"/>
    <cellStyle name="Migliaia 11 3" xfId="307" xr:uid="{00000000-0005-0000-0000-0000CD020000}"/>
    <cellStyle name="Migliaia 11 3 2" xfId="308" xr:uid="{00000000-0005-0000-0000-0000CE020000}"/>
    <cellStyle name="Migliaia 11 3 2 2" xfId="1665" xr:uid="{00000000-0005-0000-0000-0000CF020000}"/>
    <cellStyle name="Migliaia 11 3 2 2 2" xfId="4862" xr:uid="{9A41124B-162D-4B6E-A25E-950C0E55B9E3}"/>
    <cellStyle name="Migliaia 11 3 2 2 3" xfId="6084" xr:uid="{A51089CD-A31F-4E30-A2CF-A040CE6C293A}"/>
    <cellStyle name="Migliaia 11 3 2 2 4" xfId="3136" xr:uid="{1AF9A8FF-8900-4449-90F7-4179CFCFEB0E}"/>
    <cellStyle name="Migliaia 11 3 2 3" xfId="4861" xr:uid="{463CD9AF-E241-4C6A-8E12-83419741BE09}"/>
    <cellStyle name="Migliaia 11 3 2 4" xfId="6083" xr:uid="{856A064C-297D-4D0D-ABF3-44EB7EAD9040}"/>
    <cellStyle name="Migliaia 11 3 2 5" xfId="3135" xr:uid="{7519487A-66A7-4327-A8FA-B90336674E35}"/>
    <cellStyle name="Migliaia 11 3 3" xfId="3137" xr:uid="{81E70F5A-4FB2-45F1-A9F4-F21F14CF5FE4}"/>
    <cellStyle name="Migliaia 11 3 3 2" xfId="4863" xr:uid="{038B4243-7E04-46DF-8688-33D36104651A}"/>
    <cellStyle name="Migliaia 11 3 3 3" xfId="6085" xr:uid="{65803611-EF28-4E04-9A92-C57536E4078A}"/>
    <cellStyle name="Migliaia 11 3 4" xfId="3138" xr:uid="{96A4160B-9CA5-420A-929F-C1407976CA36}"/>
    <cellStyle name="Migliaia 11 3 4 2" xfId="4864" xr:uid="{A41B862D-1B69-493A-8C4F-C6018D9A0D73}"/>
    <cellStyle name="Migliaia 11 3 4 3" xfId="6086" xr:uid="{30E7FB46-7E2E-4476-B660-1D6B016D1E47}"/>
    <cellStyle name="Migliaia 11 3 5" xfId="3139" xr:uid="{3E6DCE25-E8B6-4D5D-8986-9F0C8458C12B}"/>
    <cellStyle name="Migliaia 11 3 5 2" xfId="4865" xr:uid="{89C3D5B7-A2F4-4701-8447-E7AF10AC7769}"/>
    <cellStyle name="Migliaia 11 3 5 3" xfId="6087" xr:uid="{4F6A8136-CA0B-4D7A-B210-074670FFB571}"/>
    <cellStyle name="Migliaia 11 3 6" xfId="4860" xr:uid="{90E817AB-42D9-4E62-BDCB-2762854E06A7}"/>
    <cellStyle name="Migliaia 11 3 7" xfId="6082" xr:uid="{8E5FFF7A-24FF-4136-956C-8A6837C2A323}"/>
    <cellStyle name="Migliaia 11 3 8" xfId="3134" xr:uid="{1E0949C0-D6E0-4144-B3FC-C0A41691A577}"/>
    <cellStyle name="Migliaia 11 4" xfId="1666" xr:uid="{00000000-0005-0000-0000-0000D0020000}"/>
    <cellStyle name="Migliaia 11 4 2" xfId="1667" xr:uid="{00000000-0005-0000-0000-0000D1020000}"/>
    <cellStyle name="Migliaia 11 4 2 2" xfId="4867" xr:uid="{5483FAEB-2B8B-4702-9141-B22E54F03B50}"/>
    <cellStyle name="Migliaia 11 4 2 3" xfId="3141" xr:uid="{6C884B19-13C5-4E6E-A1C7-D37EBBFA88DE}"/>
    <cellStyle name="Migliaia 11 4 3" xfId="4866" xr:uid="{C707F8C5-2504-4811-B50F-76628C743FA8}"/>
    <cellStyle name="Migliaia 11 4 4" xfId="6088" xr:uid="{7469A170-1BD1-4BE6-BC43-47E03BA52379}"/>
    <cellStyle name="Migliaia 11 4 5" xfId="3140" xr:uid="{C8B7C00B-0B4E-4065-BB74-DE0D67BC5DD9}"/>
    <cellStyle name="Migliaia 11 5" xfId="1668" xr:uid="{00000000-0005-0000-0000-0000D2020000}"/>
    <cellStyle name="Migliaia 11 5 2" xfId="4868" xr:uid="{7164FA7B-381C-4AE9-9662-37CB4B6EC591}"/>
    <cellStyle name="Migliaia 11 5 3" xfId="6089" xr:uid="{1D86F9FE-1313-46DC-A14F-F88D47148B86}"/>
    <cellStyle name="Migliaia 11 5 4" xfId="3142" xr:uid="{474CACC1-97B9-413D-9CE1-30AB918D1582}"/>
    <cellStyle name="Migliaia 11 6" xfId="3143" xr:uid="{D394E5D4-1D0D-4BDA-A8B0-FB38CD9F764F}"/>
    <cellStyle name="Migliaia 11 6 2" xfId="4869" xr:uid="{F08DA367-879F-47E2-A0E3-710BF60542EC}"/>
    <cellStyle name="Migliaia 11 6 3" xfId="6090" xr:uid="{C6CE8509-8012-47AF-BDA2-084D2D976117}"/>
    <cellStyle name="Migliaia 11 7" xfId="3144" xr:uid="{7A437DCE-82F4-4584-9795-4D0E740AB800}"/>
    <cellStyle name="Migliaia 11 7 2" xfId="4870" xr:uid="{409F1A58-8268-4316-A7C4-B7D3613204CA}"/>
    <cellStyle name="Migliaia 11 7 3" xfId="6091" xr:uid="{E8AC16F1-5F20-45A6-B66A-4AD0F2EFEAF3}"/>
    <cellStyle name="Migliaia 11 8" xfId="3145" xr:uid="{06A245D8-65AD-43DC-B36D-7656E6869C0B}"/>
    <cellStyle name="Migliaia 11 8 2" xfId="4871" xr:uid="{79AE1711-416E-48F7-83FA-C9B633EC6929}"/>
    <cellStyle name="Migliaia 11 8 3" xfId="6092" xr:uid="{A6491D5E-7B5D-43D5-A473-6E1A49EAD4C8}"/>
    <cellStyle name="Migliaia 11 9" xfId="4856" xr:uid="{31A8ED30-21DA-4D61-8426-0799E74A3DB1}"/>
    <cellStyle name="Migliaia 12" xfId="309" xr:uid="{00000000-0005-0000-0000-0000D3020000}"/>
    <cellStyle name="Migliaia 12 10" xfId="6093" xr:uid="{A39D08B0-BD17-4105-A192-A973B91A9317}"/>
    <cellStyle name="Migliaia 12 11" xfId="3146" xr:uid="{966C89CC-7E67-4DD7-9BFB-01D1700CC2B6}"/>
    <cellStyle name="Migliaia 12 2" xfId="310" xr:uid="{00000000-0005-0000-0000-0000D4020000}"/>
    <cellStyle name="Migliaia 12 2 2" xfId="1669" xr:uid="{00000000-0005-0000-0000-0000D5020000}"/>
    <cellStyle name="Migliaia 12 2 2 2" xfId="4874" xr:uid="{EA916E09-61D2-4C42-B5D2-AD4DF848E103}"/>
    <cellStyle name="Migliaia 12 2 2 3" xfId="6095" xr:uid="{C32B766A-9919-40D8-909F-831B5EBFB133}"/>
    <cellStyle name="Migliaia 12 2 2 4" xfId="3148" xr:uid="{88E4A111-B9A2-4C6B-AE71-FB565826A997}"/>
    <cellStyle name="Migliaia 12 2 3" xfId="3149" xr:uid="{6246DD2B-0CEA-4D07-8876-CE13DD323C4C}"/>
    <cellStyle name="Migliaia 12 2 3 2" xfId="4875" xr:uid="{A87A6FED-81D1-471C-88B8-5BA8761E7A68}"/>
    <cellStyle name="Migliaia 12 2 3 3" xfId="6096" xr:uid="{ECEA7AEB-2C08-44D4-A23B-7B6DF767D1C2}"/>
    <cellStyle name="Migliaia 12 2 4" xfId="4873" xr:uid="{07AFB867-CB38-4385-B48D-BDE6F40D71F0}"/>
    <cellStyle name="Migliaia 12 2 5" xfId="6094" xr:uid="{93457ABC-4951-4796-B168-0EA3FF289D8E}"/>
    <cellStyle name="Migliaia 12 2 6" xfId="3147" xr:uid="{6FC51661-0B9F-4AE6-B0A9-F8AEDF4A46D8}"/>
    <cellStyle name="Migliaia 12 3" xfId="311" xr:uid="{00000000-0005-0000-0000-0000D6020000}"/>
    <cellStyle name="Migliaia 12 3 2" xfId="312" xr:uid="{00000000-0005-0000-0000-0000D7020000}"/>
    <cellStyle name="Migliaia 12 3 2 2" xfId="1670" xr:uid="{00000000-0005-0000-0000-0000D8020000}"/>
    <cellStyle name="Migliaia 12 3 2 2 2" xfId="4878" xr:uid="{64915956-DBCE-4E20-A832-C7AA2A9EE279}"/>
    <cellStyle name="Migliaia 12 3 2 2 3" xfId="6099" xr:uid="{227E8D48-F0F9-4B9D-8968-FE490EA19686}"/>
    <cellStyle name="Migliaia 12 3 2 2 4" xfId="3152" xr:uid="{9220755F-364E-44E4-BC8F-AE1BA6350B1F}"/>
    <cellStyle name="Migliaia 12 3 2 3" xfId="4877" xr:uid="{4752DE17-AE2E-4065-BB62-0D4309E8C7B0}"/>
    <cellStyle name="Migliaia 12 3 2 4" xfId="6098" xr:uid="{9783CE4D-C188-4C6E-ACAF-D23E24B50F9D}"/>
    <cellStyle name="Migliaia 12 3 2 5" xfId="3151" xr:uid="{509466E2-8570-45F8-925D-A5017F3EA9EB}"/>
    <cellStyle name="Migliaia 12 3 3" xfId="3153" xr:uid="{054AABEF-7611-4991-9857-BC68111C252F}"/>
    <cellStyle name="Migliaia 12 3 3 2" xfId="4879" xr:uid="{3B652F87-4782-4790-9068-73ED6193A85E}"/>
    <cellStyle name="Migliaia 12 3 3 3" xfId="6100" xr:uid="{FEAB8AB0-B68A-4BC1-9B9F-5AB2461CCE08}"/>
    <cellStyle name="Migliaia 12 3 4" xfId="3154" xr:uid="{8178739E-405A-435A-A7C7-1BB8B63F3A4A}"/>
    <cellStyle name="Migliaia 12 3 4 2" xfId="4880" xr:uid="{AFDD348B-746B-4BD8-89A7-AFB7611D5890}"/>
    <cellStyle name="Migliaia 12 3 4 3" xfId="6101" xr:uid="{5AF1D86E-62BC-4A97-A496-263DD57BE6D8}"/>
    <cellStyle name="Migliaia 12 3 5" xfId="3155" xr:uid="{492F36A3-B5D0-4AEB-842D-2464647AD64C}"/>
    <cellStyle name="Migliaia 12 3 5 2" xfId="4881" xr:uid="{66DA381E-E6CF-4D4C-AA56-BA4987492713}"/>
    <cellStyle name="Migliaia 12 3 5 3" xfId="6102" xr:uid="{970692A7-995C-477A-AB08-2FAB0920E134}"/>
    <cellStyle name="Migliaia 12 3 6" xfId="4876" xr:uid="{C448DC17-F901-42C0-B428-A6B0E69CD659}"/>
    <cellStyle name="Migliaia 12 3 7" xfId="6097" xr:uid="{591653F3-782E-43B7-B29C-5FB6E4E94E44}"/>
    <cellStyle name="Migliaia 12 3 8" xfId="3150" xr:uid="{D033ECDC-07B2-4114-8759-D3578544B6F0}"/>
    <cellStyle name="Migliaia 12 4" xfId="1671" xr:uid="{00000000-0005-0000-0000-0000D9020000}"/>
    <cellStyle name="Migliaia 12 4 2" xfId="1672" xr:uid="{00000000-0005-0000-0000-0000DA020000}"/>
    <cellStyle name="Migliaia 12 4 2 2" xfId="4883" xr:uid="{64ADEC96-35AE-427F-AC03-E63B5C4A0257}"/>
    <cellStyle name="Migliaia 12 4 2 3" xfId="3157" xr:uid="{2DFE1BE3-1A35-4771-90E3-BFD323A3B8AE}"/>
    <cellStyle name="Migliaia 12 4 3" xfId="4882" xr:uid="{94686066-066E-4C73-8762-AFA38DA81BA6}"/>
    <cellStyle name="Migliaia 12 4 4" xfId="6103" xr:uid="{F5F5D41C-7F64-43A1-A652-3A5B4A45F42A}"/>
    <cellStyle name="Migliaia 12 4 5" xfId="3156" xr:uid="{F4C2503B-6570-41EF-B2E5-5822E770F9E7}"/>
    <cellStyle name="Migliaia 12 5" xfId="1673" xr:uid="{00000000-0005-0000-0000-0000DB020000}"/>
    <cellStyle name="Migliaia 12 5 2" xfId="4884" xr:uid="{38762639-744D-4E2E-A5D1-1F058BE1A8F3}"/>
    <cellStyle name="Migliaia 12 5 3" xfId="6104" xr:uid="{08AD2E37-95D7-47B9-925A-1BFC38CC5B52}"/>
    <cellStyle name="Migliaia 12 5 4" xfId="3158" xr:uid="{18458A4A-BDBC-4D50-9F14-16CBB8C6CEAA}"/>
    <cellStyle name="Migliaia 12 6" xfId="3159" xr:uid="{9503B7AD-BA91-46F1-B22D-A652C757E984}"/>
    <cellStyle name="Migliaia 12 6 2" xfId="4885" xr:uid="{877E4229-2819-4A41-944C-85AF6E445815}"/>
    <cellStyle name="Migliaia 12 6 3" xfId="6105" xr:uid="{B5987781-2502-4D75-855B-0A3CF0ACF3F6}"/>
    <cellStyle name="Migliaia 12 7" xfId="3160" xr:uid="{ACF34F87-6BB0-47D8-B927-0C79E96B6B07}"/>
    <cellStyle name="Migliaia 12 7 2" xfId="4886" xr:uid="{8E2875EA-BF38-4B52-B802-C75B67C1756E}"/>
    <cellStyle name="Migliaia 12 7 3" xfId="6106" xr:uid="{4CCDF21F-2D5C-4788-9FF7-E5DC671434CA}"/>
    <cellStyle name="Migliaia 12 8" xfId="3161" xr:uid="{1DB4988F-B914-42C9-A67D-9B3082907BFA}"/>
    <cellStyle name="Migliaia 12 8 2" xfId="4887" xr:uid="{199382FC-D74F-49AF-9B0A-818EEDE5DE3A}"/>
    <cellStyle name="Migliaia 12 8 3" xfId="6107" xr:uid="{BB4E5FF9-63DB-47C2-B924-94818810A7BE}"/>
    <cellStyle name="Migliaia 12 9" xfId="4872" xr:uid="{F28BA2FE-2EE4-4FE3-A14B-DC4F9E9E900A}"/>
    <cellStyle name="Migliaia 13" xfId="313" xr:uid="{00000000-0005-0000-0000-0000DC020000}"/>
    <cellStyle name="Migliaia 13 10" xfId="6108" xr:uid="{5D6D4B16-DA40-47C3-8243-13938052D7C9}"/>
    <cellStyle name="Migliaia 13 11" xfId="3162" xr:uid="{09E6412F-0F58-4666-B9AC-2E9D7F747AFC}"/>
    <cellStyle name="Migliaia 13 2" xfId="314" xr:uid="{00000000-0005-0000-0000-0000DD020000}"/>
    <cellStyle name="Migliaia 13 2 2" xfId="1674" xr:uid="{00000000-0005-0000-0000-0000DE020000}"/>
    <cellStyle name="Migliaia 13 2 2 2" xfId="4890" xr:uid="{FC4E82FF-9D03-45BA-A766-864BD39DB474}"/>
    <cellStyle name="Migliaia 13 2 2 3" xfId="6110" xr:uid="{DB9DC704-4F9C-42AB-9FDB-7985C106CC11}"/>
    <cellStyle name="Migliaia 13 2 2 4" xfId="3164" xr:uid="{63D960BE-A424-478C-84BF-5B369371F83F}"/>
    <cellStyle name="Migliaia 13 2 3" xfId="3165" xr:uid="{9D27D88A-F843-4C61-8D6A-73876A5CA16D}"/>
    <cellStyle name="Migliaia 13 2 3 2" xfId="4891" xr:uid="{9BFFE2B8-2E98-44AB-8CF3-CCAC76611FFB}"/>
    <cellStyle name="Migliaia 13 2 3 3" xfId="6111" xr:uid="{CA312D67-2DBF-4A1D-B861-7AF4731EB0E3}"/>
    <cellStyle name="Migliaia 13 2 4" xfId="4889" xr:uid="{C45F99DF-7532-49A3-AFEB-2DA09467268B}"/>
    <cellStyle name="Migliaia 13 2 5" xfId="6109" xr:uid="{115A4F19-8093-4D4E-AC14-9B16F248F8E6}"/>
    <cellStyle name="Migliaia 13 2 6" xfId="3163" xr:uid="{155E54D4-3460-40DA-81FC-81B681406173}"/>
    <cellStyle name="Migliaia 13 3" xfId="315" xr:uid="{00000000-0005-0000-0000-0000DF020000}"/>
    <cellStyle name="Migliaia 13 3 2" xfId="316" xr:uid="{00000000-0005-0000-0000-0000E0020000}"/>
    <cellStyle name="Migliaia 13 3 2 2" xfId="1675" xr:uid="{00000000-0005-0000-0000-0000E1020000}"/>
    <cellStyle name="Migliaia 13 3 2 2 2" xfId="4894" xr:uid="{C5056A13-1A38-4030-8737-65812B4CF267}"/>
    <cellStyle name="Migliaia 13 3 2 2 3" xfId="6114" xr:uid="{CD15CD71-C6D3-43F6-A745-C7428349F5FA}"/>
    <cellStyle name="Migliaia 13 3 2 2 4" xfId="3168" xr:uid="{36D8744D-29B7-435E-9C04-FDD237B7375D}"/>
    <cellStyle name="Migliaia 13 3 2 3" xfId="4893" xr:uid="{C74095C0-EB27-42DC-9582-C1C0DF80B826}"/>
    <cellStyle name="Migliaia 13 3 2 4" xfId="6113" xr:uid="{A3E9D46F-E1E5-46B7-BD89-05FEDAAC51A8}"/>
    <cellStyle name="Migliaia 13 3 2 5" xfId="3167" xr:uid="{83C5FE20-DFA4-4E8F-9C85-83F3D81FA44B}"/>
    <cellStyle name="Migliaia 13 3 3" xfId="3169" xr:uid="{01C7999D-9801-4DF6-9189-0B1618EBC488}"/>
    <cellStyle name="Migliaia 13 3 3 2" xfId="4895" xr:uid="{9B8F57F6-0A2A-4DF3-AC3C-8570DB1143D2}"/>
    <cellStyle name="Migliaia 13 3 3 3" xfId="6115" xr:uid="{B5370FC0-1A0A-4602-A6AE-9CA4C871D6BA}"/>
    <cellStyle name="Migliaia 13 3 4" xfId="3170" xr:uid="{A61A1210-B8E5-475E-BABD-732487E89306}"/>
    <cellStyle name="Migliaia 13 3 4 2" xfId="4896" xr:uid="{18EE2707-D1BC-47FD-8981-5F175A889292}"/>
    <cellStyle name="Migliaia 13 3 4 3" xfId="6116" xr:uid="{261F2727-3BF5-4372-B120-02CEE8202AD5}"/>
    <cellStyle name="Migliaia 13 3 5" xfId="3171" xr:uid="{410ABB33-A421-470A-8A3F-4D60B1326D36}"/>
    <cellStyle name="Migliaia 13 3 5 2" xfId="4897" xr:uid="{D6AD3404-3C82-400C-B5ED-E6C80DB31045}"/>
    <cellStyle name="Migliaia 13 3 5 3" xfId="6117" xr:uid="{7E5E9E5D-C0FC-4126-9366-9A48628C0366}"/>
    <cellStyle name="Migliaia 13 3 6" xfId="4892" xr:uid="{858D9BBD-0F9D-4BCE-8635-24FBC9C78950}"/>
    <cellStyle name="Migliaia 13 3 7" xfId="6112" xr:uid="{C486398C-25B5-4552-AC69-2C4289274139}"/>
    <cellStyle name="Migliaia 13 3 8" xfId="3166" xr:uid="{2B86652C-9C3C-46EC-AD65-45BF4149F07D}"/>
    <cellStyle name="Migliaia 13 4" xfId="1676" xr:uid="{00000000-0005-0000-0000-0000E2020000}"/>
    <cellStyle name="Migliaia 13 4 2" xfId="1677" xr:uid="{00000000-0005-0000-0000-0000E3020000}"/>
    <cellStyle name="Migliaia 13 4 2 2" xfId="4899" xr:uid="{B3A36047-123D-47F2-B1E0-E4A09A8F394D}"/>
    <cellStyle name="Migliaia 13 4 2 3" xfId="3173" xr:uid="{83692C0B-9970-497B-A1B1-6A5560D3D7D9}"/>
    <cellStyle name="Migliaia 13 4 3" xfId="4898" xr:uid="{711F58F8-8663-4039-A95F-0C01D4930FB8}"/>
    <cellStyle name="Migliaia 13 4 4" xfId="6118" xr:uid="{D81A398A-2A1B-43C5-A7F9-2DAC2AC3B283}"/>
    <cellStyle name="Migliaia 13 4 5" xfId="3172" xr:uid="{0AD3A0E4-6ACF-45CD-B481-0B20E880362E}"/>
    <cellStyle name="Migliaia 13 5" xfId="1678" xr:uid="{00000000-0005-0000-0000-0000E4020000}"/>
    <cellStyle name="Migliaia 13 5 2" xfId="4900" xr:uid="{F18C8C67-41AE-4411-92E0-0E2781DA4201}"/>
    <cellStyle name="Migliaia 13 5 3" xfId="6119" xr:uid="{66ED7BD3-5C9C-4C53-9DF5-B8F8BA69CB87}"/>
    <cellStyle name="Migliaia 13 5 4" xfId="3174" xr:uid="{A0836E60-A796-4B81-9C6A-4C3FB9145E77}"/>
    <cellStyle name="Migliaia 13 6" xfId="3175" xr:uid="{CE1B7F1C-7D78-4B76-A55C-FE5798633F07}"/>
    <cellStyle name="Migliaia 13 6 2" xfId="4901" xr:uid="{E3B8178D-DDED-4F1F-A089-ADA8A44EFF91}"/>
    <cellStyle name="Migliaia 13 6 3" xfId="6120" xr:uid="{A2AA4359-D3F0-4189-B69B-B61DC128451E}"/>
    <cellStyle name="Migliaia 13 7" xfId="3176" xr:uid="{F2B4D53E-3B7A-4476-B9EA-28716B1C0261}"/>
    <cellStyle name="Migliaia 13 7 2" xfId="4902" xr:uid="{EE3FAAD7-ECDA-4512-80E1-D398A5ACCAF5}"/>
    <cellStyle name="Migliaia 13 7 3" xfId="6121" xr:uid="{AAE0BC7D-E9A3-4924-AD41-8819BB72148B}"/>
    <cellStyle name="Migliaia 13 8" xfId="3177" xr:uid="{6C611D75-8C11-4475-ABEC-F475F7738929}"/>
    <cellStyle name="Migliaia 13 8 2" xfId="4903" xr:uid="{CCEF93C9-81AF-4D94-94A4-117CF2EA4B6C}"/>
    <cellStyle name="Migliaia 13 8 3" xfId="6122" xr:uid="{16DF3222-E734-45C8-A646-AAB2935B52AE}"/>
    <cellStyle name="Migliaia 13 9" xfId="4888" xr:uid="{C6B1E964-4974-4B1E-AB6E-DF1142806F8B}"/>
    <cellStyle name="Migliaia 14" xfId="317" xr:uid="{00000000-0005-0000-0000-0000E5020000}"/>
    <cellStyle name="Migliaia 14 10" xfId="6123" xr:uid="{AFACF5B1-C2F3-4AEB-9BCE-49C4D3ACC986}"/>
    <cellStyle name="Migliaia 14 11" xfId="3178" xr:uid="{78461DA8-8FA0-482B-8F9A-044A55B48314}"/>
    <cellStyle name="Migliaia 14 2" xfId="318" xr:uid="{00000000-0005-0000-0000-0000E6020000}"/>
    <cellStyle name="Migliaia 14 2 2" xfId="1679" xr:uid="{00000000-0005-0000-0000-0000E7020000}"/>
    <cellStyle name="Migliaia 14 2 2 2" xfId="4906" xr:uid="{F52D6DEA-4681-4C4C-BBA3-BF6643C38E59}"/>
    <cellStyle name="Migliaia 14 2 2 3" xfId="6125" xr:uid="{5D9525EA-ECB8-4772-BE57-F5038E65D7E8}"/>
    <cellStyle name="Migliaia 14 2 2 4" xfId="3180" xr:uid="{82FBAFE7-646B-42EC-B368-3B8605EFADBD}"/>
    <cellStyle name="Migliaia 14 2 3" xfId="3181" xr:uid="{32BEA417-3353-4F51-B00C-88EE0C5B6102}"/>
    <cellStyle name="Migliaia 14 2 3 2" xfId="4907" xr:uid="{940981CB-36D8-4ECE-B7D0-01CB84AF46C7}"/>
    <cellStyle name="Migliaia 14 2 3 3" xfId="6126" xr:uid="{D561AFD0-14F8-493C-9F25-E619828D2D6F}"/>
    <cellStyle name="Migliaia 14 2 4" xfId="4905" xr:uid="{5251EC31-29E0-4091-AB8A-DC3B8E62B3DB}"/>
    <cellStyle name="Migliaia 14 2 5" xfId="6124" xr:uid="{09CD4F76-96EC-494D-A98B-7D418438084F}"/>
    <cellStyle name="Migliaia 14 2 6" xfId="3179" xr:uid="{74A4A554-2E88-4081-A7EB-F7671F8EB68D}"/>
    <cellStyle name="Migliaia 14 3" xfId="319" xr:uid="{00000000-0005-0000-0000-0000E8020000}"/>
    <cellStyle name="Migliaia 14 3 2" xfId="320" xr:uid="{00000000-0005-0000-0000-0000E9020000}"/>
    <cellStyle name="Migliaia 14 3 2 2" xfId="1680" xr:uid="{00000000-0005-0000-0000-0000EA020000}"/>
    <cellStyle name="Migliaia 14 3 2 2 2" xfId="4910" xr:uid="{41CE3350-31F8-46B8-BC3F-A316BB34751B}"/>
    <cellStyle name="Migliaia 14 3 2 2 3" xfId="6129" xr:uid="{D802CEEB-D8D8-4D38-8969-12DF2413B3AD}"/>
    <cellStyle name="Migliaia 14 3 2 2 4" xfId="3184" xr:uid="{74E7B9BD-C74A-4CB3-8CCF-ABBC90B4FC95}"/>
    <cellStyle name="Migliaia 14 3 2 3" xfId="4909" xr:uid="{B232A490-8FE6-420F-B286-0DD6248FEF86}"/>
    <cellStyle name="Migliaia 14 3 2 4" xfId="6128" xr:uid="{39C6231B-DA26-4A21-B036-C02DB5C2B50C}"/>
    <cellStyle name="Migliaia 14 3 2 5" xfId="3183" xr:uid="{6D45E44A-773D-49DB-9840-317B2F7A8008}"/>
    <cellStyle name="Migliaia 14 3 3" xfId="3185" xr:uid="{77B6B7C9-BEE3-4219-9908-79E01EEC9A5E}"/>
    <cellStyle name="Migliaia 14 3 3 2" xfId="4911" xr:uid="{339D99ED-FA04-4698-9C93-F6AFE701BD66}"/>
    <cellStyle name="Migliaia 14 3 3 3" xfId="6130" xr:uid="{537EF845-9A4C-4164-A1AB-E22DA3A22BAB}"/>
    <cellStyle name="Migliaia 14 3 4" xfId="3186" xr:uid="{A1EA2DB7-F7D2-4E69-A1E3-C4E9B0E70487}"/>
    <cellStyle name="Migliaia 14 3 4 2" xfId="4912" xr:uid="{9DB0BA99-6A06-41B5-87EE-FF0581E1AD4A}"/>
    <cellStyle name="Migliaia 14 3 4 3" xfId="6131" xr:uid="{F2793EA7-0D19-41B5-B2C8-CEBC7078C830}"/>
    <cellStyle name="Migliaia 14 3 5" xfId="3187" xr:uid="{45BB84BB-5639-4FF8-A183-C59773CCAD04}"/>
    <cellStyle name="Migliaia 14 3 5 2" xfId="4913" xr:uid="{6A4A9AA9-46A7-4B3F-A8C0-22FD0377A141}"/>
    <cellStyle name="Migliaia 14 3 5 3" xfId="6132" xr:uid="{99C11310-EE17-4A91-8C4B-96692250718C}"/>
    <cellStyle name="Migliaia 14 3 6" xfId="4908" xr:uid="{C9EE868E-C7D0-43EC-9439-13FF0AFEFCFE}"/>
    <cellStyle name="Migliaia 14 3 7" xfId="6127" xr:uid="{17DF4EE6-88E2-48FB-B2A3-BBC49217EFAC}"/>
    <cellStyle name="Migliaia 14 3 8" xfId="3182" xr:uid="{6BE41C24-B8C9-445C-878A-E46708774162}"/>
    <cellStyle name="Migliaia 14 4" xfId="1681" xr:uid="{00000000-0005-0000-0000-0000EB020000}"/>
    <cellStyle name="Migliaia 14 4 2" xfId="1682" xr:uid="{00000000-0005-0000-0000-0000EC020000}"/>
    <cellStyle name="Migliaia 14 4 2 2" xfId="4915" xr:uid="{5221FF7D-2A52-41F0-AE8B-10CBECCFF2EC}"/>
    <cellStyle name="Migliaia 14 4 2 3" xfId="3189" xr:uid="{C54C62C7-FA7C-47A7-B735-283770C5007E}"/>
    <cellStyle name="Migliaia 14 4 3" xfId="4914" xr:uid="{918A0472-B2C7-4907-891C-E492A19C61BB}"/>
    <cellStyle name="Migliaia 14 4 4" xfId="6133" xr:uid="{820D8213-5592-4CFF-982D-9851E2FD878D}"/>
    <cellStyle name="Migliaia 14 4 5" xfId="3188" xr:uid="{BC286E36-6ADB-44AB-ACF3-BDB94DD408AD}"/>
    <cellStyle name="Migliaia 14 5" xfId="1683" xr:uid="{00000000-0005-0000-0000-0000ED020000}"/>
    <cellStyle name="Migliaia 14 5 2" xfId="4916" xr:uid="{482ABD40-BBF9-46F6-8409-5A5630DB9417}"/>
    <cellStyle name="Migliaia 14 5 3" xfId="6134" xr:uid="{067A04A7-0942-47F2-87E4-D968C2557137}"/>
    <cellStyle name="Migliaia 14 5 4" xfId="3190" xr:uid="{EAF6DF6C-09F4-464E-AE15-06C92F06EE35}"/>
    <cellStyle name="Migliaia 14 6" xfId="3191" xr:uid="{5B7FA07A-DD4B-48EA-8CAE-35B92D471FB4}"/>
    <cellStyle name="Migliaia 14 6 2" xfId="4917" xr:uid="{E8054902-4583-4A77-805E-3D0CFC3FB816}"/>
    <cellStyle name="Migliaia 14 6 3" xfId="6135" xr:uid="{A9BB2211-B30D-42E8-AAE1-3CDA90774B32}"/>
    <cellStyle name="Migliaia 14 7" xfId="3192" xr:uid="{B0502376-8199-4235-998D-A43526585DF6}"/>
    <cellStyle name="Migliaia 14 7 2" xfId="4918" xr:uid="{81C9A68C-3CA4-4195-A397-794860A0D82B}"/>
    <cellStyle name="Migliaia 14 7 3" xfId="6136" xr:uid="{FFAD9086-CABD-41F9-9A98-0B3F6E130EB4}"/>
    <cellStyle name="Migliaia 14 8" xfId="3193" xr:uid="{99BD47AC-F989-47E9-93BE-9704085BD7F7}"/>
    <cellStyle name="Migliaia 14 8 2" xfId="4919" xr:uid="{E4CF2ED6-EF0B-4C64-A84D-736089083BC6}"/>
    <cellStyle name="Migliaia 14 8 3" xfId="6137" xr:uid="{0F04EDF2-8A69-48D2-88FB-7C3B10DDA678}"/>
    <cellStyle name="Migliaia 14 9" xfId="4904" xr:uid="{CBE8CFEB-CA4A-407E-8C18-4385B40E25C9}"/>
    <cellStyle name="Migliaia 15" xfId="321" xr:uid="{00000000-0005-0000-0000-0000EE020000}"/>
    <cellStyle name="Migliaia 15 10" xfId="6138" xr:uid="{7B07B8FF-C2D1-44C1-A38B-753950E972E6}"/>
    <cellStyle name="Migliaia 15 11" xfId="3194" xr:uid="{3858E639-CA17-4088-809F-78DA78A8ADBF}"/>
    <cellStyle name="Migliaia 15 2" xfId="322" xr:uid="{00000000-0005-0000-0000-0000EF020000}"/>
    <cellStyle name="Migliaia 15 2 2" xfId="1684" xr:uid="{00000000-0005-0000-0000-0000F0020000}"/>
    <cellStyle name="Migliaia 15 2 2 2" xfId="4922" xr:uid="{D9FDB017-771C-4B12-844E-FA437A7D6E76}"/>
    <cellStyle name="Migliaia 15 2 2 3" xfId="6140" xr:uid="{37155FB9-7BC1-4086-B933-A7C2AEAF8181}"/>
    <cellStyle name="Migliaia 15 2 2 4" xfId="3196" xr:uid="{5DFBFD05-EDAC-4F4A-83D5-82D47E6CB0EA}"/>
    <cellStyle name="Migliaia 15 2 3" xfId="3197" xr:uid="{481F3C6A-B2FB-47C5-ABD5-4E4CEA617EE3}"/>
    <cellStyle name="Migliaia 15 2 3 2" xfId="4923" xr:uid="{1600B0C0-F5B7-40A1-8564-FBFDEAFC3445}"/>
    <cellStyle name="Migliaia 15 2 3 3" xfId="6141" xr:uid="{ABDB16BF-A422-42B8-BD44-6AC6A2A855DF}"/>
    <cellStyle name="Migliaia 15 2 4" xfId="4921" xr:uid="{36129831-AD7B-4BDE-A8F7-8C1AAFCD490F}"/>
    <cellStyle name="Migliaia 15 2 5" xfId="6139" xr:uid="{4874C8E8-3ABD-4056-A296-F6E4D301D127}"/>
    <cellStyle name="Migliaia 15 2 6" xfId="3195" xr:uid="{7C2277CD-4845-4997-B428-97F4B1717E11}"/>
    <cellStyle name="Migliaia 15 3" xfId="323" xr:uid="{00000000-0005-0000-0000-0000F1020000}"/>
    <cellStyle name="Migliaia 15 3 2" xfId="324" xr:uid="{00000000-0005-0000-0000-0000F2020000}"/>
    <cellStyle name="Migliaia 15 3 2 2" xfId="1685" xr:uid="{00000000-0005-0000-0000-0000F3020000}"/>
    <cellStyle name="Migliaia 15 3 2 2 2" xfId="4926" xr:uid="{A23F9B21-E516-4B42-A1A5-C78BCB985F94}"/>
    <cellStyle name="Migliaia 15 3 2 2 3" xfId="6144" xr:uid="{9B1CE36B-50AB-4823-B464-F06ED05E7278}"/>
    <cellStyle name="Migliaia 15 3 2 2 4" xfId="3200" xr:uid="{9BE245FA-3D26-4EEB-8E8D-683B64F61F6B}"/>
    <cellStyle name="Migliaia 15 3 2 3" xfId="4925" xr:uid="{D35E0E3C-31DE-47C9-A845-D82E40A1C66C}"/>
    <cellStyle name="Migliaia 15 3 2 4" xfId="6143" xr:uid="{F3AF43DF-A99B-4688-BCE6-2E3E5B173773}"/>
    <cellStyle name="Migliaia 15 3 2 5" xfId="3199" xr:uid="{5E82AD15-F9A0-410A-91E5-F26E020B9186}"/>
    <cellStyle name="Migliaia 15 3 3" xfId="3201" xr:uid="{D8D3A422-13AD-4B2E-9C66-20BD6A9ABA85}"/>
    <cellStyle name="Migliaia 15 3 3 2" xfId="4927" xr:uid="{BA3E4949-F9B6-40BC-A13D-9C45349CF198}"/>
    <cellStyle name="Migliaia 15 3 3 3" xfId="6145" xr:uid="{F3155F4F-FE05-4660-A85F-A83E0B774135}"/>
    <cellStyle name="Migliaia 15 3 4" xfId="3202" xr:uid="{BF52E8F6-432C-4E48-9E70-815FE8DBC92E}"/>
    <cellStyle name="Migliaia 15 3 4 2" xfId="4928" xr:uid="{0688F647-C651-4606-9B37-A716D0090F0B}"/>
    <cellStyle name="Migliaia 15 3 4 3" xfId="6146" xr:uid="{20358AD4-7B8A-4072-965E-BCE96F1D6104}"/>
    <cellStyle name="Migliaia 15 3 5" xfId="3203" xr:uid="{906EC72C-390D-4FAF-BC90-1C63139743B5}"/>
    <cellStyle name="Migliaia 15 3 5 2" xfId="4929" xr:uid="{6C2BE880-1069-4E36-8FFB-74E0B90B150E}"/>
    <cellStyle name="Migliaia 15 3 5 3" xfId="6147" xr:uid="{6C3041CF-B857-4B58-84E7-E3655F4FCA1D}"/>
    <cellStyle name="Migliaia 15 3 6" xfId="4924" xr:uid="{1D5A5665-20A8-4010-B6BE-CC7C9D7435FE}"/>
    <cellStyle name="Migliaia 15 3 7" xfId="6142" xr:uid="{76D5811D-D168-4737-B64B-386D4C94D7D3}"/>
    <cellStyle name="Migliaia 15 3 8" xfId="3198" xr:uid="{BECCB3E2-8A0A-487C-964D-9A075F5A9432}"/>
    <cellStyle name="Migliaia 15 4" xfId="1686" xr:uid="{00000000-0005-0000-0000-0000F4020000}"/>
    <cellStyle name="Migliaia 15 4 2" xfId="1687" xr:uid="{00000000-0005-0000-0000-0000F5020000}"/>
    <cellStyle name="Migliaia 15 4 2 2" xfId="4931" xr:uid="{F0315FC7-1B6D-4DCB-9A82-93271EAED387}"/>
    <cellStyle name="Migliaia 15 4 2 3" xfId="3205" xr:uid="{D7D70FDB-1670-4614-90A7-3910191D886B}"/>
    <cellStyle name="Migliaia 15 4 3" xfId="4930" xr:uid="{74F9374A-0F94-4442-8850-61E54C977B71}"/>
    <cellStyle name="Migliaia 15 4 4" xfId="6148" xr:uid="{99B47C6C-44E3-432F-BEF7-061E82C9C296}"/>
    <cellStyle name="Migliaia 15 4 5" xfId="3204" xr:uid="{3C459EEA-2071-4A48-9706-F3AA822F3A39}"/>
    <cellStyle name="Migliaia 15 5" xfId="1688" xr:uid="{00000000-0005-0000-0000-0000F6020000}"/>
    <cellStyle name="Migliaia 15 5 2" xfId="4932" xr:uid="{406E4B41-3978-412D-A8EB-3DAE53749793}"/>
    <cellStyle name="Migliaia 15 5 3" xfId="6149" xr:uid="{BAEB0A72-3CED-432B-B54F-15E743DD28F3}"/>
    <cellStyle name="Migliaia 15 5 4" xfId="3206" xr:uid="{A1490F85-18DA-4582-A053-BD0899C472C3}"/>
    <cellStyle name="Migliaia 15 6" xfId="3207" xr:uid="{91C84716-3AB3-47AC-814F-628D07476DA0}"/>
    <cellStyle name="Migliaia 15 6 2" xfId="4933" xr:uid="{41DEB13C-20EF-4157-91D8-656487658DA6}"/>
    <cellStyle name="Migliaia 15 6 3" xfId="6150" xr:uid="{F5E79BA5-3C71-44DA-991A-6F3A3698B9D2}"/>
    <cellStyle name="Migliaia 15 7" xfId="3208" xr:uid="{C2051085-84AA-4FB9-B3A2-8112F538E386}"/>
    <cellStyle name="Migliaia 15 7 2" xfId="4934" xr:uid="{97DD9A87-770D-4E17-9423-B9792975C01C}"/>
    <cellStyle name="Migliaia 15 7 3" xfId="6151" xr:uid="{9D13C3A7-40DD-4DC9-A1C1-319CB80BC3E1}"/>
    <cellStyle name="Migliaia 15 8" xfId="3209" xr:uid="{F9FB3714-966D-4FD4-84D8-F3EEDB8F10D0}"/>
    <cellStyle name="Migliaia 15 8 2" xfId="4935" xr:uid="{34E7FDAB-5CED-485A-BA5F-DDB25AF1A923}"/>
    <cellStyle name="Migliaia 15 8 3" xfId="6152" xr:uid="{C46C367F-F677-4C36-AC0E-3E931A673B03}"/>
    <cellStyle name="Migliaia 15 9" xfId="4920" xr:uid="{29D03140-C706-474F-B3A8-566A2EC01030}"/>
    <cellStyle name="Migliaia 16" xfId="325" xr:uid="{00000000-0005-0000-0000-0000F7020000}"/>
    <cellStyle name="Migliaia 16 10" xfId="6153" xr:uid="{A458F813-D2A8-40BA-9C11-FB508621C721}"/>
    <cellStyle name="Migliaia 16 11" xfId="3210" xr:uid="{D0E80C30-C1E1-4410-97DE-A42569E1E65E}"/>
    <cellStyle name="Migliaia 16 2" xfId="326" xr:uid="{00000000-0005-0000-0000-0000F8020000}"/>
    <cellStyle name="Migliaia 16 2 2" xfId="1689" xr:uid="{00000000-0005-0000-0000-0000F9020000}"/>
    <cellStyle name="Migliaia 16 2 2 2" xfId="4938" xr:uid="{E1DD2827-8E5B-4DB5-A199-FEF4BD8CCCE4}"/>
    <cellStyle name="Migliaia 16 2 2 3" xfId="6155" xr:uid="{D660994A-5113-4282-AFB3-817CC42605D2}"/>
    <cellStyle name="Migliaia 16 2 2 4" xfId="3212" xr:uid="{324ED930-B00C-4F15-8EFB-D7046203C253}"/>
    <cellStyle name="Migliaia 16 2 3" xfId="3213" xr:uid="{8D050877-C74C-4E3B-BF05-0027D5C5482C}"/>
    <cellStyle name="Migliaia 16 2 3 2" xfId="4939" xr:uid="{25BA2046-E345-4D53-9150-232D9788F847}"/>
    <cellStyle name="Migliaia 16 2 3 3" xfId="6156" xr:uid="{E223A856-631D-4177-B855-17F93EF56F47}"/>
    <cellStyle name="Migliaia 16 2 4" xfId="4937" xr:uid="{A6CD6303-25FE-4FA1-980D-0C8F0846086D}"/>
    <cellStyle name="Migliaia 16 2 5" xfId="6154" xr:uid="{B2950C2F-0546-4574-A6DD-4BE0709E50BE}"/>
    <cellStyle name="Migliaia 16 2 6" xfId="3211" xr:uid="{8368FD26-3CEC-4A82-80D5-403BC16C9C61}"/>
    <cellStyle name="Migliaia 16 3" xfId="327" xr:uid="{00000000-0005-0000-0000-0000FA020000}"/>
    <cellStyle name="Migliaia 16 3 2" xfId="328" xr:uid="{00000000-0005-0000-0000-0000FB020000}"/>
    <cellStyle name="Migliaia 16 3 2 2" xfId="1690" xr:uid="{00000000-0005-0000-0000-0000FC020000}"/>
    <cellStyle name="Migliaia 16 3 2 2 2" xfId="4942" xr:uid="{D5C00C69-87FB-428A-B87A-C0A76BFFEBF9}"/>
    <cellStyle name="Migliaia 16 3 2 2 3" xfId="6159" xr:uid="{7ED3B557-4352-409A-B9F7-CA638A0C95DD}"/>
    <cellStyle name="Migliaia 16 3 2 2 4" xfId="3216" xr:uid="{6BEF3A34-01EF-4ECC-AC62-39BA76C482F6}"/>
    <cellStyle name="Migliaia 16 3 2 3" xfId="4941" xr:uid="{8C06B9D4-7CA3-4861-B45B-20C32E99E95C}"/>
    <cellStyle name="Migliaia 16 3 2 4" xfId="6158" xr:uid="{BAB117E8-8454-4F3D-AFFD-6E5D20F5C2C3}"/>
    <cellStyle name="Migliaia 16 3 2 5" xfId="3215" xr:uid="{0736BE52-8B4E-4198-BD8D-B2545DBB7C79}"/>
    <cellStyle name="Migliaia 16 3 3" xfId="3217" xr:uid="{21A3FBAC-31AF-4780-AAC4-1A173292D86D}"/>
    <cellStyle name="Migliaia 16 3 3 2" xfId="4943" xr:uid="{2B9D2E43-3C7F-468F-B5AA-DE807D4E18D6}"/>
    <cellStyle name="Migliaia 16 3 3 3" xfId="6160" xr:uid="{660E4021-C2B9-4652-9296-9D45E689D00C}"/>
    <cellStyle name="Migliaia 16 3 4" xfId="3218" xr:uid="{2BC36462-1492-4B99-9ED1-41E3181EECB0}"/>
    <cellStyle name="Migliaia 16 3 4 2" xfId="4944" xr:uid="{20849AFC-71DE-4430-A01C-83EBB7DF3642}"/>
    <cellStyle name="Migliaia 16 3 4 3" xfId="6161" xr:uid="{97EF078D-C318-45EA-AAFF-3A421D7EAFB7}"/>
    <cellStyle name="Migliaia 16 3 5" xfId="3219" xr:uid="{A90785C4-DFDF-4332-AC54-1CDA67480740}"/>
    <cellStyle name="Migliaia 16 3 5 2" xfId="4945" xr:uid="{3E5199E1-1F7E-4A2D-9961-E629987FEE54}"/>
    <cellStyle name="Migliaia 16 3 5 3" xfId="6162" xr:uid="{FC833FDF-BDCD-4896-B72F-B830E950E2DD}"/>
    <cellStyle name="Migliaia 16 3 6" xfId="4940" xr:uid="{5EA4443C-0496-4476-B8BE-A5CE1F575BE8}"/>
    <cellStyle name="Migliaia 16 3 7" xfId="6157" xr:uid="{FBE4E020-7F17-4AE8-A927-05DCC289AC59}"/>
    <cellStyle name="Migliaia 16 3 8" xfId="3214" xr:uid="{37890EC3-B3B9-4EDE-876F-E9882B80912E}"/>
    <cellStyle name="Migliaia 16 4" xfId="1691" xr:uid="{00000000-0005-0000-0000-0000FD020000}"/>
    <cellStyle name="Migliaia 16 4 2" xfId="1692" xr:uid="{00000000-0005-0000-0000-0000FE020000}"/>
    <cellStyle name="Migliaia 16 4 2 2" xfId="4947" xr:uid="{33748097-BF56-4AD6-ACE1-6610C0301E59}"/>
    <cellStyle name="Migliaia 16 4 2 3" xfId="3221" xr:uid="{4623FA19-E8E2-4B98-88A4-5996386DF123}"/>
    <cellStyle name="Migliaia 16 4 3" xfId="4946" xr:uid="{612FC0C7-567C-48A8-B4C0-28E29EB27411}"/>
    <cellStyle name="Migliaia 16 4 4" xfId="6163" xr:uid="{EE0E1019-BA5D-451C-A865-8943731C0874}"/>
    <cellStyle name="Migliaia 16 4 5" xfId="3220" xr:uid="{B4233E2A-7FC8-4227-B35D-15BE41C99CDD}"/>
    <cellStyle name="Migliaia 16 5" xfId="1693" xr:uid="{00000000-0005-0000-0000-0000FF020000}"/>
    <cellStyle name="Migliaia 16 5 2" xfId="4948" xr:uid="{FECCBD8E-1D57-4C1D-8A50-26C3EA39370E}"/>
    <cellStyle name="Migliaia 16 5 3" xfId="6164" xr:uid="{430DC52C-4757-4EEE-A55E-DF1BAAC038BA}"/>
    <cellStyle name="Migliaia 16 5 4" xfId="3222" xr:uid="{82A7E26C-C8AC-4C75-B7F2-670D9EDDA009}"/>
    <cellStyle name="Migliaia 16 6" xfId="3223" xr:uid="{66EDDB79-6AA3-4646-8F38-4D76577588FD}"/>
    <cellStyle name="Migliaia 16 6 2" xfId="4949" xr:uid="{7DB9EAB6-4387-45F8-96C1-93C58C807D5F}"/>
    <cellStyle name="Migliaia 16 6 3" xfId="6165" xr:uid="{DBB586DC-B786-4B33-B3B4-E3265610A976}"/>
    <cellStyle name="Migliaia 16 7" xfId="3224" xr:uid="{9116D72B-23F8-4790-BAB6-73152061C4CA}"/>
    <cellStyle name="Migliaia 16 7 2" xfId="4950" xr:uid="{8500CA5C-8D52-4E38-A342-3AFD01F418E4}"/>
    <cellStyle name="Migliaia 16 7 3" xfId="6166" xr:uid="{5376C883-DF44-4A3E-B3E1-A5A04B9F6B36}"/>
    <cellStyle name="Migliaia 16 8" xfId="3225" xr:uid="{F5E9D481-4024-4216-B3A7-18E13A81E535}"/>
    <cellStyle name="Migliaia 16 8 2" xfId="4951" xr:uid="{719F73F2-1384-4687-8842-89D1854050D4}"/>
    <cellStyle name="Migliaia 16 8 3" xfId="6167" xr:uid="{AE8F9E46-D909-4E5A-8AA1-D58B68859054}"/>
    <cellStyle name="Migliaia 16 9" xfId="4936" xr:uid="{92157AAB-3F43-49E5-A200-E9CBC37921B5}"/>
    <cellStyle name="Migliaia 17" xfId="329" xr:uid="{00000000-0005-0000-0000-000000030000}"/>
    <cellStyle name="Migliaia 17 10" xfId="6168" xr:uid="{B449B038-E41A-43A1-B283-DD8A34D3ED52}"/>
    <cellStyle name="Migliaia 17 11" xfId="3226" xr:uid="{3046D155-BC93-4761-A084-C4E6361BB75B}"/>
    <cellStyle name="Migliaia 17 2" xfId="330" xr:uid="{00000000-0005-0000-0000-000001030000}"/>
    <cellStyle name="Migliaia 17 2 2" xfId="1694" xr:uid="{00000000-0005-0000-0000-000002030000}"/>
    <cellStyle name="Migliaia 17 2 2 2" xfId="4954" xr:uid="{695FE019-1048-4F96-87E5-CB4E1C1EE737}"/>
    <cellStyle name="Migliaia 17 2 2 3" xfId="6170" xr:uid="{59EA1EA9-D1A2-4ADE-96BF-8C4DB3BDBB8C}"/>
    <cellStyle name="Migliaia 17 2 2 4" xfId="3228" xr:uid="{7703B99E-8B88-4E71-B09F-8CE24733E721}"/>
    <cellStyle name="Migliaia 17 2 3" xfId="3229" xr:uid="{0B847C8A-4DCD-4132-8C9E-CAA77CE9928A}"/>
    <cellStyle name="Migliaia 17 2 3 2" xfId="4955" xr:uid="{A164BD99-8283-40BF-8EB6-539D876E88F1}"/>
    <cellStyle name="Migliaia 17 2 3 3" xfId="6171" xr:uid="{67FCBE1A-BC13-47B3-B5F6-D287E5FCC063}"/>
    <cellStyle name="Migliaia 17 2 4" xfId="4953" xr:uid="{4D730830-2A8D-44F6-891A-BAE705955E6A}"/>
    <cellStyle name="Migliaia 17 2 5" xfId="6169" xr:uid="{55BF6CD0-2152-456E-9153-6075540BED1F}"/>
    <cellStyle name="Migliaia 17 2 6" xfId="3227" xr:uid="{FB3752D8-FD09-45FE-B603-F3340391FA73}"/>
    <cellStyle name="Migliaia 17 3" xfId="331" xr:uid="{00000000-0005-0000-0000-000003030000}"/>
    <cellStyle name="Migliaia 17 3 2" xfId="332" xr:uid="{00000000-0005-0000-0000-000004030000}"/>
    <cellStyle name="Migliaia 17 3 2 2" xfId="1695" xr:uid="{00000000-0005-0000-0000-000005030000}"/>
    <cellStyle name="Migliaia 17 3 2 2 2" xfId="4958" xr:uid="{EAFDC47D-6F89-4548-8DC7-9811C57B3594}"/>
    <cellStyle name="Migliaia 17 3 2 2 3" xfId="6174" xr:uid="{03F2D1A1-C66C-4C0E-8BC7-4884B93EF7C6}"/>
    <cellStyle name="Migliaia 17 3 2 2 4" xfId="3232" xr:uid="{48A5F7A4-3E71-4609-812F-59F6D9139260}"/>
    <cellStyle name="Migliaia 17 3 2 3" xfId="4957" xr:uid="{BFD71815-3366-482C-8B9F-6B7E59AC4D32}"/>
    <cellStyle name="Migliaia 17 3 2 4" xfId="6173" xr:uid="{B9C3E0C3-34CA-4438-ADDD-BFD99F6726B3}"/>
    <cellStyle name="Migliaia 17 3 2 5" xfId="3231" xr:uid="{2B9C8FD2-44DC-4C24-92A5-3D6D6B051CD1}"/>
    <cellStyle name="Migliaia 17 3 3" xfId="3233" xr:uid="{A80063E3-B088-41B8-9A02-523362C1393B}"/>
    <cellStyle name="Migliaia 17 3 3 2" xfId="4959" xr:uid="{C5AAF257-1944-4FD3-8FB6-60DD81F4CFE2}"/>
    <cellStyle name="Migliaia 17 3 3 3" xfId="6175" xr:uid="{CC8B715A-52C4-4EC2-89C0-EB35B3C3E5CE}"/>
    <cellStyle name="Migliaia 17 3 4" xfId="3234" xr:uid="{8E72B6F0-A2BD-4AE4-8B2A-45ABB98C85D9}"/>
    <cellStyle name="Migliaia 17 3 4 2" xfId="4960" xr:uid="{9867DA51-5C58-4E79-AA12-71F9A24E03C9}"/>
    <cellStyle name="Migliaia 17 3 4 3" xfId="6176" xr:uid="{99FE320E-2D40-43D6-8FE4-2EAF9FE9C851}"/>
    <cellStyle name="Migliaia 17 3 5" xfId="3235" xr:uid="{FA61D102-D688-4095-994F-E7644FBC5035}"/>
    <cellStyle name="Migliaia 17 3 5 2" xfId="4961" xr:uid="{975A1586-6716-459C-8B1E-F42FF417E0F1}"/>
    <cellStyle name="Migliaia 17 3 5 3" xfId="6177" xr:uid="{E9256CF4-117D-44BE-B3D0-E174700CC2A2}"/>
    <cellStyle name="Migliaia 17 3 6" xfId="4956" xr:uid="{8C261088-6E59-4060-9B7A-9D82E997A473}"/>
    <cellStyle name="Migliaia 17 3 7" xfId="6172" xr:uid="{4D0DAE86-91A0-4490-9FBE-2D8A0CB81B60}"/>
    <cellStyle name="Migliaia 17 3 8" xfId="3230" xr:uid="{4C4F8F08-D78A-406A-AC12-07AFB98FD700}"/>
    <cellStyle name="Migliaia 17 4" xfId="1696" xr:uid="{00000000-0005-0000-0000-000006030000}"/>
    <cellStyle name="Migliaia 17 4 2" xfId="1697" xr:uid="{00000000-0005-0000-0000-000007030000}"/>
    <cellStyle name="Migliaia 17 4 2 2" xfId="4963" xr:uid="{EA948EB0-65CE-4A56-91D0-E2FDF1EFEB82}"/>
    <cellStyle name="Migliaia 17 4 2 3" xfId="3237" xr:uid="{38E83EC4-9AD6-4D1A-BB4F-2967DE7C4D9F}"/>
    <cellStyle name="Migliaia 17 4 3" xfId="4962" xr:uid="{8D50FFE8-B994-400F-9759-66E5DCF7E603}"/>
    <cellStyle name="Migliaia 17 4 4" xfId="6178" xr:uid="{4081831F-FEC0-41DD-B863-4210B06B10FF}"/>
    <cellStyle name="Migliaia 17 4 5" xfId="3236" xr:uid="{6358207B-6C03-42A2-A1E0-B356CCA37138}"/>
    <cellStyle name="Migliaia 17 5" xfId="1698" xr:uid="{00000000-0005-0000-0000-000008030000}"/>
    <cellStyle name="Migliaia 17 5 2" xfId="4964" xr:uid="{85C5DCF9-C859-4531-9C7B-A9BCF7AC412B}"/>
    <cellStyle name="Migliaia 17 5 3" xfId="6179" xr:uid="{C19D1431-B0B3-4C4D-8446-6DC11B039C80}"/>
    <cellStyle name="Migliaia 17 5 4" xfId="3238" xr:uid="{8B1FB564-F176-448E-AF2B-2C1C55D260C9}"/>
    <cellStyle name="Migliaia 17 6" xfId="3239" xr:uid="{4DE26CC1-1D91-4FAF-86BA-4722C17A60B7}"/>
    <cellStyle name="Migliaia 17 6 2" xfId="4965" xr:uid="{6C405154-6A46-4C0C-846D-53DBEE1743F2}"/>
    <cellStyle name="Migliaia 17 6 3" xfId="6180" xr:uid="{FCC1FADF-1434-4BAD-9114-E749D59E36E2}"/>
    <cellStyle name="Migliaia 17 7" xfId="3240" xr:uid="{CD92DC21-FF47-45E4-A089-FA24C227C465}"/>
    <cellStyle name="Migliaia 17 7 2" xfId="4966" xr:uid="{1E73715D-6A5F-4F26-BD3F-2AE652BF7760}"/>
    <cellStyle name="Migliaia 17 7 3" xfId="6181" xr:uid="{74626AA6-CBB9-49CA-B849-B6F3A3E695D1}"/>
    <cellStyle name="Migliaia 17 8" xfId="3241" xr:uid="{27BA129C-EE2A-4CE8-B3CC-77F0996D1203}"/>
    <cellStyle name="Migliaia 17 8 2" xfId="4967" xr:uid="{C157ADDC-F69A-4A90-8A04-7CB2043C705F}"/>
    <cellStyle name="Migliaia 17 8 3" xfId="6182" xr:uid="{2750B2C4-F597-45FF-84B2-54122E95EA12}"/>
    <cellStyle name="Migliaia 17 9" xfId="4952" xr:uid="{3B01EF58-5995-47A2-BF0B-D0E7DDEC5F71}"/>
    <cellStyle name="Migliaia 18" xfId="333" xr:uid="{00000000-0005-0000-0000-000009030000}"/>
    <cellStyle name="Migliaia 18 10" xfId="6183" xr:uid="{36F4397E-53D2-4029-A735-5FA42F1809EE}"/>
    <cellStyle name="Migliaia 18 11" xfId="3242" xr:uid="{E1980C94-BECB-4725-A3DC-DADD294D717B}"/>
    <cellStyle name="Migliaia 18 2" xfId="334" xr:uid="{00000000-0005-0000-0000-00000A030000}"/>
    <cellStyle name="Migliaia 18 2 2" xfId="1699" xr:uid="{00000000-0005-0000-0000-00000B030000}"/>
    <cellStyle name="Migliaia 18 2 2 2" xfId="4970" xr:uid="{A71E8641-E7CA-411E-9CA4-8900CA4196B8}"/>
    <cellStyle name="Migliaia 18 2 2 3" xfId="6185" xr:uid="{AA3AE2D2-A546-476A-A26F-908A55AEBCBE}"/>
    <cellStyle name="Migliaia 18 2 2 4" xfId="3244" xr:uid="{16468B8A-E153-47DF-AACF-DACAE5BF140D}"/>
    <cellStyle name="Migliaia 18 2 3" xfId="3245" xr:uid="{259C5CCE-5155-401E-A417-4339BBD49EA4}"/>
    <cellStyle name="Migliaia 18 2 3 2" xfId="4971" xr:uid="{45CF8233-509F-4388-87FE-F73AB72A4433}"/>
    <cellStyle name="Migliaia 18 2 3 3" xfId="6186" xr:uid="{7E1CBE8C-3EEB-4485-B3F2-3BEA2C707E79}"/>
    <cellStyle name="Migliaia 18 2 4" xfId="4969" xr:uid="{1404A246-297D-4A47-9EE6-B70F5C069C22}"/>
    <cellStyle name="Migliaia 18 2 5" xfId="6184" xr:uid="{21B9BB6A-2983-4B41-9CBE-72C15599D672}"/>
    <cellStyle name="Migliaia 18 2 6" xfId="3243" xr:uid="{5F30935A-B8D3-4E40-A511-758B78429BE0}"/>
    <cellStyle name="Migliaia 18 3" xfId="335" xr:uid="{00000000-0005-0000-0000-00000C030000}"/>
    <cellStyle name="Migliaia 18 3 2" xfId="336" xr:uid="{00000000-0005-0000-0000-00000D030000}"/>
    <cellStyle name="Migliaia 18 3 2 2" xfId="1700" xr:uid="{00000000-0005-0000-0000-00000E030000}"/>
    <cellStyle name="Migliaia 18 3 2 2 2" xfId="4974" xr:uid="{55FF77B5-B280-4A7F-B6F9-FCC79EF42BBD}"/>
    <cellStyle name="Migliaia 18 3 2 2 3" xfId="6189" xr:uid="{0DA875BA-3D75-4924-94FB-B39D7544A924}"/>
    <cellStyle name="Migliaia 18 3 2 2 4" xfId="3248" xr:uid="{A405EDCB-D416-4927-8743-A9D12C6D3421}"/>
    <cellStyle name="Migliaia 18 3 2 3" xfId="4973" xr:uid="{7ED9093F-318D-4552-B1EC-C780F0CAE4CC}"/>
    <cellStyle name="Migliaia 18 3 2 4" xfId="6188" xr:uid="{B6FD2D44-EFF2-4E51-8929-DFC10D1ED45E}"/>
    <cellStyle name="Migliaia 18 3 2 5" xfId="3247" xr:uid="{FC030BE4-6931-41B1-A709-FC9C4F953837}"/>
    <cellStyle name="Migliaia 18 3 3" xfId="3249" xr:uid="{430B9F98-81F4-4DE4-9E7B-CC42C9FA1FB0}"/>
    <cellStyle name="Migliaia 18 3 3 2" xfId="4975" xr:uid="{156C09C0-292F-4410-80BE-6124317C1B1A}"/>
    <cellStyle name="Migliaia 18 3 3 3" xfId="6190" xr:uid="{7B963DDB-A511-4C50-8C4D-F52EA317543F}"/>
    <cellStyle name="Migliaia 18 3 4" xfId="3250" xr:uid="{F5F6F761-2D0E-4D86-8F87-37956FAF3AA6}"/>
    <cellStyle name="Migliaia 18 3 4 2" xfId="4976" xr:uid="{156AFBDD-1C9B-4CE9-B4D4-E8A357EDF98D}"/>
    <cellStyle name="Migliaia 18 3 4 3" xfId="6191" xr:uid="{260D90DD-FD82-4E5D-83EA-C12406F7F007}"/>
    <cellStyle name="Migliaia 18 3 5" xfId="3251" xr:uid="{D5FAE978-7003-4C46-A043-FCC3D4781EC9}"/>
    <cellStyle name="Migliaia 18 3 5 2" xfId="4977" xr:uid="{3E5E59C9-1C93-4DFF-82B8-D71C12297645}"/>
    <cellStyle name="Migliaia 18 3 5 3" xfId="6192" xr:uid="{79ACBB37-7CC4-4D6C-B59D-437DF2CFF59E}"/>
    <cellStyle name="Migliaia 18 3 6" xfId="4972" xr:uid="{A251C484-39B1-480B-A25D-02ABBC4FAFA7}"/>
    <cellStyle name="Migliaia 18 3 7" xfId="6187" xr:uid="{86055873-FA63-4967-A37C-5BC95402A521}"/>
    <cellStyle name="Migliaia 18 3 8" xfId="3246" xr:uid="{C18AA86D-3A41-48BC-9780-FA515A7B1EDF}"/>
    <cellStyle name="Migliaia 18 4" xfId="1701" xr:uid="{00000000-0005-0000-0000-00000F030000}"/>
    <cellStyle name="Migliaia 18 4 2" xfId="1702" xr:uid="{00000000-0005-0000-0000-000010030000}"/>
    <cellStyle name="Migliaia 18 4 2 2" xfId="4979" xr:uid="{CB6C5291-2053-48BC-B6E4-9E3E503A7291}"/>
    <cellStyle name="Migliaia 18 4 2 3" xfId="3253" xr:uid="{C25EADA2-F88D-4E27-9E3E-A9381DE8B3AA}"/>
    <cellStyle name="Migliaia 18 4 3" xfId="4978" xr:uid="{C642B941-0DA9-46F6-9D7C-81EFB3C2EE7B}"/>
    <cellStyle name="Migliaia 18 4 4" xfId="6193" xr:uid="{E6C8AD2C-FF1B-455F-9EFC-38183A76351F}"/>
    <cellStyle name="Migliaia 18 4 5" xfId="3252" xr:uid="{A7158CD3-8D23-4D72-93AF-9956B8CB27DE}"/>
    <cellStyle name="Migliaia 18 5" xfId="1703" xr:uid="{00000000-0005-0000-0000-000011030000}"/>
    <cellStyle name="Migliaia 18 5 2" xfId="4980" xr:uid="{E297393A-EC80-4BB4-853A-F766CA6B4C3A}"/>
    <cellStyle name="Migliaia 18 5 3" xfId="6194" xr:uid="{394108E8-E9BC-47C0-BFEC-6A27180EC848}"/>
    <cellStyle name="Migliaia 18 5 4" xfId="3254" xr:uid="{74D5BC7B-ABC9-4CB8-B50B-B541E1D07398}"/>
    <cellStyle name="Migliaia 18 6" xfId="3255" xr:uid="{3498BE42-B814-4C83-B7FD-9D05ED71684E}"/>
    <cellStyle name="Migliaia 18 6 2" xfId="4981" xr:uid="{4A83D9D6-647E-4AE2-AE6D-B898F24326A4}"/>
    <cellStyle name="Migliaia 18 6 3" xfId="6195" xr:uid="{595170DD-7BCA-4302-9C2B-23DE8AA19F08}"/>
    <cellStyle name="Migliaia 18 7" xfId="3256" xr:uid="{206CE5AF-B63C-475E-9426-19CB5C7EF6A1}"/>
    <cellStyle name="Migliaia 18 7 2" xfId="4982" xr:uid="{657C8964-6238-4F06-A362-2B3D9DB238D6}"/>
    <cellStyle name="Migliaia 18 7 3" xfId="6196" xr:uid="{5AEBC77C-D365-432E-A1A8-C0E33617CA18}"/>
    <cellStyle name="Migliaia 18 8" xfId="3257" xr:uid="{6D1929A2-F3D2-4667-B144-AF276F38C545}"/>
    <cellStyle name="Migliaia 18 8 2" xfId="4983" xr:uid="{EDAE835E-7130-43B1-9258-0F1DF4940E4D}"/>
    <cellStyle name="Migliaia 18 8 3" xfId="6197" xr:uid="{08C5AA62-83C5-4B77-9684-48FECFC26092}"/>
    <cellStyle name="Migliaia 18 9" xfId="4968" xr:uid="{55F06D92-48AB-43F3-9B9C-87408D17C528}"/>
    <cellStyle name="Migliaia 19" xfId="337" xr:uid="{00000000-0005-0000-0000-000012030000}"/>
    <cellStyle name="Migliaia 19 10" xfId="6198" xr:uid="{C2AF1743-B07D-4726-B6A6-5F02C1CDC405}"/>
    <cellStyle name="Migliaia 19 11" xfId="3258" xr:uid="{AB62268D-6912-4A2A-893D-E7EBC2DD6476}"/>
    <cellStyle name="Migliaia 19 2" xfId="338" xr:uid="{00000000-0005-0000-0000-000013030000}"/>
    <cellStyle name="Migliaia 19 2 2" xfId="1704" xr:uid="{00000000-0005-0000-0000-000014030000}"/>
    <cellStyle name="Migliaia 19 2 2 2" xfId="4986" xr:uid="{E7BD9BEB-9AAB-418B-9D86-2BD326F53B24}"/>
    <cellStyle name="Migliaia 19 2 2 3" xfId="6200" xr:uid="{5BA40000-DAC1-4889-AAB7-7B27DA42DB75}"/>
    <cellStyle name="Migliaia 19 2 2 4" xfId="3260" xr:uid="{4A40C458-532A-4333-BC84-0F5988C66984}"/>
    <cellStyle name="Migliaia 19 2 3" xfId="3261" xr:uid="{93D562CB-150D-44C1-8FB4-39996E533BE7}"/>
    <cellStyle name="Migliaia 19 2 3 2" xfId="4987" xr:uid="{B96B279A-42E6-478A-9B7C-DB4BB94B714A}"/>
    <cellStyle name="Migliaia 19 2 3 3" xfId="6201" xr:uid="{E1A81C96-9813-49A0-958C-201DCF294027}"/>
    <cellStyle name="Migliaia 19 2 4" xfId="4985" xr:uid="{C793143C-B402-42D0-AB28-3BD64F5249B6}"/>
    <cellStyle name="Migliaia 19 2 5" xfId="6199" xr:uid="{AF0B5318-5D52-4428-BF2C-AC1DED89A204}"/>
    <cellStyle name="Migliaia 19 2 6" xfId="3259" xr:uid="{85FE3AEE-D9F4-40E3-89FB-A1E14EEBD672}"/>
    <cellStyle name="Migliaia 19 3" xfId="339" xr:uid="{00000000-0005-0000-0000-000015030000}"/>
    <cellStyle name="Migliaia 19 3 2" xfId="340" xr:uid="{00000000-0005-0000-0000-000016030000}"/>
    <cellStyle name="Migliaia 19 3 2 2" xfId="1705" xr:uid="{00000000-0005-0000-0000-000017030000}"/>
    <cellStyle name="Migliaia 19 3 2 2 2" xfId="4990" xr:uid="{A1BAE3DD-820A-49AF-AA68-4C3930EA6216}"/>
    <cellStyle name="Migliaia 19 3 2 2 3" xfId="6204" xr:uid="{491965D6-8099-40DA-BE0F-6272D26187E1}"/>
    <cellStyle name="Migliaia 19 3 2 2 4" xfId="3264" xr:uid="{3401942F-8864-444A-9B47-92F0FE77A196}"/>
    <cellStyle name="Migliaia 19 3 2 3" xfId="4989" xr:uid="{AAC3B8DD-58FE-4913-BE27-C5214A88C764}"/>
    <cellStyle name="Migliaia 19 3 2 4" xfId="6203" xr:uid="{77E51C55-6F86-4456-AC6C-E8FCD54AB083}"/>
    <cellStyle name="Migliaia 19 3 2 5" xfId="3263" xr:uid="{2BD6D86B-BC73-42BD-B1EA-B22170EA6BE9}"/>
    <cellStyle name="Migliaia 19 3 3" xfId="3265" xr:uid="{95E934C0-2E91-490A-A54A-8CB19BB87552}"/>
    <cellStyle name="Migliaia 19 3 3 2" xfId="4991" xr:uid="{C3BED81C-BE51-42DC-8EE0-4D6331C7903C}"/>
    <cellStyle name="Migliaia 19 3 3 3" xfId="6205" xr:uid="{B42D0791-23A0-4522-B2D4-0FB9D408F63C}"/>
    <cellStyle name="Migliaia 19 3 4" xfId="3266" xr:uid="{7AE4E268-5745-47EA-A3A7-1B75C330C6F2}"/>
    <cellStyle name="Migliaia 19 3 4 2" xfId="4992" xr:uid="{C43FD034-2D57-4E28-BA33-8811DD7D8BF2}"/>
    <cellStyle name="Migliaia 19 3 4 3" xfId="6206" xr:uid="{66ECF252-D3A6-4BEF-A3B2-38A11E62F731}"/>
    <cellStyle name="Migliaia 19 3 5" xfId="3267" xr:uid="{7DBC6E18-9DCF-4DF2-B801-CA13363F3EA5}"/>
    <cellStyle name="Migliaia 19 3 5 2" xfId="4993" xr:uid="{B09A3B84-BB0E-4386-AD27-CCCBEC6CCD7F}"/>
    <cellStyle name="Migliaia 19 3 5 3" xfId="6207" xr:uid="{885B50DB-7E80-4EEC-8866-2842E19F13F7}"/>
    <cellStyle name="Migliaia 19 3 6" xfId="4988" xr:uid="{49C4597E-B242-4533-A086-C6465140A1F1}"/>
    <cellStyle name="Migliaia 19 3 7" xfId="6202" xr:uid="{590C9D33-19A5-44AB-A278-CFCB3369BEC6}"/>
    <cellStyle name="Migliaia 19 3 8" xfId="3262" xr:uid="{D1585B06-D85F-4FD1-9716-BA81838D8BEA}"/>
    <cellStyle name="Migliaia 19 4" xfId="1706" xr:uid="{00000000-0005-0000-0000-000018030000}"/>
    <cellStyle name="Migliaia 19 4 2" xfId="1707" xr:uid="{00000000-0005-0000-0000-000019030000}"/>
    <cellStyle name="Migliaia 19 4 2 2" xfId="4995" xr:uid="{9A7E0493-C426-4B43-A10C-65DFF4630C10}"/>
    <cellStyle name="Migliaia 19 4 2 3" xfId="3269" xr:uid="{0331420F-C1C0-4F70-8B65-7C19B75EA04A}"/>
    <cellStyle name="Migliaia 19 4 3" xfId="4994" xr:uid="{8E2B633E-7A4D-4718-A1C5-F4F5A6A43BA4}"/>
    <cellStyle name="Migliaia 19 4 4" xfId="6208" xr:uid="{4009F911-1E47-417E-9639-404C56AFD691}"/>
    <cellStyle name="Migliaia 19 4 5" xfId="3268" xr:uid="{48EFFAB1-8DE9-48F6-89BA-FE2089E96E51}"/>
    <cellStyle name="Migliaia 19 5" xfId="1708" xr:uid="{00000000-0005-0000-0000-00001A030000}"/>
    <cellStyle name="Migliaia 19 5 2" xfId="4996" xr:uid="{6C3915C5-B17E-43D0-8D4A-A8D692791784}"/>
    <cellStyle name="Migliaia 19 5 3" xfId="6209" xr:uid="{6337CDC3-6F42-4890-8DDC-D92BCB0691A6}"/>
    <cellStyle name="Migliaia 19 5 4" xfId="3270" xr:uid="{900A732B-E6FB-4C98-80FD-512C52368D6D}"/>
    <cellStyle name="Migliaia 19 6" xfId="3271" xr:uid="{9E9B04EA-73B5-4D5F-AD77-19BC7159F5F6}"/>
    <cellStyle name="Migliaia 19 6 2" xfId="4997" xr:uid="{BEF9BF70-E567-427B-A749-B4BF012B562E}"/>
    <cellStyle name="Migliaia 19 6 3" xfId="6210" xr:uid="{AA3B5161-7F66-4F29-9650-14FB5D09038A}"/>
    <cellStyle name="Migliaia 19 7" xfId="3272" xr:uid="{AF4F06DB-E708-406F-ABF3-550629CB2981}"/>
    <cellStyle name="Migliaia 19 7 2" xfId="4998" xr:uid="{25F5E1BD-2A63-4269-B98E-1FB3CC9225E7}"/>
    <cellStyle name="Migliaia 19 7 3" xfId="6211" xr:uid="{55BDB78C-303D-4D0E-AD1D-619FA0383594}"/>
    <cellStyle name="Migliaia 19 8" xfId="3273" xr:uid="{5566C951-33FE-44D7-A4E8-F43C5A3EF700}"/>
    <cellStyle name="Migliaia 19 8 2" xfId="4999" xr:uid="{B8CC2568-7246-4347-916C-67F7C6ABC2A9}"/>
    <cellStyle name="Migliaia 19 8 3" xfId="6212" xr:uid="{BA7C29A5-E350-40E2-A6C7-2C692546E808}"/>
    <cellStyle name="Migliaia 19 9" xfId="4984" xr:uid="{5F3156E5-6723-4E6B-A76C-941F804F61BC}"/>
    <cellStyle name="Migliaia 2" xfId="341" xr:uid="{00000000-0005-0000-0000-00001B030000}"/>
    <cellStyle name="Migliaia 2 10" xfId="5000" xr:uid="{1480CEB5-1E07-4C79-8572-8D3FB29E028C}"/>
    <cellStyle name="Migliaia 2 11" xfId="6213" xr:uid="{E2A3FF69-2D76-49D2-860F-7E229160CB45}"/>
    <cellStyle name="Migliaia 2 12" xfId="3274" xr:uid="{D9B214DA-C113-486E-9C50-6BFF5CF73B48}"/>
    <cellStyle name="Migliaia 2 2" xfId="342" xr:uid="{00000000-0005-0000-0000-00001C030000}"/>
    <cellStyle name="Migliaia 2 2 2" xfId="343" xr:uid="{00000000-0005-0000-0000-00001D030000}"/>
    <cellStyle name="Migliaia 2 2 2 2" xfId="1709" xr:uid="{00000000-0005-0000-0000-00001E030000}"/>
    <cellStyle name="Migliaia 2 2 2 2 2" xfId="5003" xr:uid="{4151EF42-B990-4EA4-A64D-394F5CA3E2F9}"/>
    <cellStyle name="Migliaia 2 2 2 2 3" xfId="6216" xr:uid="{C9B664DE-3406-4329-AC2B-3BA5854A637C}"/>
    <cellStyle name="Migliaia 2 2 2 2 4" xfId="3277" xr:uid="{27A40D0C-C092-4C67-89EA-E2BF5349A4E2}"/>
    <cellStyle name="Migliaia 2 2 2 3" xfId="5002" xr:uid="{909FAF59-2F5D-45F8-B7F2-5DF77332F382}"/>
    <cellStyle name="Migliaia 2 2 2 4" xfId="6215" xr:uid="{C8872AF5-4A70-4ABC-A8A7-72D0B07CCC90}"/>
    <cellStyle name="Migliaia 2 2 2 5" xfId="3276" xr:uid="{1EB91DD0-EC1B-452B-8B94-3EB9A3794F69}"/>
    <cellStyle name="Migliaia 2 2 3" xfId="1710" xr:uid="{00000000-0005-0000-0000-00001F030000}"/>
    <cellStyle name="Migliaia 2 2 3 2" xfId="5004" xr:uid="{01E80628-C824-494C-936A-0574AB80B482}"/>
    <cellStyle name="Migliaia 2 2 3 3" xfId="6217" xr:uid="{E1BC3190-97DF-4C15-A597-B73A2D70083F}"/>
    <cellStyle name="Migliaia 2 2 3 4" xfId="3278" xr:uid="{C7CBA413-010A-43CB-97D0-248DE553800E}"/>
    <cellStyle name="Migliaia 2 2 4" xfId="3279" xr:uid="{3D5921FC-0AD1-48B0-A019-A9DA0E364A2A}"/>
    <cellStyle name="Migliaia 2 2 4 2" xfId="5005" xr:uid="{FDFB4F86-09F9-40DF-AA98-CFA4057DC610}"/>
    <cellStyle name="Migliaia 2 2 4 3" xfId="6218" xr:uid="{21AFA343-1DC7-460D-A31D-639A802EBC7E}"/>
    <cellStyle name="Migliaia 2 2 5" xfId="5001" xr:uid="{7FC49C26-C1A9-4FB4-B783-69D167268BA9}"/>
    <cellStyle name="Migliaia 2 2 6" xfId="6214" xr:uid="{E99B7043-BBBD-4ED5-9F1B-376533687FEF}"/>
    <cellStyle name="Migliaia 2 2 7" xfId="3275" xr:uid="{8E4D8616-416F-4F8B-84CE-4463CE69F919}"/>
    <cellStyle name="Migliaia 2 3" xfId="344" xr:uid="{00000000-0005-0000-0000-000020030000}"/>
    <cellStyle name="Migliaia 2 3 2" xfId="345" xr:uid="{00000000-0005-0000-0000-000021030000}"/>
    <cellStyle name="Migliaia 2 3 2 2" xfId="1711" xr:uid="{00000000-0005-0000-0000-000022030000}"/>
    <cellStyle name="Migliaia 2 3 2 2 2" xfId="5008" xr:uid="{23FD522D-2D1F-4361-8EEB-80C70AB7C9B6}"/>
    <cellStyle name="Migliaia 2 3 2 2 3" xfId="6221" xr:uid="{CFE0DA81-A6B2-4F4B-A137-CB592F01CAF8}"/>
    <cellStyle name="Migliaia 2 3 2 2 4" xfId="3282" xr:uid="{46959D5D-19D9-46C3-AE7C-4377508B6F29}"/>
    <cellStyle name="Migliaia 2 3 2 3" xfId="5007" xr:uid="{90607764-0333-47FE-8ADD-08043CADD077}"/>
    <cellStyle name="Migliaia 2 3 2 4" xfId="6220" xr:uid="{39D79570-887C-4031-BE1A-84DF0F37F61B}"/>
    <cellStyle name="Migliaia 2 3 2 5" xfId="3281" xr:uid="{D21DD2B8-0CC5-449D-A615-A2CEA3998AE9}"/>
    <cellStyle name="Migliaia 2 3 3" xfId="1712" xr:uid="{00000000-0005-0000-0000-000023030000}"/>
    <cellStyle name="Migliaia 2 3 3 2" xfId="5009" xr:uid="{32E7F843-F741-464B-92D9-9D98A020FAD1}"/>
    <cellStyle name="Migliaia 2 3 3 3" xfId="6222" xr:uid="{CBED6DD8-C44F-4484-ADDF-27053AA8F4D9}"/>
    <cellStyle name="Migliaia 2 3 3 4" xfId="3283" xr:uid="{58CB81B8-7558-4515-99EF-269EE35CBD77}"/>
    <cellStyle name="Migliaia 2 3 4" xfId="3284" xr:uid="{1046049D-0618-453C-8721-E7E3AFA1BBC5}"/>
    <cellStyle name="Migliaia 2 3 4 2" xfId="5010" xr:uid="{B06C11EE-4197-421B-B65A-F2F6E68134C9}"/>
    <cellStyle name="Migliaia 2 3 4 3" xfId="6223" xr:uid="{4E13B1AE-3BFC-4C3C-8CC9-9AC679DF91EF}"/>
    <cellStyle name="Migliaia 2 3 5" xfId="5006" xr:uid="{FE31A036-F8A8-4D03-A7EB-D665C8849A76}"/>
    <cellStyle name="Migliaia 2 3 6" xfId="6219" xr:uid="{F415DDD9-26DC-4E6A-8F43-27B2BA59D7A2}"/>
    <cellStyle name="Migliaia 2 3 7" xfId="3280" xr:uid="{6A53BADA-415B-42DD-91A8-5A6BAE9B0D2D}"/>
    <cellStyle name="Migliaia 2 4" xfId="346" xr:uid="{00000000-0005-0000-0000-000024030000}"/>
    <cellStyle name="Migliaia 2 4 2" xfId="347" xr:uid="{00000000-0005-0000-0000-000025030000}"/>
    <cellStyle name="Migliaia 2 4 2 2" xfId="1713" xr:uid="{00000000-0005-0000-0000-000026030000}"/>
    <cellStyle name="Migliaia 2 4 2 2 2" xfId="5013" xr:uid="{E8E4F5F2-E2AB-42E8-A528-C5B8C0F01698}"/>
    <cellStyle name="Migliaia 2 4 2 2 3" xfId="6226" xr:uid="{32AAB6BA-F6BD-4F97-88BD-E82E2FE18686}"/>
    <cellStyle name="Migliaia 2 4 2 2 4" xfId="3287" xr:uid="{93EBDA48-AC11-4098-A9DE-A4321B82135D}"/>
    <cellStyle name="Migliaia 2 4 2 3" xfId="5012" xr:uid="{EFB12892-107F-4990-BE20-6C86ABA3CE33}"/>
    <cellStyle name="Migliaia 2 4 2 4" xfId="6225" xr:uid="{346D6FCC-A8B2-4A45-8C76-ABCB6081163D}"/>
    <cellStyle name="Migliaia 2 4 2 5" xfId="3286" xr:uid="{D4B547F0-ED5F-46EE-A72A-C6C01C6C62E7}"/>
    <cellStyle name="Migliaia 2 4 3" xfId="3288" xr:uid="{6773787C-506C-4F7A-B3F4-FC25C2A3FD3D}"/>
    <cellStyle name="Migliaia 2 4 3 2" xfId="5014" xr:uid="{A7C3AE6B-5FE9-4093-BB37-ABF4D206E5DD}"/>
    <cellStyle name="Migliaia 2 4 3 3" xfId="6227" xr:uid="{B93834EA-3B72-4FB4-B87D-7E85C51B412B}"/>
    <cellStyle name="Migliaia 2 4 4" xfId="3289" xr:uid="{D2F8B913-FBFB-4260-BAE9-4FBC8FEF9287}"/>
    <cellStyle name="Migliaia 2 4 4 2" xfId="5015" xr:uid="{B1876A30-D678-4F59-96E5-F988C599CC7C}"/>
    <cellStyle name="Migliaia 2 4 4 3" xfId="6228" xr:uid="{D5863DA8-CD6C-45C2-85F3-94261CC78BBE}"/>
    <cellStyle name="Migliaia 2 4 5" xfId="3290" xr:uid="{FCFD3830-21C6-43C7-B379-F69622E682A8}"/>
    <cellStyle name="Migliaia 2 4 5 2" xfId="5016" xr:uid="{2B448884-D15D-4649-B059-209AEADDFBE6}"/>
    <cellStyle name="Migliaia 2 4 5 3" xfId="6229" xr:uid="{3669D17E-14F2-41E8-B4F2-7185758F6B06}"/>
    <cellStyle name="Migliaia 2 4 6" xfId="5011" xr:uid="{73A036D0-27F8-4D04-90F1-CB92AC6BCB96}"/>
    <cellStyle name="Migliaia 2 4 7" xfId="6224" xr:uid="{8966786E-3C56-48F6-8867-236387508E69}"/>
    <cellStyle name="Migliaia 2 4 8" xfId="3285" xr:uid="{17716854-2421-4F77-85A3-548D80B88D03}"/>
    <cellStyle name="Migliaia 2 5" xfId="1714" xr:uid="{00000000-0005-0000-0000-000027030000}"/>
    <cellStyle name="Migliaia 2 5 2" xfId="1715" xr:uid="{00000000-0005-0000-0000-000028030000}"/>
    <cellStyle name="Migliaia 2 5 2 2" xfId="5018" xr:uid="{44FADA94-FF22-4C65-B658-685C6E8AF8AD}"/>
    <cellStyle name="Migliaia 2 5 2 3" xfId="3292" xr:uid="{8022DF06-7796-4E28-85CC-7F90D6FDC2F9}"/>
    <cellStyle name="Migliaia 2 5 3" xfId="5017" xr:uid="{849FD1B5-8348-4CD9-ACB8-1C41D81D6DF2}"/>
    <cellStyle name="Migliaia 2 5 4" xfId="6230" xr:uid="{8B7CC546-7B11-46C8-AA2B-08089385C232}"/>
    <cellStyle name="Migliaia 2 5 5" xfId="3291" xr:uid="{22768DDA-9E50-40D6-920D-86E954561F62}"/>
    <cellStyle name="Migliaia 2 6" xfId="1716" xr:uid="{00000000-0005-0000-0000-000029030000}"/>
    <cellStyle name="Migliaia 2 6 2" xfId="5019" xr:uid="{3D8FD8E2-0E5F-42AD-BC74-2A09D49DBDC6}"/>
    <cellStyle name="Migliaia 2 6 3" xfId="6231" xr:uid="{8CFB1711-6679-4C73-A0B6-62BBBB00EA8C}"/>
    <cellStyle name="Migliaia 2 6 4" xfId="3293" xr:uid="{13E20299-CEF5-4C30-91A4-C2E5DFBD7A7A}"/>
    <cellStyle name="Migliaia 2 7" xfId="3294" xr:uid="{78903D78-8E1C-4A87-9C1C-3DCCB9D8732C}"/>
    <cellStyle name="Migliaia 2 7 2" xfId="5020" xr:uid="{7CCE4399-0168-4BFB-B938-FC5996119C9A}"/>
    <cellStyle name="Migliaia 2 7 3" xfId="6232" xr:uid="{4E0449D4-F979-45B5-8C2D-5851662595C3}"/>
    <cellStyle name="Migliaia 2 8" xfId="3295" xr:uid="{86ECFAAB-FAD6-472A-9E67-E31D3269714B}"/>
    <cellStyle name="Migliaia 2 8 2" xfId="5021" xr:uid="{3720FAC7-423A-4FD8-9816-A274ED2C4B3A}"/>
    <cellStyle name="Migliaia 2 8 3" xfId="6233" xr:uid="{150BF95C-39C8-48A7-9237-8E01383320D7}"/>
    <cellStyle name="Migliaia 2 9" xfId="3296" xr:uid="{B053A15E-2E9B-4371-875E-87510B4B7718}"/>
    <cellStyle name="Migliaia 2 9 2" xfId="5022" xr:uid="{444ADB4F-8060-4F06-B335-28548C8F684E}"/>
    <cellStyle name="Migliaia 2 9 3" xfId="6234" xr:uid="{31997909-8540-4461-B1B6-FF13B8551299}"/>
    <cellStyle name="Migliaia 2_Domestico_reg&amp;naz" xfId="348" xr:uid="{00000000-0005-0000-0000-00002A030000}"/>
    <cellStyle name="Migliaia 20" xfId="349" xr:uid="{00000000-0005-0000-0000-00002B030000}"/>
    <cellStyle name="Migliaia 20 10" xfId="6235" xr:uid="{09C1254B-4066-4040-AEC8-96E67004F079}"/>
    <cellStyle name="Migliaia 20 11" xfId="3297" xr:uid="{51E0C443-0B0E-477A-A1B7-543751C10135}"/>
    <cellStyle name="Migliaia 20 2" xfId="350" xr:uid="{00000000-0005-0000-0000-00002C030000}"/>
    <cellStyle name="Migliaia 20 2 2" xfId="1717" xr:uid="{00000000-0005-0000-0000-00002D030000}"/>
    <cellStyle name="Migliaia 20 2 2 2" xfId="5025" xr:uid="{4483A384-E81A-458E-8460-16A4CF5F83AE}"/>
    <cellStyle name="Migliaia 20 2 2 3" xfId="6237" xr:uid="{8DAA7853-6C5C-4B96-9F8D-6048623EA17E}"/>
    <cellStyle name="Migliaia 20 2 2 4" xfId="3299" xr:uid="{BEA27ECB-21E2-4490-A30F-4137FD2E0B61}"/>
    <cellStyle name="Migliaia 20 2 3" xfId="3300" xr:uid="{4C2C4986-E553-4008-87E4-209F6EB137BE}"/>
    <cellStyle name="Migliaia 20 2 3 2" xfId="5026" xr:uid="{0CD160EE-02EC-41AB-9FB4-51E75B9D74B4}"/>
    <cellStyle name="Migliaia 20 2 3 3" xfId="6238" xr:uid="{C41AEA15-B0A9-4053-8E36-222FA2906A01}"/>
    <cellStyle name="Migliaia 20 2 4" xfId="5024" xr:uid="{E690E513-41D2-4F5F-B2D0-3A977F8ABB90}"/>
    <cellStyle name="Migliaia 20 2 5" xfId="6236" xr:uid="{FF37BF19-91B6-4B3E-A92E-127F81DA7260}"/>
    <cellStyle name="Migliaia 20 2 6" xfId="3298" xr:uid="{7F3C78A9-AE06-4C91-9E2C-AAEEEABDBC72}"/>
    <cellStyle name="Migliaia 20 3" xfId="351" xr:uid="{00000000-0005-0000-0000-00002E030000}"/>
    <cellStyle name="Migliaia 20 3 2" xfId="352" xr:uid="{00000000-0005-0000-0000-00002F030000}"/>
    <cellStyle name="Migliaia 20 3 2 2" xfId="1718" xr:uid="{00000000-0005-0000-0000-000030030000}"/>
    <cellStyle name="Migliaia 20 3 2 2 2" xfId="5029" xr:uid="{E6FCE665-6B03-4854-BAFC-9D6DF9752672}"/>
    <cellStyle name="Migliaia 20 3 2 2 3" xfId="6241" xr:uid="{57CE9A27-30DB-436C-BF92-68F3E852652C}"/>
    <cellStyle name="Migliaia 20 3 2 2 4" xfId="3303" xr:uid="{F74D9D9D-625F-4285-A195-459E63E670BC}"/>
    <cellStyle name="Migliaia 20 3 2 3" xfId="5028" xr:uid="{8A8376F0-2401-4CFE-A451-CA53D0A8F04D}"/>
    <cellStyle name="Migliaia 20 3 2 4" xfId="6240" xr:uid="{47707BAA-DEA3-40FD-8145-10731F90B767}"/>
    <cellStyle name="Migliaia 20 3 2 5" xfId="3302" xr:uid="{B25961CB-D410-45B9-B077-5028FFE1B82F}"/>
    <cellStyle name="Migliaia 20 3 3" xfId="3304" xr:uid="{0A7F90EE-771F-4DC2-B84D-11BB559D1429}"/>
    <cellStyle name="Migliaia 20 3 3 2" xfId="5030" xr:uid="{6E96B5C7-43CC-465F-94A6-CB6A4C61889A}"/>
    <cellStyle name="Migliaia 20 3 3 3" xfId="6242" xr:uid="{1584519A-704C-49C9-BFEE-0111DBF08D03}"/>
    <cellStyle name="Migliaia 20 3 4" xfId="3305" xr:uid="{D40C12FB-7BE6-4B5C-B430-28748EF6E8CF}"/>
    <cellStyle name="Migliaia 20 3 4 2" xfId="5031" xr:uid="{AEA51B74-8505-48C0-B779-50D67A7C9DA4}"/>
    <cellStyle name="Migliaia 20 3 4 3" xfId="6243" xr:uid="{E63B86CD-E5CA-43EB-8FB5-344E37318619}"/>
    <cellStyle name="Migliaia 20 3 5" xfId="3306" xr:uid="{5A1F4818-424A-472C-BBF0-0C2DF6112EA4}"/>
    <cellStyle name="Migliaia 20 3 5 2" xfId="5032" xr:uid="{F2C81148-6863-410D-97FA-676C0B29DACB}"/>
    <cellStyle name="Migliaia 20 3 5 3" xfId="6244" xr:uid="{07C5F843-C900-4F07-A1FB-60B5A5FBDB15}"/>
    <cellStyle name="Migliaia 20 3 6" xfId="5027" xr:uid="{82106CB1-518C-4F8C-8A1B-63A867B346BD}"/>
    <cellStyle name="Migliaia 20 3 7" xfId="6239" xr:uid="{2B403D09-B6CD-418E-A250-A2EF9F538168}"/>
    <cellStyle name="Migliaia 20 3 8" xfId="3301" xr:uid="{C9285DF3-A1A0-4BE7-A8CE-BD69AE65FECD}"/>
    <cellStyle name="Migliaia 20 4" xfId="1719" xr:uid="{00000000-0005-0000-0000-000031030000}"/>
    <cellStyle name="Migliaia 20 4 2" xfId="1720" xr:uid="{00000000-0005-0000-0000-000032030000}"/>
    <cellStyle name="Migliaia 20 4 2 2" xfId="5034" xr:uid="{55B599D6-0F1A-47A0-B4C9-80786FA520F6}"/>
    <cellStyle name="Migliaia 20 4 2 3" xfId="3308" xr:uid="{6198E792-1BEF-4FC3-BDE0-BA62190CB66F}"/>
    <cellStyle name="Migliaia 20 4 3" xfId="5033" xr:uid="{8E31D9DF-A807-4FC7-9B3E-D5749C7DDAB2}"/>
    <cellStyle name="Migliaia 20 4 4" xfId="6245" xr:uid="{E62C35C4-36E2-42F4-AAFC-E3F161E8831D}"/>
    <cellStyle name="Migliaia 20 4 5" xfId="3307" xr:uid="{4FB76E85-52CF-42E2-91A0-1574BD4A21EA}"/>
    <cellStyle name="Migliaia 20 5" xfId="1721" xr:uid="{00000000-0005-0000-0000-000033030000}"/>
    <cellStyle name="Migliaia 20 5 2" xfId="5035" xr:uid="{62DCAD72-A3E1-41D8-BFC0-DEDB4B6B5BFB}"/>
    <cellStyle name="Migliaia 20 5 3" xfId="6246" xr:uid="{7A073B44-02F7-4CA3-867C-8E07F664BF8C}"/>
    <cellStyle name="Migliaia 20 5 4" xfId="3309" xr:uid="{D269DE0E-1204-4BA1-9773-495E1939A0E6}"/>
    <cellStyle name="Migliaia 20 6" xfId="3310" xr:uid="{296237C1-5732-4F74-B462-E3CB81252811}"/>
    <cellStyle name="Migliaia 20 6 2" xfId="5036" xr:uid="{4F82EDEE-56ED-4DE6-993E-81BF894A71EB}"/>
    <cellStyle name="Migliaia 20 6 3" xfId="6247" xr:uid="{A1D21CD8-AD83-4063-9F10-B884C5B34114}"/>
    <cellStyle name="Migliaia 20 7" xfId="3311" xr:uid="{3CEEC087-4381-4CE3-812A-34883EFBB942}"/>
    <cellStyle name="Migliaia 20 7 2" xfId="5037" xr:uid="{954216DC-3C37-4552-B5BE-0F1106148363}"/>
    <cellStyle name="Migliaia 20 7 3" xfId="6248" xr:uid="{1B32164D-5C4B-4935-83BD-2FB943213B5C}"/>
    <cellStyle name="Migliaia 20 8" xfId="3312" xr:uid="{46DE2A6C-7107-487B-8C2B-1F3B39DEEEDC}"/>
    <cellStyle name="Migliaia 20 8 2" xfId="5038" xr:uid="{24F5D9C6-7EBB-42C4-8D25-26C19035FB39}"/>
    <cellStyle name="Migliaia 20 8 3" xfId="6249" xr:uid="{77B3E8F7-493D-4B01-9C45-7309AF54A430}"/>
    <cellStyle name="Migliaia 20 9" xfId="5023" xr:uid="{349F239B-35CE-4E19-B6A6-8CDD139D0B48}"/>
    <cellStyle name="Migliaia 21" xfId="353" xr:uid="{00000000-0005-0000-0000-000034030000}"/>
    <cellStyle name="Migliaia 21 10" xfId="6250" xr:uid="{0FB7782E-BEFA-4EEB-8806-3C83422CBF48}"/>
    <cellStyle name="Migliaia 21 11" xfId="3313" xr:uid="{C9CF1305-8FC0-4A7E-BFBE-B3C41D4BE0AA}"/>
    <cellStyle name="Migliaia 21 2" xfId="354" xr:uid="{00000000-0005-0000-0000-000035030000}"/>
    <cellStyle name="Migliaia 21 2 2" xfId="1722" xr:uid="{00000000-0005-0000-0000-000036030000}"/>
    <cellStyle name="Migliaia 21 2 2 2" xfId="5041" xr:uid="{52E24966-FF95-4AF5-9A7A-BC860DD6F00E}"/>
    <cellStyle name="Migliaia 21 2 2 3" xfId="6252" xr:uid="{537733BF-50BC-4CEE-93DA-238EBCC3A8D1}"/>
    <cellStyle name="Migliaia 21 2 2 4" xfId="3315" xr:uid="{3B645AC5-F6C8-49F6-A329-D7E7C3F4067B}"/>
    <cellStyle name="Migliaia 21 2 3" xfId="3316" xr:uid="{EA46F009-DAE7-4EAC-82F2-7F3928F9EBB9}"/>
    <cellStyle name="Migliaia 21 2 3 2" xfId="5042" xr:uid="{EBCF2A52-58C7-4121-865F-F91BADF4AB34}"/>
    <cellStyle name="Migliaia 21 2 3 3" xfId="6253" xr:uid="{F6457064-DBC1-4AA8-9739-B748772F472D}"/>
    <cellStyle name="Migliaia 21 2 4" xfId="5040" xr:uid="{5522608E-6653-45AF-AE79-3BC1EDDDF7A3}"/>
    <cellStyle name="Migliaia 21 2 5" xfId="6251" xr:uid="{9EEFC486-20C1-48A4-957D-E417437B9293}"/>
    <cellStyle name="Migliaia 21 2 6" xfId="3314" xr:uid="{F061E7E2-9A88-4D4F-86E4-DCD9CA9BE905}"/>
    <cellStyle name="Migliaia 21 3" xfId="355" xr:uid="{00000000-0005-0000-0000-000037030000}"/>
    <cellStyle name="Migliaia 21 3 2" xfId="356" xr:uid="{00000000-0005-0000-0000-000038030000}"/>
    <cellStyle name="Migliaia 21 3 2 2" xfId="1723" xr:uid="{00000000-0005-0000-0000-000039030000}"/>
    <cellStyle name="Migliaia 21 3 2 2 2" xfId="5045" xr:uid="{C7AE619D-EDF4-4A56-AB0D-6709B5B1EA21}"/>
    <cellStyle name="Migliaia 21 3 2 2 3" xfId="6256" xr:uid="{F6D77B14-A0CF-4FE1-95E0-D9682E68B853}"/>
    <cellStyle name="Migliaia 21 3 2 2 4" xfId="3319" xr:uid="{5E688E01-D45B-4FCE-AF8A-B8968DFEF586}"/>
    <cellStyle name="Migliaia 21 3 2 3" xfId="5044" xr:uid="{28CAA0CE-F9FF-42F0-9F0A-EA165F8466DB}"/>
    <cellStyle name="Migliaia 21 3 2 4" xfId="6255" xr:uid="{DFAE36FF-88BA-4D2F-87D0-97E1F851794C}"/>
    <cellStyle name="Migliaia 21 3 2 5" xfId="3318" xr:uid="{C0686725-049F-4CDD-A05D-496633EF123B}"/>
    <cellStyle name="Migliaia 21 3 3" xfId="3320" xr:uid="{540E0EA5-B5B1-4EA4-99B4-26289FBAEFAA}"/>
    <cellStyle name="Migliaia 21 3 3 2" xfId="5046" xr:uid="{DA74A868-F718-496D-852A-6AFF7FC73CC6}"/>
    <cellStyle name="Migliaia 21 3 3 3" xfId="6257" xr:uid="{44CB5395-55E4-4F46-A385-89AE86C4DDE9}"/>
    <cellStyle name="Migliaia 21 3 4" xfId="3321" xr:uid="{A53CB779-96D0-4D5D-8251-676464F4E035}"/>
    <cellStyle name="Migliaia 21 3 4 2" xfId="5047" xr:uid="{3A468C53-9E22-470E-AA29-98D6A863039D}"/>
    <cellStyle name="Migliaia 21 3 4 3" xfId="6258" xr:uid="{5E1B00F5-73BA-4AEC-9CC8-91C5206DFCF3}"/>
    <cellStyle name="Migliaia 21 3 5" xfId="3322" xr:uid="{69098685-12AE-4E29-819B-965AC767F5DB}"/>
    <cellStyle name="Migliaia 21 3 5 2" xfId="5048" xr:uid="{B6A682CA-D6CD-4DE9-AFDF-63733D5BC0F1}"/>
    <cellStyle name="Migliaia 21 3 5 3" xfId="6259" xr:uid="{5DE37C34-A8EC-4495-B716-366B8DC387A6}"/>
    <cellStyle name="Migliaia 21 3 6" xfId="5043" xr:uid="{F62EE68A-B2F6-41CC-A7B1-C465CB75ADCC}"/>
    <cellStyle name="Migliaia 21 3 7" xfId="6254" xr:uid="{DAA17F0C-5E87-4F63-87D0-313F214C6A1E}"/>
    <cellStyle name="Migliaia 21 3 8" xfId="3317" xr:uid="{6BE365EF-29D9-4F54-8BAE-32AEE66A0629}"/>
    <cellStyle name="Migliaia 21 4" xfId="1724" xr:uid="{00000000-0005-0000-0000-00003A030000}"/>
    <cellStyle name="Migliaia 21 4 2" xfId="1725" xr:uid="{00000000-0005-0000-0000-00003B030000}"/>
    <cellStyle name="Migliaia 21 4 2 2" xfId="5050" xr:uid="{156C1FFD-48B6-4EE0-AE6D-86F0150C1256}"/>
    <cellStyle name="Migliaia 21 4 2 3" xfId="3324" xr:uid="{ED8E8514-5B17-4D9B-8C8C-0661865EFAF2}"/>
    <cellStyle name="Migliaia 21 4 3" xfId="5049" xr:uid="{7FC48A8E-33A1-4064-896E-CEB51C3DD8A4}"/>
    <cellStyle name="Migliaia 21 4 4" xfId="6260" xr:uid="{CDA02F9B-6EEC-41B8-B512-E73BEAC7FD63}"/>
    <cellStyle name="Migliaia 21 4 5" xfId="3323" xr:uid="{C71FE6CC-60EC-4E18-9E5F-70BC5B3A7018}"/>
    <cellStyle name="Migliaia 21 5" xfId="1726" xr:uid="{00000000-0005-0000-0000-00003C030000}"/>
    <cellStyle name="Migliaia 21 5 2" xfId="5051" xr:uid="{472F496E-1632-4BC1-89AD-7FFEDA9F92E1}"/>
    <cellStyle name="Migliaia 21 5 3" xfId="6261" xr:uid="{960969E8-E141-4242-9662-558EF56CF93A}"/>
    <cellStyle name="Migliaia 21 5 4" xfId="3325" xr:uid="{5829B7B6-C347-4511-8281-A4D919BA7089}"/>
    <cellStyle name="Migliaia 21 6" xfId="3326" xr:uid="{ECAF671F-B70A-43D0-AA99-3FDE8AD644DB}"/>
    <cellStyle name="Migliaia 21 6 2" xfId="5052" xr:uid="{352D5B97-72FC-4D45-BE96-C5523226265F}"/>
    <cellStyle name="Migliaia 21 6 3" xfId="6262" xr:uid="{25A99DB3-ADAA-4A53-A0BD-063FA563032E}"/>
    <cellStyle name="Migliaia 21 7" xfId="3327" xr:uid="{6508234A-4998-4265-B2DB-EB1652F0212C}"/>
    <cellStyle name="Migliaia 21 7 2" xfId="5053" xr:uid="{B3887E29-9014-4C60-A0B4-BD5D8CC835ED}"/>
    <cellStyle name="Migliaia 21 7 3" xfId="6263" xr:uid="{05AE909A-FBFD-47FF-ADEA-A8DA081E25A1}"/>
    <cellStyle name="Migliaia 21 8" xfId="3328" xr:uid="{A482A192-6B8D-475D-BD86-35FDAADD76A8}"/>
    <cellStyle name="Migliaia 21 8 2" xfId="5054" xr:uid="{BA5F1B89-64B0-487E-B827-68507A7739BF}"/>
    <cellStyle name="Migliaia 21 8 3" xfId="6264" xr:uid="{808F3C51-DDA0-46FA-9AE4-C4CA8124FA71}"/>
    <cellStyle name="Migliaia 21 9" xfId="5039" xr:uid="{1B43D3F2-8DA0-4CC7-86D1-0003A2251DAA}"/>
    <cellStyle name="Migliaia 22" xfId="357" xr:uid="{00000000-0005-0000-0000-00003D030000}"/>
    <cellStyle name="Migliaia 22 10" xfId="6265" xr:uid="{7B8F8C49-B2A0-4D53-931C-CB3BDB9495A3}"/>
    <cellStyle name="Migliaia 22 11" xfId="3329" xr:uid="{C3F83E1B-58EC-4573-A3F2-0B289F37D2EF}"/>
    <cellStyle name="Migliaia 22 2" xfId="358" xr:uid="{00000000-0005-0000-0000-00003E030000}"/>
    <cellStyle name="Migliaia 22 2 2" xfId="1727" xr:uid="{00000000-0005-0000-0000-00003F030000}"/>
    <cellStyle name="Migliaia 22 2 2 2" xfId="5057" xr:uid="{A5350673-A475-4179-A190-D7D6E9BA905B}"/>
    <cellStyle name="Migliaia 22 2 2 3" xfId="6267" xr:uid="{0592CE43-4B5F-49E7-8E2D-4384228913BC}"/>
    <cellStyle name="Migliaia 22 2 2 4" xfId="3331" xr:uid="{9D92E237-8B22-4F84-ADF6-FFC9335626D7}"/>
    <cellStyle name="Migliaia 22 2 3" xfId="3332" xr:uid="{7CBC0202-8B37-4AB4-950C-71DEADF0871E}"/>
    <cellStyle name="Migliaia 22 2 3 2" xfId="5058" xr:uid="{C72A19A1-FDB3-4903-9E8D-6F798694F380}"/>
    <cellStyle name="Migliaia 22 2 3 3" xfId="6268" xr:uid="{04AD14A0-B348-45B9-B4F7-5857C09CFABB}"/>
    <cellStyle name="Migliaia 22 2 4" xfId="5056" xr:uid="{B05D9D27-E4DE-4CA8-AA30-DFBCF9EFCE37}"/>
    <cellStyle name="Migliaia 22 2 5" xfId="6266" xr:uid="{BC6F054C-20BC-46B5-82C2-04F7A13BF32C}"/>
    <cellStyle name="Migliaia 22 2 6" xfId="3330" xr:uid="{F583C249-00C9-42FC-99EE-7D69D4F1D2E9}"/>
    <cellStyle name="Migliaia 22 3" xfId="359" xr:uid="{00000000-0005-0000-0000-000040030000}"/>
    <cellStyle name="Migliaia 22 3 2" xfId="360" xr:uid="{00000000-0005-0000-0000-000041030000}"/>
    <cellStyle name="Migliaia 22 3 2 2" xfId="1728" xr:uid="{00000000-0005-0000-0000-000042030000}"/>
    <cellStyle name="Migliaia 22 3 2 2 2" xfId="5061" xr:uid="{3CDF23C8-745C-48B2-9C1D-A143CC09FF71}"/>
    <cellStyle name="Migliaia 22 3 2 2 3" xfId="6271" xr:uid="{2B956C0A-961A-4B81-B265-3203E6E5AC1C}"/>
    <cellStyle name="Migliaia 22 3 2 2 4" xfId="3335" xr:uid="{CAD69BC7-11C3-48A3-9240-BA0AC0CBCC46}"/>
    <cellStyle name="Migliaia 22 3 2 3" xfId="5060" xr:uid="{2343FBCA-C814-4CC3-96D8-E98EF4DA87A2}"/>
    <cellStyle name="Migliaia 22 3 2 4" xfId="6270" xr:uid="{B5DE0208-71FD-4431-A27C-88DEA0E145DD}"/>
    <cellStyle name="Migliaia 22 3 2 5" xfId="3334" xr:uid="{A40DC061-E273-43AC-B3D5-6392FECAD914}"/>
    <cellStyle name="Migliaia 22 3 3" xfId="3336" xr:uid="{A1E2654E-49DF-411A-BF75-223DF39C98AC}"/>
    <cellStyle name="Migliaia 22 3 3 2" xfId="5062" xr:uid="{5BB3EB7E-9EC9-4538-B6ED-293563E9578E}"/>
    <cellStyle name="Migliaia 22 3 3 3" xfId="6272" xr:uid="{B101B36E-7B3A-4B81-B7C0-96B4ACD910B2}"/>
    <cellStyle name="Migliaia 22 3 4" xfId="3337" xr:uid="{8C00FB03-F44B-4EEB-A3F7-8CCAAF9730FD}"/>
    <cellStyle name="Migliaia 22 3 4 2" xfId="5063" xr:uid="{C1D654F7-427E-46B2-B606-2C4DBB8760A8}"/>
    <cellStyle name="Migliaia 22 3 4 3" xfId="6273" xr:uid="{E1D668FD-7F81-4078-A2EA-DDC811785E2D}"/>
    <cellStyle name="Migliaia 22 3 5" xfId="3338" xr:uid="{06EC39BB-C8F0-40A3-8F4A-06366556E5BE}"/>
    <cellStyle name="Migliaia 22 3 5 2" xfId="5064" xr:uid="{B39B86A5-1E46-4C22-A9DE-BF217C31AE73}"/>
    <cellStyle name="Migliaia 22 3 5 3" xfId="6274" xr:uid="{2C02C813-F0AF-4619-A258-1CACBCD3426B}"/>
    <cellStyle name="Migliaia 22 3 6" xfId="5059" xr:uid="{4C6EBCF4-0E2F-4C06-B40C-9831EB5C602F}"/>
    <cellStyle name="Migliaia 22 3 7" xfId="6269" xr:uid="{3FBC9893-F415-4083-9F56-74AC877B35FF}"/>
    <cellStyle name="Migliaia 22 3 8" xfId="3333" xr:uid="{40091126-1D4E-4707-8200-8467A5223480}"/>
    <cellStyle name="Migliaia 22 4" xfId="1729" xr:uid="{00000000-0005-0000-0000-000043030000}"/>
    <cellStyle name="Migliaia 22 4 2" xfId="1730" xr:uid="{00000000-0005-0000-0000-000044030000}"/>
    <cellStyle name="Migliaia 22 4 2 2" xfId="5066" xr:uid="{724E4D2E-2A92-4729-AAF4-C54ADBE04CC2}"/>
    <cellStyle name="Migliaia 22 4 2 3" xfId="3340" xr:uid="{7CB945AA-A52B-4728-89A8-9683D771AC64}"/>
    <cellStyle name="Migliaia 22 4 3" xfId="5065" xr:uid="{2D3C9CD6-294F-4BD6-B461-843814F508C9}"/>
    <cellStyle name="Migliaia 22 4 4" xfId="6275" xr:uid="{47F9FF08-FA1D-44A5-BACC-A4EAEF5B48CE}"/>
    <cellStyle name="Migliaia 22 4 5" xfId="3339" xr:uid="{8B77EB63-3288-46C7-BEF2-5F1B15DA980A}"/>
    <cellStyle name="Migliaia 22 5" xfId="1731" xr:uid="{00000000-0005-0000-0000-000045030000}"/>
    <cellStyle name="Migliaia 22 5 2" xfId="5067" xr:uid="{36E440E5-3E1B-42CC-88E0-CDD0F1F9D73B}"/>
    <cellStyle name="Migliaia 22 5 3" xfId="6276" xr:uid="{C084079A-C597-4A0A-B8E7-4F3318863CD7}"/>
    <cellStyle name="Migliaia 22 5 4" xfId="3341" xr:uid="{84F467B0-780A-4649-8980-E1A6A4B33600}"/>
    <cellStyle name="Migliaia 22 6" xfId="3342" xr:uid="{91A0C010-520E-4D84-A5AF-3DCDFAE8AC41}"/>
    <cellStyle name="Migliaia 22 6 2" xfId="5068" xr:uid="{1D065E4B-B94D-4C7A-8983-E2FCEECD527B}"/>
    <cellStyle name="Migliaia 22 6 3" xfId="6277" xr:uid="{C1758B73-E2CD-4062-A508-CE35916F50CF}"/>
    <cellStyle name="Migliaia 22 7" xfId="3343" xr:uid="{2C30C323-2657-44DD-A4C3-38AF9C3F3DFA}"/>
    <cellStyle name="Migliaia 22 7 2" xfId="5069" xr:uid="{841389E4-48BE-406D-BAF0-91D7F513CA3D}"/>
    <cellStyle name="Migliaia 22 7 3" xfId="6278" xr:uid="{EB1DF051-CB3A-47F3-AAEE-4A5B1CE81A3B}"/>
    <cellStyle name="Migliaia 22 8" xfId="3344" xr:uid="{31520409-7D59-4108-B5BF-8C44E5F65887}"/>
    <cellStyle name="Migliaia 22 8 2" xfId="5070" xr:uid="{574A1607-C19D-4AB2-BE0D-7686258B5523}"/>
    <cellStyle name="Migliaia 22 8 3" xfId="6279" xr:uid="{A1700A42-F812-47AD-887C-5662246578E9}"/>
    <cellStyle name="Migliaia 22 9" xfId="5055" xr:uid="{68044B97-E450-4CC2-B538-EC4DF42B5C0A}"/>
    <cellStyle name="Migliaia 23" xfId="361" xr:uid="{00000000-0005-0000-0000-000046030000}"/>
    <cellStyle name="Migliaia 23 10" xfId="6280" xr:uid="{74AD1F8B-9AE5-420F-B737-B84FF838142C}"/>
    <cellStyle name="Migliaia 23 11" xfId="3345" xr:uid="{8395800A-CAA4-4D67-9F53-6F2E880EFCE3}"/>
    <cellStyle name="Migliaia 23 2" xfId="362" xr:uid="{00000000-0005-0000-0000-000047030000}"/>
    <cellStyle name="Migliaia 23 2 2" xfId="1732" xr:uid="{00000000-0005-0000-0000-000048030000}"/>
    <cellStyle name="Migliaia 23 2 2 2" xfId="5073" xr:uid="{140672B1-8B70-45A1-A328-9AE47E3F1EBD}"/>
    <cellStyle name="Migliaia 23 2 2 3" xfId="6282" xr:uid="{66F6422B-0090-4D72-A1CC-1A103822939F}"/>
    <cellStyle name="Migliaia 23 2 2 4" xfId="3347" xr:uid="{14E636B9-7E4D-48A5-BA77-254685C43443}"/>
    <cellStyle name="Migliaia 23 2 3" xfId="3348" xr:uid="{D019C600-8175-48BC-AA3F-2EFC42B43625}"/>
    <cellStyle name="Migliaia 23 2 3 2" xfId="5074" xr:uid="{71A45631-E4EF-4DE4-89F0-5746738C5082}"/>
    <cellStyle name="Migliaia 23 2 3 3" xfId="6283" xr:uid="{28B20B3B-2E7A-437B-A7C7-4E8EDE4FCC8A}"/>
    <cellStyle name="Migliaia 23 2 4" xfId="5072" xr:uid="{637316DE-4845-4471-B463-CA2AA79D796E}"/>
    <cellStyle name="Migliaia 23 2 5" xfId="6281" xr:uid="{861E1B12-B0E5-48FA-9ED9-161061B5D140}"/>
    <cellStyle name="Migliaia 23 2 6" xfId="3346" xr:uid="{4E13C629-3A39-43B7-90A6-0C62E08C7C03}"/>
    <cellStyle name="Migliaia 23 3" xfId="363" xr:uid="{00000000-0005-0000-0000-000049030000}"/>
    <cellStyle name="Migliaia 23 3 2" xfId="364" xr:uid="{00000000-0005-0000-0000-00004A030000}"/>
    <cellStyle name="Migliaia 23 3 2 2" xfId="1733" xr:uid="{00000000-0005-0000-0000-00004B030000}"/>
    <cellStyle name="Migliaia 23 3 2 2 2" xfId="5077" xr:uid="{BA084B25-51EC-4885-AB0B-019E2E4CEFB5}"/>
    <cellStyle name="Migliaia 23 3 2 2 3" xfId="6286" xr:uid="{39D1E4DD-EAEA-468A-959A-C71B912FBA67}"/>
    <cellStyle name="Migliaia 23 3 2 2 4" xfId="3351" xr:uid="{5DA15E8D-B939-403D-91B6-DB452A56D7F6}"/>
    <cellStyle name="Migliaia 23 3 2 3" xfId="5076" xr:uid="{0C257D61-29E7-420D-94D6-2540219B3090}"/>
    <cellStyle name="Migliaia 23 3 2 4" xfId="6285" xr:uid="{7F3BE6ED-4F6D-4FB9-9D01-188E6708AA8F}"/>
    <cellStyle name="Migliaia 23 3 2 5" xfId="3350" xr:uid="{4B87460B-46FB-4422-BC67-B5A570986A90}"/>
    <cellStyle name="Migliaia 23 3 3" xfId="3352" xr:uid="{F5CAA26E-513C-46AC-9506-32C3EDC4656F}"/>
    <cellStyle name="Migliaia 23 3 3 2" xfId="5078" xr:uid="{2FDBDC06-4C52-4D0C-A281-ECE47AABE79B}"/>
    <cellStyle name="Migliaia 23 3 3 3" xfId="6287" xr:uid="{C0F1AC9C-9D7A-4B27-9440-3925D078DB94}"/>
    <cellStyle name="Migliaia 23 3 4" xfId="3353" xr:uid="{7EFE7FDE-044A-4497-81FE-7CE58FB92F83}"/>
    <cellStyle name="Migliaia 23 3 4 2" xfId="5079" xr:uid="{53183939-FEC7-4152-8ABA-B12E88B45479}"/>
    <cellStyle name="Migliaia 23 3 4 3" xfId="6288" xr:uid="{6CC3ADB9-AFF7-44C4-AD64-5921593B8D27}"/>
    <cellStyle name="Migliaia 23 3 5" xfId="3354" xr:uid="{A958D2A4-9B9E-48E3-9D2E-2CAF9C0A84B7}"/>
    <cellStyle name="Migliaia 23 3 5 2" xfId="5080" xr:uid="{0C149721-58FA-4169-9216-E3924EA86FC0}"/>
    <cellStyle name="Migliaia 23 3 5 3" xfId="6289" xr:uid="{4B79E509-419C-4EA7-BF9D-0B39B7822643}"/>
    <cellStyle name="Migliaia 23 3 6" xfId="5075" xr:uid="{F057EA29-38A4-4EF1-B15E-64203704C2A3}"/>
    <cellStyle name="Migliaia 23 3 7" xfId="6284" xr:uid="{BA8DEE73-5745-4004-99FF-D64A6B96E56C}"/>
    <cellStyle name="Migliaia 23 3 8" xfId="3349" xr:uid="{6FEDFFAB-E591-4B1F-8C25-64781607E26A}"/>
    <cellStyle name="Migliaia 23 4" xfId="1734" xr:uid="{00000000-0005-0000-0000-00004C030000}"/>
    <cellStyle name="Migliaia 23 4 2" xfId="1735" xr:uid="{00000000-0005-0000-0000-00004D030000}"/>
    <cellStyle name="Migliaia 23 4 2 2" xfId="5082" xr:uid="{8CB3B490-6F3B-4BF9-B628-644C1442076A}"/>
    <cellStyle name="Migliaia 23 4 2 3" xfId="3356" xr:uid="{7547138C-DC09-46A4-8B79-D4DEA4501A5A}"/>
    <cellStyle name="Migliaia 23 4 3" xfId="5081" xr:uid="{5DEE2DB6-5EFB-4DEF-ACFC-C54AEB5F3DE0}"/>
    <cellStyle name="Migliaia 23 4 4" xfId="6290" xr:uid="{5B2ED913-0572-49C3-92C9-DDE9C0B9F517}"/>
    <cellStyle name="Migliaia 23 4 5" xfId="3355" xr:uid="{FBDE4AD2-8FB0-44FC-8C16-072BA24B6412}"/>
    <cellStyle name="Migliaia 23 5" xfId="1736" xr:uid="{00000000-0005-0000-0000-00004E030000}"/>
    <cellStyle name="Migliaia 23 5 2" xfId="5083" xr:uid="{0A3BB8AB-7325-4192-BCC5-AE1B23C55E6C}"/>
    <cellStyle name="Migliaia 23 5 3" xfId="6291" xr:uid="{705C4927-AD8B-40C9-8C77-74E8D865358A}"/>
    <cellStyle name="Migliaia 23 5 4" xfId="3357" xr:uid="{640102C3-14A9-4C81-98B9-B4D1FE681522}"/>
    <cellStyle name="Migliaia 23 6" xfId="3358" xr:uid="{CAE7D4C2-8DA7-47F9-B246-E2CA468A6103}"/>
    <cellStyle name="Migliaia 23 6 2" xfId="5084" xr:uid="{70B0E786-CB26-4B50-BF70-7AEF933BFEA9}"/>
    <cellStyle name="Migliaia 23 6 3" xfId="6292" xr:uid="{B141A771-D338-4AEE-8707-E2B61D535572}"/>
    <cellStyle name="Migliaia 23 7" xfId="3359" xr:uid="{F8C53622-E09F-4C33-A5EC-0BCC1861F78F}"/>
    <cellStyle name="Migliaia 23 7 2" xfId="5085" xr:uid="{0D08A2AB-E076-4937-8C4E-AB6A6BC7F666}"/>
    <cellStyle name="Migliaia 23 7 3" xfId="6293" xr:uid="{FA55DAB8-B3C4-430A-BA7D-85747A204216}"/>
    <cellStyle name="Migliaia 23 8" xfId="3360" xr:uid="{DE1DED74-167C-4376-AF42-E09C5DD16271}"/>
    <cellStyle name="Migliaia 23 8 2" xfId="5086" xr:uid="{A78563D9-45B1-4773-8F92-1C21CB322B20}"/>
    <cellStyle name="Migliaia 23 8 3" xfId="6294" xr:uid="{8B487B41-6B61-4E93-9245-109C672348E3}"/>
    <cellStyle name="Migliaia 23 9" xfId="5071" xr:uid="{D83F71BE-7ED3-4194-AACA-6328BEEB6A9C}"/>
    <cellStyle name="Migliaia 24" xfId="365" xr:uid="{00000000-0005-0000-0000-00004F030000}"/>
    <cellStyle name="Migliaia 24 10" xfId="6295" xr:uid="{804172B7-7DA0-4511-8B35-64DE385C4D32}"/>
    <cellStyle name="Migliaia 24 11" xfId="3361" xr:uid="{6300AF5C-E8B2-41E5-AE04-F58A29367E02}"/>
    <cellStyle name="Migliaia 24 2" xfId="366" xr:uid="{00000000-0005-0000-0000-000050030000}"/>
    <cellStyle name="Migliaia 24 2 2" xfId="1737" xr:uid="{00000000-0005-0000-0000-000051030000}"/>
    <cellStyle name="Migliaia 24 2 2 2" xfId="5089" xr:uid="{8CA8A00D-DCD1-4392-BCF9-E999551FEA80}"/>
    <cellStyle name="Migliaia 24 2 2 3" xfId="6297" xr:uid="{16D2A3D6-30A6-48E1-A62A-05166B03D3D5}"/>
    <cellStyle name="Migliaia 24 2 2 4" xfId="3363" xr:uid="{DA8B609C-D394-4CEC-A1A6-CA9EFD0E6BB4}"/>
    <cellStyle name="Migliaia 24 2 3" xfId="3364" xr:uid="{00DDCB34-F2D0-4679-94BD-AD5A17FE11AB}"/>
    <cellStyle name="Migliaia 24 2 3 2" xfId="5090" xr:uid="{D7E05CD6-1A5E-4135-9BC3-F5D310774F39}"/>
    <cellStyle name="Migliaia 24 2 3 3" xfId="6298" xr:uid="{BD56904A-EFA2-411B-B801-EA9B4310EC20}"/>
    <cellStyle name="Migliaia 24 2 4" xfId="5088" xr:uid="{9E46BDC2-95E8-4E85-B623-F157160B3E50}"/>
    <cellStyle name="Migliaia 24 2 5" xfId="6296" xr:uid="{5FEC5F60-CAF7-4022-AEC9-B1618A45CFFC}"/>
    <cellStyle name="Migliaia 24 2 6" xfId="3362" xr:uid="{F813B574-F5C8-4103-9EF0-94D495765F4E}"/>
    <cellStyle name="Migliaia 24 3" xfId="367" xr:uid="{00000000-0005-0000-0000-000052030000}"/>
    <cellStyle name="Migliaia 24 3 2" xfId="368" xr:uid="{00000000-0005-0000-0000-000053030000}"/>
    <cellStyle name="Migliaia 24 3 2 2" xfId="1738" xr:uid="{00000000-0005-0000-0000-000054030000}"/>
    <cellStyle name="Migliaia 24 3 2 2 2" xfId="5093" xr:uid="{5C547C73-7BAA-4DA2-A19E-A4C5582F48B2}"/>
    <cellStyle name="Migliaia 24 3 2 2 3" xfId="6301" xr:uid="{39E957C0-725D-4A54-AB31-25C406BF948C}"/>
    <cellStyle name="Migliaia 24 3 2 2 4" xfId="3367" xr:uid="{E1CB6B32-815A-43FE-8ED7-751AFC81F853}"/>
    <cellStyle name="Migliaia 24 3 2 3" xfId="5092" xr:uid="{DC4CBF6D-6A15-4FA2-9061-022DC1269AFA}"/>
    <cellStyle name="Migliaia 24 3 2 4" xfId="6300" xr:uid="{91BF71F5-CBAF-432F-98C9-08118ABE273D}"/>
    <cellStyle name="Migliaia 24 3 2 5" xfId="3366" xr:uid="{EB69BF82-0E63-44EA-9762-FE189CE16B02}"/>
    <cellStyle name="Migliaia 24 3 3" xfId="3368" xr:uid="{5080D7CB-DC55-42CD-891C-084F41F6BAB7}"/>
    <cellStyle name="Migliaia 24 3 3 2" xfId="5094" xr:uid="{DBBDB7FF-D1EC-4EF9-A1A2-F754098ABDB3}"/>
    <cellStyle name="Migliaia 24 3 3 3" xfId="6302" xr:uid="{00E34DDA-B235-4423-9A24-4649321A08B5}"/>
    <cellStyle name="Migliaia 24 3 4" xfId="3369" xr:uid="{69FA4E9E-9F66-40BB-8029-2AD9978FA728}"/>
    <cellStyle name="Migliaia 24 3 4 2" xfId="5095" xr:uid="{CAFC1F73-75AF-43D3-9E2A-B9D87C9C499F}"/>
    <cellStyle name="Migliaia 24 3 4 3" xfId="6303" xr:uid="{E809EBA2-44D0-4602-8451-F732832BCCF7}"/>
    <cellStyle name="Migliaia 24 3 5" xfId="3370" xr:uid="{F362443F-12C6-4175-BB5F-46439D7850E8}"/>
    <cellStyle name="Migliaia 24 3 5 2" xfId="5096" xr:uid="{02CE5BEC-58E4-4B6B-BD08-2DBB87C18838}"/>
    <cellStyle name="Migliaia 24 3 5 3" xfId="6304" xr:uid="{5397E758-4CEE-4BD1-95D4-A750A6A0BB99}"/>
    <cellStyle name="Migliaia 24 3 6" xfId="5091" xr:uid="{A45AD157-4B1F-469F-84CE-1FFF66ABE1DF}"/>
    <cellStyle name="Migliaia 24 3 7" xfId="6299" xr:uid="{75187E9A-83D9-4BAD-A87F-87DA361FED76}"/>
    <cellStyle name="Migliaia 24 3 8" xfId="3365" xr:uid="{32525DFB-9303-4830-839D-36B1027D9C80}"/>
    <cellStyle name="Migliaia 24 4" xfId="1739" xr:uid="{00000000-0005-0000-0000-000055030000}"/>
    <cellStyle name="Migliaia 24 4 2" xfId="1740" xr:uid="{00000000-0005-0000-0000-000056030000}"/>
    <cellStyle name="Migliaia 24 4 2 2" xfId="5098" xr:uid="{CFF64CEE-E5D3-459B-8783-CC5187D3EA82}"/>
    <cellStyle name="Migliaia 24 4 2 3" xfId="3372" xr:uid="{EDB00360-2F12-4585-AD67-48B5AC187662}"/>
    <cellStyle name="Migliaia 24 4 3" xfId="5097" xr:uid="{00DEA2FE-CC5F-42CD-849F-5D5A174EE1E6}"/>
    <cellStyle name="Migliaia 24 4 4" xfId="6305" xr:uid="{94ED669E-EDE8-4613-806B-B8A4AFED2D1B}"/>
    <cellStyle name="Migliaia 24 4 5" xfId="3371" xr:uid="{6019BAB4-8615-428F-864B-C5B30728FBE8}"/>
    <cellStyle name="Migliaia 24 5" xfId="1741" xr:uid="{00000000-0005-0000-0000-000057030000}"/>
    <cellStyle name="Migliaia 24 5 2" xfId="5099" xr:uid="{E6A8A29D-1CBD-4A83-AE16-C1A06670B2C6}"/>
    <cellStyle name="Migliaia 24 5 3" xfId="6306" xr:uid="{7DAAB8D0-929C-4FDA-A040-4F48D540E717}"/>
    <cellStyle name="Migliaia 24 5 4" xfId="3373" xr:uid="{37B651D2-DBB1-451D-AB77-7AFDC42D0DA6}"/>
    <cellStyle name="Migliaia 24 6" xfId="3374" xr:uid="{12987F15-688D-43E6-AC9B-83A17E1FEA94}"/>
    <cellStyle name="Migliaia 24 6 2" xfId="5100" xr:uid="{DAD51866-B3DD-457A-A332-4650219BABF0}"/>
    <cellStyle name="Migliaia 24 6 3" xfId="6307" xr:uid="{B4A6E9C9-2039-4CC7-A5B5-7B085A8FB3A2}"/>
    <cellStyle name="Migliaia 24 7" xfId="3375" xr:uid="{885BE739-6891-4E49-B26F-385C87E3C7C4}"/>
    <cellStyle name="Migliaia 24 7 2" xfId="5101" xr:uid="{8CEFDD5E-37EF-41DD-8199-D84B7861BA02}"/>
    <cellStyle name="Migliaia 24 7 3" xfId="6308" xr:uid="{CA142AE6-96A8-4A9C-9D36-C5890FFE1947}"/>
    <cellStyle name="Migliaia 24 8" xfId="3376" xr:uid="{52BA4F70-4251-4BD1-80F0-89160808AA6B}"/>
    <cellStyle name="Migliaia 24 8 2" xfId="5102" xr:uid="{29A881C4-FF5C-4068-8658-967A32DFF1FC}"/>
    <cellStyle name="Migliaia 24 8 3" xfId="6309" xr:uid="{E3550C8D-2512-4DDC-B2C1-38FFA9010B43}"/>
    <cellStyle name="Migliaia 24 9" xfId="5087" xr:uid="{8FD6BE4B-B51C-4CE9-9FAE-9659FFEFE32E}"/>
    <cellStyle name="Migliaia 25" xfId="369" xr:uid="{00000000-0005-0000-0000-000058030000}"/>
    <cellStyle name="Migliaia 25 10" xfId="6310" xr:uid="{22C255AC-2DD4-4B62-BD8D-BC16A361F43C}"/>
    <cellStyle name="Migliaia 25 11" xfId="3377" xr:uid="{EB767F5E-B74B-4014-A570-4E58A81A5A5F}"/>
    <cellStyle name="Migliaia 25 2" xfId="370" xr:uid="{00000000-0005-0000-0000-000059030000}"/>
    <cellStyle name="Migliaia 25 2 2" xfId="1742" xr:uid="{00000000-0005-0000-0000-00005A030000}"/>
    <cellStyle name="Migliaia 25 2 2 2" xfId="5105" xr:uid="{EA6A8529-8704-4CE0-A6CE-EA273360199D}"/>
    <cellStyle name="Migliaia 25 2 2 3" xfId="6312" xr:uid="{1916F5D5-38E4-4E7D-8BB1-B19AB9795ECD}"/>
    <cellStyle name="Migliaia 25 2 2 4" xfId="3379" xr:uid="{189CD87C-0B8E-494B-8199-876878822E5E}"/>
    <cellStyle name="Migliaia 25 2 3" xfId="3380" xr:uid="{6E3C30E8-D2E4-46BB-96FE-B2F88DA9A688}"/>
    <cellStyle name="Migliaia 25 2 3 2" xfId="5106" xr:uid="{F20A949A-81AC-4F92-B20F-7A5EA04C9A46}"/>
    <cellStyle name="Migliaia 25 2 3 3" xfId="6313" xr:uid="{DEFA9595-71A9-414D-83D8-F336F24606A9}"/>
    <cellStyle name="Migliaia 25 2 4" xfId="5104" xr:uid="{8CF5010A-1DA0-4FCE-B95E-7A3BFC6B2DF9}"/>
    <cellStyle name="Migliaia 25 2 5" xfId="6311" xr:uid="{04D3C1C0-0322-4B12-8708-81A6855CEB3B}"/>
    <cellStyle name="Migliaia 25 2 6" xfId="3378" xr:uid="{CA8902D7-E55D-42D7-87BA-BCC8320D2F01}"/>
    <cellStyle name="Migliaia 25 3" xfId="371" xr:uid="{00000000-0005-0000-0000-00005B030000}"/>
    <cellStyle name="Migliaia 25 3 2" xfId="372" xr:uid="{00000000-0005-0000-0000-00005C030000}"/>
    <cellStyle name="Migliaia 25 3 2 2" xfId="1743" xr:uid="{00000000-0005-0000-0000-00005D030000}"/>
    <cellStyle name="Migliaia 25 3 2 2 2" xfId="5109" xr:uid="{0B9F4DC5-B4FA-4A19-9C6D-EAD6C7A9416B}"/>
    <cellStyle name="Migliaia 25 3 2 2 3" xfId="6316" xr:uid="{F706CE86-183F-454E-ACB4-858B22BC0D4E}"/>
    <cellStyle name="Migliaia 25 3 2 2 4" xfId="3383" xr:uid="{1255F521-267B-43AD-B345-CA567310A151}"/>
    <cellStyle name="Migliaia 25 3 2 3" xfId="5108" xr:uid="{1A3F6737-167F-44BB-B698-19D19C61D28F}"/>
    <cellStyle name="Migliaia 25 3 2 4" xfId="6315" xr:uid="{02758C8E-6FC9-4B61-AEAD-C471808F4EC8}"/>
    <cellStyle name="Migliaia 25 3 2 5" xfId="3382" xr:uid="{5F114FBB-46BD-4027-82E5-6A54E65E39D2}"/>
    <cellStyle name="Migliaia 25 3 3" xfId="3384" xr:uid="{38552830-0ABA-4C01-B0AE-AEDAF6AB1987}"/>
    <cellStyle name="Migliaia 25 3 3 2" xfId="5110" xr:uid="{17C64CC5-A00C-43A9-92A2-B93E092BA702}"/>
    <cellStyle name="Migliaia 25 3 3 3" xfId="6317" xr:uid="{08FDF3F1-8DD6-445B-B200-E0855638C818}"/>
    <cellStyle name="Migliaia 25 3 4" xfId="3385" xr:uid="{2179D370-5BFC-4BEA-B418-9477C7656D49}"/>
    <cellStyle name="Migliaia 25 3 4 2" xfId="5111" xr:uid="{DA613D7C-E4DF-4DED-A2FB-D007332354FD}"/>
    <cellStyle name="Migliaia 25 3 4 3" xfId="6318" xr:uid="{CBDDF5FB-47F9-436C-B8DE-C8C4D08C48FF}"/>
    <cellStyle name="Migliaia 25 3 5" xfId="3386" xr:uid="{56732586-3F6C-45FF-881A-D07ECFF4A7AC}"/>
    <cellStyle name="Migliaia 25 3 5 2" xfId="5112" xr:uid="{F29011E9-BE7C-4C98-871B-424FB8A534AA}"/>
    <cellStyle name="Migliaia 25 3 5 3" xfId="6319" xr:uid="{C15C2ECC-4E73-413F-A6EE-9C73B985135B}"/>
    <cellStyle name="Migliaia 25 3 6" xfId="5107" xr:uid="{0737920A-D815-4BA4-AB04-FA5FFCBCF28D}"/>
    <cellStyle name="Migliaia 25 3 7" xfId="6314" xr:uid="{DEA93F8C-33F5-46D7-9F4F-D4918F728C95}"/>
    <cellStyle name="Migliaia 25 3 8" xfId="3381" xr:uid="{EE025904-31A6-4BCF-B004-0B4D13483796}"/>
    <cellStyle name="Migliaia 25 4" xfId="1744" xr:uid="{00000000-0005-0000-0000-00005E030000}"/>
    <cellStyle name="Migliaia 25 4 2" xfId="1745" xr:uid="{00000000-0005-0000-0000-00005F030000}"/>
    <cellStyle name="Migliaia 25 4 2 2" xfId="5114" xr:uid="{C8967D44-7B2E-4623-ABD8-C349880A29F5}"/>
    <cellStyle name="Migliaia 25 4 2 3" xfId="3388" xr:uid="{1F1B7C10-BC84-4C9F-A75B-4C275BD8590B}"/>
    <cellStyle name="Migliaia 25 4 3" xfId="5113" xr:uid="{2CB245E1-F9A9-423A-95EF-E30DB1830F0F}"/>
    <cellStyle name="Migliaia 25 4 4" xfId="6320" xr:uid="{24F0AD00-8805-457E-B063-B61950A03C91}"/>
    <cellStyle name="Migliaia 25 4 5" xfId="3387" xr:uid="{8BA3486A-48A8-46D1-96A8-844397F9B1EE}"/>
    <cellStyle name="Migliaia 25 5" xfId="1746" xr:uid="{00000000-0005-0000-0000-000060030000}"/>
    <cellStyle name="Migliaia 25 5 2" xfId="5115" xr:uid="{4E44C6E5-28FB-4D83-AA61-F336D98F7E36}"/>
    <cellStyle name="Migliaia 25 5 3" xfId="6321" xr:uid="{3A354204-69BF-44BA-8EF3-25AAB17A801D}"/>
    <cellStyle name="Migliaia 25 5 4" xfId="3389" xr:uid="{3770EF6E-6EDC-498E-919D-F229028F4B42}"/>
    <cellStyle name="Migliaia 25 6" xfId="3390" xr:uid="{C9507F08-C135-425A-B205-EC89A86A952F}"/>
    <cellStyle name="Migliaia 25 6 2" xfId="5116" xr:uid="{E6018C63-CC0D-4948-A419-BA07D349F2E6}"/>
    <cellStyle name="Migliaia 25 6 3" xfId="6322" xr:uid="{9212697E-7D73-454A-A6A0-E92A65E0A799}"/>
    <cellStyle name="Migliaia 25 7" xfId="3391" xr:uid="{E738E352-FC1E-45E9-942A-19AF280442E0}"/>
    <cellStyle name="Migliaia 25 7 2" xfId="5117" xr:uid="{9A028157-BAC1-4BD2-8309-DBB5D48B9980}"/>
    <cellStyle name="Migliaia 25 7 3" xfId="6323" xr:uid="{C623761F-2348-4F35-A140-AC458B24566C}"/>
    <cellStyle name="Migliaia 25 8" xfId="3392" xr:uid="{9F55D917-FEE2-4804-9B25-3877895AB57A}"/>
    <cellStyle name="Migliaia 25 8 2" xfId="5118" xr:uid="{70455402-5E33-47C6-80D0-6153538BAD5F}"/>
    <cellStyle name="Migliaia 25 8 3" xfId="6324" xr:uid="{E8243C1C-E378-4576-AD2A-9B811D9B47EA}"/>
    <cellStyle name="Migliaia 25 9" xfId="5103" xr:uid="{6746DBF4-E6A0-4B39-8760-2202718C7857}"/>
    <cellStyle name="Migliaia 26" xfId="373" xr:uid="{00000000-0005-0000-0000-000061030000}"/>
    <cellStyle name="Migliaia 26 10" xfId="6325" xr:uid="{B94B6870-70A4-4A3F-8DB9-6021DDE7FCF8}"/>
    <cellStyle name="Migliaia 26 11" xfId="3393" xr:uid="{1A543CDA-2819-4F71-A605-AA2F81D6459E}"/>
    <cellStyle name="Migliaia 26 2" xfId="374" xr:uid="{00000000-0005-0000-0000-000062030000}"/>
    <cellStyle name="Migliaia 26 2 2" xfId="1747" xr:uid="{00000000-0005-0000-0000-000063030000}"/>
    <cellStyle name="Migliaia 26 2 2 2" xfId="5121" xr:uid="{F8C76102-37B0-4D25-82BC-769B73AFB431}"/>
    <cellStyle name="Migliaia 26 2 2 3" xfId="6327" xr:uid="{298F1D78-E86E-413A-868B-45CDF6DE2AE9}"/>
    <cellStyle name="Migliaia 26 2 2 4" xfId="3395" xr:uid="{6E4150BB-85AD-452C-9CFF-E4B795C6F274}"/>
    <cellStyle name="Migliaia 26 2 3" xfId="3396" xr:uid="{9F2AD5E7-5438-4FFB-AF1E-A4022D4DF7C0}"/>
    <cellStyle name="Migliaia 26 2 3 2" xfId="5122" xr:uid="{131DAAF7-DB48-4837-AC0B-3F90500675A9}"/>
    <cellStyle name="Migliaia 26 2 3 3" xfId="6328" xr:uid="{05188EE4-B4B8-4ECD-8FF4-A58022CF9B43}"/>
    <cellStyle name="Migliaia 26 2 4" xfId="5120" xr:uid="{3FAC7F25-4D3F-48EF-BF20-6BA93455327A}"/>
    <cellStyle name="Migliaia 26 2 5" xfId="6326" xr:uid="{1B2EF1A3-B04B-490E-A0E7-CE02316CE44E}"/>
    <cellStyle name="Migliaia 26 2 6" xfId="3394" xr:uid="{65EE3FA7-E8F5-496A-8B15-037EDC4BE0ED}"/>
    <cellStyle name="Migliaia 26 3" xfId="375" xr:uid="{00000000-0005-0000-0000-000064030000}"/>
    <cellStyle name="Migliaia 26 3 2" xfId="376" xr:uid="{00000000-0005-0000-0000-000065030000}"/>
    <cellStyle name="Migliaia 26 3 2 2" xfId="1748" xr:uid="{00000000-0005-0000-0000-000066030000}"/>
    <cellStyle name="Migliaia 26 3 2 2 2" xfId="5125" xr:uid="{13D5046F-97AD-4F7F-8E98-8A3993A8AD5D}"/>
    <cellStyle name="Migliaia 26 3 2 2 3" xfId="6331" xr:uid="{60740FC5-CEB2-4BA6-9132-0CEB3529A42B}"/>
    <cellStyle name="Migliaia 26 3 2 2 4" xfId="3399" xr:uid="{7EA16805-BB76-463D-A8E2-F2720873D8E1}"/>
    <cellStyle name="Migliaia 26 3 2 3" xfId="5124" xr:uid="{F1769E0F-445F-4A13-B7D4-147C55D63F97}"/>
    <cellStyle name="Migliaia 26 3 2 4" xfId="6330" xr:uid="{1F1016F6-E474-4E57-A44E-C7209879D40A}"/>
    <cellStyle name="Migliaia 26 3 2 5" xfId="3398" xr:uid="{6193CECE-3A32-4E8D-A08D-DC2FA2244673}"/>
    <cellStyle name="Migliaia 26 3 3" xfId="3400" xr:uid="{1D3E647C-B707-462B-8BA3-2239165F296A}"/>
    <cellStyle name="Migliaia 26 3 3 2" xfId="5126" xr:uid="{39A47D12-3D8B-4010-B0C2-0064CB90CCB5}"/>
    <cellStyle name="Migliaia 26 3 3 3" xfId="6332" xr:uid="{5E699C2C-ACA4-4BEC-A146-3E1ED5585A5D}"/>
    <cellStyle name="Migliaia 26 3 4" xfId="3401" xr:uid="{097BDC5C-8670-41C2-9D14-26EA3F9205D8}"/>
    <cellStyle name="Migliaia 26 3 4 2" xfId="5127" xr:uid="{B62A0A9D-1330-4386-9725-330D61A921A5}"/>
    <cellStyle name="Migliaia 26 3 4 3" xfId="6333" xr:uid="{944F724A-60E2-4AEE-A3A6-283E8690E602}"/>
    <cellStyle name="Migliaia 26 3 5" xfId="3402" xr:uid="{FA409B07-883E-48A4-8E58-2BD3CA30C472}"/>
    <cellStyle name="Migliaia 26 3 5 2" xfId="5128" xr:uid="{79F0C381-7114-4E45-848F-ED8623C9FA9F}"/>
    <cellStyle name="Migliaia 26 3 5 3" xfId="6334" xr:uid="{9987323D-A970-42F4-AF7E-710C58F7BAE9}"/>
    <cellStyle name="Migliaia 26 3 6" xfId="5123" xr:uid="{1E677ED1-A687-47E2-868E-81AA5E92BAA5}"/>
    <cellStyle name="Migliaia 26 3 7" xfId="6329" xr:uid="{7052F70A-E1A1-4DF5-A05C-8402E23F4C8E}"/>
    <cellStyle name="Migliaia 26 3 8" xfId="3397" xr:uid="{4FA0C2E3-CCF9-4EAC-912E-3E24456DCDC1}"/>
    <cellStyle name="Migliaia 26 4" xfId="1749" xr:uid="{00000000-0005-0000-0000-000067030000}"/>
    <cellStyle name="Migliaia 26 4 2" xfId="1750" xr:uid="{00000000-0005-0000-0000-000068030000}"/>
    <cellStyle name="Migliaia 26 4 2 2" xfId="5130" xr:uid="{598DDDE4-044A-4BF5-83F3-B30A48D5F307}"/>
    <cellStyle name="Migliaia 26 4 2 3" xfId="3404" xr:uid="{ADEA42E4-FBE3-491C-AF47-2EC817FD2ACD}"/>
    <cellStyle name="Migliaia 26 4 3" xfId="5129" xr:uid="{025BA078-51E5-443C-8A96-3649F8F13B75}"/>
    <cellStyle name="Migliaia 26 4 4" xfId="6335" xr:uid="{B7C1425D-64E2-4C96-9FE9-B1781CD656D8}"/>
    <cellStyle name="Migliaia 26 4 5" xfId="3403" xr:uid="{D54454B4-790E-4457-8C7F-FAD8F4A65922}"/>
    <cellStyle name="Migliaia 26 5" xfId="1751" xr:uid="{00000000-0005-0000-0000-000069030000}"/>
    <cellStyle name="Migliaia 26 5 2" xfId="5131" xr:uid="{3C1C4CE0-D8C7-4F46-AF5C-191DB082DB7D}"/>
    <cellStyle name="Migliaia 26 5 3" xfId="6336" xr:uid="{033EB722-AC80-4B0C-9D85-AD411EF1CA43}"/>
    <cellStyle name="Migliaia 26 5 4" xfId="3405" xr:uid="{14D31804-79D0-46F0-87F8-259D244259A3}"/>
    <cellStyle name="Migliaia 26 6" xfId="3406" xr:uid="{4C7EEB1F-CB47-4FE7-B3B1-646E4BBC959D}"/>
    <cellStyle name="Migliaia 26 6 2" xfId="5132" xr:uid="{5338679A-068F-41BD-990C-26F57B4187E0}"/>
    <cellStyle name="Migliaia 26 6 3" xfId="6337" xr:uid="{4F77473C-FF93-4B30-820C-ED54DC02A4CD}"/>
    <cellStyle name="Migliaia 26 7" xfId="3407" xr:uid="{1F6A8F1A-8AFB-4D03-A034-8CA812EA5C6E}"/>
    <cellStyle name="Migliaia 26 7 2" xfId="5133" xr:uid="{3AA6850D-B99E-4AF7-BA50-539943D99A0A}"/>
    <cellStyle name="Migliaia 26 7 3" xfId="6338" xr:uid="{5DA01BA6-492C-41E2-ADE3-222D97F67715}"/>
    <cellStyle name="Migliaia 26 8" xfId="3408" xr:uid="{12742659-F27D-4070-83D9-F488C30B1412}"/>
    <cellStyle name="Migliaia 26 8 2" xfId="5134" xr:uid="{B49D4B32-9A99-45FF-ADE4-96F5F4AFCCB5}"/>
    <cellStyle name="Migliaia 26 8 3" xfId="6339" xr:uid="{5A665E42-8C55-48E6-9164-1158730DEB30}"/>
    <cellStyle name="Migliaia 26 9" xfId="5119" xr:uid="{13C50982-3A1D-4000-AEE7-6FC8EF50C7F2}"/>
    <cellStyle name="Migliaia 27" xfId="377" xr:uid="{00000000-0005-0000-0000-00006A030000}"/>
    <cellStyle name="Migliaia 27 10" xfId="6340" xr:uid="{0A0E45D2-F158-4916-86EE-45AC31BB7EAD}"/>
    <cellStyle name="Migliaia 27 11" xfId="3409" xr:uid="{A068FD15-F69F-4E83-8C89-DCFE7E9457AF}"/>
    <cellStyle name="Migliaia 27 2" xfId="378" xr:uid="{00000000-0005-0000-0000-00006B030000}"/>
    <cellStyle name="Migliaia 27 2 2" xfId="1752" xr:uid="{00000000-0005-0000-0000-00006C030000}"/>
    <cellStyle name="Migliaia 27 2 2 2" xfId="5137" xr:uid="{3D65AC94-495C-46AE-BB06-196846A00589}"/>
    <cellStyle name="Migliaia 27 2 2 3" xfId="6342" xr:uid="{F2FA924F-8B5C-4D30-840F-8523A54367B1}"/>
    <cellStyle name="Migliaia 27 2 2 4" xfId="3411" xr:uid="{3826D6E5-E972-4D17-A1A3-0741D6764A0B}"/>
    <cellStyle name="Migliaia 27 2 3" xfId="3412" xr:uid="{ADE8947B-58AF-4E76-BECE-9591BAD07F6A}"/>
    <cellStyle name="Migliaia 27 2 3 2" xfId="5138" xr:uid="{C89AB78D-3BF0-43E1-9C05-3EE05BAC23D6}"/>
    <cellStyle name="Migliaia 27 2 3 3" xfId="6343" xr:uid="{693EF05D-9F5D-4F73-B6E1-B9B640D8B2AB}"/>
    <cellStyle name="Migliaia 27 2 4" xfId="5136" xr:uid="{255BF61E-90C1-4B4C-9CBD-2142CFB77D71}"/>
    <cellStyle name="Migliaia 27 2 5" xfId="6341" xr:uid="{47FAA327-DB2E-4A70-B8B3-B291AA4A039F}"/>
    <cellStyle name="Migliaia 27 2 6" xfId="3410" xr:uid="{86469C21-7872-4217-BEB1-7F40489E6D53}"/>
    <cellStyle name="Migliaia 27 3" xfId="379" xr:uid="{00000000-0005-0000-0000-00006D030000}"/>
    <cellStyle name="Migliaia 27 3 2" xfId="380" xr:uid="{00000000-0005-0000-0000-00006E030000}"/>
    <cellStyle name="Migliaia 27 3 2 2" xfId="1753" xr:uid="{00000000-0005-0000-0000-00006F030000}"/>
    <cellStyle name="Migliaia 27 3 2 2 2" xfId="5141" xr:uid="{FDAE2B9F-EE25-4F1F-AF34-E2AD7BC50489}"/>
    <cellStyle name="Migliaia 27 3 2 2 3" xfId="6346" xr:uid="{4EA37C60-08C6-460B-B2AE-10EC49EAC6F7}"/>
    <cellStyle name="Migliaia 27 3 2 2 4" xfId="3415" xr:uid="{8D4B7C4F-61A1-449C-BCB9-2D15A9831157}"/>
    <cellStyle name="Migliaia 27 3 2 3" xfId="5140" xr:uid="{3B7D100A-9531-468F-98E1-4334D5B012C5}"/>
    <cellStyle name="Migliaia 27 3 2 4" xfId="6345" xr:uid="{C3655A28-30FC-48FB-A689-3166F7CCDA75}"/>
    <cellStyle name="Migliaia 27 3 2 5" xfId="3414" xr:uid="{6DD2A695-63C3-46AE-A2E4-6894A88BE4B9}"/>
    <cellStyle name="Migliaia 27 3 3" xfId="3416" xr:uid="{9CEB31AB-FB68-4DD9-9EDF-AAFCDEF17384}"/>
    <cellStyle name="Migliaia 27 3 3 2" xfId="5142" xr:uid="{3B665994-7265-4413-8AF8-51F871EF02A9}"/>
    <cellStyle name="Migliaia 27 3 3 3" xfId="6347" xr:uid="{78FF95FC-DA01-4A45-890A-CE04C55602C2}"/>
    <cellStyle name="Migliaia 27 3 4" xfId="3417" xr:uid="{E3D50714-EDF7-4CF5-A692-BFE7B7F9991A}"/>
    <cellStyle name="Migliaia 27 3 4 2" xfId="5143" xr:uid="{86434094-111D-41CC-8738-B345A8986BB3}"/>
    <cellStyle name="Migliaia 27 3 4 3" xfId="6348" xr:uid="{DA514BA8-BEF2-4EC0-A12F-3BEECE4901B1}"/>
    <cellStyle name="Migliaia 27 3 5" xfId="3418" xr:uid="{D71B8A19-4683-4ACB-9D59-449C8F9C3CD9}"/>
    <cellStyle name="Migliaia 27 3 5 2" xfId="5144" xr:uid="{6F34845D-3979-4205-8995-7B075AA92D52}"/>
    <cellStyle name="Migliaia 27 3 5 3" xfId="6349" xr:uid="{50FFCAB0-D276-49D0-A46E-286E1F1FC56B}"/>
    <cellStyle name="Migliaia 27 3 6" xfId="5139" xr:uid="{89971A9F-7BEA-4078-B5D5-7B7805B25F2D}"/>
    <cellStyle name="Migliaia 27 3 7" xfId="6344" xr:uid="{A2D516C5-D0ED-4F35-B8FB-1EC211F3919F}"/>
    <cellStyle name="Migliaia 27 3 8" xfId="3413" xr:uid="{AEAFA1A5-EA1B-4C25-92C4-67BB228819E7}"/>
    <cellStyle name="Migliaia 27 4" xfId="1754" xr:uid="{00000000-0005-0000-0000-000070030000}"/>
    <cellStyle name="Migliaia 27 4 2" xfId="1755" xr:uid="{00000000-0005-0000-0000-000071030000}"/>
    <cellStyle name="Migliaia 27 4 2 2" xfId="5146" xr:uid="{BD061AB2-F5F6-4C8D-A9E4-8CA52EEC92E8}"/>
    <cellStyle name="Migliaia 27 4 2 3" xfId="3420" xr:uid="{805D2F6F-CB87-4BF2-87BF-A077091C42C9}"/>
    <cellStyle name="Migliaia 27 4 3" xfId="5145" xr:uid="{DBDF9334-F889-4BEB-AE70-65E72A58AA3C}"/>
    <cellStyle name="Migliaia 27 4 4" xfId="6350" xr:uid="{6DF098AD-DF84-48A8-8B4C-86C9C86F70E4}"/>
    <cellStyle name="Migliaia 27 4 5" xfId="3419" xr:uid="{FC40750E-9FC2-4563-8AC1-E8DA40B34247}"/>
    <cellStyle name="Migliaia 27 5" xfId="1756" xr:uid="{00000000-0005-0000-0000-000072030000}"/>
    <cellStyle name="Migliaia 27 5 2" xfId="5147" xr:uid="{6ED9AB7D-8894-44A7-8633-C7B088C429A5}"/>
    <cellStyle name="Migliaia 27 5 3" xfId="6351" xr:uid="{67BC9DEE-5D87-487B-9AF3-34A35E38CF52}"/>
    <cellStyle name="Migliaia 27 5 4" xfId="3421" xr:uid="{AE1995DF-BDFD-4515-BF13-B9CAF347D7BA}"/>
    <cellStyle name="Migliaia 27 6" xfId="3422" xr:uid="{EFC38BE9-69C4-4B42-B644-7014BE2CAF29}"/>
    <cellStyle name="Migliaia 27 6 2" xfId="5148" xr:uid="{0AE2D40C-6975-40E2-9E1A-231AF4F5FC9E}"/>
    <cellStyle name="Migliaia 27 6 3" xfId="6352" xr:uid="{B628E134-3DBB-44C9-8081-B370F238F45A}"/>
    <cellStyle name="Migliaia 27 7" xfId="3423" xr:uid="{75E8333B-7CAC-42D2-8E72-91024C3FE86F}"/>
    <cellStyle name="Migliaia 27 7 2" xfId="5149" xr:uid="{D4384996-D5E2-4391-9903-0AA0235DD599}"/>
    <cellStyle name="Migliaia 27 7 3" xfId="6353" xr:uid="{8058D7EC-C701-4920-8253-5C893D0C1478}"/>
    <cellStyle name="Migliaia 27 8" xfId="3424" xr:uid="{1354F601-8D7F-42F0-8701-444C9F2FFEA7}"/>
    <cellStyle name="Migliaia 27 8 2" xfId="5150" xr:uid="{9A97F5A3-22C9-4D0E-A91B-67C333F2A147}"/>
    <cellStyle name="Migliaia 27 8 3" xfId="6354" xr:uid="{3FAC8792-24E8-46F3-B385-A9BCA6EF61DC}"/>
    <cellStyle name="Migliaia 27 9" xfId="5135" xr:uid="{F4FCD574-C203-48A1-B0C9-A41577CA0969}"/>
    <cellStyle name="Migliaia 28" xfId="381" xr:uid="{00000000-0005-0000-0000-000073030000}"/>
    <cellStyle name="Migliaia 28 10" xfId="6355" xr:uid="{30886A68-4748-40CB-AEA2-C856DB4A2F6D}"/>
    <cellStyle name="Migliaia 28 11" xfId="3425" xr:uid="{FDA11666-7D1E-452C-A379-E581362BF549}"/>
    <cellStyle name="Migliaia 28 2" xfId="382" xr:uid="{00000000-0005-0000-0000-000074030000}"/>
    <cellStyle name="Migliaia 28 2 2" xfId="1757" xr:uid="{00000000-0005-0000-0000-000075030000}"/>
    <cellStyle name="Migliaia 28 2 2 2" xfId="5153" xr:uid="{B1E8BFEC-7C0C-41FD-A1E9-102A13D3B56A}"/>
    <cellStyle name="Migliaia 28 2 2 3" xfId="6357" xr:uid="{C1C86756-EA82-4988-9150-69F7BB310927}"/>
    <cellStyle name="Migliaia 28 2 2 4" xfId="3427" xr:uid="{8333C773-3D16-4898-8600-A145A217391F}"/>
    <cellStyle name="Migliaia 28 2 3" xfId="3428" xr:uid="{5F065BD6-40F2-44DF-B0C0-D3D0BD404A53}"/>
    <cellStyle name="Migliaia 28 2 3 2" xfId="5154" xr:uid="{4D1D501C-820B-487F-808C-0A49376856B5}"/>
    <cellStyle name="Migliaia 28 2 3 3" xfId="6358" xr:uid="{01FB4C40-ADC0-4D41-95E3-679999F0437E}"/>
    <cellStyle name="Migliaia 28 2 4" xfId="5152" xr:uid="{00C59237-9CF2-4D37-A531-2294BED82808}"/>
    <cellStyle name="Migliaia 28 2 5" xfId="6356" xr:uid="{2695FFAD-63C5-4AA3-8D7E-5B9BF81C5308}"/>
    <cellStyle name="Migliaia 28 2 6" xfId="3426" xr:uid="{9A9AEA3C-9F8C-4289-B567-A7DBEDB7A422}"/>
    <cellStyle name="Migliaia 28 3" xfId="383" xr:uid="{00000000-0005-0000-0000-000076030000}"/>
    <cellStyle name="Migliaia 28 3 2" xfId="384" xr:uid="{00000000-0005-0000-0000-000077030000}"/>
    <cellStyle name="Migliaia 28 3 2 2" xfId="1758" xr:uid="{00000000-0005-0000-0000-000078030000}"/>
    <cellStyle name="Migliaia 28 3 2 2 2" xfId="5157" xr:uid="{BC11F700-ED3F-455B-B8D5-D82D0D054072}"/>
    <cellStyle name="Migliaia 28 3 2 2 3" xfId="6361" xr:uid="{B3E8BEC6-8792-4DF0-92F6-FA94F555B046}"/>
    <cellStyle name="Migliaia 28 3 2 2 4" xfId="3431" xr:uid="{D6006F2E-ACAC-4244-B98D-659942AD7F3A}"/>
    <cellStyle name="Migliaia 28 3 2 3" xfId="5156" xr:uid="{D9E1A1C9-316A-417D-916A-3BD44AEE5B76}"/>
    <cellStyle name="Migliaia 28 3 2 4" xfId="6360" xr:uid="{92E806E1-0D3A-444A-880E-F08ED0FAB2B2}"/>
    <cellStyle name="Migliaia 28 3 2 5" xfId="3430" xr:uid="{32C24B3C-A8ED-40D1-B680-107C059A826F}"/>
    <cellStyle name="Migliaia 28 3 3" xfId="3432" xr:uid="{96166F1A-7685-4164-95D1-0B39301237EA}"/>
    <cellStyle name="Migliaia 28 3 3 2" xfId="5158" xr:uid="{52565296-EDD6-4FAB-9B77-3388C58B70CB}"/>
    <cellStyle name="Migliaia 28 3 3 3" xfId="6362" xr:uid="{9C8AC06D-41C3-4161-9C98-0018A05CA8BB}"/>
    <cellStyle name="Migliaia 28 3 4" xfId="3433" xr:uid="{BD505E31-2C02-4BA8-89AF-3B679CD6B51F}"/>
    <cellStyle name="Migliaia 28 3 4 2" xfId="5159" xr:uid="{D2E4E562-6D16-4306-A645-3E7395A8F621}"/>
    <cellStyle name="Migliaia 28 3 4 3" xfId="6363" xr:uid="{28822C15-C593-4201-A5C7-6AFF082DE043}"/>
    <cellStyle name="Migliaia 28 3 5" xfId="3434" xr:uid="{B90F7CD5-D4A7-4D18-920A-CF61C6D1F231}"/>
    <cellStyle name="Migliaia 28 3 5 2" xfId="5160" xr:uid="{F7AE05E4-181B-49AF-B7EB-0D3ADB753796}"/>
    <cellStyle name="Migliaia 28 3 5 3" xfId="6364" xr:uid="{22EF6CBC-BE52-4195-AF67-E91BEFBB9289}"/>
    <cellStyle name="Migliaia 28 3 6" xfId="5155" xr:uid="{DFA09408-C1F9-4BBF-8D71-3F899CEAA97A}"/>
    <cellStyle name="Migliaia 28 3 7" xfId="6359" xr:uid="{BEBFC4C4-14FC-4C17-B221-E07098DEFB3C}"/>
    <cellStyle name="Migliaia 28 3 8" xfId="3429" xr:uid="{F1D597EF-A26F-4B19-A46C-A36DD8AE1B05}"/>
    <cellStyle name="Migliaia 28 4" xfId="1759" xr:uid="{00000000-0005-0000-0000-000079030000}"/>
    <cellStyle name="Migliaia 28 4 2" xfId="1760" xr:uid="{00000000-0005-0000-0000-00007A030000}"/>
    <cellStyle name="Migliaia 28 4 2 2" xfId="5162" xr:uid="{75417B20-6F45-4075-9306-3D3E0584AA3F}"/>
    <cellStyle name="Migliaia 28 4 2 3" xfId="3436" xr:uid="{7DE7C071-6025-452C-9004-6C62A5C8384B}"/>
    <cellStyle name="Migliaia 28 4 3" xfId="5161" xr:uid="{E7DFEBAC-40D2-41FE-BF31-6119C4210EB4}"/>
    <cellStyle name="Migliaia 28 4 4" xfId="6365" xr:uid="{471E6FA1-231E-4DF2-B4A6-44CCC9D652CB}"/>
    <cellStyle name="Migliaia 28 4 5" xfId="3435" xr:uid="{E707790E-9AF9-49CD-9964-09B98DBF8619}"/>
    <cellStyle name="Migliaia 28 5" xfId="1761" xr:uid="{00000000-0005-0000-0000-00007B030000}"/>
    <cellStyle name="Migliaia 28 5 2" xfId="5163" xr:uid="{159B6233-F3A4-4AC2-B2B9-82E43BC6EBD3}"/>
    <cellStyle name="Migliaia 28 5 3" xfId="6366" xr:uid="{66D2C73A-3598-4705-B011-2ECFB47ED849}"/>
    <cellStyle name="Migliaia 28 5 4" xfId="3437" xr:uid="{9862C6D9-26FC-4A16-A5E1-9E9E771AA485}"/>
    <cellStyle name="Migliaia 28 6" xfId="3438" xr:uid="{0B252726-4FFE-4BD2-B9F7-C38FF6956C6F}"/>
    <cellStyle name="Migliaia 28 6 2" xfId="5164" xr:uid="{260DCE48-607C-4AF1-8AB2-31EC4F330DE3}"/>
    <cellStyle name="Migliaia 28 6 3" xfId="6367" xr:uid="{A7C5DBCA-945C-45B7-8C1C-30797BDA0B80}"/>
    <cellStyle name="Migliaia 28 7" xfId="3439" xr:uid="{E586C898-F704-4512-8ADF-2754E7957DCA}"/>
    <cellStyle name="Migliaia 28 7 2" xfId="5165" xr:uid="{F7BB5906-BE64-425B-B9A9-538DDF2A2CC4}"/>
    <cellStyle name="Migliaia 28 7 3" xfId="6368" xr:uid="{FC5658A9-E5FB-4C63-8E3B-81AA64AB1901}"/>
    <cellStyle name="Migliaia 28 8" xfId="3440" xr:uid="{EA94CA0F-F80D-4FE6-BA4C-5382D0870314}"/>
    <cellStyle name="Migliaia 28 8 2" xfId="5166" xr:uid="{18818B8F-AFCC-4B84-84D8-D636A8854EF6}"/>
    <cellStyle name="Migliaia 28 8 3" xfId="6369" xr:uid="{AC245DBD-9946-47A6-A9FC-E449DCBE4FA6}"/>
    <cellStyle name="Migliaia 28 9" xfId="5151" xr:uid="{60F55851-CEE8-4CEA-995B-9ED9E9D9DF37}"/>
    <cellStyle name="Migliaia 29" xfId="385" xr:uid="{00000000-0005-0000-0000-00007C030000}"/>
    <cellStyle name="Migliaia 29 10" xfId="6370" xr:uid="{5DA572B4-37A2-419F-909A-9740D3FFDFF1}"/>
    <cellStyle name="Migliaia 29 11" xfId="3441" xr:uid="{2B5290CE-086D-48E5-96B3-E03E106FCE0F}"/>
    <cellStyle name="Migliaia 29 2" xfId="386" xr:uid="{00000000-0005-0000-0000-00007D030000}"/>
    <cellStyle name="Migliaia 29 2 2" xfId="1762" xr:uid="{00000000-0005-0000-0000-00007E030000}"/>
    <cellStyle name="Migliaia 29 2 2 2" xfId="5169" xr:uid="{890A2F55-40A0-4084-84BC-AE815A7870AC}"/>
    <cellStyle name="Migliaia 29 2 2 3" xfId="6372" xr:uid="{61F5FD64-74DE-4232-9662-FD77E7687E51}"/>
    <cellStyle name="Migliaia 29 2 2 4" xfId="3443" xr:uid="{A06B0D5B-17B8-41D6-8EC2-31549F026093}"/>
    <cellStyle name="Migliaia 29 2 3" xfId="3444" xr:uid="{51EFBF20-25F8-4D37-B3EA-744C7A1EE731}"/>
    <cellStyle name="Migliaia 29 2 3 2" xfId="5170" xr:uid="{FE5826B0-34AB-4310-83CE-80A19397918C}"/>
    <cellStyle name="Migliaia 29 2 3 3" xfId="6373" xr:uid="{2E3B0C0C-7F19-4A81-8B92-0A0B984FC20E}"/>
    <cellStyle name="Migliaia 29 2 4" xfId="5168" xr:uid="{734F62F9-20AA-47C7-ADD6-3768B2027D09}"/>
    <cellStyle name="Migliaia 29 2 5" xfId="6371" xr:uid="{D95A097B-4DF8-47E9-B31E-9E180421288F}"/>
    <cellStyle name="Migliaia 29 2 6" xfId="3442" xr:uid="{DB0BAA3D-BF31-4143-8ED5-D9930494DAEC}"/>
    <cellStyle name="Migliaia 29 3" xfId="387" xr:uid="{00000000-0005-0000-0000-00007F030000}"/>
    <cellStyle name="Migliaia 29 3 2" xfId="388" xr:uid="{00000000-0005-0000-0000-000080030000}"/>
    <cellStyle name="Migliaia 29 3 2 2" xfId="1763" xr:uid="{00000000-0005-0000-0000-000081030000}"/>
    <cellStyle name="Migliaia 29 3 2 2 2" xfId="5173" xr:uid="{260B070E-7B95-4358-894E-6A38E4D19B62}"/>
    <cellStyle name="Migliaia 29 3 2 2 3" xfId="6376" xr:uid="{D6412154-2C0F-40E8-BA0B-8B8D919C433E}"/>
    <cellStyle name="Migliaia 29 3 2 2 4" xfId="3447" xr:uid="{46A5978C-EAEA-4962-9D81-60BBAE0EEF12}"/>
    <cellStyle name="Migliaia 29 3 2 3" xfId="5172" xr:uid="{83B9E806-760D-44E1-9BA8-653253EFE34D}"/>
    <cellStyle name="Migliaia 29 3 2 4" xfId="6375" xr:uid="{8ABFEA3E-AF18-401D-A675-30F35CED3387}"/>
    <cellStyle name="Migliaia 29 3 2 5" xfId="3446" xr:uid="{E2654E4C-0781-4B97-9ACE-B31392E0C1B7}"/>
    <cellStyle name="Migliaia 29 3 3" xfId="3448" xr:uid="{ABA789F2-60FC-4525-9CF5-6609113353A5}"/>
    <cellStyle name="Migliaia 29 3 3 2" xfId="5174" xr:uid="{D432C9A2-49D3-4148-A97B-42531334A7A1}"/>
    <cellStyle name="Migliaia 29 3 3 3" xfId="6377" xr:uid="{777A27CC-2127-4966-938D-A80A4DA87C9B}"/>
    <cellStyle name="Migliaia 29 3 4" xfId="3449" xr:uid="{8162A16E-25B5-4DC2-AA5F-CA02DD6348D4}"/>
    <cellStyle name="Migliaia 29 3 4 2" xfId="5175" xr:uid="{6A98F8EE-2AF5-4809-8A0F-7BA345D3886C}"/>
    <cellStyle name="Migliaia 29 3 4 3" xfId="6378" xr:uid="{93943A8C-46BE-4D71-B537-5B3EF2A4CA13}"/>
    <cellStyle name="Migliaia 29 3 5" xfId="3450" xr:uid="{219E1B18-81FD-4F1E-B52F-65779816BAD5}"/>
    <cellStyle name="Migliaia 29 3 5 2" xfId="5176" xr:uid="{2765D042-7764-4CB6-B18B-76A338DC9BB4}"/>
    <cellStyle name="Migliaia 29 3 5 3" xfId="6379" xr:uid="{796CDDB2-2A41-4AE0-B571-B5E8B2C64FC7}"/>
    <cellStyle name="Migliaia 29 3 6" xfId="5171" xr:uid="{B8E04CA0-997B-4107-AE14-FDC4F7A1AA99}"/>
    <cellStyle name="Migliaia 29 3 7" xfId="6374" xr:uid="{24910854-5CD3-44ED-BD5D-894D3E9AB8EC}"/>
    <cellStyle name="Migliaia 29 3 8" xfId="3445" xr:uid="{84E432AE-61F4-4D84-B055-B96A2E694DE8}"/>
    <cellStyle name="Migliaia 29 4" xfId="1764" xr:uid="{00000000-0005-0000-0000-000082030000}"/>
    <cellStyle name="Migliaia 29 4 2" xfId="1765" xr:uid="{00000000-0005-0000-0000-000083030000}"/>
    <cellStyle name="Migliaia 29 4 2 2" xfId="5178" xr:uid="{489AB39B-575C-465D-BE99-673C520DAB0A}"/>
    <cellStyle name="Migliaia 29 4 2 3" xfId="3452" xr:uid="{90B720E3-36E3-42DA-90A1-5A77EE020990}"/>
    <cellStyle name="Migliaia 29 4 3" xfId="5177" xr:uid="{33B1B44F-86EF-4F15-A667-5914CADC13C2}"/>
    <cellStyle name="Migliaia 29 4 4" xfId="6380" xr:uid="{148B2728-95A8-4D91-963C-371F14AF3B40}"/>
    <cellStyle name="Migliaia 29 4 5" xfId="3451" xr:uid="{11C77F87-365D-4F8D-A5CE-F6CBB9AA50CE}"/>
    <cellStyle name="Migliaia 29 5" xfId="1766" xr:uid="{00000000-0005-0000-0000-000084030000}"/>
    <cellStyle name="Migliaia 29 5 2" xfId="5179" xr:uid="{D07D7AAB-0A7A-4093-9E1B-382EF3C3F5ED}"/>
    <cellStyle name="Migliaia 29 5 3" xfId="6381" xr:uid="{FAD1B0D8-3578-418D-AD9F-6F214FA5BBD2}"/>
    <cellStyle name="Migliaia 29 5 4" xfId="3453" xr:uid="{994890B5-71A9-45FF-B2FE-4B89929905D3}"/>
    <cellStyle name="Migliaia 29 6" xfId="3454" xr:uid="{42E2504B-779B-4617-85B4-282925262739}"/>
    <cellStyle name="Migliaia 29 6 2" xfId="5180" xr:uid="{33E586B7-CBA1-4E46-A4A2-159CEB82E88B}"/>
    <cellStyle name="Migliaia 29 6 3" xfId="6382" xr:uid="{E61381CA-E10D-4A9C-BB99-12C328F39E18}"/>
    <cellStyle name="Migliaia 29 7" xfId="3455" xr:uid="{DFAC4F73-3D12-40DF-88A3-714ECFB2BEAE}"/>
    <cellStyle name="Migliaia 29 7 2" xfId="5181" xr:uid="{B6A56B2C-EFD1-45E4-ACB8-5F9EE987A60A}"/>
    <cellStyle name="Migliaia 29 7 3" xfId="6383" xr:uid="{15C29B07-B919-46E9-90FE-412E981884FA}"/>
    <cellStyle name="Migliaia 29 8" xfId="3456" xr:uid="{4B7EBD5E-50E8-44EA-B936-C50D1BA09A4C}"/>
    <cellStyle name="Migliaia 29 8 2" xfId="5182" xr:uid="{60B5E92A-A574-40C2-8DE9-C8BC77A3069E}"/>
    <cellStyle name="Migliaia 29 8 3" xfId="6384" xr:uid="{332C0D1D-DBAA-4DB4-9232-A247E3379BA0}"/>
    <cellStyle name="Migliaia 29 9" xfId="5167" xr:uid="{2AD20CC2-BAB7-41AC-B216-0FCAE84A6DB2}"/>
    <cellStyle name="Migliaia 3" xfId="389" xr:uid="{00000000-0005-0000-0000-000085030000}"/>
    <cellStyle name="Migliaia 3 10" xfId="6385" xr:uid="{89D327F7-1919-40C0-A3FC-7F5E0EB42EB8}"/>
    <cellStyle name="Migliaia 3 11" xfId="3457" xr:uid="{EB4D786F-9DC0-4EB6-A15C-01229EC6CE4F}"/>
    <cellStyle name="Migliaia 3 2" xfId="390" xr:uid="{00000000-0005-0000-0000-000086030000}"/>
    <cellStyle name="Migliaia 3 2 2" xfId="1767" xr:uid="{00000000-0005-0000-0000-000087030000}"/>
    <cellStyle name="Migliaia 3 2 2 2" xfId="5185" xr:uid="{BFA3D63D-F95E-4145-9846-168AEEEC4EE1}"/>
    <cellStyle name="Migliaia 3 2 2 3" xfId="6387" xr:uid="{FD48A861-3C73-4BD1-B6BC-B0949954D8A3}"/>
    <cellStyle name="Migliaia 3 2 2 4" xfId="3459" xr:uid="{F84E3CFF-90A9-4D61-AC68-639795242F09}"/>
    <cellStyle name="Migliaia 3 2 3" xfId="3460" xr:uid="{C018A69F-792A-4B8E-A299-7EC22F7A05D7}"/>
    <cellStyle name="Migliaia 3 2 3 2" xfId="5186" xr:uid="{F3AA9AA9-2D80-42B2-919D-4D272D7A446F}"/>
    <cellStyle name="Migliaia 3 2 3 3" xfId="6388" xr:uid="{00529DA1-290B-4663-AF9D-7417CEF123FD}"/>
    <cellStyle name="Migliaia 3 2 4" xfId="5184" xr:uid="{289C8CA9-CFBF-414F-A152-D120106C220F}"/>
    <cellStyle name="Migliaia 3 2 5" xfId="6386" xr:uid="{A1FAF10F-DB6D-4C05-8FBB-3CBDDA121C9D}"/>
    <cellStyle name="Migliaia 3 2 6" xfId="3458" xr:uid="{C85AB1F1-3130-45D7-BBD7-77EF0074563F}"/>
    <cellStyle name="Migliaia 3 3" xfId="391" xr:uid="{00000000-0005-0000-0000-000088030000}"/>
    <cellStyle name="Migliaia 3 3 2" xfId="392" xr:uid="{00000000-0005-0000-0000-000089030000}"/>
    <cellStyle name="Migliaia 3 3 2 2" xfId="1768" xr:uid="{00000000-0005-0000-0000-00008A030000}"/>
    <cellStyle name="Migliaia 3 3 2 2 2" xfId="5189" xr:uid="{07A7F9AC-4BCA-412B-9B32-E1675E088257}"/>
    <cellStyle name="Migliaia 3 3 2 2 3" xfId="6391" xr:uid="{541EAB05-DAA6-4589-AD8F-477F4C71DBE3}"/>
    <cellStyle name="Migliaia 3 3 2 2 4" xfId="3463" xr:uid="{ECC9D54C-9823-4F40-B3EC-E9D39E46E89A}"/>
    <cellStyle name="Migliaia 3 3 2 3" xfId="5188" xr:uid="{4CFF9EEB-BA8A-4FBA-B250-B91B786D4EA6}"/>
    <cellStyle name="Migliaia 3 3 2 4" xfId="6390" xr:uid="{8AB80A8D-C51D-4BAF-AEB6-A65026DE06C3}"/>
    <cellStyle name="Migliaia 3 3 2 5" xfId="3462" xr:uid="{CE3C1F3F-4FEB-4923-800B-439DEEE7542D}"/>
    <cellStyle name="Migliaia 3 3 3" xfId="3464" xr:uid="{6AC7BC88-B6F7-4B11-830A-7F284CE01184}"/>
    <cellStyle name="Migliaia 3 3 3 2" xfId="5190" xr:uid="{7C0467B1-7467-4E6A-9DD0-E2A778FEDA19}"/>
    <cellStyle name="Migliaia 3 3 3 3" xfId="6392" xr:uid="{9DB06772-762B-4D7C-BFAB-755BF5E8C3FD}"/>
    <cellStyle name="Migliaia 3 3 4" xfId="3465" xr:uid="{BAA301AE-E3CA-4AFD-A0EF-3D676E66D36A}"/>
    <cellStyle name="Migliaia 3 3 4 2" xfId="5191" xr:uid="{069B1F6C-6CB9-43AA-9A36-EBEED952C0FD}"/>
    <cellStyle name="Migliaia 3 3 4 3" xfId="6393" xr:uid="{8DA30CE9-87B0-4E1C-AC32-2131246D7D4B}"/>
    <cellStyle name="Migliaia 3 3 5" xfId="3466" xr:uid="{019CD801-8798-4873-A440-DC02A2139D32}"/>
    <cellStyle name="Migliaia 3 3 5 2" xfId="5192" xr:uid="{4F37E8FC-0B0B-4259-AF50-5936F8910B42}"/>
    <cellStyle name="Migliaia 3 3 5 3" xfId="6394" xr:uid="{9DCC49B3-FF78-4749-8E6A-E9096820A8EF}"/>
    <cellStyle name="Migliaia 3 3 6" xfId="5187" xr:uid="{1F9378BD-F0CE-4AFE-981F-85303D4B1B12}"/>
    <cellStyle name="Migliaia 3 3 7" xfId="6389" xr:uid="{0A8CB196-FFAE-4AF3-B7A6-6846AA5783DE}"/>
    <cellStyle name="Migliaia 3 3 8" xfId="3461" xr:uid="{C67196E2-779F-4FB2-8A30-62728AB3F337}"/>
    <cellStyle name="Migliaia 3 4" xfId="1769" xr:uid="{00000000-0005-0000-0000-00008B030000}"/>
    <cellStyle name="Migliaia 3 4 2" xfId="1770" xr:uid="{00000000-0005-0000-0000-00008C030000}"/>
    <cellStyle name="Migliaia 3 4 2 2" xfId="5194" xr:uid="{A564E769-FD81-45C0-BEBB-17C7E2C1D8C2}"/>
    <cellStyle name="Migliaia 3 4 2 3" xfId="3468" xr:uid="{36AF4895-E38A-4A0B-A123-7AE1C8AEB9A0}"/>
    <cellStyle name="Migliaia 3 4 3" xfId="5193" xr:uid="{30D7D6A2-970B-4653-B28C-35B032A06BF2}"/>
    <cellStyle name="Migliaia 3 4 4" xfId="6395" xr:uid="{2EBE0C0D-9838-400B-8F84-C8BB1DA31543}"/>
    <cellStyle name="Migliaia 3 4 5" xfId="3467" xr:uid="{680B88CC-4A18-45B7-AA01-8DAA1C18E905}"/>
    <cellStyle name="Migliaia 3 5" xfId="1771" xr:uid="{00000000-0005-0000-0000-00008D030000}"/>
    <cellStyle name="Migliaia 3 5 2" xfId="5195" xr:uid="{361FAFC9-C77C-4E34-AFEB-AC924678CAEC}"/>
    <cellStyle name="Migliaia 3 5 3" xfId="6396" xr:uid="{6E907510-C89F-4C2B-90F2-964E57875C83}"/>
    <cellStyle name="Migliaia 3 5 4" xfId="3469" xr:uid="{A2117492-3F90-45F0-9A32-748A119FF68F}"/>
    <cellStyle name="Migliaia 3 6" xfId="3470" xr:uid="{D33CD68D-7738-49E8-A484-1006AD8197D5}"/>
    <cellStyle name="Migliaia 3 6 2" xfId="5196" xr:uid="{CBCF6116-F22E-427B-96B1-C1DA7F5AFE6C}"/>
    <cellStyle name="Migliaia 3 6 3" xfId="6397" xr:uid="{369E27C9-A187-4C28-BC0C-D1D12E1E5BBD}"/>
    <cellStyle name="Migliaia 3 7" xfId="3471" xr:uid="{48053378-162A-4E35-9A47-223903F93243}"/>
    <cellStyle name="Migliaia 3 7 2" xfId="5197" xr:uid="{6FF6ADF3-AF9F-4E09-8283-13A4239A16D0}"/>
    <cellStyle name="Migliaia 3 7 3" xfId="6398" xr:uid="{D907F8DC-D21C-4096-A03A-A32A0225056A}"/>
    <cellStyle name="Migliaia 3 8" xfId="3472" xr:uid="{15D42DEB-56E7-4F21-9728-7E47F2EC2760}"/>
    <cellStyle name="Migliaia 3 8 2" xfId="5198" xr:uid="{88BDFB1F-65C7-473E-9041-2777851976FE}"/>
    <cellStyle name="Migliaia 3 8 3" xfId="6399" xr:uid="{919FBE93-8F43-42BB-AAB5-F9238F8D905E}"/>
    <cellStyle name="Migliaia 3 9" xfId="5183" xr:uid="{85D40718-79DB-400A-8FC9-21A832BE5A0B}"/>
    <cellStyle name="Migliaia 30" xfId="393" xr:uid="{00000000-0005-0000-0000-00008E030000}"/>
    <cellStyle name="Migliaia 30 10" xfId="6400" xr:uid="{A5648ECD-860E-4122-89C8-325B7500BDC5}"/>
    <cellStyle name="Migliaia 30 11" xfId="3473" xr:uid="{454AC107-67C6-4B2C-A5EC-54855A0A005D}"/>
    <cellStyle name="Migliaia 30 2" xfId="394" xr:uid="{00000000-0005-0000-0000-00008F030000}"/>
    <cellStyle name="Migliaia 30 2 2" xfId="1772" xr:uid="{00000000-0005-0000-0000-000090030000}"/>
    <cellStyle name="Migliaia 30 2 2 2" xfId="5201" xr:uid="{E0AEA813-7543-48B8-8626-F0535C00C9C9}"/>
    <cellStyle name="Migliaia 30 2 2 3" xfId="6402" xr:uid="{DA046622-A29E-4DCB-98C4-2FD211D71D1E}"/>
    <cellStyle name="Migliaia 30 2 2 4" xfId="3475" xr:uid="{26F018B4-1908-45AB-A65D-CBC9DA6608C9}"/>
    <cellStyle name="Migliaia 30 2 3" xfId="3476" xr:uid="{23DEB432-F546-4226-9A47-015B79582893}"/>
    <cellStyle name="Migliaia 30 2 3 2" xfId="5202" xr:uid="{8CF7DF5B-1D03-43BC-AE4F-AF0DFCDED04E}"/>
    <cellStyle name="Migliaia 30 2 3 3" xfId="6403" xr:uid="{B5027A94-0D22-4EDF-8B39-D76E154F08CE}"/>
    <cellStyle name="Migliaia 30 2 4" xfId="5200" xr:uid="{150FD2A8-D660-4FF1-89AE-7C59A8427C69}"/>
    <cellStyle name="Migliaia 30 2 5" xfId="6401" xr:uid="{D5660956-E602-4205-87D5-0C3D81427E79}"/>
    <cellStyle name="Migliaia 30 2 6" xfId="3474" xr:uid="{82706221-2683-4664-96EA-B4FB27BBB7E2}"/>
    <cellStyle name="Migliaia 30 3" xfId="395" xr:uid="{00000000-0005-0000-0000-000091030000}"/>
    <cellStyle name="Migliaia 30 3 2" xfId="396" xr:uid="{00000000-0005-0000-0000-000092030000}"/>
    <cellStyle name="Migliaia 30 3 2 2" xfId="1773" xr:uid="{00000000-0005-0000-0000-000093030000}"/>
    <cellStyle name="Migliaia 30 3 2 2 2" xfId="5205" xr:uid="{7D6B1815-EA21-468F-B290-F2087F9DCDCA}"/>
    <cellStyle name="Migliaia 30 3 2 2 3" xfId="6406" xr:uid="{BD21E60F-67DE-4E42-9B82-27723192E713}"/>
    <cellStyle name="Migliaia 30 3 2 2 4" xfId="3479" xr:uid="{B9AE7AE0-3EE4-4628-B7A0-53212959F676}"/>
    <cellStyle name="Migliaia 30 3 2 3" xfId="5204" xr:uid="{B2AC3962-A88D-4736-8A1C-2D4E19B6A51A}"/>
    <cellStyle name="Migliaia 30 3 2 4" xfId="6405" xr:uid="{CC683E42-6C44-4900-BB4A-D126D13071EC}"/>
    <cellStyle name="Migliaia 30 3 2 5" xfId="3478" xr:uid="{83184CD9-49A3-40AB-9EDC-A6F0BB731B7A}"/>
    <cellStyle name="Migliaia 30 3 3" xfId="3480" xr:uid="{BCEC0B74-6A62-4048-8905-84CB0B285D7F}"/>
    <cellStyle name="Migliaia 30 3 3 2" xfId="5206" xr:uid="{23E53A7D-D34B-4CC9-92BC-BA560E98EA7D}"/>
    <cellStyle name="Migliaia 30 3 3 3" xfId="6407" xr:uid="{B9E33C39-A9FD-4A66-B62A-275DAC177203}"/>
    <cellStyle name="Migliaia 30 3 4" xfId="3481" xr:uid="{3E766005-9029-4CD6-B4D3-718E1FCB0B33}"/>
    <cellStyle name="Migliaia 30 3 4 2" xfId="5207" xr:uid="{EA0AF834-7804-46D7-A624-3679C5F4BAEC}"/>
    <cellStyle name="Migliaia 30 3 4 3" xfId="6408" xr:uid="{E78013D5-4B1F-479E-B94B-DFF72D47D5A7}"/>
    <cellStyle name="Migliaia 30 3 5" xfId="3482" xr:uid="{F628CF4A-8F2B-4E3E-ADE0-A5649EBBDA4A}"/>
    <cellStyle name="Migliaia 30 3 5 2" xfId="5208" xr:uid="{0E3D462A-AA33-4210-A2D0-FCAF1C77C04E}"/>
    <cellStyle name="Migliaia 30 3 5 3" xfId="6409" xr:uid="{FEDE7A83-9A50-421D-A541-687FD89DF7E9}"/>
    <cellStyle name="Migliaia 30 3 6" xfId="5203" xr:uid="{675D2E84-37F4-4173-97A0-3CFCE7D8B7A4}"/>
    <cellStyle name="Migliaia 30 3 7" xfId="6404" xr:uid="{3FE46D04-ED5C-4F0C-B98E-4DA394CA946F}"/>
    <cellStyle name="Migliaia 30 3 8" xfId="3477" xr:uid="{5D31595A-A5CE-42D3-9CCA-19BBF18F5B24}"/>
    <cellStyle name="Migliaia 30 4" xfId="1774" xr:uid="{00000000-0005-0000-0000-000094030000}"/>
    <cellStyle name="Migliaia 30 4 2" xfId="1775" xr:uid="{00000000-0005-0000-0000-000095030000}"/>
    <cellStyle name="Migliaia 30 4 2 2" xfId="5210" xr:uid="{56E206C2-4597-42B2-8E8F-A347869D41BE}"/>
    <cellStyle name="Migliaia 30 4 2 3" xfId="3484" xr:uid="{9B9BBE27-1524-4F5A-BDAC-DAAD20337001}"/>
    <cellStyle name="Migliaia 30 4 3" xfId="5209" xr:uid="{FF260D4B-B5CD-49FA-80A2-89582506AB6B}"/>
    <cellStyle name="Migliaia 30 4 4" xfId="6410" xr:uid="{B3CF7C90-5951-4675-BEB6-458A1E74A8D5}"/>
    <cellStyle name="Migliaia 30 4 5" xfId="3483" xr:uid="{77864A2F-A339-4DE0-9F14-5F9BB469DEF1}"/>
    <cellStyle name="Migliaia 30 5" xfId="1776" xr:uid="{00000000-0005-0000-0000-000096030000}"/>
    <cellStyle name="Migliaia 30 5 2" xfId="5211" xr:uid="{5DD7545F-9245-496D-AD1A-F821581FA0F3}"/>
    <cellStyle name="Migliaia 30 5 3" xfId="6411" xr:uid="{60FEBD71-A04F-4D75-B4F7-0974A31FE6F8}"/>
    <cellStyle name="Migliaia 30 5 4" xfId="3485" xr:uid="{C390490C-3D70-440F-9E0C-8D2DC65BCD30}"/>
    <cellStyle name="Migliaia 30 6" xfId="3486" xr:uid="{04A6B56F-385F-4053-8775-8211FE6B0826}"/>
    <cellStyle name="Migliaia 30 6 2" xfId="5212" xr:uid="{539A43FE-6D62-4D21-9E42-C9814BA40831}"/>
    <cellStyle name="Migliaia 30 6 3" xfId="6412" xr:uid="{9BE7E05B-2DC8-4CF4-B95B-74110A737C03}"/>
    <cellStyle name="Migliaia 30 7" xfId="3487" xr:uid="{B7AB22EB-0CC3-4C71-B7DD-E5091E042FB4}"/>
    <cellStyle name="Migliaia 30 7 2" xfId="5213" xr:uid="{13E8B76F-32EA-42C4-9234-104D3FE5914E}"/>
    <cellStyle name="Migliaia 30 7 3" xfId="6413" xr:uid="{3B8814EB-AC9E-425B-B123-C491F468FABA}"/>
    <cellStyle name="Migliaia 30 8" xfId="3488" xr:uid="{68A5C82E-A2C6-482B-90B7-B8BF552AF108}"/>
    <cellStyle name="Migliaia 30 8 2" xfId="5214" xr:uid="{0F735C06-1672-40CF-BBA7-3FA38DF98E2E}"/>
    <cellStyle name="Migliaia 30 8 3" xfId="6414" xr:uid="{9AD7F6A9-B684-434F-B343-9F1B4C6A9677}"/>
    <cellStyle name="Migliaia 30 9" xfId="5199" xr:uid="{5B8C657A-0E79-4B4F-8A93-7B984551F806}"/>
    <cellStyle name="Migliaia 31" xfId="397" xr:uid="{00000000-0005-0000-0000-000097030000}"/>
    <cellStyle name="Migliaia 31 10" xfId="6415" xr:uid="{4201DA1F-C22F-4559-A7EC-5EB649D09421}"/>
    <cellStyle name="Migliaia 31 11" xfId="3489" xr:uid="{98F5A35A-B1AA-4086-A4DC-2A3A154DF5A0}"/>
    <cellStyle name="Migliaia 31 2" xfId="398" xr:uid="{00000000-0005-0000-0000-000098030000}"/>
    <cellStyle name="Migliaia 31 2 2" xfId="1777" xr:uid="{00000000-0005-0000-0000-000099030000}"/>
    <cellStyle name="Migliaia 31 2 2 2" xfId="5217" xr:uid="{D4C8525C-5AC9-45E7-B611-3ECFE076F722}"/>
    <cellStyle name="Migliaia 31 2 2 3" xfId="6417" xr:uid="{5B9AB063-49DD-47AC-815D-896102B318FF}"/>
    <cellStyle name="Migliaia 31 2 2 4" xfId="3491" xr:uid="{47369C82-A708-4A32-B3AF-F25E16759785}"/>
    <cellStyle name="Migliaia 31 2 3" xfId="3492" xr:uid="{30762D4D-8378-4AC8-AC4E-6097F410DDE2}"/>
    <cellStyle name="Migliaia 31 2 3 2" xfId="5218" xr:uid="{E0159559-0C30-4058-B130-10BFA4CBC2DA}"/>
    <cellStyle name="Migliaia 31 2 3 3" xfId="6418" xr:uid="{7D9254F1-66E6-4EA3-8964-B672336AA2CA}"/>
    <cellStyle name="Migliaia 31 2 4" xfId="5216" xr:uid="{1D1A6913-A23C-4F81-AB98-A42438FA8BD9}"/>
    <cellStyle name="Migliaia 31 2 5" xfId="6416" xr:uid="{7F28D860-C435-42DD-9574-83D99CF78566}"/>
    <cellStyle name="Migliaia 31 2 6" xfId="3490" xr:uid="{04C8A515-55ED-4DD1-A7DC-149F66F6F98B}"/>
    <cellStyle name="Migliaia 31 3" xfId="399" xr:uid="{00000000-0005-0000-0000-00009A030000}"/>
    <cellStyle name="Migliaia 31 3 2" xfId="400" xr:uid="{00000000-0005-0000-0000-00009B030000}"/>
    <cellStyle name="Migliaia 31 3 2 2" xfId="1778" xr:uid="{00000000-0005-0000-0000-00009C030000}"/>
    <cellStyle name="Migliaia 31 3 2 2 2" xfId="5221" xr:uid="{DF71539A-74F4-437F-8BD1-A4521F5A17BD}"/>
    <cellStyle name="Migliaia 31 3 2 2 3" xfId="6421" xr:uid="{77D51350-50C7-490F-B3DF-F5AA14B70FE5}"/>
    <cellStyle name="Migliaia 31 3 2 2 4" xfId="3495" xr:uid="{6902512F-08C6-4B01-87E8-60DCE8CD288D}"/>
    <cellStyle name="Migliaia 31 3 2 3" xfId="5220" xr:uid="{09E0C114-33C2-468D-A27D-C25888CD82A8}"/>
    <cellStyle name="Migliaia 31 3 2 4" xfId="6420" xr:uid="{76050A85-0A90-46F9-9A30-42A5C0029655}"/>
    <cellStyle name="Migliaia 31 3 2 5" xfId="3494" xr:uid="{BAC76DF3-711D-43D4-B822-D8482F1BF89D}"/>
    <cellStyle name="Migliaia 31 3 3" xfId="3496" xr:uid="{D3BDCB50-6E7F-4B9A-9244-6B124F81DFF6}"/>
    <cellStyle name="Migliaia 31 3 3 2" xfId="5222" xr:uid="{8E78C43B-41FB-4D0F-9CDC-5EA3F67D585D}"/>
    <cellStyle name="Migliaia 31 3 3 3" xfId="6422" xr:uid="{893AD938-730D-4D6C-B254-03A4384AE400}"/>
    <cellStyle name="Migliaia 31 3 4" xfId="3497" xr:uid="{84CA125A-BA26-45F8-9DED-C565E220C5BF}"/>
    <cellStyle name="Migliaia 31 3 4 2" xfId="5223" xr:uid="{8EB56F92-E8F9-4EDE-B599-227C0043B235}"/>
    <cellStyle name="Migliaia 31 3 4 3" xfId="6423" xr:uid="{99B068B8-AF70-4599-8CA0-675CDFB635B4}"/>
    <cellStyle name="Migliaia 31 3 5" xfId="3498" xr:uid="{A5992FC6-E45C-4A62-B8DA-AC62F6AB789B}"/>
    <cellStyle name="Migliaia 31 3 5 2" xfId="5224" xr:uid="{20A7DA60-DD5A-4F80-9DAB-3DED3D0D1967}"/>
    <cellStyle name="Migliaia 31 3 5 3" xfId="6424" xr:uid="{AC44422E-D10F-4E3C-978F-FD439BC657AA}"/>
    <cellStyle name="Migliaia 31 3 6" xfId="5219" xr:uid="{A30F4ECE-8C48-420B-A18D-44568CEBDAA0}"/>
    <cellStyle name="Migliaia 31 3 7" xfId="6419" xr:uid="{6C5F6CFF-311E-4E3C-ABAA-C50FA2B916B8}"/>
    <cellStyle name="Migliaia 31 3 8" xfId="3493" xr:uid="{FCD0D78F-85CE-4180-B381-020C64E93EEF}"/>
    <cellStyle name="Migliaia 31 4" xfId="1779" xr:uid="{00000000-0005-0000-0000-00009D030000}"/>
    <cellStyle name="Migliaia 31 4 2" xfId="1780" xr:uid="{00000000-0005-0000-0000-00009E030000}"/>
    <cellStyle name="Migliaia 31 4 2 2" xfId="5226" xr:uid="{D43F4634-FB95-4689-A780-2270C5BE933E}"/>
    <cellStyle name="Migliaia 31 4 2 3" xfId="3500" xr:uid="{AAA9DC24-50C3-4EEF-81C6-FCD01AF396BE}"/>
    <cellStyle name="Migliaia 31 4 3" xfId="5225" xr:uid="{1E6CD08F-671B-4EC0-A586-CC9B184FDB9F}"/>
    <cellStyle name="Migliaia 31 4 4" xfId="6425" xr:uid="{2727B6A3-96D1-4581-90D4-2CD63EDDE7D5}"/>
    <cellStyle name="Migliaia 31 4 5" xfId="3499" xr:uid="{13C882A0-88F5-486D-A75F-FB66E96D1846}"/>
    <cellStyle name="Migliaia 31 5" xfId="1781" xr:uid="{00000000-0005-0000-0000-00009F030000}"/>
    <cellStyle name="Migliaia 31 5 2" xfId="5227" xr:uid="{3CE5B503-A0CD-4E25-8CDF-059FAEEEC940}"/>
    <cellStyle name="Migliaia 31 5 3" xfId="6426" xr:uid="{CD37CAD2-10CB-4C78-AFB1-C80FC84BFF7B}"/>
    <cellStyle name="Migliaia 31 5 4" xfId="3501" xr:uid="{CDAEF0DA-7B45-4FE4-9C08-9FA0920CDFB4}"/>
    <cellStyle name="Migliaia 31 6" xfId="3502" xr:uid="{EE388D5A-97E3-48CE-80E0-7A8B7841F1B8}"/>
    <cellStyle name="Migliaia 31 6 2" xfId="5228" xr:uid="{AA010957-93BF-4EDE-8B28-2CA09EFD2ABB}"/>
    <cellStyle name="Migliaia 31 6 3" xfId="6427" xr:uid="{E5EDE3E5-1F62-48EC-A246-3887CB994625}"/>
    <cellStyle name="Migliaia 31 7" xfId="3503" xr:uid="{38BE7AB6-2030-4AFE-B49C-891348CB4762}"/>
    <cellStyle name="Migliaia 31 7 2" xfId="5229" xr:uid="{F2033C9F-0D1D-469D-ADAD-2085C567DC2E}"/>
    <cellStyle name="Migliaia 31 7 3" xfId="6428" xr:uid="{BFF9F7C7-3FEE-4DBB-B62B-40BC6EF868E3}"/>
    <cellStyle name="Migliaia 31 8" xfId="3504" xr:uid="{6B6207E0-B01D-44B5-8343-6BB30870DB82}"/>
    <cellStyle name="Migliaia 31 8 2" xfId="5230" xr:uid="{A986B480-44F8-4916-AA98-EF109571D939}"/>
    <cellStyle name="Migliaia 31 8 3" xfId="6429" xr:uid="{3A1C1AD4-C32A-4085-83A2-D9D70A1A9FF3}"/>
    <cellStyle name="Migliaia 31 9" xfId="5215" xr:uid="{BA9ED042-F19A-4BCE-B4BA-E3FD4223562D}"/>
    <cellStyle name="Migliaia 32" xfId="401" xr:uid="{00000000-0005-0000-0000-0000A0030000}"/>
    <cellStyle name="Migliaia 32 10" xfId="6430" xr:uid="{9ED7B565-ECB8-41A7-9A8F-B29219AC8240}"/>
    <cellStyle name="Migliaia 32 11" xfId="3505" xr:uid="{9C72130C-517D-4189-AF9B-72E602B40970}"/>
    <cellStyle name="Migliaia 32 2" xfId="402" xr:uid="{00000000-0005-0000-0000-0000A1030000}"/>
    <cellStyle name="Migliaia 32 2 2" xfId="1782" xr:uid="{00000000-0005-0000-0000-0000A2030000}"/>
    <cellStyle name="Migliaia 32 2 2 2" xfId="5233" xr:uid="{1E4633C3-093F-4567-B9D6-6886485EC7C2}"/>
    <cellStyle name="Migliaia 32 2 2 3" xfId="6432" xr:uid="{2B89C303-7FF5-440F-BA0A-3980F4BB300E}"/>
    <cellStyle name="Migliaia 32 2 2 4" xfId="3507" xr:uid="{A87317A6-BB04-4C86-BD61-74C10C8FA4A8}"/>
    <cellStyle name="Migliaia 32 2 3" xfId="3508" xr:uid="{A5C4E8EF-369A-4380-A506-0CA45EBB990E}"/>
    <cellStyle name="Migliaia 32 2 3 2" xfId="5234" xr:uid="{9CDF39E0-AD53-4F92-9023-91439D937486}"/>
    <cellStyle name="Migliaia 32 2 3 3" xfId="6433" xr:uid="{9B02D7C7-1E0A-4DA2-9126-71CF125B541D}"/>
    <cellStyle name="Migliaia 32 2 4" xfId="5232" xr:uid="{BB7B1551-B626-4DAD-9399-358B008DA417}"/>
    <cellStyle name="Migliaia 32 2 5" xfId="6431" xr:uid="{B5375F68-9824-4BFA-A160-00A8EACC8CB7}"/>
    <cellStyle name="Migliaia 32 2 6" xfId="3506" xr:uid="{B04E58CB-EADC-46C2-915B-BB530977C3EE}"/>
    <cellStyle name="Migliaia 32 3" xfId="403" xr:uid="{00000000-0005-0000-0000-0000A3030000}"/>
    <cellStyle name="Migliaia 32 3 2" xfId="404" xr:uid="{00000000-0005-0000-0000-0000A4030000}"/>
    <cellStyle name="Migliaia 32 3 2 2" xfId="1783" xr:uid="{00000000-0005-0000-0000-0000A5030000}"/>
    <cellStyle name="Migliaia 32 3 2 2 2" xfId="5237" xr:uid="{19BB44E1-58F7-4BD5-849E-4C1C91D62D25}"/>
    <cellStyle name="Migliaia 32 3 2 2 3" xfId="6436" xr:uid="{C82D1CF1-FCB1-4844-82BC-41E98B0E9CA3}"/>
    <cellStyle name="Migliaia 32 3 2 2 4" xfId="3511" xr:uid="{797E19F7-D10D-456A-880C-AFE323A1B66E}"/>
    <cellStyle name="Migliaia 32 3 2 3" xfId="5236" xr:uid="{73CD4E40-958A-4C35-AFB7-FC2BA117901E}"/>
    <cellStyle name="Migliaia 32 3 2 4" xfId="6435" xr:uid="{10C6C0C9-7B49-4C56-B6C6-0919D60A39D3}"/>
    <cellStyle name="Migliaia 32 3 2 5" xfId="3510" xr:uid="{41BCB18A-50B0-4217-AA2A-D96D500BB30B}"/>
    <cellStyle name="Migliaia 32 3 3" xfId="3512" xr:uid="{762B7129-7A57-43B2-9DA6-7496D75889FD}"/>
    <cellStyle name="Migliaia 32 3 3 2" xfId="5238" xr:uid="{DFA00A8A-B81E-463A-A568-632A0F0DF353}"/>
    <cellStyle name="Migliaia 32 3 3 3" xfId="6437" xr:uid="{A03A6FE5-883D-41C2-BC24-9CDD98AD747C}"/>
    <cellStyle name="Migliaia 32 3 4" xfId="3513" xr:uid="{62304707-5987-4782-98DE-4DA0F6D655B2}"/>
    <cellStyle name="Migliaia 32 3 4 2" xfId="5239" xr:uid="{32C99067-454D-4962-9210-A644E7861CC2}"/>
    <cellStyle name="Migliaia 32 3 4 3" xfId="6438" xr:uid="{C1B46896-D5AF-408A-8D97-A8746572D3E7}"/>
    <cellStyle name="Migliaia 32 3 5" xfId="3514" xr:uid="{CB096336-041D-4556-A1DF-54B489F00F47}"/>
    <cellStyle name="Migliaia 32 3 5 2" xfId="5240" xr:uid="{F97C6EFB-56E4-48FA-B693-6194ADB4FC42}"/>
    <cellStyle name="Migliaia 32 3 5 3" xfId="6439" xr:uid="{6CFB68BC-DA43-467F-A744-173D2D54F3E6}"/>
    <cellStyle name="Migliaia 32 3 6" xfId="5235" xr:uid="{1B527711-DAE8-4B2E-AF9D-3134DEDDB473}"/>
    <cellStyle name="Migliaia 32 3 7" xfId="6434" xr:uid="{5823BAAF-61D2-4281-AB44-67BFE3822AEA}"/>
    <cellStyle name="Migliaia 32 3 8" xfId="3509" xr:uid="{2085F6A7-0789-469A-B969-4BE64300FCAA}"/>
    <cellStyle name="Migliaia 32 4" xfId="1784" xr:uid="{00000000-0005-0000-0000-0000A6030000}"/>
    <cellStyle name="Migliaia 32 4 2" xfId="1785" xr:uid="{00000000-0005-0000-0000-0000A7030000}"/>
    <cellStyle name="Migliaia 32 4 2 2" xfId="5242" xr:uid="{924DAC67-60AF-40AE-B9D4-B129F12D1A13}"/>
    <cellStyle name="Migliaia 32 4 2 3" xfId="3516" xr:uid="{F21A02D4-91F8-4775-8141-127D42F27451}"/>
    <cellStyle name="Migliaia 32 4 3" xfId="5241" xr:uid="{FDFE663D-554D-4F35-A2F4-EADA5482FA20}"/>
    <cellStyle name="Migliaia 32 4 4" xfId="6440" xr:uid="{C9F7EC3B-CCDC-4457-A54B-384E689E7FA7}"/>
    <cellStyle name="Migliaia 32 4 5" xfId="3515" xr:uid="{C4A06186-7525-4C11-9D18-72573FE871B0}"/>
    <cellStyle name="Migliaia 32 5" xfId="1786" xr:uid="{00000000-0005-0000-0000-0000A8030000}"/>
    <cellStyle name="Migliaia 32 5 2" xfId="5243" xr:uid="{DFD51720-D573-4248-9FD6-E0340BCBADFE}"/>
    <cellStyle name="Migliaia 32 5 3" xfId="6441" xr:uid="{CAD3D39B-47AB-4F3C-88FA-2CD1B94FDB68}"/>
    <cellStyle name="Migliaia 32 5 4" xfId="3517" xr:uid="{5E249684-B9FD-44B1-99AC-1284190174C1}"/>
    <cellStyle name="Migliaia 32 6" xfId="3518" xr:uid="{19207D03-52D6-4671-94F4-D680956CE76F}"/>
    <cellStyle name="Migliaia 32 6 2" xfId="5244" xr:uid="{D7F948F9-1A70-4C14-941D-F81B76E185B6}"/>
    <cellStyle name="Migliaia 32 6 3" xfId="6442" xr:uid="{06C6FBF0-0D43-460C-8399-97043C1CDA88}"/>
    <cellStyle name="Migliaia 32 7" xfId="3519" xr:uid="{282D0C42-E8B2-448B-A2FB-154D2F922972}"/>
    <cellStyle name="Migliaia 32 7 2" xfId="5245" xr:uid="{BAF67321-032F-4E11-ABD8-45759C9E2BA9}"/>
    <cellStyle name="Migliaia 32 7 3" xfId="6443" xr:uid="{A2CBCD6E-AF83-4420-AABD-8B74EFE2AAC1}"/>
    <cellStyle name="Migliaia 32 8" xfId="3520" xr:uid="{B9EA8D56-496A-4BFC-9E25-5B8F8FF6563B}"/>
    <cellStyle name="Migliaia 32 8 2" xfId="5246" xr:uid="{AE7F18CF-C9D6-442F-BF29-4E0C13849FE9}"/>
    <cellStyle name="Migliaia 32 8 3" xfId="6444" xr:uid="{4C21A6A6-381A-4F37-8001-405EEAF1E16E}"/>
    <cellStyle name="Migliaia 32 9" xfId="5231" xr:uid="{595DA145-F0CC-4C77-A36E-E0B3F37DBD77}"/>
    <cellStyle name="Migliaia 33" xfId="405" xr:uid="{00000000-0005-0000-0000-0000A9030000}"/>
    <cellStyle name="Migliaia 33 10" xfId="6445" xr:uid="{A877428A-269A-4EB9-9D56-2E337C0EEEE2}"/>
    <cellStyle name="Migliaia 33 11" xfId="3521" xr:uid="{60ECEFB9-5D76-4603-85D4-AF11CE2B0151}"/>
    <cellStyle name="Migliaia 33 2" xfId="406" xr:uid="{00000000-0005-0000-0000-0000AA030000}"/>
    <cellStyle name="Migliaia 33 2 2" xfId="1787" xr:uid="{00000000-0005-0000-0000-0000AB030000}"/>
    <cellStyle name="Migliaia 33 2 2 2" xfId="5249" xr:uid="{798C7812-8EFE-4813-AA39-CEB8F5DCC7CB}"/>
    <cellStyle name="Migliaia 33 2 2 3" xfId="6447" xr:uid="{9904DD2A-6FB4-4BFE-A65F-1C626C6FF29A}"/>
    <cellStyle name="Migliaia 33 2 2 4" xfId="3523" xr:uid="{B74A5F4D-B6A5-48EE-A1D4-86DA00656AFE}"/>
    <cellStyle name="Migliaia 33 2 3" xfId="3524" xr:uid="{C4C1E6B0-2FC7-47FC-985D-1A925F0ADE84}"/>
    <cellStyle name="Migliaia 33 2 3 2" xfId="5250" xr:uid="{47E47011-B4B8-4287-90DA-DF4196A9E9DE}"/>
    <cellStyle name="Migliaia 33 2 3 3" xfId="6448" xr:uid="{C1C3746A-975D-44D7-83D0-434419E3F8F1}"/>
    <cellStyle name="Migliaia 33 2 4" xfId="5248" xr:uid="{E3F57113-C425-405C-814C-D6CCECFEA6B2}"/>
    <cellStyle name="Migliaia 33 2 5" xfId="6446" xr:uid="{D9EFC169-75C6-4174-87E9-BB94EC399A4E}"/>
    <cellStyle name="Migliaia 33 2 6" xfId="3522" xr:uid="{155BD3FE-4C08-4D9E-BBDB-6395C9902D17}"/>
    <cellStyle name="Migliaia 33 3" xfId="407" xr:uid="{00000000-0005-0000-0000-0000AC030000}"/>
    <cellStyle name="Migliaia 33 3 2" xfId="408" xr:uid="{00000000-0005-0000-0000-0000AD030000}"/>
    <cellStyle name="Migliaia 33 3 2 2" xfId="1788" xr:uid="{00000000-0005-0000-0000-0000AE030000}"/>
    <cellStyle name="Migliaia 33 3 2 2 2" xfId="5253" xr:uid="{D419E3A0-E72A-47B3-A313-67FCEB64DBFF}"/>
    <cellStyle name="Migliaia 33 3 2 2 3" xfId="6451" xr:uid="{CB3526BE-CD67-4DFA-86A4-C915DFFB4014}"/>
    <cellStyle name="Migliaia 33 3 2 2 4" xfId="3527" xr:uid="{714FF336-5BA3-4F0F-A47A-B941A4918F79}"/>
    <cellStyle name="Migliaia 33 3 2 3" xfId="5252" xr:uid="{78955755-7AE5-456A-B84A-421A86199DEC}"/>
    <cellStyle name="Migliaia 33 3 2 4" xfId="6450" xr:uid="{9D2149F5-EEBB-4E17-8144-C62A327FD89F}"/>
    <cellStyle name="Migliaia 33 3 2 5" xfId="3526" xr:uid="{C36A2EB4-BB4B-46CB-B7BA-0AA5DF7E301B}"/>
    <cellStyle name="Migliaia 33 3 3" xfId="3528" xr:uid="{C7CE9934-B242-40C6-86FE-41FF0D4E93A6}"/>
    <cellStyle name="Migliaia 33 3 3 2" xfId="5254" xr:uid="{682ED788-F4AE-4C1E-9DD8-738BE283ED85}"/>
    <cellStyle name="Migliaia 33 3 3 3" xfId="6452" xr:uid="{B918A6FC-1E50-4DD0-A890-F71A0EE4101D}"/>
    <cellStyle name="Migliaia 33 3 4" xfId="3529" xr:uid="{3A53F686-BEB6-43E1-8395-D8EAE6D2D29E}"/>
    <cellStyle name="Migliaia 33 3 4 2" xfId="5255" xr:uid="{050AC714-180D-43EA-A900-841A3D8F5357}"/>
    <cellStyle name="Migliaia 33 3 4 3" xfId="6453" xr:uid="{88F3E0D4-1071-49C0-A46A-59F1BC1C1E19}"/>
    <cellStyle name="Migliaia 33 3 5" xfId="3530" xr:uid="{468E0BCC-C7A9-4B34-AC48-F779F325A142}"/>
    <cellStyle name="Migliaia 33 3 5 2" xfId="5256" xr:uid="{74C209CE-7E2C-45B6-9F93-5416890413A8}"/>
    <cellStyle name="Migliaia 33 3 5 3" xfId="6454" xr:uid="{C5832017-F400-46FB-BB53-1BD23FA8FAD0}"/>
    <cellStyle name="Migliaia 33 3 6" xfId="5251" xr:uid="{A9940DAA-71EC-4473-8855-754AD11D5A69}"/>
    <cellStyle name="Migliaia 33 3 7" xfId="6449" xr:uid="{5A16EAB8-FC1A-4E47-A918-506AFBF7C062}"/>
    <cellStyle name="Migliaia 33 3 8" xfId="3525" xr:uid="{F0C07908-7C4F-4D05-8BD4-3CDAE158D86D}"/>
    <cellStyle name="Migliaia 33 4" xfId="1789" xr:uid="{00000000-0005-0000-0000-0000AF030000}"/>
    <cellStyle name="Migliaia 33 4 2" xfId="1790" xr:uid="{00000000-0005-0000-0000-0000B0030000}"/>
    <cellStyle name="Migliaia 33 4 2 2" xfId="5258" xr:uid="{4B8F04B7-CD5A-470C-BB28-91598AF20453}"/>
    <cellStyle name="Migliaia 33 4 2 3" xfId="3532" xr:uid="{6929FC0E-2D70-403B-A767-D5ADC9D15F93}"/>
    <cellStyle name="Migliaia 33 4 3" xfId="5257" xr:uid="{689123CB-6460-4E44-9DFE-5995ACD57CD0}"/>
    <cellStyle name="Migliaia 33 4 4" xfId="6455" xr:uid="{7A1F386F-62AB-43E9-A3D9-12393CFCCE50}"/>
    <cellStyle name="Migliaia 33 4 5" xfId="3531" xr:uid="{56BADB8E-4C1C-4980-BF27-C0FEA23F07DD}"/>
    <cellStyle name="Migliaia 33 5" xfId="1791" xr:uid="{00000000-0005-0000-0000-0000B1030000}"/>
    <cellStyle name="Migliaia 33 5 2" xfId="5259" xr:uid="{D83AAF43-CB66-4429-9D07-FCA197C6D3FF}"/>
    <cellStyle name="Migliaia 33 5 3" xfId="6456" xr:uid="{0409229C-EC13-45C9-946F-F3419BCAF51E}"/>
    <cellStyle name="Migliaia 33 5 4" xfId="3533" xr:uid="{3262721F-E17B-4E13-8E52-D203D30A0C48}"/>
    <cellStyle name="Migliaia 33 6" xfId="3534" xr:uid="{1CC9023C-BAC6-4506-ABC0-903F1B25E2AB}"/>
    <cellStyle name="Migliaia 33 6 2" xfId="5260" xr:uid="{3F4450AC-32BD-475B-BC45-D2FF49A3C0BD}"/>
    <cellStyle name="Migliaia 33 6 3" xfId="6457" xr:uid="{3F28F315-576C-46A4-B5CD-D2FF64E2F43D}"/>
    <cellStyle name="Migliaia 33 7" xfId="3535" xr:uid="{1CD7AB60-250D-4729-BE57-C52C410F45EA}"/>
    <cellStyle name="Migliaia 33 7 2" xfId="5261" xr:uid="{03BD8DD2-0C20-4331-903D-40562ACE8394}"/>
    <cellStyle name="Migliaia 33 7 3" xfId="6458" xr:uid="{C59D2FEA-6884-4C0F-9069-CABE2193C7AF}"/>
    <cellStyle name="Migliaia 33 8" xfId="3536" xr:uid="{8683F9A0-3935-4A7D-B4C0-3B31A530A4AF}"/>
    <cellStyle name="Migliaia 33 8 2" xfId="5262" xr:uid="{E857E318-9E17-43E6-96C6-CF8351DB5998}"/>
    <cellStyle name="Migliaia 33 8 3" xfId="6459" xr:uid="{8B77C66F-B847-489F-B2E4-473BA81CEFDD}"/>
    <cellStyle name="Migliaia 33 9" xfId="5247" xr:uid="{FE0589EC-D138-4EFB-8D0D-C7722EF7421D}"/>
    <cellStyle name="Migliaia 34" xfId="409" xr:uid="{00000000-0005-0000-0000-0000B2030000}"/>
    <cellStyle name="Migliaia 34 10" xfId="6460" xr:uid="{446CDD86-9B5A-445F-8339-A92113949E99}"/>
    <cellStyle name="Migliaia 34 11" xfId="3537" xr:uid="{3EBA89E3-A486-4244-B127-66A360759CDC}"/>
    <cellStyle name="Migliaia 34 2" xfId="410" xr:uid="{00000000-0005-0000-0000-0000B3030000}"/>
    <cellStyle name="Migliaia 34 2 2" xfId="1792" xr:uid="{00000000-0005-0000-0000-0000B4030000}"/>
    <cellStyle name="Migliaia 34 2 2 2" xfId="5265" xr:uid="{F9BBACB8-DC09-409E-A7F6-2799BB2311F7}"/>
    <cellStyle name="Migliaia 34 2 2 3" xfId="6462" xr:uid="{303F2612-38F3-4B14-9D02-A4DDB138081D}"/>
    <cellStyle name="Migliaia 34 2 2 4" xfId="3539" xr:uid="{E182DBCF-275D-4F73-94D8-AA9BF9AD72AC}"/>
    <cellStyle name="Migliaia 34 2 3" xfId="3540" xr:uid="{80D1486B-304D-4D77-BACE-247822D090F3}"/>
    <cellStyle name="Migliaia 34 2 3 2" xfId="5266" xr:uid="{8B3C4948-A275-41CF-8174-470755DB9056}"/>
    <cellStyle name="Migliaia 34 2 3 3" xfId="6463" xr:uid="{85DA57FF-AF8D-4585-9DD3-004730949076}"/>
    <cellStyle name="Migliaia 34 2 4" xfId="5264" xr:uid="{9EB3DDC4-26C7-40AC-866F-1EF68A6B6278}"/>
    <cellStyle name="Migliaia 34 2 5" xfId="6461" xr:uid="{A1797C92-0795-47C5-973F-E0A15B7A587A}"/>
    <cellStyle name="Migliaia 34 2 6" xfId="3538" xr:uid="{F762F256-F5A0-48E0-AD7C-2690A70B9247}"/>
    <cellStyle name="Migliaia 34 3" xfId="411" xr:uid="{00000000-0005-0000-0000-0000B5030000}"/>
    <cellStyle name="Migliaia 34 3 2" xfId="412" xr:uid="{00000000-0005-0000-0000-0000B6030000}"/>
    <cellStyle name="Migliaia 34 3 2 2" xfId="1793" xr:uid="{00000000-0005-0000-0000-0000B7030000}"/>
    <cellStyle name="Migliaia 34 3 2 2 2" xfId="5269" xr:uid="{CE6271D5-C95D-4269-93DB-A7750F3DB6E3}"/>
    <cellStyle name="Migliaia 34 3 2 2 3" xfId="6466" xr:uid="{82ADC557-C383-4EC5-9740-2BF4D3C6DD75}"/>
    <cellStyle name="Migliaia 34 3 2 2 4" xfId="3543" xr:uid="{E07B4949-0749-4A66-A056-E83098480DDB}"/>
    <cellStyle name="Migliaia 34 3 2 3" xfId="5268" xr:uid="{260A6332-73C4-4A96-96DF-E797F51F175D}"/>
    <cellStyle name="Migliaia 34 3 2 4" xfId="6465" xr:uid="{736A85FD-1579-429B-976F-5F5A6C3B3C3C}"/>
    <cellStyle name="Migliaia 34 3 2 5" xfId="3542" xr:uid="{F017704D-067C-4E47-9C86-7BF408B35889}"/>
    <cellStyle name="Migliaia 34 3 3" xfId="3544" xr:uid="{F2FE8A7C-D7E1-453E-A8C1-271A57750029}"/>
    <cellStyle name="Migliaia 34 3 3 2" xfId="5270" xr:uid="{B61D78DF-9D47-44B3-A363-CB2947097F80}"/>
    <cellStyle name="Migliaia 34 3 3 3" xfId="6467" xr:uid="{30B46127-11E3-4D23-A115-8875A05EDFA5}"/>
    <cellStyle name="Migliaia 34 3 4" xfId="3545" xr:uid="{ADABA363-FAB2-4C0E-957F-A52E5AC4DB0A}"/>
    <cellStyle name="Migliaia 34 3 4 2" xfId="5271" xr:uid="{D1793F4F-335D-402A-89BE-7DFA7923982A}"/>
    <cellStyle name="Migliaia 34 3 4 3" xfId="6468" xr:uid="{C055AA84-91EF-4144-9DBE-A57B5618E207}"/>
    <cellStyle name="Migliaia 34 3 5" xfId="3546" xr:uid="{1D8E9405-A699-4036-9CDB-360D68331B24}"/>
    <cellStyle name="Migliaia 34 3 5 2" xfId="5272" xr:uid="{84FDB9C1-29A7-4962-A13C-701B8297EEE1}"/>
    <cellStyle name="Migliaia 34 3 5 3" xfId="6469" xr:uid="{6BE54B96-0C5D-40E6-B975-DBCF9C65414E}"/>
    <cellStyle name="Migliaia 34 3 6" xfId="5267" xr:uid="{18763EDC-4C27-43E4-BB74-325938A534EB}"/>
    <cellStyle name="Migliaia 34 3 7" xfId="6464" xr:uid="{E244BB2C-58A0-45A9-947F-FE9D080E68B2}"/>
    <cellStyle name="Migliaia 34 3 8" xfId="3541" xr:uid="{57F49CDF-D5EC-498E-AEB3-A088D33E8E1B}"/>
    <cellStyle name="Migliaia 34 4" xfId="1794" xr:uid="{00000000-0005-0000-0000-0000B8030000}"/>
    <cellStyle name="Migliaia 34 4 2" xfId="1795" xr:uid="{00000000-0005-0000-0000-0000B9030000}"/>
    <cellStyle name="Migliaia 34 4 2 2" xfId="5274" xr:uid="{5391FA8B-CCCE-4A27-B416-630FF6B5EAD3}"/>
    <cellStyle name="Migliaia 34 4 2 3" xfId="3548" xr:uid="{33F31E3C-F248-4D8E-A31F-6F0760878D8B}"/>
    <cellStyle name="Migliaia 34 4 3" xfId="5273" xr:uid="{F58C1C99-F4DD-4E60-8F93-4974E52AE550}"/>
    <cellStyle name="Migliaia 34 4 4" xfId="6470" xr:uid="{29789B69-C4F4-47EF-BD01-49ABC9CB3BE2}"/>
    <cellStyle name="Migliaia 34 4 5" xfId="3547" xr:uid="{81D3CF87-D62C-4876-ACCA-C9D26F849ED0}"/>
    <cellStyle name="Migliaia 34 5" xfId="1796" xr:uid="{00000000-0005-0000-0000-0000BA030000}"/>
    <cellStyle name="Migliaia 34 5 2" xfId="5275" xr:uid="{FBE8A5E5-C5E3-442B-A100-B86B1FA38481}"/>
    <cellStyle name="Migliaia 34 5 3" xfId="6471" xr:uid="{D2875655-9A19-49BD-B7D3-E1CC7EC27C6D}"/>
    <cellStyle name="Migliaia 34 5 4" xfId="3549" xr:uid="{D194646A-0E18-4E1A-8E48-D1437967D5B9}"/>
    <cellStyle name="Migliaia 34 6" xfId="3550" xr:uid="{A4050135-B0DE-4841-AB5C-AC54FF248931}"/>
    <cellStyle name="Migliaia 34 6 2" xfId="5276" xr:uid="{2B418228-5F27-43B2-B33C-0C35450C61D9}"/>
    <cellStyle name="Migliaia 34 6 3" xfId="6472" xr:uid="{C9CA7FC3-6BC4-49BE-9E41-E066AEB410A7}"/>
    <cellStyle name="Migliaia 34 7" xfId="3551" xr:uid="{A05EB219-69C9-4C79-B9AE-C21992F1CF7C}"/>
    <cellStyle name="Migliaia 34 7 2" xfId="5277" xr:uid="{A4414389-45DD-4A9C-A288-350F9D91AA13}"/>
    <cellStyle name="Migliaia 34 7 3" xfId="6473" xr:uid="{98CCE90A-9C92-410C-84D8-08EC10B6E0C5}"/>
    <cellStyle name="Migliaia 34 8" xfId="3552" xr:uid="{2516E43D-BD86-4BF0-AF11-AE0FECD83967}"/>
    <cellStyle name="Migliaia 34 8 2" xfId="5278" xr:uid="{BA21AC21-14EC-4A6C-A371-5BE7F2FB1F33}"/>
    <cellStyle name="Migliaia 34 8 3" xfId="6474" xr:uid="{9E733782-29FA-4D3A-9EEE-21832632F75D}"/>
    <cellStyle name="Migliaia 34 9" xfId="5263" xr:uid="{07A759CF-0333-432A-A54E-E9C8E9254EEE}"/>
    <cellStyle name="Migliaia 35" xfId="413" xr:uid="{00000000-0005-0000-0000-0000BB030000}"/>
    <cellStyle name="Migliaia 35 10" xfId="6475" xr:uid="{5E8EE2AD-923A-4CF6-A96C-388B3E81A18C}"/>
    <cellStyle name="Migliaia 35 11" xfId="3553" xr:uid="{A2C4153E-04F0-4796-8878-0E68B1BA565A}"/>
    <cellStyle name="Migliaia 35 2" xfId="414" xr:uid="{00000000-0005-0000-0000-0000BC030000}"/>
    <cellStyle name="Migliaia 35 2 2" xfId="1797" xr:uid="{00000000-0005-0000-0000-0000BD030000}"/>
    <cellStyle name="Migliaia 35 2 2 2" xfId="5281" xr:uid="{D91C8997-071C-402F-AF4F-87F3AD810429}"/>
    <cellStyle name="Migliaia 35 2 2 3" xfId="6477" xr:uid="{796E9B4A-A2C7-4A9C-8086-73D6DA79EDC3}"/>
    <cellStyle name="Migliaia 35 2 2 4" xfId="3555" xr:uid="{7611F970-05F1-425C-8D02-A0B4B1BC6A6F}"/>
    <cellStyle name="Migliaia 35 2 3" xfId="3556" xr:uid="{735A83D0-CBDF-4667-901D-3E1301A0BA73}"/>
    <cellStyle name="Migliaia 35 2 3 2" xfId="5282" xr:uid="{9583A51E-53EF-48B4-A43F-397081413C15}"/>
    <cellStyle name="Migliaia 35 2 3 3" xfId="6478" xr:uid="{E4706E82-4662-47FE-8449-97DC14D5B5E1}"/>
    <cellStyle name="Migliaia 35 2 4" xfId="5280" xr:uid="{0A098892-74DA-46E1-A4A8-3FB79835AA39}"/>
    <cellStyle name="Migliaia 35 2 5" xfId="6476" xr:uid="{0D91610C-F8B9-4AC7-9F51-362E6C89B5A8}"/>
    <cellStyle name="Migliaia 35 2 6" xfId="3554" xr:uid="{BC481983-8460-4ED6-9994-A4677B75F917}"/>
    <cellStyle name="Migliaia 35 3" xfId="415" xr:uid="{00000000-0005-0000-0000-0000BE030000}"/>
    <cellStyle name="Migliaia 35 3 2" xfId="416" xr:uid="{00000000-0005-0000-0000-0000BF030000}"/>
    <cellStyle name="Migliaia 35 3 2 2" xfId="1798" xr:uid="{00000000-0005-0000-0000-0000C0030000}"/>
    <cellStyle name="Migliaia 35 3 2 2 2" xfId="5285" xr:uid="{570125C3-CC86-4BCF-B664-273222561AEE}"/>
    <cellStyle name="Migliaia 35 3 2 2 3" xfId="6481" xr:uid="{9B33733F-A593-4818-8B26-09BC9DC3A15A}"/>
    <cellStyle name="Migliaia 35 3 2 2 4" xfId="3559" xr:uid="{7192D9CE-6817-4368-B7FC-DF236BCB5CC6}"/>
    <cellStyle name="Migliaia 35 3 2 3" xfId="5284" xr:uid="{C3B91AD6-33D9-4309-A84F-799EAC910A24}"/>
    <cellStyle name="Migliaia 35 3 2 4" xfId="6480" xr:uid="{20EC5247-241C-4755-B152-807B10BB5ABC}"/>
    <cellStyle name="Migliaia 35 3 2 5" xfId="3558" xr:uid="{907C28ED-FB7C-4729-9A5F-F91596411BAE}"/>
    <cellStyle name="Migliaia 35 3 3" xfId="3560" xr:uid="{15C9D1D6-1E45-48B7-B6D0-871E1A37F4C2}"/>
    <cellStyle name="Migliaia 35 3 3 2" xfId="5286" xr:uid="{41350FFC-E556-4B1B-B643-048B7F3C072E}"/>
    <cellStyle name="Migliaia 35 3 3 3" xfId="6482" xr:uid="{7D094722-9405-4B87-82ED-10BEBB473D78}"/>
    <cellStyle name="Migliaia 35 3 4" xfId="3561" xr:uid="{026C782B-B3F2-48E6-B83F-B81CB8D89739}"/>
    <cellStyle name="Migliaia 35 3 4 2" xfId="5287" xr:uid="{B1E29D61-DE77-4BD6-9C5E-F7EE617B107B}"/>
    <cellStyle name="Migliaia 35 3 4 3" xfId="6483" xr:uid="{3446D2A1-9AC9-46EC-997B-9A9C322BFCD3}"/>
    <cellStyle name="Migliaia 35 3 5" xfId="3562" xr:uid="{B4F849FC-050E-4514-B6E4-74168CA38B70}"/>
    <cellStyle name="Migliaia 35 3 5 2" xfId="5288" xr:uid="{0BAFE2FF-10D4-4B16-88B3-962F82116B89}"/>
    <cellStyle name="Migliaia 35 3 5 3" xfId="6484" xr:uid="{DCC83E0A-9A97-4FCF-BA66-CC94918B4637}"/>
    <cellStyle name="Migliaia 35 3 6" xfId="5283" xr:uid="{BE78F124-8B25-41F5-A3EF-D4EF92B265A1}"/>
    <cellStyle name="Migliaia 35 3 7" xfId="6479" xr:uid="{237DE95D-F5CE-4177-A7D8-B927A2BC9E1D}"/>
    <cellStyle name="Migliaia 35 3 8" xfId="3557" xr:uid="{4AECCE64-16B2-46E3-88B0-0BD6CBD9F63E}"/>
    <cellStyle name="Migliaia 35 4" xfId="1799" xr:uid="{00000000-0005-0000-0000-0000C1030000}"/>
    <cellStyle name="Migliaia 35 4 2" xfId="1800" xr:uid="{00000000-0005-0000-0000-0000C2030000}"/>
    <cellStyle name="Migliaia 35 4 2 2" xfId="5290" xr:uid="{7848695C-ECCE-4133-8BC8-AE2D67432229}"/>
    <cellStyle name="Migliaia 35 4 2 3" xfId="3564" xr:uid="{E3885CA7-82BD-4991-A92A-BEE827196074}"/>
    <cellStyle name="Migliaia 35 4 3" xfId="5289" xr:uid="{97B5094E-FB7B-4427-9611-1CD9843CEDFD}"/>
    <cellStyle name="Migliaia 35 4 4" xfId="6485" xr:uid="{03028360-F389-4780-A21B-2C58F25508E1}"/>
    <cellStyle name="Migliaia 35 4 5" xfId="3563" xr:uid="{5331AEFE-0062-4961-899E-699C25E80013}"/>
    <cellStyle name="Migliaia 35 5" xfId="1801" xr:uid="{00000000-0005-0000-0000-0000C3030000}"/>
    <cellStyle name="Migliaia 35 5 2" xfId="5291" xr:uid="{BD88701B-2CC5-4E4A-8336-E885E75F2187}"/>
    <cellStyle name="Migliaia 35 5 3" xfId="6486" xr:uid="{EE76A570-0496-40AC-AA55-E50AC5AA6363}"/>
    <cellStyle name="Migliaia 35 5 4" xfId="3565" xr:uid="{94374BC8-007D-4B93-9748-A5CAC2297803}"/>
    <cellStyle name="Migliaia 35 6" xfId="3566" xr:uid="{0C2A6FD4-6854-4ED7-8030-75CD32492CDE}"/>
    <cellStyle name="Migliaia 35 6 2" xfId="5292" xr:uid="{48607B30-DF11-4331-9593-06FDFE3EE885}"/>
    <cellStyle name="Migliaia 35 6 3" xfId="6487" xr:uid="{DC451F01-9A36-4B6E-85B0-9E9047F31AC1}"/>
    <cellStyle name="Migliaia 35 7" xfId="3567" xr:uid="{09736CBB-06E8-43BD-945A-6FDFEDEDB61E}"/>
    <cellStyle name="Migliaia 35 7 2" xfId="5293" xr:uid="{F175D549-3DF5-4C55-BECA-344628AB40D4}"/>
    <cellStyle name="Migliaia 35 7 3" xfId="6488" xr:uid="{31551E26-229C-4694-A2D1-5E7FBB850269}"/>
    <cellStyle name="Migliaia 35 8" xfId="3568" xr:uid="{AE5B4270-ADF2-4249-B464-25000DD77339}"/>
    <cellStyle name="Migliaia 35 8 2" xfId="5294" xr:uid="{C91E9C74-18BE-4FA0-B260-D93822CA9336}"/>
    <cellStyle name="Migliaia 35 8 3" xfId="6489" xr:uid="{056436A4-BC54-48D1-BF1D-920FF474E682}"/>
    <cellStyle name="Migliaia 35 9" xfId="5279" xr:uid="{E787675B-E37C-4085-B9D5-680642A3BCB9}"/>
    <cellStyle name="Migliaia 36" xfId="417" xr:uid="{00000000-0005-0000-0000-0000C4030000}"/>
    <cellStyle name="Migliaia 36 10" xfId="6490" xr:uid="{4EBF4E20-80F2-4EFB-B5A1-5DB72C738E78}"/>
    <cellStyle name="Migliaia 36 11" xfId="3569" xr:uid="{58C08506-521C-4522-812C-5607456F48EC}"/>
    <cellStyle name="Migliaia 36 2" xfId="418" xr:uid="{00000000-0005-0000-0000-0000C5030000}"/>
    <cellStyle name="Migliaia 36 2 2" xfId="1802" xr:uid="{00000000-0005-0000-0000-0000C6030000}"/>
    <cellStyle name="Migliaia 36 2 2 2" xfId="5297" xr:uid="{87AB162F-C46D-4D3E-9D83-23DF47E7BF86}"/>
    <cellStyle name="Migliaia 36 2 2 3" xfId="6492" xr:uid="{79B82C90-20C7-43F5-A25A-6BB448AFF5C5}"/>
    <cellStyle name="Migliaia 36 2 2 4" xfId="3571" xr:uid="{B6888A4E-D4EF-4401-B7E7-4950A8660E79}"/>
    <cellStyle name="Migliaia 36 2 3" xfId="3572" xr:uid="{8094135A-E435-4DA3-AA1A-041A3D620BE6}"/>
    <cellStyle name="Migliaia 36 2 3 2" xfId="5298" xr:uid="{9113FBDD-7221-4DC3-A464-F40898443AB4}"/>
    <cellStyle name="Migliaia 36 2 3 3" xfId="6493" xr:uid="{5876BC9E-63CF-427D-BDF3-1400CC098E78}"/>
    <cellStyle name="Migliaia 36 2 4" xfId="5296" xr:uid="{0384A640-D228-4056-99ED-66E3F6E79D3E}"/>
    <cellStyle name="Migliaia 36 2 5" xfId="6491" xr:uid="{EC78BB23-7BE4-4354-A845-48A8F1BB148E}"/>
    <cellStyle name="Migliaia 36 2 6" xfId="3570" xr:uid="{6CD0B3D0-A4CE-4EDF-B1C6-2FA6BBC8FAE6}"/>
    <cellStyle name="Migliaia 36 3" xfId="419" xr:uid="{00000000-0005-0000-0000-0000C7030000}"/>
    <cellStyle name="Migliaia 36 3 2" xfId="420" xr:uid="{00000000-0005-0000-0000-0000C8030000}"/>
    <cellStyle name="Migliaia 36 3 2 2" xfId="1803" xr:uid="{00000000-0005-0000-0000-0000C9030000}"/>
    <cellStyle name="Migliaia 36 3 2 2 2" xfId="5301" xr:uid="{A68C6E22-AFB7-4031-B00E-51E5168B3A9A}"/>
    <cellStyle name="Migliaia 36 3 2 2 3" xfId="6496" xr:uid="{992A68F2-B6EC-4E0D-8040-E303B710EE84}"/>
    <cellStyle name="Migliaia 36 3 2 2 4" xfId="3575" xr:uid="{337A7159-65BB-44AF-B25E-1C075E098118}"/>
    <cellStyle name="Migliaia 36 3 2 3" xfId="5300" xr:uid="{4154503D-E0A1-442E-B8FA-37ACEAAF403B}"/>
    <cellStyle name="Migliaia 36 3 2 4" xfId="6495" xr:uid="{579800BC-9E19-4ECE-B2ED-51F95B17AFCE}"/>
    <cellStyle name="Migliaia 36 3 2 5" xfId="3574" xr:uid="{D32DA5F0-6200-40A4-A83D-F8DC007C46F0}"/>
    <cellStyle name="Migliaia 36 3 3" xfId="3576" xr:uid="{1DBB7E85-626C-42CC-8543-D54BD0C386D4}"/>
    <cellStyle name="Migliaia 36 3 3 2" xfId="5302" xr:uid="{3A0810FC-82D8-485D-B108-E6ABE8150B57}"/>
    <cellStyle name="Migliaia 36 3 3 3" xfId="6497" xr:uid="{03093440-5518-4180-BE9E-119CCD99DE4E}"/>
    <cellStyle name="Migliaia 36 3 4" xfId="3577" xr:uid="{3C366B86-3260-4393-BB3C-3852064D4B57}"/>
    <cellStyle name="Migliaia 36 3 4 2" xfId="5303" xr:uid="{DF2916DD-A922-4D44-A80D-B4559848DC9B}"/>
    <cellStyle name="Migliaia 36 3 4 3" xfId="6498" xr:uid="{85C9C61A-2BBB-452B-8B33-44913060BCB7}"/>
    <cellStyle name="Migliaia 36 3 5" xfId="3578" xr:uid="{E32069A4-8CE1-46AE-9FBF-9A8E9DA3F600}"/>
    <cellStyle name="Migliaia 36 3 5 2" xfId="5304" xr:uid="{07FD3BAC-84CC-4A28-A924-DB3C71700492}"/>
    <cellStyle name="Migliaia 36 3 5 3" xfId="6499" xr:uid="{90C877CF-C853-43BF-B00E-2D9D705D00BC}"/>
    <cellStyle name="Migliaia 36 3 6" xfId="5299" xr:uid="{5ACC02D6-41A4-4405-8785-70D55A2359E1}"/>
    <cellStyle name="Migliaia 36 3 7" xfId="6494" xr:uid="{F1B11BC4-F524-4F0C-A10F-DDA2BEBFAC9B}"/>
    <cellStyle name="Migliaia 36 3 8" xfId="3573" xr:uid="{C7D91E42-3FF5-4A73-83A9-C67D74F13EC0}"/>
    <cellStyle name="Migliaia 36 4" xfId="1804" xr:uid="{00000000-0005-0000-0000-0000CA030000}"/>
    <cellStyle name="Migliaia 36 4 2" xfId="1805" xr:uid="{00000000-0005-0000-0000-0000CB030000}"/>
    <cellStyle name="Migliaia 36 4 2 2" xfId="5306" xr:uid="{4C27EBBB-E07F-4F03-A5E2-C47F22F7B4F7}"/>
    <cellStyle name="Migliaia 36 4 2 3" xfId="3580" xr:uid="{FFA56A31-073A-42D4-94F7-8AFDEAF08229}"/>
    <cellStyle name="Migliaia 36 4 3" xfId="5305" xr:uid="{04A047A6-60DC-4221-913F-711DDFC82C1D}"/>
    <cellStyle name="Migliaia 36 4 4" xfId="6500" xr:uid="{2371A2A9-4FF4-45B4-9770-B967FD6D8E6A}"/>
    <cellStyle name="Migliaia 36 4 5" xfId="3579" xr:uid="{F9AA01AE-88FD-4C30-BEF5-6D24043AF8BC}"/>
    <cellStyle name="Migliaia 36 5" xfId="1806" xr:uid="{00000000-0005-0000-0000-0000CC030000}"/>
    <cellStyle name="Migliaia 36 5 2" xfId="5307" xr:uid="{4BC4A867-7D47-4266-9728-4BDF865F37A1}"/>
    <cellStyle name="Migliaia 36 5 3" xfId="6501" xr:uid="{747066F0-0D64-4EC6-8F0A-183D25CF3671}"/>
    <cellStyle name="Migliaia 36 5 4" xfId="3581" xr:uid="{3D9BAEAD-E674-40AC-9B34-CE5272E330D9}"/>
    <cellStyle name="Migliaia 36 6" xfId="3582" xr:uid="{BB9235FF-92E6-4168-97DE-F41796DD3032}"/>
    <cellStyle name="Migliaia 36 6 2" xfId="5308" xr:uid="{67C26097-025A-4754-A399-4B074F221E18}"/>
    <cellStyle name="Migliaia 36 6 3" xfId="6502" xr:uid="{A8A0AA72-F6F5-49FD-94A3-6D9B0CBF231B}"/>
    <cellStyle name="Migliaia 36 7" xfId="3583" xr:uid="{61739952-4064-4808-9757-65E5E90FBEC2}"/>
    <cellStyle name="Migliaia 36 7 2" xfId="5309" xr:uid="{ED0397CF-208D-4E91-B0F8-B8E82CF5DF7D}"/>
    <cellStyle name="Migliaia 36 7 3" xfId="6503" xr:uid="{B1BB469F-19E8-4904-9EE7-BB6B956165D6}"/>
    <cellStyle name="Migliaia 36 8" xfId="3584" xr:uid="{AB7180A6-D0F5-4936-B9C1-AB924464F74F}"/>
    <cellStyle name="Migliaia 36 8 2" xfId="5310" xr:uid="{AEEE28A9-90E7-4025-9768-788E8A652403}"/>
    <cellStyle name="Migliaia 36 8 3" xfId="6504" xr:uid="{CE04CBE6-711D-4ECD-B1E7-27330BE3B977}"/>
    <cellStyle name="Migliaia 36 9" xfId="5295" xr:uid="{908F6743-7398-441C-BCCF-7466FFF2F25A}"/>
    <cellStyle name="Migliaia 37" xfId="421" xr:uid="{00000000-0005-0000-0000-0000CD030000}"/>
    <cellStyle name="Migliaia 37 10" xfId="6505" xr:uid="{DAB6754C-D5FB-4380-84F2-122510FAE791}"/>
    <cellStyle name="Migliaia 37 11" xfId="3585" xr:uid="{164A2796-BF50-4436-B974-8F980D629A6B}"/>
    <cellStyle name="Migliaia 37 2" xfId="422" xr:uid="{00000000-0005-0000-0000-0000CE030000}"/>
    <cellStyle name="Migliaia 37 2 2" xfId="1807" xr:uid="{00000000-0005-0000-0000-0000CF030000}"/>
    <cellStyle name="Migliaia 37 2 2 2" xfId="5313" xr:uid="{2EA2F902-8A93-45B4-A343-418E2501A6AD}"/>
    <cellStyle name="Migliaia 37 2 2 3" xfId="6507" xr:uid="{FE1740C6-2915-4AE6-A3C6-7EBC8AB2E9AF}"/>
    <cellStyle name="Migliaia 37 2 2 4" xfId="3587" xr:uid="{A5DB753B-5EB7-4ABB-952A-66E680BD7D2E}"/>
    <cellStyle name="Migliaia 37 2 3" xfId="3588" xr:uid="{9873D394-9284-4FD6-AF88-63D85ABAAD83}"/>
    <cellStyle name="Migliaia 37 2 3 2" xfId="5314" xr:uid="{3ED5EE35-2228-4F70-9032-FEDBF41C6335}"/>
    <cellStyle name="Migliaia 37 2 3 3" xfId="6508" xr:uid="{7F725647-5273-45EE-8507-5F914C884808}"/>
    <cellStyle name="Migliaia 37 2 4" xfId="5312" xr:uid="{12A1CD4E-3F47-4433-9518-92899C88E883}"/>
    <cellStyle name="Migliaia 37 2 5" xfId="6506" xr:uid="{A4CD483B-6536-46EB-8935-57D93CB865A4}"/>
    <cellStyle name="Migliaia 37 2 6" xfId="3586" xr:uid="{7C5F6C24-B937-48DF-B453-4692D87A0487}"/>
    <cellStyle name="Migliaia 37 3" xfId="423" xr:uid="{00000000-0005-0000-0000-0000D0030000}"/>
    <cellStyle name="Migliaia 37 3 2" xfId="424" xr:uid="{00000000-0005-0000-0000-0000D1030000}"/>
    <cellStyle name="Migliaia 37 3 2 2" xfId="1808" xr:uid="{00000000-0005-0000-0000-0000D2030000}"/>
    <cellStyle name="Migliaia 37 3 2 2 2" xfId="5317" xr:uid="{87EE64E5-91FF-43B8-BAEE-BE8CE1934248}"/>
    <cellStyle name="Migliaia 37 3 2 2 3" xfId="6511" xr:uid="{FAA0FEEC-19B3-4023-936F-D1204396B11B}"/>
    <cellStyle name="Migliaia 37 3 2 2 4" xfId="3591" xr:uid="{E0FC737A-4D35-4506-8760-4ED833FEB3EC}"/>
    <cellStyle name="Migliaia 37 3 2 3" xfId="5316" xr:uid="{1C742278-59F5-4B53-A16B-55FB25128645}"/>
    <cellStyle name="Migliaia 37 3 2 4" xfId="6510" xr:uid="{39BF6808-4C02-478E-BDE4-E06578C67C33}"/>
    <cellStyle name="Migliaia 37 3 2 5" xfId="3590" xr:uid="{BFDC1F5E-7631-4531-B37C-F262F86C2C60}"/>
    <cellStyle name="Migliaia 37 3 3" xfId="3592" xr:uid="{9B6E9A63-3182-4AB0-99E9-04937A8A4DB2}"/>
    <cellStyle name="Migliaia 37 3 3 2" xfId="5318" xr:uid="{6DC48385-B9A6-45BB-B07A-198A39B3766A}"/>
    <cellStyle name="Migliaia 37 3 3 3" xfId="6512" xr:uid="{83A67CBE-B313-4F2A-94B1-631C38B1B45E}"/>
    <cellStyle name="Migliaia 37 3 4" xfId="3593" xr:uid="{B559AC98-DD11-47FA-8A39-E1C627F183A0}"/>
    <cellStyle name="Migliaia 37 3 4 2" xfId="5319" xr:uid="{004889BF-014B-45DB-BEE1-3AADB29A83BF}"/>
    <cellStyle name="Migliaia 37 3 4 3" xfId="6513" xr:uid="{7BC5C860-3C99-4435-8A0B-F77CE98200F6}"/>
    <cellStyle name="Migliaia 37 3 5" xfId="3594" xr:uid="{0651C7D5-50C4-4BF6-9423-2C40D079AB05}"/>
    <cellStyle name="Migliaia 37 3 5 2" xfId="5320" xr:uid="{9502462D-35B8-4D29-84B7-A0400B90E7F4}"/>
    <cellStyle name="Migliaia 37 3 5 3" xfId="6514" xr:uid="{34C96F0E-1D13-4B21-810A-74F7ED7010C9}"/>
    <cellStyle name="Migliaia 37 3 6" xfId="5315" xr:uid="{D9989055-3376-4BB0-B008-BFBE40D1B367}"/>
    <cellStyle name="Migliaia 37 3 7" xfId="6509" xr:uid="{9F642E4B-BEB3-4922-BE23-2E830ADD1472}"/>
    <cellStyle name="Migliaia 37 3 8" xfId="3589" xr:uid="{D9A509CE-B803-4352-9697-99228A313C01}"/>
    <cellStyle name="Migliaia 37 4" xfId="1809" xr:uid="{00000000-0005-0000-0000-0000D3030000}"/>
    <cellStyle name="Migliaia 37 4 2" xfId="1810" xr:uid="{00000000-0005-0000-0000-0000D4030000}"/>
    <cellStyle name="Migliaia 37 4 2 2" xfId="5322" xr:uid="{46A48FF8-4845-4102-BBE7-7B8BF93B2077}"/>
    <cellStyle name="Migliaia 37 4 2 3" xfId="3596" xr:uid="{36F591D5-2E96-458D-9412-0D3B3FDD323D}"/>
    <cellStyle name="Migliaia 37 4 3" xfId="5321" xr:uid="{3BA4C93B-2C92-43E1-9659-2D78C6001A17}"/>
    <cellStyle name="Migliaia 37 4 4" xfId="6515" xr:uid="{AF797D48-E244-42F5-B7C7-6A7335A4073A}"/>
    <cellStyle name="Migliaia 37 4 5" xfId="3595" xr:uid="{9726D3E7-8F96-474D-AD88-0D141BB704AB}"/>
    <cellStyle name="Migliaia 37 5" xfId="1811" xr:uid="{00000000-0005-0000-0000-0000D5030000}"/>
    <cellStyle name="Migliaia 37 5 2" xfId="5323" xr:uid="{040770B9-B15F-4948-8884-B33003DC9FFD}"/>
    <cellStyle name="Migliaia 37 5 3" xfId="6516" xr:uid="{5B513201-78C3-4B3D-9F88-9D484743C8D1}"/>
    <cellStyle name="Migliaia 37 5 4" xfId="3597" xr:uid="{D1C469AE-757A-4D31-AC85-B1CAA0F1EAFD}"/>
    <cellStyle name="Migliaia 37 6" xfId="3598" xr:uid="{02D50670-B404-4218-B08C-DBEB9951C656}"/>
    <cellStyle name="Migliaia 37 6 2" xfId="5324" xr:uid="{5881A6B7-A243-40C4-A965-4FE26DC4E963}"/>
    <cellStyle name="Migliaia 37 6 3" xfId="6517" xr:uid="{350D6510-8676-4186-9243-D53DB5CF346F}"/>
    <cellStyle name="Migliaia 37 7" xfId="3599" xr:uid="{075E0A5D-AAA2-4127-AEBB-09EDFA6C3BDB}"/>
    <cellStyle name="Migliaia 37 7 2" xfId="5325" xr:uid="{359A1158-A60E-464F-B1F9-38CFF9239C04}"/>
    <cellStyle name="Migliaia 37 7 3" xfId="6518" xr:uid="{03E3F660-1EFB-499D-96FB-579A48D45FEB}"/>
    <cellStyle name="Migliaia 37 8" xfId="3600" xr:uid="{C232DE7B-EDEF-4B38-A92D-1632F8464D75}"/>
    <cellStyle name="Migliaia 37 8 2" xfId="5326" xr:uid="{AA51008E-09DE-44DB-882F-6BFF0AF4715E}"/>
    <cellStyle name="Migliaia 37 8 3" xfId="6519" xr:uid="{A9B3D9D6-843A-4639-81FD-39BEF1E1E66E}"/>
    <cellStyle name="Migliaia 37 9" xfId="5311" xr:uid="{7F867A6E-AB34-4652-8106-6FDAE61C35E0}"/>
    <cellStyle name="Migliaia 38" xfId="425" xr:uid="{00000000-0005-0000-0000-0000D6030000}"/>
    <cellStyle name="Migliaia 38 10" xfId="6520" xr:uid="{48F4F792-D39C-4989-9355-B09A28869061}"/>
    <cellStyle name="Migliaia 38 11" xfId="3601" xr:uid="{F0B5EB3C-E4AA-4AAA-9BDD-ACD6991327DA}"/>
    <cellStyle name="Migliaia 38 2" xfId="426" xr:uid="{00000000-0005-0000-0000-0000D7030000}"/>
    <cellStyle name="Migliaia 38 2 2" xfId="1812" xr:uid="{00000000-0005-0000-0000-0000D8030000}"/>
    <cellStyle name="Migliaia 38 2 2 2" xfId="5329" xr:uid="{EA6AC698-C72B-42AE-B749-E09E27789715}"/>
    <cellStyle name="Migliaia 38 2 2 3" xfId="6522" xr:uid="{CD35BAC1-E071-40B0-A89C-05193445CCB9}"/>
    <cellStyle name="Migliaia 38 2 2 4" xfId="3603" xr:uid="{CC8288F0-74CA-4DCB-92C2-909A5BE87EA2}"/>
    <cellStyle name="Migliaia 38 2 3" xfId="3604" xr:uid="{F7D50DF9-C34C-4F60-B22D-FBDB90820433}"/>
    <cellStyle name="Migliaia 38 2 3 2" xfId="5330" xr:uid="{EB225DAB-FB4F-43FE-9F17-4692AF62927E}"/>
    <cellStyle name="Migliaia 38 2 3 3" xfId="6523" xr:uid="{B92EC2F4-C659-4FB9-83F3-703DBC26EF7A}"/>
    <cellStyle name="Migliaia 38 2 4" xfId="5328" xr:uid="{6C77A039-D1A1-4D5F-BE0C-59947A39F44F}"/>
    <cellStyle name="Migliaia 38 2 5" xfId="6521" xr:uid="{ABFE1193-C612-426D-867C-EC04DF7370FB}"/>
    <cellStyle name="Migliaia 38 2 6" xfId="3602" xr:uid="{95445A0F-9632-4D42-B07B-A3AFF2B045EA}"/>
    <cellStyle name="Migliaia 38 3" xfId="427" xr:uid="{00000000-0005-0000-0000-0000D9030000}"/>
    <cellStyle name="Migliaia 38 3 2" xfId="428" xr:uid="{00000000-0005-0000-0000-0000DA030000}"/>
    <cellStyle name="Migliaia 38 3 2 2" xfId="1813" xr:uid="{00000000-0005-0000-0000-0000DB030000}"/>
    <cellStyle name="Migliaia 38 3 2 2 2" xfId="5333" xr:uid="{D0CE1583-2C21-4DBD-9FB4-9A9091181EAD}"/>
    <cellStyle name="Migliaia 38 3 2 2 3" xfId="6526" xr:uid="{5B73C05B-34B4-4EB1-A292-409472A35D68}"/>
    <cellStyle name="Migliaia 38 3 2 2 4" xfId="3607" xr:uid="{A93408DE-FA5A-4202-9595-2A0110C15F82}"/>
    <cellStyle name="Migliaia 38 3 2 3" xfId="5332" xr:uid="{91F9B1FE-73FF-42E9-95C0-24CCA9077C54}"/>
    <cellStyle name="Migliaia 38 3 2 4" xfId="6525" xr:uid="{0EB52077-972D-45EE-9F75-01F143972C94}"/>
    <cellStyle name="Migliaia 38 3 2 5" xfId="3606" xr:uid="{0F78C155-B81C-4F41-A033-9A773CB9F65C}"/>
    <cellStyle name="Migliaia 38 3 3" xfId="3608" xr:uid="{E6DD005A-9134-476D-B762-83809B5FBFBE}"/>
    <cellStyle name="Migliaia 38 3 3 2" xfId="5334" xr:uid="{4BC41AA1-D181-4A6D-A385-A576B2EDBB0E}"/>
    <cellStyle name="Migliaia 38 3 3 3" xfId="6527" xr:uid="{E5CDDE51-A4DF-4806-8F58-52B864150B4F}"/>
    <cellStyle name="Migliaia 38 3 4" xfId="3609" xr:uid="{03636019-356D-450C-A339-43049776B7D5}"/>
    <cellStyle name="Migliaia 38 3 4 2" xfId="5335" xr:uid="{38D61A6A-5CDF-45B8-811B-E12970FB7DD6}"/>
    <cellStyle name="Migliaia 38 3 4 3" xfId="6528" xr:uid="{CCC29080-2494-4314-96D0-464D4B1845A2}"/>
    <cellStyle name="Migliaia 38 3 5" xfId="3610" xr:uid="{D2132C9F-5EC5-40E6-9013-33262637A7BA}"/>
    <cellStyle name="Migliaia 38 3 5 2" xfId="5336" xr:uid="{B2395656-4B00-4F69-B8AF-4BAF0CC926E9}"/>
    <cellStyle name="Migliaia 38 3 5 3" xfId="6529" xr:uid="{C8039125-AF5B-4875-829B-C2D9E880EA80}"/>
    <cellStyle name="Migliaia 38 3 6" xfId="5331" xr:uid="{A28B5CC7-EC12-40AB-B727-2D07B696D258}"/>
    <cellStyle name="Migliaia 38 3 7" xfId="6524" xr:uid="{02543DDF-E2DA-4DFB-8B39-CD37854D65A4}"/>
    <cellStyle name="Migliaia 38 3 8" xfId="3605" xr:uid="{083DEB44-C1CA-4EAD-A030-BFAC9415BB9F}"/>
    <cellStyle name="Migliaia 38 4" xfId="1814" xr:uid="{00000000-0005-0000-0000-0000DC030000}"/>
    <cellStyle name="Migliaia 38 4 2" xfId="1815" xr:uid="{00000000-0005-0000-0000-0000DD030000}"/>
    <cellStyle name="Migliaia 38 4 2 2" xfId="5338" xr:uid="{4F97117D-5AC0-481C-B2C9-77B914E2198B}"/>
    <cellStyle name="Migliaia 38 4 2 3" xfId="3612" xr:uid="{DD482E3B-6EB1-4AA9-BF95-F73D1E49A9B3}"/>
    <cellStyle name="Migliaia 38 4 3" xfId="5337" xr:uid="{3900A934-2117-4FC1-BBE5-CB392DBCE2C7}"/>
    <cellStyle name="Migliaia 38 4 4" xfId="6530" xr:uid="{9ADE9208-CFC7-46FA-8603-393658F63F30}"/>
    <cellStyle name="Migliaia 38 4 5" xfId="3611" xr:uid="{CBD67DC0-37CA-4186-8127-0777D4535373}"/>
    <cellStyle name="Migliaia 38 5" xfId="1816" xr:uid="{00000000-0005-0000-0000-0000DE030000}"/>
    <cellStyle name="Migliaia 38 5 2" xfId="5339" xr:uid="{3AB354CE-116D-422B-8ACC-9C145B8CCEE6}"/>
    <cellStyle name="Migliaia 38 5 3" xfId="6531" xr:uid="{4B086269-5CD7-46FC-88C3-D86EE7F5E3C8}"/>
    <cellStyle name="Migliaia 38 5 4" xfId="3613" xr:uid="{77423CE8-20EA-4637-92C3-33DFA38E2407}"/>
    <cellStyle name="Migliaia 38 6" xfId="3614" xr:uid="{2432D56B-EABC-460A-9C46-0DDD26E30DDA}"/>
    <cellStyle name="Migliaia 38 6 2" xfId="5340" xr:uid="{2DDFE5EF-3994-4CDF-902B-F43901D5D494}"/>
    <cellStyle name="Migliaia 38 6 3" xfId="6532" xr:uid="{A985C821-2329-4D1E-8BBA-BEBF2DCFCFDC}"/>
    <cellStyle name="Migliaia 38 7" xfId="3615" xr:uid="{5B712389-F75E-48E9-9F97-FDA680FC2D5B}"/>
    <cellStyle name="Migliaia 38 7 2" xfId="5341" xr:uid="{CE2A1AFF-8F65-4D9F-B01C-ED7ECCE7CB48}"/>
    <cellStyle name="Migliaia 38 7 3" xfId="6533" xr:uid="{8C96FD05-2175-42F0-B465-9A60BA25F179}"/>
    <cellStyle name="Migliaia 38 8" xfId="3616" xr:uid="{FEC2D15C-2EC3-435B-B5CE-C45E47472578}"/>
    <cellStyle name="Migliaia 38 8 2" xfId="5342" xr:uid="{42294420-5BEF-4D46-B74F-ABEAC6D40298}"/>
    <cellStyle name="Migliaia 38 8 3" xfId="6534" xr:uid="{CB580AB0-2084-416E-A6C7-8C65823827ED}"/>
    <cellStyle name="Migliaia 38 9" xfId="5327" xr:uid="{FFABC888-0373-4DA5-9D10-C3F0132A77DA}"/>
    <cellStyle name="Migliaia 39" xfId="429" xr:uid="{00000000-0005-0000-0000-0000DF030000}"/>
    <cellStyle name="Migliaia 39 10" xfId="6535" xr:uid="{CFC2E287-C38C-4918-86C7-3ABD9EA5D7EF}"/>
    <cellStyle name="Migliaia 39 11" xfId="3617" xr:uid="{4DF7559D-8ACB-46A8-A601-C3870FEBD4B5}"/>
    <cellStyle name="Migliaia 39 2" xfId="430" xr:uid="{00000000-0005-0000-0000-0000E0030000}"/>
    <cellStyle name="Migliaia 39 2 2" xfId="1817" xr:uid="{00000000-0005-0000-0000-0000E1030000}"/>
    <cellStyle name="Migliaia 39 2 2 2" xfId="5345" xr:uid="{4EEF8358-44C1-4910-815E-9E9540C6B007}"/>
    <cellStyle name="Migliaia 39 2 2 3" xfId="6537" xr:uid="{02EB63FC-9469-4416-ACE2-59A140F48404}"/>
    <cellStyle name="Migliaia 39 2 2 4" xfId="3619" xr:uid="{F25BBBD6-FD29-41D9-94DA-E5DD52922C08}"/>
    <cellStyle name="Migliaia 39 2 3" xfId="3620" xr:uid="{1385B6D2-D70A-416A-80D4-50E6D9CABB6A}"/>
    <cellStyle name="Migliaia 39 2 3 2" xfId="5346" xr:uid="{7E5B0DCB-5B81-4FF9-873F-919D92038554}"/>
    <cellStyle name="Migliaia 39 2 3 3" xfId="6538" xr:uid="{48A1327F-BAEF-4FBC-BC9A-6A99552285DF}"/>
    <cellStyle name="Migliaia 39 2 4" xfId="5344" xr:uid="{0017A008-D53C-4605-8121-AEFAA5FC2D95}"/>
    <cellStyle name="Migliaia 39 2 5" xfId="6536" xr:uid="{47C8FCE7-CD69-453A-8748-D9E240DE063B}"/>
    <cellStyle name="Migliaia 39 2 6" xfId="3618" xr:uid="{DC7BE60A-9252-4E57-8C45-E0934247A5F6}"/>
    <cellStyle name="Migliaia 39 3" xfId="431" xr:uid="{00000000-0005-0000-0000-0000E2030000}"/>
    <cellStyle name="Migliaia 39 3 2" xfId="432" xr:uid="{00000000-0005-0000-0000-0000E3030000}"/>
    <cellStyle name="Migliaia 39 3 2 2" xfId="1818" xr:uid="{00000000-0005-0000-0000-0000E4030000}"/>
    <cellStyle name="Migliaia 39 3 2 2 2" xfId="5349" xr:uid="{DA376E34-C122-4C97-970E-21CD391347C1}"/>
    <cellStyle name="Migliaia 39 3 2 2 3" xfId="6541" xr:uid="{263F1D12-AF9B-4129-8A1E-D06510094D81}"/>
    <cellStyle name="Migliaia 39 3 2 2 4" xfId="3623" xr:uid="{59FABD8E-0803-4D4D-B625-7CBAF1602C2F}"/>
    <cellStyle name="Migliaia 39 3 2 3" xfId="5348" xr:uid="{2AD8AE99-A637-4AC3-8F3E-2F9D4FCB2364}"/>
    <cellStyle name="Migliaia 39 3 2 4" xfId="6540" xr:uid="{8549E9DB-8819-4648-82CF-A7F4713ABB64}"/>
    <cellStyle name="Migliaia 39 3 2 5" xfId="3622" xr:uid="{2DEF76CC-2892-4195-8E8D-6DC5B9E884B1}"/>
    <cellStyle name="Migliaia 39 3 3" xfId="3624" xr:uid="{014A9E13-49C7-40AB-9415-918FFDBA1DC0}"/>
    <cellStyle name="Migliaia 39 3 3 2" xfId="5350" xr:uid="{513ED7CB-8380-4F80-BA36-2335FD42EE8B}"/>
    <cellStyle name="Migliaia 39 3 3 3" xfId="6542" xr:uid="{176F2416-6811-4EB4-8420-AF407E1D6085}"/>
    <cellStyle name="Migliaia 39 3 4" xfId="3625" xr:uid="{76992008-256F-41EA-B4E0-6903B9E6B7C2}"/>
    <cellStyle name="Migliaia 39 3 4 2" xfId="5351" xr:uid="{E6837375-F6A3-4819-9FAC-D09F42EF1249}"/>
    <cellStyle name="Migliaia 39 3 4 3" xfId="6543" xr:uid="{D2C3A463-DE6E-4547-91A8-35C252C090FB}"/>
    <cellStyle name="Migliaia 39 3 5" xfId="3626" xr:uid="{C2F16917-2C87-4594-838C-79498D90E6C8}"/>
    <cellStyle name="Migliaia 39 3 5 2" xfId="5352" xr:uid="{FCDBD2A5-C6FD-4BD2-B08B-55A1A6D990B8}"/>
    <cellStyle name="Migliaia 39 3 5 3" xfId="6544" xr:uid="{29A6465F-809D-472B-8E8B-DF24D09348DE}"/>
    <cellStyle name="Migliaia 39 3 6" xfId="5347" xr:uid="{7A8E6761-B157-4C88-905A-534893E95D41}"/>
    <cellStyle name="Migliaia 39 3 7" xfId="6539" xr:uid="{3CA499F2-6FB4-4E52-8750-2A961480390B}"/>
    <cellStyle name="Migliaia 39 3 8" xfId="3621" xr:uid="{5E0C95DF-66EC-4253-B2DD-4DBEBE1FED07}"/>
    <cellStyle name="Migliaia 39 4" xfId="1819" xr:uid="{00000000-0005-0000-0000-0000E5030000}"/>
    <cellStyle name="Migliaia 39 4 2" xfId="1820" xr:uid="{00000000-0005-0000-0000-0000E6030000}"/>
    <cellStyle name="Migliaia 39 4 2 2" xfId="5354" xr:uid="{24BBCF88-5249-4052-8B5F-5F74FEE5AA87}"/>
    <cellStyle name="Migliaia 39 4 2 3" xfId="3628" xr:uid="{DB4BC0AE-548D-4373-8DA4-7F08D8D38D39}"/>
    <cellStyle name="Migliaia 39 4 3" xfId="5353" xr:uid="{0BB4C36B-4DD7-41DA-89D7-54542B2A165B}"/>
    <cellStyle name="Migliaia 39 4 4" xfId="6545" xr:uid="{AC65918E-E011-483C-BB9F-1AB4CB98BBB4}"/>
    <cellStyle name="Migliaia 39 4 5" xfId="3627" xr:uid="{BACDCCF8-CF0A-4446-8E18-1A5EB17B1C26}"/>
    <cellStyle name="Migliaia 39 5" xfId="1821" xr:uid="{00000000-0005-0000-0000-0000E7030000}"/>
    <cellStyle name="Migliaia 39 5 2" xfId="5355" xr:uid="{7059AAB9-9D25-4306-96C5-212CAF7DC14C}"/>
    <cellStyle name="Migliaia 39 5 3" xfId="6546" xr:uid="{EEA491A8-2E86-49F3-8450-C8E8BD0AF943}"/>
    <cellStyle name="Migliaia 39 5 4" xfId="3629" xr:uid="{C7FC68F3-DA80-4C35-B48E-E28C0AF5D606}"/>
    <cellStyle name="Migliaia 39 6" xfId="3630" xr:uid="{2DF91330-6850-4732-A357-34177DCD4B1C}"/>
    <cellStyle name="Migliaia 39 6 2" xfId="5356" xr:uid="{642FEB35-DA3A-4D19-B555-22598D7C37AD}"/>
    <cellStyle name="Migliaia 39 6 3" xfId="6547" xr:uid="{837932BF-0207-40DD-8A1D-0E391398F323}"/>
    <cellStyle name="Migliaia 39 7" xfId="3631" xr:uid="{82A18DBE-59BD-46DC-98DB-99D492101250}"/>
    <cellStyle name="Migliaia 39 7 2" xfId="5357" xr:uid="{DA87A8CF-90FB-4A7D-AD23-105EA91FA17A}"/>
    <cellStyle name="Migliaia 39 7 3" xfId="6548" xr:uid="{0F867A8B-A7FE-487B-B26E-FCC82FE16BD7}"/>
    <cellStyle name="Migliaia 39 8" xfId="3632" xr:uid="{A2F0EDE6-0149-4EE1-A70E-AA7E987C56F9}"/>
    <cellStyle name="Migliaia 39 8 2" xfId="5358" xr:uid="{0AD2B88F-1264-482C-9648-81191E107CA2}"/>
    <cellStyle name="Migliaia 39 8 3" xfId="6549" xr:uid="{22BCE63F-6CC8-4055-ADFF-3ADDAEB822E7}"/>
    <cellStyle name="Migliaia 39 9" xfId="5343" xr:uid="{E6D4DAFF-BA00-4F48-B80D-EF6E928434BE}"/>
    <cellStyle name="Migliaia 4" xfId="433" xr:uid="{00000000-0005-0000-0000-0000E8030000}"/>
    <cellStyle name="Migliaia 4 10" xfId="6550" xr:uid="{DB540070-4EF7-48DE-A8AD-946941EEDE68}"/>
    <cellStyle name="Migliaia 4 11" xfId="3633" xr:uid="{C36E57AC-11D2-46E4-AB60-52C866218C4B}"/>
    <cellStyle name="Migliaia 4 2" xfId="434" xr:uid="{00000000-0005-0000-0000-0000E9030000}"/>
    <cellStyle name="Migliaia 4 2 2" xfId="1822" xr:uid="{00000000-0005-0000-0000-0000EA030000}"/>
    <cellStyle name="Migliaia 4 2 2 2" xfId="5361" xr:uid="{76765C3C-1981-4C1C-97B3-17F46F0C3222}"/>
    <cellStyle name="Migliaia 4 2 2 3" xfId="6552" xr:uid="{E4E3D661-6755-49EF-9FCD-D076E10CBF93}"/>
    <cellStyle name="Migliaia 4 2 2 4" xfId="3635" xr:uid="{43A942F3-EA15-4179-9350-7A3D01F04B89}"/>
    <cellStyle name="Migliaia 4 2 3" xfId="3636" xr:uid="{F7E57930-5846-43E6-B8DE-8AD9898220B1}"/>
    <cellStyle name="Migliaia 4 2 3 2" xfId="5362" xr:uid="{36A04C13-DB88-48A6-B93F-8DEEA38D88CD}"/>
    <cellStyle name="Migliaia 4 2 3 3" xfId="6553" xr:uid="{9E4ED60E-1A9C-4BDF-8CAA-A9C9203A586D}"/>
    <cellStyle name="Migliaia 4 2 4" xfId="5360" xr:uid="{E38673E1-7937-48EF-8B19-67D42262D4FE}"/>
    <cellStyle name="Migliaia 4 2 5" xfId="6551" xr:uid="{DE1383EE-94CE-4B8F-818C-312F4599F16F}"/>
    <cellStyle name="Migliaia 4 2 6" xfId="3634" xr:uid="{6832B15A-A782-41F5-905D-87979449EA21}"/>
    <cellStyle name="Migliaia 4 3" xfId="435" xr:uid="{00000000-0005-0000-0000-0000EB030000}"/>
    <cellStyle name="Migliaia 4 3 2" xfId="436" xr:uid="{00000000-0005-0000-0000-0000EC030000}"/>
    <cellStyle name="Migliaia 4 3 2 2" xfId="1823" xr:uid="{00000000-0005-0000-0000-0000ED030000}"/>
    <cellStyle name="Migliaia 4 3 2 2 2" xfId="5365" xr:uid="{25E452A3-3B9C-4355-8D98-DD87FCFA4FE1}"/>
    <cellStyle name="Migliaia 4 3 2 2 3" xfId="6556" xr:uid="{29E95BFE-1ACC-4CEC-96F9-40C385B695CD}"/>
    <cellStyle name="Migliaia 4 3 2 2 4" xfId="3639" xr:uid="{AB48C4E7-AA3F-46EB-892F-F1915196FE97}"/>
    <cellStyle name="Migliaia 4 3 2 3" xfId="5364" xr:uid="{D086087F-CD5A-4557-AC3A-36ADED505D28}"/>
    <cellStyle name="Migliaia 4 3 2 4" xfId="6555" xr:uid="{AEE7FDB2-2C73-48F7-85E1-2BB93D89D385}"/>
    <cellStyle name="Migliaia 4 3 2 5" xfId="3638" xr:uid="{774A102B-68E8-4C44-80FF-05E09A4A2734}"/>
    <cellStyle name="Migliaia 4 3 3" xfId="3640" xr:uid="{C4F61EC8-F582-4632-A73E-E51258D72703}"/>
    <cellStyle name="Migliaia 4 3 3 2" xfId="5366" xr:uid="{CDC579E7-863B-43D4-8CF8-79DBB15CD936}"/>
    <cellStyle name="Migliaia 4 3 3 3" xfId="6557" xr:uid="{51A59EB4-55BD-49CC-BCD1-67E815F6EFE6}"/>
    <cellStyle name="Migliaia 4 3 4" xfId="3641" xr:uid="{18F38CBC-8BCC-4922-890F-12040E12BF7E}"/>
    <cellStyle name="Migliaia 4 3 4 2" xfId="5367" xr:uid="{E67CFD34-9BCD-49EE-8DD6-7B035553830D}"/>
    <cellStyle name="Migliaia 4 3 4 3" xfId="6558" xr:uid="{631E5F87-6761-4E87-A9D6-8B080FBB88B3}"/>
    <cellStyle name="Migliaia 4 3 5" xfId="3642" xr:uid="{D887109D-1C94-4274-BD1D-2AD296DBB16A}"/>
    <cellStyle name="Migliaia 4 3 5 2" xfId="5368" xr:uid="{CF9C5A7D-534C-4310-840D-E9A7F281E376}"/>
    <cellStyle name="Migliaia 4 3 5 3" xfId="6559" xr:uid="{D2AA91BB-C8D2-48B9-846E-2D5E9BC1CF94}"/>
    <cellStyle name="Migliaia 4 3 6" xfId="5363" xr:uid="{AF1DC7D3-186F-4992-A3D9-79EAEE59DAB2}"/>
    <cellStyle name="Migliaia 4 3 7" xfId="6554" xr:uid="{0374635D-66E7-4D74-9912-8084B42DB37E}"/>
    <cellStyle name="Migliaia 4 3 8" xfId="3637" xr:uid="{6E37D77B-EFA6-4172-9C84-5058D44E2E5A}"/>
    <cellStyle name="Migliaia 4 4" xfId="1824" xr:uid="{00000000-0005-0000-0000-0000EE030000}"/>
    <cellStyle name="Migliaia 4 4 2" xfId="1825" xr:uid="{00000000-0005-0000-0000-0000EF030000}"/>
    <cellStyle name="Migliaia 4 4 2 2" xfId="5370" xr:uid="{0A7B6AE2-C82D-4357-BF70-42685159F04C}"/>
    <cellStyle name="Migliaia 4 4 2 3" xfId="3644" xr:uid="{053F2128-59C7-4FF9-8F12-BBC171429481}"/>
    <cellStyle name="Migliaia 4 4 3" xfId="5369" xr:uid="{F07ECBDF-DF21-4AD0-87EA-427071F7F424}"/>
    <cellStyle name="Migliaia 4 4 4" xfId="6560" xr:uid="{44E864D9-FFEB-4DBC-8563-D097C8676501}"/>
    <cellStyle name="Migliaia 4 4 5" xfId="3643" xr:uid="{49E297A0-828B-46EE-910E-632E167F2739}"/>
    <cellStyle name="Migliaia 4 5" xfId="1826" xr:uid="{00000000-0005-0000-0000-0000F0030000}"/>
    <cellStyle name="Migliaia 4 5 2" xfId="5371" xr:uid="{6A9E9BD3-F75D-4778-BC01-F5822B38C3B1}"/>
    <cellStyle name="Migliaia 4 5 3" xfId="6561" xr:uid="{DED86B47-9777-4B51-A0B3-D7DC08A4CF45}"/>
    <cellStyle name="Migliaia 4 5 4" xfId="3645" xr:uid="{7FF4BD5E-8671-491E-8C6F-A70738CB1F7F}"/>
    <cellStyle name="Migliaia 4 6" xfId="3646" xr:uid="{8DC4BE46-180B-4F9C-8041-D9C195BED723}"/>
    <cellStyle name="Migliaia 4 6 2" xfId="5372" xr:uid="{B5275D74-C9AC-4CB9-8A9F-A654DFB4AB89}"/>
    <cellStyle name="Migliaia 4 6 3" xfId="6562" xr:uid="{23B7CDAB-39A2-4C5B-8346-DC713F9D6EEE}"/>
    <cellStyle name="Migliaia 4 7" xfId="3647" xr:uid="{B35065B9-9393-4940-9342-948183CB72CE}"/>
    <cellStyle name="Migliaia 4 7 2" xfId="5373" xr:uid="{97CF11F6-CB96-4039-9F5B-71E2679370E0}"/>
    <cellStyle name="Migliaia 4 7 3" xfId="6563" xr:uid="{7484FC6F-6A4E-44DB-AA93-6AAA417D753C}"/>
    <cellStyle name="Migliaia 4 8" xfId="3648" xr:uid="{1F07FE26-4361-471D-A1E0-6485B1672019}"/>
    <cellStyle name="Migliaia 4 8 2" xfId="5374" xr:uid="{114F8054-6210-43FA-B85C-260F4D637F6C}"/>
    <cellStyle name="Migliaia 4 8 3" xfId="6564" xr:uid="{817BEC91-123F-47A2-9491-0E24223B3FB7}"/>
    <cellStyle name="Migliaia 4 9" xfId="5359" xr:uid="{FCECB6E5-A6B7-487A-98FC-EA4F8B2032FF}"/>
    <cellStyle name="Migliaia 40" xfId="437" xr:uid="{00000000-0005-0000-0000-0000F1030000}"/>
    <cellStyle name="Migliaia 40 10" xfId="6565" xr:uid="{3F548FCE-A300-454C-9A57-0C44B64D906D}"/>
    <cellStyle name="Migliaia 40 11" xfId="3649" xr:uid="{2DDCC1D5-2C24-455F-AC00-81AFB21B95BF}"/>
    <cellStyle name="Migliaia 40 2" xfId="438" xr:uid="{00000000-0005-0000-0000-0000F2030000}"/>
    <cellStyle name="Migliaia 40 2 2" xfId="1827" xr:uid="{00000000-0005-0000-0000-0000F3030000}"/>
    <cellStyle name="Migliaia 40 2 2 2" xfId="5377" xr:uid="{E5901360-51EC-402A-B5A7-A3E9CE8EEB5B}"/>
    <cellStyle name="Migliaia 40 2 2 3" xfId="6567" xr:uid="{32D79352-E617-4BEF-BA40-7DED70798825}"/>
    <cellStyle name="Migliaia 40 2 2 4" xfId="3651" xr:uid="{71D9899D-9093-4CFD-BD9B-43CA373D767A}"/>
    <cellStyle name="Migliaia 40 2 3" xfId="3652" xr:uid="{53BEE199-6FB4-427F-ADED-D1BF60783B9A}"/>
    <cellStyle name="Migliaia 40 2 3 2" xfId="5378" xr:uid="{FB2CDA29-6041-491B-AA1D-AE58514C6506}"/>
    <cellStyle name="Migliaia 40 2 3 3" xfId="6568" xr:uid="{AB8201F6-BF34-444A-AA41-2549D83721C5}"/>
    <cellStyle name="Migliaia 40 2 4" xfId="5376" xr:uid="{1254A463-2801-4829-B90F-0B124C2BA1BD}"/>
    <cellStyle name="Migliaia 40 2 5" xfId="6566" xr:uid="{CBA65061-74AA-49C7-829E-4A359E2ABA62}"/>
    <cellStyle name="Migliaia 40 2 6" xfId="3650" xr:uid="{11E2DD5E-9B3B-4D3A-9ACC-CCD961C196E8}"/>
    <cellStyle name="Migliaia 40 3" xfId="439" xr:uid="{00000000-0005-0000-0000-0000F4030000}"/>
    <cellStyle name="Migliaia 40 3 2" xfId="440" xr:uid="{00000000-0005-0000-0000-0000F5030000}"/>
    <cellStyle name="Migliaia 40 3 2 2" xfId="1828" xr:uid="{00000000-0005-0000-0000-0000F6030000}"/>
    <cellStyle name="Migliaia 40 3 2 2 2" xfId="5381" xr:uid="{A35AF7A5-2F1F-4EF8-82E4-AF2E94513DB0}"/>
    <cellStyle name="Migliaia 40 3 2 2 3" xfId="6571" xr:uid="{3086855A-C625-421B-9A5F-DF363A5127D8}"/>
    <cellStyle name="Migliaia 40 3 2 2 4" xfId="3655" xr:uid="{CF9F03F0-8E70-4308-98C1-894B795C6C68}"/>
    <cellStyle name="Migliaia 40 3 2 3" xfId="5380" xr:uid="{13DC3EE7-8E02-4896-9A4D-F7B08ECAC9B0}"/>
    <cellStyle name="Migliaia 40 3 2 4" xfId="6570" xr:uid="{3AA213D6-C2D6-458A-BF0A-22C44E871D76}"/>
    <cellStyle name="Migliaia 40 3 2 5" xfId="3654" xr:uid="{EEACEFAB-A5C3-4BBD-BC01-229050BC67C6}"/>
    <cellStyle name="Migliaia 40 3 3" xfId="3656" xr:uid="{6EE31049-E971-40F1-BAF2-35550E2D1FCA}"/>
    <cellStyle name="Migliaia 40 3 3 2" xfId="5382" xr:uid="{864D2D15-010C-48C4-9ADC-6B872AFD4245}"/>
    <cellStyle name="Migliaia 40 3 3 3" xfId="6572" xr:uid="{4B56B737-966C-4DE5-9210-390C168CF428}"/>
    <cellStyle name="Migliaia 40 3 4" xfId="3657" xr:uid="{5BF90421-885E-4F28-A225-FB810E49DA92}"/>
    <cellStyle name="Migliaia 40 3 4 2" xfId="5383" xr:uid="{EB25D9ED-CEB4-484C-8702-F64C5F24969E}"/>
    <cellStyle name="Migliaia 40 3 4 3" xfId="6573" xr:uid="{7C3F7D3E-F9F0-420A-B3E9-593B739973B5}"/>
    <cellStyle name="Migliaia 40 3 5" xfId="3658" xr:uid="{B82AF4CB-65B2-42CF-90C8-D0A33967B291}"/>
    <cellStyle name="Migliaia 40 3 5 2" xfId="5384" xr:uid="{26DFB600-A41E-4C5B-ABB0-60AEF244E8D7}"/>
    <cellStyle name="Migliaia 40 3 5 3" xfId="6574" xr:uid="{BF77D1C9-BEDE-4822-9AC6-935ABF49A4F5}"/>
    <cellStyle name="Migliaia 40 3 6" xfId="5379" xr:uid="{301BF274-5B41-4690-89C4-21264D90D556}"/>
    <cellStyle name="Migliaia 40 3 7" xfId="6569" xr:uid="{62936169-4996-446A-BC76-A8D45F6E83A5}"/>
    <cellStyle name="Migliaia 40 3 8" xfId="3653" xr:uid="{F9EAA708-C0B7-4368-A467-4A951CA22227}"/>
    <cellStyle name="Migliaia 40 4" xfId="1829" xr:uid="{00000000-0005-0000-0000-0000F7030000}"/>
    <cellStyle name="Migliaia 40 4 2" xfId="1830" xr:uid="{00000000-0005-0000-0000-0000F8030000}"/>
    <cellStyle name="Migliaia 40 4 2 2" xfId="5386" xr:uid="{AA74ED43-0770-4DB1-B220-2A2EF229484D}"/>
    <cellStyle name="Migliaia 40 4 2 3" xfId="3660" xr:uid="{91CD397F-3049-4EA6-8EAA-BF7D9665F7B0}"/>
    <cellStyle name="Migliaia 40 4 3" xfId="5385" xr:uid="{715ECAF9-CAAE-4B82-86B5-E4B4EAD8F797}"/>
    <cellStyle name="Migliaia 40 4 4" xfId="6575" xr:uid="{4AF5CBA4-47CD-4D1F-9798-D5A4A0616AB4}"/>
    <cellStyle name="Migliaia 40 4 5" xfId="3659" xr:uid="{99583DAC-1F90-4E1E-9BD8-973810CD5882}"/>
    <cellStyle name="Migliaia 40 5" xfId="1831" xr:uid="{00000000-0005-0000-0000-0000F9030000}"/>
    <cellStyle name="Migliaia 40 5 2" xfId="5387" xr:uid="{2B1B3094-218A-499B-8251-3AE58343F96A}"/>
    <cellStyle name="Migliaia 40 5 3" xfId="6576" xr:uid="{987F6F85-51C7-4FD8-A150-A9794AC2E39E}"/>
    <cellStyle name="Migliaia 40 5 4" xfId="3661" xr:uid="{D7DF010E-A659-4CE0-AE21-F847E91B1374}"/>
    <cellStyle name="Migliaia 40 6" xfId="3662" xr:uid="{E19F1F50-49B5-4762-A31B-6464AEF3D2AE}"/>
    <cellStyle name="Migliaia 40 6 2" xfId="5388" xr:uid="{7FAEAEA1-518F-4A9F-B1B9-2D21F8853E18}"/>
    <cellStyle name="Migliaia 40 6 3" xfId="6577" xr:uid="{39B3B163-CA0D-476B-9A97-B455440E06D3}"/>
    <cellStyle name="Migliaia 40 7" xfId="3663" xr:uid="{EB42B6F9-E3CE-41D2-996C-4B99324B2A42}"/>
    <cellStyle name="Migliaia 40 7 2" xfId="5389" xr:uid="{D18F02D3-C422-4293-9011-DD441643D0F8}"/>
    <cellStyle name="Migliaia 40 7 3" xfId="6578" xr:uid="{7E10C901-DC2B-458A-B1E2-C6B48A6BE3AE}"/>
    <cellStyle name="Migliaia 40 8" xfId="3664" xr:uid="{7642D7F4-7196-40D7-9C76-EA470A5BE69F}"/>
    <cellStyle name="Migliaia 40 8 2" xfId="5390" xr:uid="{20A80043-9182-4069-99C2-65386FCE7D8A}"/>
    <cellStyle name="Migliaia 40 8 3" xfId="6579" xr:uid="{EEB67D72-8A3E-44C8-AFC1-729AFAD41242}"/>
    <cellStyle name="Migliaia 40 9" xfId="5375" xr:uid="{98D7C1E1-CDFB-485D-92AD-13B8CD95FAEA}"/>
    <cellStyle name="Migliaia 41" xfId="441" xr:uid="{00000000-0005-0000-0000-0000FA030000}"/>
    <cellStyle name="Migliaia 41 10" xfId="6580" xr:uid="{B6AE73A4-8A73-405B-8428-CE5BD40C5DA2}"/>
    <cellStyle name="Migliaia 41 11" xfId="3665" xr:uid="{24B1569F-0220-4C46-8137-D373FE19626E}"/>
    <cellStyle name="Migliaia 41 2" xfId="442" xr:uid="{00000000-0005-0000-0000-0000FB030000}"/>
    <cellStyle name="Migliaia 41 2 2" xfId="1832" xr:uid="{00000000-0005-0000-0000-0000FC030000}"/>
    <cellStyle name="Migliaia 41 2 2 2" xfId="5393" xr:uid="{1A8EB5F1-BF4D-482B-A49F-F45BD5CF30B2}"/>
    <cellStyle name="Migliaia 41 2 2 3" xfId="6582" xr:uid="{08D5C62D-956C-425E-B8EA-3192A152D32B}"/>
    <cellStyle name="Migliaia 41 2 2 4" xfId="3667" xr:uid="{41DB77EF-B363-49C8-A2F1-52830D0E35F1}"/>
    <cellStyle name="Migliaia 41 2 3" xfId="3668" xr:uid="{755F7E7D-E15D-43D7-B9E4-F2EB3A943F41}"/>
    <cellStyle name="Migliaia 41 2 3 2" xfId="5394" xr:uid="{C359E737-32B1-4E52-AABC-0758EEB3843C}"/>
    <cellStyle name="Migliaia 41 2 3 3" xfId="6583" xr:uid="{564CD3C9-A399-447F-A669-D88D24533841}"/>
    <cellStyle name="Migliaia 41 2 4" xfId="5392" xr:uid="{24FCC011-D9B2-4610-A5E0-0480C22F29F4}"/>
    <cellStyle name="Migliaia 41 2 5" xfId="6581" xr:uid="{DE08F1CC-6040-4C85-A8B6-048A78AE9957}"/>
    <cellStyle name="Migliaia 41 2 6" xfId="3666" xr:uid="{80785BF2-9B6E-42B0-95FB-B2701C01D253}"/>
    <cellStyle name="Migliaia 41 3" xfId="443" xr:uid="{00000000-0005-0000-0000-0000FD030000}"/>
    <cellStyle name="Migliaia 41 3 2" xfId="444" xr:uid="{00000000-0005-0000-0000-0000FE030000}"/>
    <cellStyle name="Migliaia 41 3 2 2" xfId="1833" xr:uid="{00000000-0005-0000-0000-0000FF030000}"/>
    <cellStyle name="Migliaia 41 3 2 2 2" xfId="5397" xr:uid="{E7F5DF68-4D0F-42BB-98DE-F9B8C034CF0B}"/>
    <cellStyle name="Migliaia 41 3 2 2 3" xfId="6586" xr:uid="{1023E66E-3B1E-41E0-87E5-C0623393763F}"/>
    <cellStyle name="Migliaia 41 3 2 2 4" xfId="3671" xr:uid="{39CE3AC9-B03E-4EAB-BB40-6BD123818B87}"/>
    <cellStyle name="Migliaia 41 3 2 3" xfId="5396" xr:uid="{D7E725C4-924A-44F2-9F61-708986A900D2}"/>
    <cellStyle name="Migliaia 41 3 2 4" xfId="6585" xr:uid="{8B786F37-023B-4378-9E26-BC6294ECD313}"/>
    <cellStyle name="Migliaia 41 3 2 5" xfId="3670" xr:uid="{F701301A-973F-44F5-84DE-75593B3F8F08}"/>
    <cellStyle name="Migliaia 41 3 3" xfId="3672" xr:uid="{CCC797CA-FBEB-4E93-BFBB-570D0269D9E0}"/>
    <cellStyle name="Migliaia 41 3 3 2" xfId="5398" xr:uid="{3DBDA27A-78D8-4037-A8E3-22F005BC373E}"/>
    <cellStyle name="Migliaia 41 3 3 3" xfId="6587" xr:uid="{B25CEFFB-DD2A-4064-888A-FAD34E38B694}"/>
    <cellStyle name="Migliaia 41 3 4" xfId="3673" xr:uid="{D30FD7CA-C51D-440F-98C6-C690A4034CC5}"/>
    <cellStyle name="Migliaia 41 3 4 2" xfId="5399" xr:uid="{A68135B6-C8F5-4D17-8604-B08907A2EDBC}"/>
    <cellStyle name="Migliaia 41 3 4 3" xfId="6588" xr:uid="{8D3D2554-A257-4EEB-952E-57575849FADA}"/>
    <cellStyle name="Migliaia 41 3 5" xfId="3674" xr:uid="{C4A2ABCB-763C-4A24-8A6D-D5CDE7675D47}"/>
    <cellStyle name="Migliaia 41 3 5 2" xfId="5400" xr:uid="{BD5CB2BD-DDA7-414E-982A-4D238B461DC1}"/>
    <cellStyle name="Migliaia 41 3 5 3" xfId="6589" xr:uid="{C2BC8053-3E19-4CF8-A840-2B5F4F0B891C}"/>
    <cellStyle name="Migliaia 41 3 6" xfId="5395" xr:uid="{B63FAC98-84DD-48EF-BA3D-FF867E6E66DF}"/>
    <cellStyle name="Migliaia 41 3 7" xfId="6584" xr:uid="{D75A280D-C0F6-4DF2-BD43-C7D366392263}"/>
    <cellStyle name="Migliaia 41 3 8" xfId="3669" xr:uid="{EA780D19-D4FC-42B6-8EF9-A185886509C6}"/>
    <cellStyle name="Migliaia 41 4" xfId="1834" xr:uid="{00000000-0005-0000-0000-000000040000}"/>
    <cellStyle name="Migliaia 41 4 2" xfId="1835" xr:uid="{00000000-0005-0000-0000-000001040000}"/>
    <cellStyle name="Migliaia 41 4 2 2" xfId="5402" xr:uid="{0BF81CD2-D495-4235-A5F3-8598116771B7}"/>
    <cellStyle name="Migliaia 41 4 2 3" xfId="3676" xr:uid="{250A6D7E-0F04-4EB3-A22E-E160BB8C9FCB}"/>
    <cellStyle name="Migliaia 41 4 3" xfId="5401" xr:uid="{57ABE550-183B-4D9B-91BB-7176C2F47CF2}"/>
    <cellStyle name="Migliaia 41 4 4" xfId="6590" xr:uid="{644339AC-D222-4D57-A042-89D255E7F645}"/>
    <cellStyle name="Migliaia 41 4 5" xfId="3675" xr:uid="{48D38193-51CB-4F37-9660-A67B15AF9EA3}"/>
    <cellStyle name="Migliaia 41 5" xfId="1836" xr:uid="{00000000-0005-0000-0000-000002040000}"/>
    <cellStyle name="Migliaia 41 5 2" xfId="5403" xr:uid="{5B9AF5BB-B682-4D79-8DE9-2B41D3B87B7B}"/>
    <cellStyle name="Migliaia 41 5 3" xfId="6591" xr:uid="{A9DCFD99-76E1-4D5A-93B9-359DF6A1AA1F}"/>
    <cellStyle name="Migliaia 41 5 4" xfId="3677" xr:uid="{24A4F75F-356B-46B7-A5D7-9B28498CE010}"/>
    <cellStyle name="Migliaia 41 6" xfId="3678" xr:uid="{64EBE5BE-22B6-4CD3-ACAB-945D61481878}"/>
    <cellStyle name="Migliaia 41 6 2" xfId="5404" xr:uid="{A182C449-281E-4104-B67F-B8166D007DF1}"/>
    <cellStyle name="Migliaia 41 6 3" xfId="6592" xr:uid="{E4433CCD-FCA9-416A-9A73-816451B07F74}"/>
    <cellStyle name="Migliaia 41 7" xfId="3679" xr:uid="{AB694BBD-D91F-4DE4-B3F6-A942DC9C1F35}"/>
    <cellStyle name="Migliaia 41 7 2" xfId="5405" xr:uid="{E6E82F0C-8A3E-4364-8460-1D0214C26916}"/>
    <cellStyle name="Migliaia 41 7 3" xfId="6593" xr:uid="{FF2122F4-0943-43D6-BA95-C723958CF4A9}"/>
    <cellStyle name="Migliaia 41 8" xfId="3680" xr:uid="{1F3D00DE-01F6-4BD7-95C0-2747F8039565}"/>
    <cellStyle name="Migliaia 41 8 2" xfId="5406" xr:uid="{2F1B0665-19C4-4449-80F2-0E8435B1CBAD}"/>
    <cellStyle name="Migliaia 41 8 3" xfId="6594" xr:uid="{DB823D79-6E06-4B3E-A7A2-793B3ADC91C4}"/>
    <cellStyle name="Migliaia 41 9" xfId="5391" xr:uid="{4ACE08C6-2C20-46FA-AC8E-1D2D865DA549}"/>
    <cellStyle name="Migliaia 42" xfId="445" xr:uid="{00000000-0005-0000-0000-000003040000}"/>
    <cellStyle name="Migliaia 42 10" xfId="6595" xr:uid="{4CA667ED-9C0C-4A5B-93E9-45E13265C50F}"/>
    <cellStyle name="Migliaia 42 11" xfId="3681" xr:uid="{63575C2D-0943-4508-94B2-FF374F8D3B40}"/>
    <cellStyle name="Migliaia 42 2" xfId="446" xr:uid="{00000000-0005-0000-0000-000004040000}"/>
    <cellStyle name="Migliaia 42 2 2" xfId="1837" xr:uid="{00000000-0005-0000-0000-000005040000}"/>
    <cellStyle name="Migliaia 42 2 2 2" xfId="5409" xr:uid="{FC4DF6BE-260D-4227-BB92-FF8BE8E97E50}"/>
    <cellStyle name="Migliaia 42 2 2 3" xfId="6597" xr:uid="{9CECB5FF-B687-427A-92DB-2183CFD32993}"/>
    <cellStyle name="Migliaia 42 2 2 4" xfId="3683" xr:uid="{C3433140-B375-4634-B4A8-6DE0989B7C51}"/>
    <cellStyle name="Migliaia 42 2 3" xfId="3684" xr:uid="{B7EDE378-2CD8-4A31-8C5A-827F0011BC37}"/>
    <cellStyle name="Migliaia 42 2 3 2" xfId="5410" xr:uid="{7A25153E-547F-4B10-9912-2C02885DF10C}"/>
    <cellStyle name="Migliaia 42 2 3 3" xfId="6598" xr:uid="{BEB49CE5-149C-4004-8F7B-74C637C35268}"/>
    <cellStyle name="Migliaia 42 2 4" xfId="5408" xr:uid="{CA689A89-2784-4832-9BD9-6035668EF8D8}"/>
    <cellStyle name="Migliaia 42 2 5" xfId="6596" xr:uid="{E6E24544-EE03-4DAD-93FD-0DE641D8DCCF}"/>
    <cellStyle name="Migliaia 42 2 6" xfId="3682" xr:uid="{98B60FD5-F5FB-4C1F-B12C-DB87333136C2}"/>
    <cellStyle name="Migliaia 42 3" xfId="447" xr:uid="{00000000-0005-0000-0000-000006040000}"/>
    <cellStyle name="Migliaia 42 3 2" xfId="448" xr:uid="{00000000-0005-0000-0000-000007040000}"/>
    <cellStyle name="Migliaia 42 3 2 2" xfId="1838" xr:uid="{00000000-0005-0000-0000-000008040000}"/>
    <cellStyle name="Migliaia 42 3 2 2 2" xfId="5413" xr:uid="{6F73CBD8-D11F-4FCC-BE10-340B3C8D2687}"/>
    <cellStyle name="Migliaia 42 3 2 2 3" xfId="6601" xr:uid="{0328CB94-615F-4A6E-8AAF-C67B88E1B857}"/>
    <cellStyle name="Migliaia 42 3 2 2 4" xfId="3687" xr:uid="{8C01A4E3-8ABD-440E-8CDE-7F758DDC3D98}"/>
    <cellStyle name="Migliaia 42 3 2 3" xfId="5412" xr:uid="{7AE042D6-73EB-4AC6-BC85-07A616024026}"/>
    <cellStyle name="Migliaia 42 3 2 4" xfId="6600" xr:uid="{548C2C2F-34C3-4615-B91D-56194F789C96}"/>
    <cellStyle name="Migliaia 42 3 2 5" xfId="3686" xr:uid="{046DF93E-5516-4292-A2CD-BE3E4CE547C4}"/>
    <cellStyle name="Migliaia 42 3 3" xfId="3688" xr:uid="{14AD234C-A93C-434D-8AA0-E9E268F695CA}"/>
    <cellStyle name="Migliaia 42 3 3 2" xfId="5414" xr:uid="{935F6128-386C-42F2-A7C2-5CED5BA480A5}"/>
    <cellStyle name="Migliaia 42 3 3 3" xfId="6602" xr:uid="{CF9E21B0-96BE-4BA8-A247-D8194F45F190}"/>
    <cellStyle name="Migliaia 42 3 4" xfId="3689" xr:uid="{F529A206-FE6C-46CC-BFB3-399F2C0C49CE}"/>
    <cellStyle name="Migliaia 42 3 4 2" xfId="5415" xr:uid="{BDADA8EF-4072-46E6-9238-9652E920CBC7}"/>
    <cellStyle name="Migliaia 42 3 4 3" xfId="6603" xr:uid="{94099431-B308-4B76-BCDA-426073D11105}"/>
    <cellStyle name="Migliaia 42 3 5" xfId="3690" xr:uid="{F8E66518-068A-494A-B58A-A69DDA470BBD}"/>
    <cellStyle name="Migliaia 42 3 5 2" xfId="5416" xr:uid="{0EFAC48A-16B6-4400-83A1-F8E0EB29F1BA}"/>
    <cellStyle name="Migliaia 42 3 5 3" xfId="6604" xr:uid="{6F8B11C8-0983-4291-A012-5619273643DE}"/>
    <cellStyle name="Migliaia 42 3 6" xfId="5411" xr:uid="{D95E8B71-2436-4DF1-B110-FA1A92E0AFF0}"/>
    <cellStyle name="Migliaia 42 3 7" xfId="6599" xr:uid="{E99903A8-AD5F-4B60-A58A-7BE94FBD941C}"/>
    <cellStyle name="Migliaia 42 3 8" xfId="3685" xr:uid="{BF2E584E-DB74-4E71-9D2D-2897249F35F7}"/>
    <cellStyle name="Migliaia 42 4" xfId="1839" xr:uid="{00000000-0005-0000-0000-000009040000}"/>
    <cellStyle name="Migliaia 42 4 2" xfId="1840" xr:uid="{00000000-0005-0000-0000-00000A040000}"/>
    <cellStyle name="Migliaia 42 4 2 2" xfId="5418" xr:uid="{F353511E-7122-4DF1-B2D0-CB89EB433B1C}"/>
    <cellStyle name="Migliaia 42 4 2 3" xfId="3692" xr:uid="{F0016668-CC46-41EE-8DE0-434A015DD712}"/>
    <cellStyle name="Migliaia 42 4 3" xfId="5417" xr:uid="{97FE7688-E785-41D6-9197-6C70640B3B6C}"/>
    <cellStyle name="Migliaia 42 4 4" xfId="6605" xr:uid="{E5812EF7-A939-4F47-82A0-F11A5EDB1272}"/>
    <cellStyle name="Migliaia 42 4 5" xfId="3691" xr:uid="{6FC28AF1-43DA-4F9C-8AD9-01091AC3B763}"/>
    <cellStyle name="Migliaia 42 5" xfId="1841" xr:uid="{00000000-0005-0000-0000-00000B040000}"/>
    <cellStyle name="Migliaia 42 5 2" xfId="5419" xr:uid="{89C8FEB2-EEDB-4A35-9C06-3BEEC11466E6}"/>
    <cellStyle name="Migliaia 42 5 3" xfId="6606" xr:uid="{28F63BBA-C89B-4692-8F68-297820F79E7E}"/>
    <cellStyle name="Migliaia 42 5 4" xfId="3693" xr:uid="{FC3A25BA-A23A-4BC1-86D8-F1797FCD92AA}"/>
    <cellStyle name="Migliaia 42 6" xfId="3694" xr:uid="{632F3160-871B-4698-BB32-D290612D7D8A}"/>
    <cellStyle name="Migliaia 42 6 2" xfId="5420" xr:uid="{5E0A78F6-9B38-42BD-BDA4-94C39C3CCE10}"/>
    <cellStyle name="Migliaia 42 6 3" xfId="6607" xr:uid="{87D8BCEA-FE4D-4CFA-8F43-CC31D9131F9A}"/>
    <cellStyle name="Migliaia 42 7" xfId="3695" xr:uid="{879D1E0B-71AA-4AC4-A310-DA61331F4844}"/>
    <cellStyle name="Migliaia 42 7 2" xfId="5421" xr:uid="{CF49F9FA-E279-4E2A-8397-9A999C594BF7}"/>
    <cellStyle name="Migliaia 42 7 3" xfId="6608" xr:uid="{A0759CFA-4706-4847-B960-D9A8D10A652A}"/>
    <cellStyle name="Migliaia 42 8" xfId="3696" xr:uid="{5ED4FED8-AA9E-4460-93D5-72AC33061130}"/>
    <cellStyle name="Migliaia 42 8 2" xfId="5422" xr:uid="{191A56C6-AC93-447F-81F8-367E259B40C6}"/>
    <cellStyle name="Migliaia 42 8 3" xfId="6609" xr:uid="{2E4669DF-12E5-470B-9A61-A0C393B6ABDB}"/>
    <cellStyle name="Migliaia 42 9" xfId="5407" xr:uid="{1DEB2634-39AF-4229-AB19-878D9A76D4A9}"/>
    <cellStyle name="Migliaia 43" xfId="449" xr:uid="{00000000-0005-0000-0000-00000C040000}"/>
    <cellStyle name="Migliaia 43 10" xfId="6610" xr:uid="{7828C89F-F659-4428-9044-91FF9D5FA5EC}"/>
    <cellStyle name="Migliaia 43 11" xfId="3697" xr:uid="{1F709AED-F455-4A56-A064-8FBE24D576EA}"/>
    <cellStyle name="Migliaia 43 2" xfId="450" xr:uid="{00000000-0005-0000-0000-00000D040000}"/>
    <cellStyle name="Migliaia 43 2 2" xfId="1842" xr:uid="{00000000-0005-0000-0000-00000E040000}"/>
    <cellStyle name="Migliaia 43 2 2 2" xfId="5425" xr:uid="{49839C44-7518-468A-BCA9-196611BFD54F}"/>
    <cellStyle name="Migliaia 43 2 2 3" xfId="6612" xr:uid="{EBEEF11C-D5DB-41BD-939A-FE7222A02729}"/>
    <cellStyle name="Migliaia 43 2 2 4" xfId="3699" xr:uid="{31C160B1-093A-4118-ABE6-D4859C4E366A}"/>
    <cellStyle name="Migliaia 43 2 3" xfId="3700" xr:uid="{EC4A9E39-04FF-4D3E-96DF-557A0B41BEA1}"/>
    <cellStyle name="Migliaia 43 2 3 2" xfId="5426" xr:uid="{6B6C10FF-3B8A-44F9-86E0-A909BE29BAE9}"/>
    <cellStyle name="Migliaia 43 2 3 3" xfId="6613" xr:uid="{7093F441-B026-4001-A20C-C1991CA647F4}"/>
    <cellStyle name="Migliaia 43 2 4" xfId="5424" xr:uid="{016DC3AE-3817-4F79-9372-9E38E01E7DA3}"/>
    <cellStyle name="Migliaia 43 2 5" xfId="6611" xr:uid="{03C114F5-F6FC-400E-AA53-D915636EBD5E}"/>
    <cellStyle name="Migliaia 43 2 6" xfId="3698" xr:uid="{62560EEF-FDC7-4812-B4A1-1C78330739A4}"/>
    <cellStyle name="Migliaia 43 3" xfId="451" xr:uid="{00000000-0005-0000-0000-00000F040000}"/>
    <cellStyle name="Migliaia 43 3 2" xfId="452" xr:uid="{00000000-0005-0000-0000-000010040000}"/>
    <cellStyle name="Migliaia 43 3 2 2" xfId="1843" xr:uid="{00000000-0005-0000-0000-000011040000}"/>
    <cellStyle name="Migliaia 43 3 2 2 2" xfId="5429" xr:uid="{D5403BE5-FC5B-4B9B-AADD-C7FC6EB8DA3C}"/>
    <cellStyle name="Migliaia 43 3 2 2 3" xfId="6616" xr:uid="{37AA7550-D513-4A67-93FE-B0CE9C60A80A}"/>
    <cellStyle name="Migliaia 43 3 2 2 4" xfId="3703" xr:uid="{889E4846-3796-4257-AE69-1EF1E0D440D8}"/>
    <cellStyle name="Migliaia 43 3 2 3" xfId="5428" xr:uid="{59F7E196-E6B1-4F5F-BD82-F6E7A666E1A0}"/>
    <cellStyle name="Migliaia 43 3 2 4" xfId="6615" xr:uid="{6C66720D-3082-46EB-8ADC-BC443882FC13}"/>
    <cellStyle name="Migliaia 43 3 2 5" xfId="3702" xr:uid="{58D20B1C-E517-46D3-B52A-B791A609F367}"/>
    <cellStyle name="Migliaia 43 3 3" xfId="3704" xr:uid="{65E1434F-A338-4681-AC67-36312D7F0D10}"/>
    <cellStyle name="Migliaia 43 3 3 2" xfId="5430" xr:uid="{EC01A1EE-AA6F-4060-8A55-8806FDC2501B}"/>
    <cellStyle name="Migliaia 43 3 3 3" xfId="6617" xr:uid="{85113703-F0EA-4B30-9BCF-A976FD4CAB38}"/>
    <cellStyle name="Migliaia 43 3 4" xfId="3705" xr:uid="{6C271BCC-AA0D-4046-BF70-502DC218C912}"/>
    <cellStyle name="Migliaia 43 3 4 2" xfId="5431" xr:uid="{EBDA9C74-000E-4CC2-BB15-E748E45F932A}"/>
    <cellStyle name="Migliaia 43 3 4 3" xfId="6618" xr:uid="{37BD3EBB-C1F3-425D-8E70-C3B4A8566F44}"/>
    <cellStyle name="Migliaia 43 3 5" xfId="3706" xr:uid="{68C33D07-A8C5-4CB2-85C6-A8498106DD2F}"/>
    <cellStyle name="Migliaia 43 3 5 2" xfId="5432" xr:uid="{1D9F2EA8-64E0-407B-B98B-3BE489B96248}"/>
    <cellStyle name="Migliaia 43 3 5 3" xfId="6619" xr:uid="{F378636C-A7F0-4845-AF59-6745C293FFAD}"/>
    <cellStyle name="Migliaia 43 3 6" xfId="5427" xr:uid="{DBBAE00A-0A95-4A90-A3C2-C92BFB18727F}"/>
    <cellStyle name="Migliaia 43 3 7" xfId="6614" xr:uid="{A2298F06-8173-4CE0-886F-40D57C9B7459}"/>
    <cellStyle name="Migliaia 43 3 8" xfId="3701" xr:uid="{13A3A862-2990-4B10-9DC9-4CC398BB5405}"/>
    <cellStyle name="Migliaia 43 4" xfId="1844" xr:uid="{00000000-0005-0000-0000-000012040000}"/>
    <cellStyle name="Migliaia 43 4 2" xfId="1845" xr:uid="{00000000-0005-0000-0000-000013040000}"/>
    <cellStyle name="Migliaia 43 4 2 2" xfId="5434" xr:uid="{FCA34C9C-2165-4B21-93A9-1693C5E53DEE}"/>
    <cellStyle name="Migliaia 43 4 2 3" xfId="3708" xr:uid="{511D714A-B169-4432-9F0A-707476A89686}"/>
    <cellStyle name="Migliaia 43 4 3" xfId="5433" xr:uid="{5C16A89C-6620-4EF5-8FBD-1B9F0E2D5A2B}"/>
    <cellStyle name="Migliaia 43 4 4" xfId="6620" xr:uid="{79B51477-2238-42D7-802B-9B4E05057A8A}"/>
    <cellStyle name="Migliaia 43 4 5" xfId="3707" xr:uid="{55B37FB2-0420-40E0-B31D-40AAE29CC37A}"/>
    <cellStyle name="Migliaia 43 5" xfId="1846" xr:uid="{00000000-0005-0000-0000-000014040000}"/>
    <cellStyle name="Migliaia 43 5 2" xfId="5435" xr:uid="{FA42EACE-A059-4BF5-8E5A-48E50AAD8857}"/>
    <cellStyle name="Migliaia 43 5 3" xfId="6621" xr:uid="{5C3EA93A-136B-4265-8CC5-5660E75BEBAE}"/>
    <cellStyle name="Migliaia 43 5 4" xfId="3709" xr:uid="{E224E1F4-931F-4E25-AE94-2E9EF9F2C2C5}"/>
    <cellStyle name="Migliaia 43 6" xfId="3710" xr:uid="{F072E6B5-FE24-4E0D-A4DC-03F9C71B9882}"/>
    <cellStyle name="Migliaia 43 6 2" xfId="5436" xr:uid="{0B4D3EA2-B8F0-4CD0-885B-6F83EC6E70ED}"/>
    <cellStyle name="Migliaia 43 6 3" xfId="6622" xr:uid="{8BF9FBF5-236D-49C7-BFD3-6B2B271B0ECA}"/>
    <cellStyle name="Migliaia 43 7" xfId="3711" xr:uid="{118DD966-44D8-43A0-B4D9-71ADC72DC010}"/>
    <cellStyle name="Migliaia 43 7 2" xfId="5437" xr:uid="{63826C31-3B57-4F51-A584-91A8D3E5120B}"/>
    <cellStyle name="Migliaia 43 7 3" xfId="6623" xr:uid="{3544D5E2-072E-40D6-AFE3-D0E85DA1E348}"/>
    <cellStyle name="Migliaia 43 8" xfId="3712" xr:uid="{7780D516-51AA-4E45-B93A-0175E8FF9C2C}"/>
    <cellStyle name="Migliaia 43 8 2" xfId="5438" xr:uid="{276B9114-7D7D-4299-ADFA-B6C80DB86282}"/>
    <cellStyle name="Migliaia 43 8 3" xfId="6624" xr:uid="{9F11793E-9177-4C2B-8556-0565DB74A265}"/>
    <cellStyle name="Migliaia 43 9" xfId="5423" xr:uid="{63CC7E02-61B6-4E30-A101-7A865BDF1BC2}"/>
    <cellStyle name="Migliaia 44" xfId="453" xr:uid="{00000000-0005-0000-0000-000015040000}"/>
    <cellStyle name="Migliaia 44 10" xfId="6625" xr:uid="{A8D53E44-37FD-4DC9-8A4A-82D613CB23B6}"/>
    <cellStyle name="Migliaia 44 11" xfId="3713" xr:uid="{6DC8F25D-EE44-4546-85BB-50ED6B7759A6}"/>
    <cellStyle name="Migliaia 44 2" xfId="454" xr:uid="{00000000-0005-0000-0000-000016040000}"/>
    <cellStyle name="Migliaia 44 2 2" xfId="1847" xr:uid="{00000000-0005-0000-0000-000017040000}"/>
    <cellStyle name="Migliaia 44 2 2 2" xfId="5441" xr:uid="{28D25D56-790E-44B2-993B-A295C3550BA0}"/>
    <cellStyle name="Migliaia 44 2 2 3" xfId="6627" xr:uid="{904E045B-19C4-432B-BC32-05470016BC52}"/>
    <cellStyle name="Migliaia 44 2 2 4" xfId="3715" xr:uid="{8D4B1600-5DB4-487D-9980-14978E7BCDC2}"/>
    <cellStyle name="Migliaia 44 2 3" xfId="3716" xr:uid="{AF28B6FB-A1F2-47A2-BB70-BFC4EF2ED806}"/>
    <cellStyle name="Migliaia 44 2 3 2" xfId="5442" xr:uid="{D00BD111-F711-4EA3-B1D5-2F0821A74D2E}"/>
    <cellStyle name="Migliaia 44 2 3 3" xfId="6628" xr:uid="{D96E467E-E4D7-4E82-A0A1-0500AD740787}"/>
    <cellStyle name="Migliaia 44 2 4" xfId="5440" xr:uid="{8D5A401F-98CC-4B2E-AB8D-78767C17BED6}"/>
    <cellStyle name="Migliaia 44 2 5" xfId="6626" xr:uid="{3EEDC538-83E2-4FBD-864A-098E6BB934DE}"/>
    <cellStyle name="Migliaia 44 2 6" xfId="3714" xr:uid="{CA824D8A-2ADC-4E78-AE53-724E9F125FAF}"/>
    <cellStyle name="Migliaia 44 3" xfId="455" xr:uid="{00000000-0005-0000-0000-000018040000}"/>
    <cellStyle name="Migliaia 44 3 2" xfId="456" xr:uid="{00000000-0005-0000-0000-000019040000}"/>
    <cellStyle name="Migliaia 44 3 2 2" xfId="1848" xr:uid="{00000000-0005-0000-0000-00001A040000}"/>
    <cellStyle name="Migliaia 44 3 2 2 2" xfId="5445" xr:uid="{861B8755-8FBD-4691-A486-819FA10B0846}"/>
    <cellStyle name="Migliaia 44 3 2 2 3" xfId="6631" xr:uid="{917919BD-6B66-4E4E-960F-BA4F0384F55D}"/>
    <cellStyle name="Migliaia 44 3 2 2 4" xfId="3719" xr:uid="{BD4F330B-D144-4029-9F78-9FF59D30185E}"/>
    <cellStyle name="Migliaia 44 3 2 3" xfId="5444" xr:uid="{B8E228EA-5609-41AA-8907-B20C07421AED}"/>
    <cellStyle name="Migliaia 44 3 2 4" xfId="6630" xr:uid="{EA1D03E1-00CB-4E2E-A6F2-919D8CFF335F}"/>
    <cellStyle name="Migliaia 44 3 2 5" xfId="3718" xr:uid="{7B7C961D-9974-4584-88EE-6B3E88E9D2A2}"/>
    <cellStyle name="Migliaia 44 3 3" xfId="3720" xr:uid="{6900DCB4-EF93-40FE-BE01-A4A35B96B411}"/>
    <cellStyle name="Migliaia 44 3 3 2" xfId="5446" xr:uid="{60ABB838-2A0B-4222-AE93-52A6170EF019}"/>
    <cellStyle name="Migliaia 44 3 3 3" xfId="6632" xr:uid="{2C2A44C1-2D90-4F7E-8C6B-F0C5948DC5B9}"/>
    <cellStyle name="Migliaia 44 3 4" xfId="3721" xr:uid="{AF33F740-0144-403E-8DE8-9F5640CCEE60}"/>
    <cellStyle name="Migliaia 44 3 4 2" xfId="5447" xr:uid="{173D0A7A-6705-42BC-8CF2-4742FE979774}"/>
    <cellStyle name="Migliaia 44 3 4 3" xfId="6633" xr:uid="{72EB8694-7FEE-4D7B-AAF3-7D8B1BAC25BC}"/>
    <cellStyle name="Migliaia 44 3 5" xfId="3722" xr:uid="{0B522378-E586-43EB-818D-2A491ADD29E9}"/>
    <cellStyle name="Migliaia 44 3 5 2" xfId="5448" xr:uid="{84000AE2-4D60-455E-9FE7-E5398ED7EE40}"/>
    <cellStyle name="Migliaia 44 3 5 3" xfId="6634" xr:uid="{AEA74206-CA55-40DB-B82C-46250188FAA6}"/>
    <cellStyle name="Migliaia 44 3 6" xfId="5443" xr:uid="{3EEFC3D4-2C66-4584-8D4A-860EF4388484}"/>
    <cellStyle name="Migliaia 44 3 7" xfId="6629" xr:uid="{55B4266E-D3C1-413C-9139-63CD568310AD}"/>
    <cellStyle name="Migliaia 44 3 8" xfId="3717" xr:uid="{5EC787BA-4D6C-42C2-99E6-631453E03DE8}"/>
    <cellStyle name="Migliaia 44 4" xfId="1849" xr:uid="{00000000-0005-0000-0000-00001B040000}"/>
    <cellStyle name="Migliaia 44 4 2" xfId="1850" xr:uid="{00000000-0005-0000-0000-00001C040000}"/>
    <cellStyle name="Migliaia 44 4 2 2" xfId="5450" xr:uid="{8DD2AA22-2652-4242-BD9A-1F8296586DC6}"/>
    <cellStyle name="Migliaia 44 4 2 3" xfId="3724" xr:uid="{FDE08B28-0A17-43A8-B934-8F33F81E52E9}"/>
    <cellStyle name="Migliaia 44 4 3" xfId="5449" xr:uid="{927E3CEB-76A2-4C0F-8642-5F4F187E2C88}"/>
    <cellStyle name="Migliaia 44 4 4" xfId="6635" xr:uid="{8FB85026-CE7E-4BB5-8FEA-AF23276BC979}"/>
    <cellStyle name="Migliaia 44 4 5" xfId="3723" xr:uid="{59F3572B-9313-423A-A1AF-4B4018541B15}"/>
    <cellStyle name="Migliaia 44 5" xfId="1851" xr:uid="{00000000-0005-0000-0000-00001D040000}"/>
    <cellStyle name="Migliaia 44 5 2" xfId="5451" xr:uid="{4E6E42EF-E27B-459B-B41A-9B4449054B5B}"/>
    <cellStyle name="Migliaia 44 5 3" xfId="6636" xr:uid="{22BB5BC8-F2A8-4609-A595-51234E78F983}"/>
    <cellStyle name="Migliaia 44 5 4" xfId="3725" xr:uid="{B1B9CAE4-A201-40C2-AFD1-274C107521F9}"/>
    <cellStyle name="Migliaia 44 6" xfId="3726" xr:uid="{CF324E23-EDE7-4354-9AEB-A0CEC7FDF5B6}"/>
    <cellStyle name="Migliaia 44 6 2" xfId="5452" xr:uid="{4DB200AB-90A7-46BD-BA97-66E0989B388C}"/>
    <cellStyle name="Migliaia 44 6 3" xfId="6637" xr:uid="{E26374A9-8151-4087-88CF-21E30ADADF34}"/>
    <cellStyle name="Migliaia 44 7" xfId="3727" xr:uid="{14D4DD88-180E-4CD7-B583-DD33A3BFB54F}"/>
    <cellStyle name="Migliaia 44 7 2" xfId="5453" xr:uid="{F5C7DC81-4AA8-4935-A67C-701B272661B8}"/>
    <cellStyle name="Migliaia 44 7 3" xfId="6638" xr:uid="{F3C72B20-1445-4CC3-87A4-28E5E62066B0}"/>
    <cellStyle name="Migliaia 44 8" xfId="3728" xr:uid="{5E796974-C4BC-46FB-91D4-D41B3BB4EF58}"/>
    <cellStyle name="Migliaia 44 8 2" xfId="5454" xr:uid="{89D24175-CFDB-474D-AE7A-AED0EFF4A9C7}"/>
    <cellStyle name="Migliaia 44 8 3" xfId="6639" xr:uid="{72EB42BE-18CE-4E08-816E-BE04A1D72D2C}"/>
    <cellStyle name="Migliaia 44 9" xfId="5439" xr:uid="{4E77F5C1-8DAE-4B56-90A3-1C629B13C55F}"/>
    <cellStyle name="Migliaia 45" xfId="457" xr:uid="{00000000-0005-0000-0000-00001E040000}"/>
    <cellStyle name="Migliaia 45 10" xfId="6640" xr:uid="{CB4C5E9D-DB0B-402A-B61B-58D73708FDC3}"/>
    <cellStyle name="Migliaia 45 11" xfId="3729" xr:uid="{360FA787-C808-4CDB-954B-1A945C46AE26}"/>
    <cellStyle name="Migliaia 45 2" xfId="458" xr:uid="{00000000-0005-0000-0000-00001F040000}"/>
    <cellStyle name="Migliaia 45 2 2" xfId="1852" xr:uid="{00000000-0005-0000-0000-000020040000}"/>
    <cellStyle name="Migliaia 45 2 2 2" xfId="5457" xr:uid="{88F7DDCA-EF5E-4A07-ABBC-3E9667C945B8}"/>
    <cellStyle name="Migliaia 45 2 2 3" xfId="6642" xr:uid="{910B35A0-D794-4DF7-8ADE-42D25A6AE7E8}"/>
    <cellStyle name="Migliaia 45 2 2 4" xfId="3731" xr:uid="{86429CD3-D532-47BF-B58E-E1C62B77B5CE}"/>
    <cellStyle name="Migliaia 45 2 3" xfId="3732" xr:uid="{6A8FC345-B4E5-4724-B61F-ED1BC940140B}"/>
    <cellStyle name="Migliaia 45 2 3 2" xfId="5458" xr:uid="{7EEE3B49-ED0F-4137-904D-DA37DA464E60}"/>
    <cellStyle name="Migliaia 45 2 3 3" xfId="6643" xr:uid="{22B73B88-3A39-4166-B7EB-FF9993985D73}"/>
    <cellStyle name="Migliaia 45 2 4" xfId="5456" xr:uid="{C2416A9B-8DB7-4782-9264-1681D1062B36}"/>
    <cellStyle name="Migliaia 45 2 5" xfId="6641" xr:uid="{D59A5B6D-17E7-4CD8-96BA-08E86CFD4FEE}"/>
    <cellStyle name="Migliaia 45 2 6" xfId="3730" xr:uid="{27D1F830-6362-4398-BF56-F877B072F498}"/>
    <cellStyle name="Migliaia 45 3" xfId="459" xr:uid="{00000000-0005-0000-0000-000021040000}"/>
    <cellStyle name="Migliaia 45 3 2" xfId="460" xr:uid="{00000000-0005-0000-0000-000022040000}"/>
    <cellStyle name="Migliaia 45 3 2 2" xfId="1853" xr:uid="{00000000-0005-0000-0000-000023040000}"/>
    <cellStyle name="Migliaia 45 3 2 2 2" xfId="5461" xr:uid="{BE2C701F-5550-42E7-B73F-C491CBAA30AE}"/>
    <cellStyle name="Migliaia 45 3 2 2 3" xfId="6646" xr:uid="{B8EA651F-A8BC-400B-AC3D-30C5207B9EEE}"/>
    <cellStyle name="Migliaia 45 3 2 2 4" xfId="3735" xr:uid="{747CD7D9-9F0A-48CA-AC5D-23795C1AFE49}"/>
    <cellStyle name="Migliaia 45 3 2 3" xfId="5460" xr:uid="{A766F0A4-BECE-447A-A59E-ABD5E4B7942A}"/>
    <cellStyle name="Migliaia 45 3 2 4" xfId="6645" xr:uid="{DFCC49E6-783B-4FF8-94DA-29C6F0094B2B}"/>
    <cellStyle name="Migliaia 45 3 2 5" xfId="3734" xr:uid="{8F2C7B16-3A2E-4CC8-8E0A-D1F03CEB7E30}"/>
    <cellStyle name="Migliaia 45 3 3" xfId="3736" xr:uid="{87AB3AED-A4E9-4E5B-B820-C06F19DC3C20}"/>
    <cellStyle name="Migliaia 45 3 3 2" xfId="5462" xr:uid="{BE2787CE-5D37-4F48-BF6E-6A3F2FA3B8C7}"/>
    <cellStyle name="Migliaia 45 3 3 3" xfId="6647" xr:uid="{B02DDF3B-00CC-4AC4-89C8-881B11D9C2EA}"/>
    <cellStyle name="Migliaia 45 3 4" xfId="3737" xr:uid="{C0D1102E-0BD9-4CE7-9214-A63F183C73DD}"/>
    <cellStyle name="Migliaia 45 3 4 2" xfId="5463" xr:uid="{67491AEB-0A8E-4CAC-B321-FE81104E4818}"/>
    <cellStyle name="Migliaia 45 3 4 3" xfId="6648" xr:uid="{FF84C7C2-1871-447F-82B4-CADC2FF2D9CC}"/>
    <cellStyle name="Migliaia 45 3 5" xfId="3738" xr:uid="{8DCC063F-A2FC-4C0B-A9EE-9A42D165D1A7}"/>
    <cellStyle name="Migliaia 45 3 5 2" xfId="5464" xr:uid="{2E9A93E2-1CD2-4A38-B17B-4D42818A8DF9}"/>
    <cellStyle name="Migliaia 45 3 5 3" xfId="6649" xr:uid="{986F262D-8A60-48A5-8FF9-35A6173712D1}"/>
    <cellStyle name="Migliaia 45 3 6" xfId="5459" xr:uid="{E17BC920-A66D-4798-8763-18F7574402A1}"/>
    <cellStyle name="Migliaia 45 3 7" xfId="6644" xr:uid="{EDCFE344-C2AD-4359-8EA1-DD7858ED757D}"/>
    <cellStyle name="Migliaia 45 3 8" xfId="3733" xr:uid="{3ABBACF6-F343-4BE6-8D60-6B581AED1DA7}"/>
    <cellStyle name="Migliaia 45 4" xfId="1854" xr:uid="{00000000-0005-0000-0000-000024040000}"/>
    <cellStyle name="Migliaia 45 4 2" xfId="1855" xr:uid="{00000000-0005-0000-0000-000025040000}"/>
    <cellStyle name="Migliaia 45 4 2 2" xfId="5466" xr:uid="{A19FA925-73A8-4C77-836B-9ECD9943A7E9}"/>
    <cellStyle name="Migliaia 45 4 2 3" xfId="3740" xr:uid="{3A0F199E-214D-483B-A13E-5237C9BF53AD}"/>
    <cellStyle name="Migliaia 45 4 3" xfId="5465" xr:uid="{A6D791CB-7226-4EBC-9337-25A7E4AE20FE}"/>
    <cellStyle name="Migliaia 45 4 4" xfId="6650" xr:uid="{F803B11A-A649-49DF-8393-D44AC82BF769}"/>
    <cellStyle name="Migliaia 45 4 5" xfId="3739" xr:uid="{977BDE80-8F24-404B-BC20-4854FC8F22FB}"/>
    <cellStyle name="Migliaia 45 5" xfId="1856" xr:uid="{00000000-0005-0000-0000-000026040000}"/>
    <cellStyle name="Migliaia 45 5 2" xfId="5467" xr:uid="{9406E960-03A3-4D04-BAF5-C29F5A07AE7F}"/>
    <cellStyle name="Migliaia 45 5 3" xfId="6651" xr:uid="{7CFB10BC-54DA-4BB7-BD88-0033A14A8EAB}"/>
    <cellStyle name="Migliaia 45 5 4" xfId="3741" xr:uid="{4329E875-D24C-488F-BFF9-C28865C5A93F}"/>
    <cellStyle name="Migliaia 45 6" xfId="3742" xr:uid="{450938BB-9F5A-4E2C-A7C4-7181921BC508}"/>
    <cellStyle name="Migliaia 45 6 2" xfId="5468" xr:uid="{33C47DBF-1611-418E-A7A9-A0BDE21937DA}"/>
    <cellStyle name="Migliaia 45 6 3" xfId="6652" xr:uid="{55D62B0F-254E-4D2F-8B17-9C019BAA0D82}"/>
    <cellStyle name="Migliaia 45 7" xfId="3743" xr:uid="{9F506B05-3B13-4232-84CB-B1337D50D4BA}"/>
    <cellStyle name="Migliaia 45 7 2" xfId="5469" xr:uid="{066C1883-C6B9-4211-A12B-AC88EAF1B14F}"/>
    <cellStyle name="Migliaia 45 7 3" xfId="6653" xr:uid="{04A80393-4B6E-431C-A69F-FD25D45DD4AF}"/>
    <cellStyle name="Migliaia 45 8" xfId="3744" xr:uid="{605F0FA4-7C77-4BF0-A639-D7734D66A3CB}"/>
    <cellStyle name="Migliaia 45 8 2" xfId="5470" xr:uid="{5D8CA892-ABDC-4A6A-82AB-B149F5226BD6}"/>
    <cellStyle name="Migliaia 45 8 3" xfId="6654" xr:uid="{04731D4E-7C5B-4C35-90D9-0701F6FEF57B}"/>
    <cellStyle name="Migliaia 45 9" xfId="5455" xr:uid="{719EF2D7-D3E8-457B-8ABB-7535F1BCD2FD}"/>
    <cellStyle name="Migliaia 46" xfId="461" xr:uid="{00000000-0005-0000-0000-000027040000}"/>
    <cellStyle name="Migliaia 46 10" xfId="6655" xr:uid="{391522CE-0ACD-4306-AEAE-3609E2D6424A}"/>
    <cellStyle name="Migliaia 46 11" xfId="3745" xr:uid="{5848253A-7386-41FE-A382-6ECDE73DEA24}"/>
    <cellStyle name="Migliaia 46 2" xfId="462" xr:uid="{00000000-0005-0000-0000-000028040000}"/>
    <cellStyle name="Migliaia 46 2 2" xfId="1857" xr:uid="{00000000-0005-0000-0000-000029040000}"/>
    <cellStyle name="Migliaia 46 2 2 2" xfId="5473" xr:uid="{65774CC7-9EF2-4C9F-B057-C0DFF1C58B0F}"/>
    <cellStyle name="Migliaia 46 2 2 3" xfId="6657" xr:uid="{F4720053-1D51-4B19-874E-4191BF2ACA33}"/>
    <cellStyle name="Migliaia 46 2 2 4" xfId="3747" xr:uid="{8E595C51-E99F-416C-B8F0-B8B2371E07C6}"/>
    <cellStyle name="Migliaia 46 2 3" xfId="3748" xr:uid="{2FF833E5-177F-4732-AAB1-0F674947457F}"/>
    <cellStyle name="Migliaia 46 2 3 2" xfId="5474" xr:uid="{9D94B1AE-DCD4-4B8A-A324-60D8270ACCCD}"/>
    <cellStyle name="Migliaia 46 2 3 3" xfId="6658" xr:uid="{70877106-0C80-4F5E-B2D0-0E9591468102}"/>
    <cellStyle name="Migliaia 46 2 4" xfId="5472" xr:uid="{C43B14DB-CC7B-4866-A8C8-3343755BF1DC}"/>
    <cellStyle name="Migliaia 46 2 5" xfId="6656" xr:uid="{9FF78595-24EE-435E-BADA-9083442DB8C9}"/>
    <cellStyle name="Migliaia 46 2 6" xfId="3746" xr:uid="{D40B4495-0E33-4118-A6BB-EC0019ADEB1A}"/>
    <cellStyle name="Migliaia 46 3" xfId="463" xr:uid="{00000000-0005-0000-0000-00002A040000}"/>
    <cellStyle name="Migliaia 46 3 2" xfId="464" xr:uid="{00000000-0005-0000-0000-00002B040000}"/>
    <cellStyle name="Migliaia 46 3 2 2" xfId="1858" xr:uid="{00000000-0005-0000-0000-00002C040000}"/>
    <cellStyle name="Migliaia 46 3 2 2 2" xfId="5477" xr:uid="{53C39A1D-DE4C-42F5-9625-18EDD8F92182}"/>
    <cellStyle name="Migliaia 46 3 2 2 3" xfId="6661" xr:uid="{462E83BA-0363-4214-8938-0FA27B056877}"/>
    <cellStyle name="Migliaia 46 3 2 2 4" xfId="3751" xr:uid="{9B940950-B9A1-4442-A2C0-3D1AC51C7988}"/>
    <cellStyle name="Migliaia 46 3 2 3" xfId="5476" xr:uid="{4E7388B4-F95E-4AC6-8D8D-E2FBB2ABBB91}"/>
    <cellStyle name="Migliaia 46 3 2 4" xfId="6660" xr:uid="{B2B3B897-7254-4567-8261-FEE1FFDCBAF3}"/>
    <cellStyle name="Migliaia 46 3 2 5" xfId="3750" xr:uid="{4F36FF56-3621-495C-A151-C50598CC00E7}"/>
    <cellStyle name="Migliaia 46 3 3" xfId="3752" xr:uid="{0ECE847B-586F-4868-B327-6DD573066B0D}"/>
    <cellStyle name="Migliaia 46 3 3 2" xfId="5478" xr:uid="{F90AC99B-D04D-4982-AA39-6B65C31669C5}"/>
    <cellStyle name="Migliaia 46 3 3 3" xfId="6662" xr:uid="{8A330E73-8DD2-4390-93D7-FA2701227ED1}"/>
    <cellStyle name="Migliaia 46 3 4" xfId="3753" xr:uid="{0F8DE620-6C6F-4062-977E-41F319C49A36}"/>
    <cellStyle name="Migliaia 46 3 4 2" xfId="5479" xr:uid="{8206242C-0D65-4891-BC60-8A03F510F333}"/>
    <cellStyle name="Migliaia 46 3 4 3" xfId="6663" xr:uid="{350087F6-2FAC-4028-9028-E3C833BE3CB6}"/>
    <cellStyle name="Migliaia 46 3 5" xfId="3754" xr:uid="{96EF8DCE-EBA0-4540-A29C-075BA3A6B594}"/>
    <cellStyle name="Migliaia 46 3 5 2" xfId="5480" xr:uid="{142E5445-07C7-4A47-8072-7A021AC9AA93}"/>
    <cellStyle name="Migliaia 46 3 5 3" xfId="6664" xr:uid="{E97B99D4-CFEF-455D-B549-94A713F7A832}"/>
    <cellStyle name="Migliaia 46 3 6" xfId="5475" xr:uid="{791EB1AA-901B-4755-A300-2AA74D7CE06C}"/>
    <cellStyle name="Migliaia 46 3 7" xfId="6659" xr:uid="{7BCFB411-9239-44B8-AD44-E74FF61584A3}"/>
    <cellStyle name="Migliaia 46 3 8" xfId="3749" xr:uid="{7AF1ED60-1AF0-46F3-A238-E22CB4B93686}"/>
    <cellStyle name="Migliaia 46 4" xfId="1859" xr:uid="{00000000-0005-0000-0000-00002D040000}"/>
    <cellStyle name="Migliaia 46 4 2" xfId="1860" xr:uid="{00000000-0005-0000-0000-00002E040000}"/>
    <cellStyle name="Migliaia 46 4 2 2" xfId="5482" xr:uid="{8EE5C577-EE62-4743-9615-ACAC84407180}"/>
    <cellStyle name="Migliaia 46 4 2 3" xfId="3756" xr:uid="{7DFFFB86-9FD2-49D6-8218-34A4FF769132}"/>
    <cellStyle name="Migliaia 46 4 3" xfId="5481" xr:uid="{80163026-F19E-4685-8285-E88D17E548D9}"/>
    <cellStyle name="Migliaia 46 4 4" xfId="6665" xr:uid="{DD892B3B-1930-4DA2-9FCF-6C45F366021C}"/>
    <cellStyle name="Migliaia 46 4 5" xfId="3755" xr:uid="{21D75C22-4D3D-460C-8760-F59B699F5A4B}"/>
    <cellStyle name="Migliaia 46 5" xfId="1861" xr:uid="{00000000-0005-0000-0000-00002F040000}"/>
    <cellStyle name="Migliaia 46 5 2" xfId="5483" xr:uid="{59338C53-D48E-457B-B9C3-C5DC44F3310B}"/>
    <cellStyle name="Migliaia 46 5 3" xfId="6666" xr:uid="{DA403AF9-9141-4A89-B56A-92414CFE7274}"/>
    <cellStyle name="Migliaia 46 5 4" xfId="3757" xr:uid="{C7A418DF-17FC-4179-BF40-776395AB3D11}"/>
    <cellStyle name="Migliaia 46 6" xfId="3758" xr:uid="{C7EB0CDC-7E81-4458-87BA-F2890ECBD7C0}"/>
    <cellStyle name="Migliaia 46 6 2" xfId="5484" xr:uid="{709C9577-B994-42ED-B7F3-08AA34E5BC19}"/>
    <cellStyle name="Migliaia 46 6 3" xfId="6667" xr:uid="{ED4F6FE0-6C02-4CF3-90EA-0F6E0EF41885}"/>
    <cellStyle name="Migliaia 46 7" xfId="3759" xr:uid="{ED74A01A-CB09-41E1-A89C-E75A48F8B810}"/>
    <cellStyle name="Migliaia 46 7 2" xfId="5485" xr:uid="{20B75C15-BCA0-423B-9D2D-637D9587551D}"/>
    <cellStyle name="Migliaia 46 7 3" xfId="6668" xr:uid="{CDEAFA78-86A6-4034-8C33-82ABFC96A806}"/>
    <cellStyle name="Migliaia 46 8" xfId="3760" xr:uid="{5BF3515C-FA1A-4236-91D3-5547CA86AF7A}"/>
    <cellStyle name="Migliaia 46 8 2" xfId="5486" xr:uid="{407376C9-4ED2-413C-92F2-C534AC9748E5}"/>
    <cellStyle name="Migliaia 46 8 3" xfId="6669" xr:uid="{87B3C641-C4DC-4C6C-87F3-A705526F1A55}"/>
    <cellStyle name="Migliaia 46 9" xfId="5471" xr:uid="{1DF514BA-51C7-4BB3-9BCC-D90476BF9D38}"/>
    <cellStyle name="Migliaia 47" xfId="465" xr:uid="{00000000-0005-0000-0000-000030040000}"/>
    <cellStyle name="Migliaia 47 10" xfId="6670" xr:uid="{58B66077-9DE4-4615-8A05-88F40868DFA6}"/>
    <cellStyle name="Migliaia 47 11" xfId="3761" xr:uid="{30D4AB59-2E0C-4BD0-845B-896614282AC1}"/>
    <cellStyle name="Migliaia 47 2" xfId="466" xr:uid="{00000000-0005-0000-0000-000031040000}"/>
    <cellStyle name="Migliaia 47 2 2" xfId="1862" xr:uid="{00000000-0005-0000-0000-000032040000}"/>
    <cellStyle name="Migliaia 47 2 2 2" xfId="5489" xr:uid="{F5D4E436-81DE-4984-8C33-44D2F5D5B7CF}"/>
    <cellStyle name="Migliaia 47 2 2 3" xfId="6672" xr:uid="{E007C20A-A4FD-4785-B414-CFCD199C7B8F}"/>
    <cellStyle name="Migliaia 47 2 2 4" xfId="3763" xr:uid="{6A4DA001-497B-4567-95EE-9EE8B2F1E73A}"/>
    <cellStyle name="Migliaia 47 2 3" xfId="3764" xr:uid="{8EC71CED-A63F-453C-83FF-A7FDAC949A3E}"/>
    <cellStyle name="Migliaia 47 2 3 2" xfId="5490" xr:uid="{F62E0981-0B94-4DEF-A2AC-7464D851E043}"/>
    <cellStyle name="Migliaia 47 2 3 3" xfId="6673" xr:uid="{3251134C-5FD7-4504-B782-8AB3957D207D}"/>
    <cellStyle name="Migliaia 47 2 4" xfId="5488" xr:uid="{9A483735-BE3F-41D2-89FE-BFEE098C3787}"/>
    <cellStyle name="Migliaia 47 2 5" xfId="6671" xr:uid="{67FB58E4-996B-4C2F-8B1B-29FFED53830F}"/>
    <cellStyle name="Migliaia 47 2 6" xfId="3762" xr:uid="{E70DB612-ECDB-48D8-9547-5B659033AB11}"/>
    <cellStyle name="Migliaia 47 3" xfId="467" xr:uid="{00000000-0005-0000-0000-000033040000}"/>
    <cellStyle name="Migliaia 47 3 2" xfId="468" xr:uid="{00000000-0005-0000-0000-000034040000}"/>
    <cellStyle name="Migliaia 47 3 2 2" xfId="1863" xr:uid="{00000000-0005-0000-0000-000035040000}"/>
    <cellStyle name="Migliaia 47 3 2 2 2" xfId="5493" xr:uid="{D97BA747-D864-41C6-9A12-C0317C2B2ED2}"/>
    <cellStyle name="Migliaia 47 3 2 2 3" xfId="6676" xr:uid="{6AA901BF-7931-428C-BC04-8FF206E9E720}"/>
    <cellStyle name="Migliaia 47 3 2 2 4" xfId="3767" xr:uid="{80C05CA8-F4FF-40E6-83AF-4B0FDAF5919F}"/>
    <cellStyle name="Migliaia 47 3 2 3" xfId="5492" xr:uid="{0F95BC40-D8CB-4E74-95F3-077FB8C3D444}"/>
    <cellStyle name="Migliaia 47 3 2 4" xfId="6675" xr:uid="{0A14D3A0-B26E-43E3-93E6-4EBD80449D44}"/>
    <cellStyle name="Migliaia 47 3 2 5" xfId="3766" xr:uid="{1A7309DA-6A1B-4F7F-8B67-8B35A65810EF}"/>
    <cellStyle name="Migliaia 47 3 3" xfId="3768" xr:uid="{F7D5CB41-EAC1-4919-A03A-2F0918E86579}"/>
    <cellStyle name="Migliaia 47 3 3 2" xfId="5494" xr:uid="{C72CD9F1-027F-47C9-ACF3-556ED879D09B}"/>
    <cellStyle name="Migliaia 47 3 3 3" xfId="6677" xr:uid="{0EA9DBD3-D086-40B4-AA09-5E3D43286F9B}"/>
    <cellStyle name="Migliaia 47 3 4" xfId="3769" xr:uid="{54DE5148-DC8B-4FE0-ACD6-26A88986EC46}"/>
    <cellStyle name="Migliaia 47 3 4 2" xfId="5495" xr:uid="{AC022AD0-71F0-428F-ABDA-6C5F6E96AE7F}"/>
    <cellStyle name="Migliaia 47 3 4 3" xfId="6678" xr:uid="{1BAD6652-6290-4D20-8DE9-43C90B311574}"/>
    <cellStyle name="Migliaia 47 3 5" xfId="3770" xr:uid="{C595156D-C7D3-4253-9746-1D984E684331}"/>
    <cellStyle name="Migliaia 47 3 5 2" xfId="5496" xr:uid="{2C230855-C095-427A-A035-64D971060BE7}"/>
    <cellStyle name="Migliaia 47 3 5 3" xfId="6679" xr:uid="{35923231-D47C-4F65-A646-DD4E3BFDC13E}"/>
    <cellStyle name="Migliaia 47 3 6" xfId="5491" xr:uid="{27034741-B3A1-45F6-A9C8-18A29448D514}"/>
    <cellStyle name="Migliaia 47 3 7" xfId="6674" xr:uid="{591A807B-902C-469B-80E2-EA9A262943D1}"/>
    <cellStyle name="Migliaia 47 3 8" xfId="3765" xr:uid="{9ED0196E-2303-4849-8493-4EA214F8D607}"/>
    <cellStyle name="Migliaia 47 4" xfId="1864" xr:uid="{00000000-0005-0000-0000-000036040000}"/>
    <cellStyle name="Migliaia 47 4 2" xfId="1865" xr:uid="{00000000-0005-0000-0000-000037040000}"/>
    <cellStyle name="Migliaia 47 4 2 2" xfId="5498" xr:uid="{40EB5BB5-5E11-49C1-9341-C1E88426028B}"/>
    <cellStyle name="Migliaia 47 4 2 3" xfId="3772" xr:uid="{F86FDFCB-22D4-4228-A273-4AFE1278E143}"/>
    <cellStyle name="Migliaia 47 4 3" xfId="5497" xr:uid="{FE84EDD8-556C-42B4-AABE-549869E9BAF6}"/>
    <cellStyle name="Migliaia 47 4 4" xfId="6680" xr:uid="{E7E8BE65-91E8-4E9C-8A64-6E84047B4220}"/>
    <cellStyle name="Migliaia 47 4 5" xfId="3771" xr:uid="{F9FCEB1A-986E-4E83-835C-C19127D1077C}"/>
    <cellStyle name="Migliaia 47 5" xfId="1866" xr:uid="{00000000-0005-0000-0000-000038040000}"/>
    <cellStyle name="Migliaia 47 5 2" xfId="5499" xr:uid="{86B3F866-57F0-48F9-9415-1BB773E959A2}"/>
    <cellStyle name="Migliaia 47 5 3" xfId="6681" xr:uid="{56F67C40-C458-4314-8602-2B88CD1860E9}"/>
    <cellStyle name="Migliaia 47 5 4" xfId="3773" xr:uid="{EBD8CF46-CA09-4524-8FCF-CF63257C73A5}"/>
    <cellStyle name="Migliaia 47 6" xfId="3774" xr:uid="{CDE3A044-E971-42C6-8D1A-07950CFB2EB2}"/>
    <cellStyle name="Migliaia 47 6 2" xfId="5500" xr:uid="{F400D2B8-F47C-4AB2-8FDC-7DABD42BFC71}"/>
    <cellStyle name="Migliaia 47 6 3" xfId="6682" xr:uid="{EC0021BD-192E-46FE-A9A3-1141A3CE7481}"/>
    <cellStyle name="Migliaia 47 7" xfId="3775" xr:uid="{C7AA7706-B7C6-4C07-9B06-8E7E7687E563}"/>
    <cellStyle name="Migliaia 47 7 2" xfId="5501" xr:uid="{13CEC47B-BA4E-48F9-BB66-B74A36124A94}"/>
    <cellStyle name="Migliaia 47 7 3" xfId="6683" xr:uid="{40D4BAE2-4E95-4EB8-9D1E-7B92E5A019F4}"/>
    <cellStyle name="Migliaia 47 8" xfId="3776" xr:uid="{20A380C3-7557-4424-BBD7-E92C1A0DB05F}"/>
    <cellStyle name="Migliaia 47 8 2" xfId="5502" xr:uid="{7F8D32F9-8891-4C85-BD71-A5A12F9C5C85}"/>
    <cellStyle name="Migliaia 47 8 3" xfId="6684" xr:uid="{DA3599F0-5027-4D8D-9DA6-4F90B5F6B702}"/>
    <cellStyle name="Migliaia 47 9" xfId="5487" xr:uid="{57D67CFF-0252-4A5F-A505-D0751A14898B}"/>
    <cellStyle name="Migliaia 48" xfId="469" xr:uid="{00000000-0005-0000-0000-000039040000}"/>
    <cellStyle name="Migliaia 48 10" xfId="6685" xr:uid="{3D47937B-DB6C-4AC4-ADF6-63CAEF2DB7F1}"/>
    <cellStyle name="Migliaia 48 11" xfId="3777" xr:uid="{7DEA1472-11A5-44F9-AB88-6330FB2FE8D6}"/>
    <cellStyle name="Migliaia 48 2" xfId="470" xr:uid="{00000000-0005-0000-0000-00003A040000}"/>
    <cellStyle name="Migliaia 48 2 2" xfId="1867" xr:uid="{00000000-0005-0000-0000-00003B040000}"/>
    <cellStyle name="Migliaia 48 2 2 2" xfId="5505" xr:uid="{6389DF05-C1F1-4A24-8A92-26C60F8D97CA}"/>
    <cellStyle name="Migliaia 48 2 2 3" xfId="6687" xr:uid="{1B73C074-83AA-422B-A239-B68041C08319}"/>
    <cellStyle name="Migliaia 48 2 2 4" xfId="3779" xr:uid="{8A4CCAC0-0234-4289-9063-52FAA553EA87}"/>
    <cellStyle name="Migliaia 48 2 3" xfId="3780" xr:uid="{8ECAB38A-695B-4371-9215-6C326D33AF86}"/>
    <cellStyle name="Migliaia 48 2 3 2" xfId="5506" xr:uid="{BA9D5057-023E-4B8F-A2EB-2C343CF56E11}"/>
    <cellStyle name="Migliaia 48 2 3 3" xfId="6688" xr:uid="{78BB7882-912F-4C9D-9563-DB64300C24F6}"/>
    <cellStyle name="Migliaia 48 2 4" xfId="5504" xr:uid="{643AE65E-EC19-4928-AA9D-32E5AA3C1274}"/>
    <cellStyle name="Migliaia 48 2 5" xfId="6686" xr:uid="{DA6EF1CF-B13B-4420-9C74-34694DEDEDB6}"/>
    <cellStyle name="Migliaia 48 2 6" xfId="3778" xr:uid="{00EF5211-487E-4A7D-B71D-62B98ED4D1D0}"/>
    <cellStyle name="Migliaia 48 3" xfId="471" xr:uid="{00000000-0005-0000-0000-00003C040000}"/>
    <cellStyle name="Migliaia 48 3 2" xfId="472" xr:uid="{00000000-0005-0000-0000-00003D040000}"/>
    <cellStyle name="Migliaia 48 3 2 2" xfId="1868" xr:uid="{00000000-0005-0000-0000-00003E040000}"/>
    <cellStyle name="Migliaia 48 3 2 2 2" xfId="5509" xr:uid="{AC7ED50C-0128-4CA4-89E0-F70F4FD41733}"/>
    <cellStyle name="Migliaia 48 3 2 2 3" xfId="6691" xr:uid="{DC76F674-9FC7-4B44-A8F0-EC3B3B69E631}"/>
    <cellStyle name="Migliaia 48 3 2 2 4" xfId="3783" xr:uid="{2F07C70B-EA86-474D-AC16-D8DEF1E3E3B9}"/>
    <cellStyle name="Migliaia 48 3 2 3" xfId="5508" xr:uid="{DB6A0758-D8D0-4739-B8FF-73BC2C69B6A3}"/>
    <cellStyle name="Migliaia 48 3 2 4" xfId="6690" xr:uid="{450F15B9-738A-4853-9C42-3284AD0A0193}"/>
    <cellStyle name="Migliaia 48 3 2 5" xfId="3782" xr:uid="{4AA643C6-73FD-4601-BAAF-AB97EA0EE2EE}"/>
    <cellStyle name="Migliaia 48 3 3" xfId="3784" xr:uid="{C74081EA-1D19-46DC-B806-49767859E545}"/>
    <cellStyle name="Migliaia 48 3 3 2" xfId="5510" xr:uid="{39CFEEF8-C86C-4A81-B443-88762A4AE44B}"/>
    <cellStyle name="Migliaia 48 3 3 3" xfId="6692" xr:uid="{AF1AD14A-AE50-4630-A229-9F0F396F30D8}"/>
    <cellStyle name="Migliaia 48 3 4" xfId="3785" xr:uid="{4847FAC4-0631-46AF-ADCD-401C2B28AF6D}"/>
    <cellStyle name="Migliaia 48 3 4 2" xfId="5511" xr:uid="{A8F58F4C-594A-463E-B524-886752F71768}"/>
    <cellStyle name="Migliaia 48 3 4 3" xfId="6693" xr:uid="{3087FD74-8AE7-4B3E-8131-DA762FF0E701}"/>
    <cellStyle name="Migliaia 48 3 5" xfId="3786" xr:uid="{68DF3283-8196-4DE0-A23E-0163C178D0FF}"/>
    <cellStyle name="Migliaia 48 3 5 2" xfId="5512" xr:uid="{D15ECDD6-20D1-4F4E-BE84-5B3A9629EA01}"/>
    <cellStyle name="Migliaia 48 3 5 3" xfId="6694" xr:uid="{372D6505-49C2-43C8-8F6B-0E0B786D6CE9}"/>
    <cellStyle name="Migliaia 48 3 6" xfId="5507" xr:uid="{AEA81241-B79B-4D67-ACB4-BE74D8BBD72C}"/>
    <cellStyle name="Migliaia 48 3 7" xfId="6689" xr:uid="{65A0DD9E-D934-48B0-9E79-7D59EBB52E88}"/>
    <cellStyle name="Migliaia 48 3 8" xfId="3781" xr:uid="{54C99EC7-1A21-41CB-B9D2-4922FEB3971F}"/>
    <cellStyle name="Migliaia 48 4" xfId="1869" xr:uid="{00000000-0005-0000-0000-00003F040000}"/>
    <cellStyle name="Migliaia 48 4 2" xfId="1870" xr:uid="{00000000-0005-0000-0000-000040040000}"/>
    <cellStyle name="Migliaia 48 4 2 2" xfId="5514" xr:uid="{AEB9DAD4-3907-46EA-B673-E6C58C2C56CC}"/>
    <cellStyle name="Migliaia 48 4 2 3" xfId="3788" xr:uid="{21864041-358F-4787-A0D0-CEBF4A88267F}"/>
    <cellStyle name="Migliaia 48 4 3" xfId="5513" xr:uid="{D0DE0E64-6928-447B-BFF8-913E4CB69654}"/>
    <cellStyle name="Migliaia 48 4 4" xfId="6695" xr:uid="{D7A7A348-6AA8-4B1C-985B-206A2DDBF0E5}"/>
    <cellStyle name="Migliaia 48 4 5" xfId="3787" xr:uid="{DCB3BB2B-D570-4C4D-9C7D-404AEB09421F}"/>
    <cellStyle name="Migliaia 48 5" xfId="1871" xr:uid="{00000000-0005-0000-0000-000041040000}"/>
    <cellStyle name="Migliaia 48 5 2" xfId="5515" xr:uid="{87CCBA65-76AE-4546-A10E-067202ABDBCD}"/>
    <cellStyle name="Migliaia 48 5 3" xfId="6696" xr:uid="{35ED1B91-CC29-48E0-B959-5DCE55C6E8D4}"/>
    <cellStyle name="Migliaia 48 5 4" xfId="3789" xr:uid="{E7E88798-A9FA-4AB5-BBE1-D8E55D93FAF6}"/>
    <cellStyle name="Migliaia 48 6" xfId="3790" xr:uid="{A50335F4-9147-45BE-AFF9-EFB3F1D643B8}"/>
    <cellStyle name="Migliaia 48 6 2" xfId="5516" xr:uid="{953A9F1D-C700-457D-8ED2-D6588F439E22}"/>
    <cellStyle name="Migliaia 48 6 3" xfId="6697" xr:uid="{1A306D7D-4DE1-4F4C-AB24-98A481D733E4}"/>
    <cellStyle name="Migliaia 48 7" xfId="3791" xr:uid="{2FABA8D4-0C29-44AF-948E-607CD9ADA7C4}"/>
    <cellStyle name="Migliaia 48 7 2" xfId="5517" xr:uid="{25700625-F857-42BC-B736-C3433CD70E9F}"/>
    <cellStyle name="Migliaia 48 7 3" xfId="6698" xr:uid="{DF904197-D8D6-46AB-8E80-438444B0B648}"/>
    <cellStyle name="Migliaia 48 8" xfId="3792" xr:uid="{D5117569-CCF8-4353-9502-AE4FB3C8EBEB}"/>
    <cellStyle name="Migliaia 48 8 2" xfId="5518" xr:uid="{28E51732-AC1C-42BE-9A44-1D5376DAF197}"/>
    <cellStyle name="Migliaia 48 8 3" xfId="6699" xr:uid="{274E9AED-2EAD-42DC-8377-05BA7B016936}"/>
    <cellStyle name="Migliaia 48 9" xfId="5503" xr:uid="{48022C8E-27DE-4119-B6ED-6ADBA780E501}"/>
    <cellStyle name="Migliaia 49" xfId="473" xr:uid="{00000000-0005-0000-0000-000042040000}"/>
    <cellStyle name="Migliaia 49 10" xfId="6700" xr:uid="{BB4905F9-BC9C-410C-9D22-59AC415F1409}"/>
    <cellStyle name="Migliaia 49 11" xfId="3793" xr:uid="{455D6FC7-1B5F-45F9-B4D2-66FCB40951BE}"/>
    <cellStyle name="Migliaia 49 2" xfId="474" xr:uid="{00000000-0005-0000-0000-000043040000}"/>
    <cellStyle name="Migliaia 49 2 2" xfId="1872" xr:uid="{00000000-0005-0000-0000-000044040000}"/>
    <cellStyle name="Migliaia 49 2 2 2" xfId="5521" xr:uid="{A9AFC466-633B-4806-8ADA-7AAB19C8CACA}"/>
    <cellStyle name="Migliaia 49 2 2 3" xfId="6702" xr:uid="{CC5D1ECA-727E-42D7-A867-9408DDFD9C67}"/>
    <cellStyle name="Migliaia 49 2 2 4" xfId="3795" xr:uid="{073E5CFD-8CB3-4413-ADA5-F0F20FCDE3CD}"/>
    <cellStyle name="Migliaia 49 2 3" xfId="3796" xr:uid="{82AA7E3A-8E9D-46B5-9D1D-DB8659C23E61}"/>
    <cellStyle name="Migliaia 49 2 3 2" xfId="5522" xr:uid="{6D41C37A-57FD-4D54-AF99-BFE61157C205}"/>
    <cellStyle name="Migliaia 49 2 3 3" xfId="6703" xr:uid="{F57C6B5F-5728-44A0-A22F-54EBF1F7EB8B}"/>
    <cellStyle name="Migliaia 49 2 4" xfId="5520" xr:uid="{2A9D3D26-29CF-431E-84C9-6DC5DE80668B}"/>
    <cellStyle name="Migliaia 49 2 5" xfId="6701" xr:uid="{DFAC791D-D784-4752-A78A-6620C3EC0010}"/>
    <cellStyle name="Migliaia 49 2 6" xfId="3794" xr:uid="{86284552-B9FE-4B43-9A77-42E376C094CB}"/>
    <cellStyle name="Migliaia 49 3" xfId="475" xr:uid="{00000000-0005-0000-0000-000045040000}"/>
    <cellStyle name="Migliaia 49 3 2" xfId="476" xr:uid="{00000000-0005-0000-0000-000046040000}"/>
    <cellStyle name="Migliaia 49 3 2 2" xfId="1873" xr:uid="{00000000-0005-0000-0000-000047040000}"/>
    <cellStyle name="Migliaia 49 3 2 2 2" xfId="5525" xr:uid="{53758397-6EC9-40C8-AB81-22EF54A51014}"/>
    <cellStyle name="Migliaia 49 3 2 2 3" xfId="6706" xr:uid="{2B7C1CB5-9EFC-4DDD-8BDB-E5B2D61DF1C3}"/>
    <cellStyle name="Migliaia 49 3 2 2 4" xfId="3799" xr:uid="{65F40D06-C0BC-4F9F-AF0F-158B383FA004}"/>
    <cellStyle name="Migliaia 49 3 2 3" xfId="5524" xr:uid="{364E6C59-73C5-43F2-AB88-9ABC33D57793}"/>
    <cellStyle name="Migliaia 49 3 2 4" xfId="6705" xr:uid="{32382014-9CC0-49BF-86D7-0DAA61B06E25}"/>
    <cellStyle name="Migliaia 49 3 2 5" xfId="3798" xr:uid="{AD7C1244-45FB-49F7-A444-523100B82F2F}"/>
    <cellStyle name="Migliaia 49 3 3" xfId="3800" xr:uid="{7AF4B83D-4624-45C3-8BC8-E5A5F5607F71}"/>
    <cellStyle name="Migliaia 49 3 3 2" xfId="5526" xr:uid="{65782560-CC9E-4D0A-B4F9-E2F178134124}"/>
    <cellStyle name="Migliaia 49 3 3 3" xfId="6707" xr:uid="{51C20236-45A2-4441-9922-39746BBFB2D1}"/>
    <cellStyle name="Migliaia 49 3 4" xfId="3801" xr:uid="{2419BAEE-6AA4-4408-8921-F67F4F8BC873}"/>
    <cellStyle name="Migliaia 49 3 4 2" xfId="5527" xr:uid="{FD40C6F9-764D-428D-AE27-32D22A2295DC}"/>
    <cellStyle name="Migliaia 49 3 4 3" xfId="6708" xr:uid="{B2628B23-C69E-4C31-A457-D4E0049F509D}"/>
    <cellStyle name="Migliaia 49 3 5" xfId="3802" xr:uid="{F10C7564-55D1-4C39-80E8-F25E2C4297C0}"/>
    <cellStyle name="Migliaia 49 3 5 2" xfId="5528" xr:uid="{272B0ACC-07E9-4FD7-B12E-BF70C17BA4FD}"/>
    <cellStyle name="Migliaia 49 3 5 3" xfId="6709" xr:uid="{E225E5D1-0F5B-44E5-A872-01E2777A0BC3}"/>
    <cellStyle name="Migliaia 49 3 6" xfId="5523" xr:uid="{C48D5032-6783-4B8B-9597-5B4E97349912}"/>
    <cellStyle name="Migliaia 49 3 7" xfId="6704" xr:uid="{7973CA98-CB3B-467E-A87E-692BAB0588FC}"/>
    <cellStyle name="Migliaia 49 3 8" xfId="3797" xr:uid="{2F000C90-CEB5-4F4B-8E44-567F74616F2F}"/>
    <cellStyle name="Migliaia 49 4" xfId="1874" xr:uid="{00000000-0005-0000-0000-000048040000}"/>
    <cellStyle name="Migliaia 49 4 2" xfId="1875" xr:uid="{00000000-0005-0000-0000-000049040000}"/>
    <cellStyle name="Migliaia 49 4 2 2" xfId="5530" xr:uid="{F9996BD8-A53B-4290-93E2-927AE598AE0C}"/>
    <cellStyle name="Migliaia 49 4 2 3" xfId="3804" xr:uid="{FFDF6696-8266-4CE5-9FC3-8E64F86A77A6}"/>
    <cellStyle name="Migliaia 49 4 3" xfId="5529" xr:uid="{B10BF2AF-AA1A-4DA4-8E4D-8D3686E3DCE0}"/>
    <cellStyle name="Migliaia 49 4 4" xfId="6710" xr:uid="{3D5412EF-D26C-4138-952C-1400769C8EA8}"/>
    <cellStyle name="Migliaia 49 4 5" xfId="3803" xr:uid="{B0141B7E-E089-433A-A74E-041688EC4FC1}"/>
    <cellStyle name="Migliaia 49 5" xfId="1876" xr:uid="{00000000-0005-0000-0000-00004A040000}"/>
    <cellStyle name="Migliaia 49 5 2" xfId="5531" xr:uid="{B6CB7350-2973-4FB9-97CE-9B28427B98FC}"/>
    <cellStyle name="Migliaia 49 5 3" xfId="6711" xr:uid="{F3A212A5-079C-4642-8B6B-EFD2F3CF4D01}"/>
    <cellStyle name="Migliaia 49 5 4" xfId="3805" xr:uid="{A6C57765-AC11-4650-96E8-5A6A76385E51}"/>
    <cellStyle name="Migliaia 49 6" xfId="3806" xr:uid="{B9BB8B28-43C5-42BD-BEF7-9E02554CA7D5}"/>
    <cellStyle name="Migliaia 49 6 2" xfId="5532" xr:uid="{4EE0CC1A-957A-4392-9115-1B6FFA41EA5D}"/>
    <cellStyle name="Migliaia 49 6 3" xfId="6712" xr:uid="{DAE40A19-7B96-4B23-9981-5DC2BAC010A2}"/>
    <cellStyle name="Migliaia 49 7" xfId="3807" xr:uid="{4468C6DB-D02F-4EC8-B05F-A095D13287AB}"/>
    <cellStyle name="Migliaia 49 7 2" xfId="5533" xr:uid="{8AA45AA5-A8ED-4DD6-A8F9-D8A947B656CB}"/>
    <cellStyle name="Migliaia 49 7 3" xfId="6713" xr:uid="{74DD8914-0605-4D98-A487-594388E11F9F}"/>
    <cellStyle name="Migliaia 49 8" xfId="3808" xr:uid="{15EE6375-2F2F-421D-AD09-C145716C4224}"/>
    <cellStyle name="Migliaia 49 8 2" xfId="5534" xr:uid="{F593E36D-F2A4-4812-B195-6A107445F818}"/>
    <cellStyle name="Migliaia 49 8 3" xfId="6714" xr:uid="{A5782382-01E0-4985-879F-9D32FD4005F7}"/>
    <cellStyle name="Migliaia 49 9" xfId="5519" xr:uid="{D3569D0B-9FB4-4FF5-9949-3F597449754D}"/>
    <cellStyle name="Migliaia 5" xfId="477" xr:uid="{00000000-0005-0000-0000-00004B040000}"/>
    <cellStyle name="Migliaia 5 10" xfId="6715" xr:uid="{AD76C527-5B80-44C2-BDBE-5491B84CC103}"/>
    <cellStyle name="Migliaia 5 11" xfId="3809" xr:uid="{924B5315-42D7-4D27-B17E-B9EA06A9402D}"/>
    <cellStyle name="Migliaia 5 2" xfId="478" xr:uid="{00000000-0005-0000-0000-00004C040000}"/>
    <cellStyle name="Migliaia 5 2 2" xfId="1877" xr:uid="{00000000-0005-0000-0000-00004D040000}"/>
    <cellStyle name="Migliaia 5 2 2 2" xfId="5537" xr:uid="{4E97F7C5-F444-4F14-9BCE-B34A6DA47276}"/>
    <cellStyle name="Migliaia 5 2 2 3" xfId="6717" xr:uid="{7DAE6998-7C0B-408C-B682-F2CF68CF32F2}"/>
    <cellStyle name="Migliaia 5 2 2 4" xfId="3811" xr:uid="{6FDE6C22-9DCC-432E-A8A6-DC85EF377E28}"/>
    <cellStyle name="Migliaia 5 2 3" xfId="3812" xr:uid="{43E0B9DF-A9D3-4004-9992-B3196A6235F3}"/>
    <cellStyle name="Migliaia 5 2 3 2" xfId="5538" xr:uid="{B8164968-F388-4E2C-9992-F9D8CA4716A1}"/>
    <cellStyle name="Migliaia 5 2 3 3" xfId="6718" xr:uid="{477FA175-A307-4D31-A839-E2818BBCD462}"/>
    <cellStyle name="Migliaia 5 2 4" xfId="5536" xr:uid="{13C3A97E-146A-4D56-8169-AA12BA64623E}"/>
    <cellStyle name="Migliaia 5 2 5" xfId="6716" xr:uid="{42BA3A54-2731-47E2-A3E6-AA8C47E35474}"/>
    <cellStyle name="Migliaia 5 2 6" xfId="3810" xr:uid="{FB04150B-0427-440A-9E74-3ADCAA9301F2}"/>
    <cellStyle name="Migliaia 5 3" xfId="479" xr:uid="{00000000-0005-0000-0000-00004E040000}"/>
    <cellStyle name="Migliaia 5 3 2" xfId="480" xr:uid="{00000000-0005-0000-0000-00004F040000}"/>
    <cellStyle name="Migliaia 5 3 2 2" xfId="1878" xr:uid="{00000000-0005-0000-0000-000050040000}"/>
    <cellStyle name="Migliaia 5 3 2 2 2" xfId="5541" xr:uid="{E18F2D7E-A3AB-4817-9DDE-AB43A7E66C96}"/>
    <cellStyle name="Migliaia 5 3 2 2 3" xfId="6721" xr:uid="{D644B5D6-12A5-499A-96C0-9609CECB7DFE}"/>
    <cellStyle name="Migliaia 5 3 2 2 4" xfId="3815" xr:uid="{8674B428-DF2D-4E98-AB27-52A9F087ED95}"/>
    <cellStyle name="Migliaia 5 3 2 3" xfId="5540" xr:uid="{E405FDFE-4BAD-4A22-B470-6A60EB205CA7}"/>
    <cellStyle name="Migliaia 5 3 2 4" xfId="6720" xr:uid="{6F839173-E108-484A-B421-E1833EBC154B}"/>
    <cellStyle name="Migliaia 5 3 2 5" xfId="3814" xr:uid="{FC0D35F5-FB78-4338-8C42-628CF3F20AB3}"/>
    <cellStyle name="Migliaia 5 3 3" xfId="3816" xr:uid="{A9FDEA38-5F1E-48CB-8E30-67560893E707}"/>
    <cellStyle name="Migliaia 5 3 3 2" xfId="5542" xr:uid="{8F0CE5DE-B6FF-4335-B0B8-66728B524739}"/>
    <cellStyle name="Migliaia 5 3 3 3" xfId="6722" xr:uid="{6A95519A-173B-4A08-8225-AE2E136C0D06}"/>
    <cellStyle name="Migliaia 5 3 4" xfId="3817" xr:uid="{93244E45-3500-4C7A-A1AA-A88B4B364CBB}"/>
    <cellStyle name="Migliaia 5 3 4 2" xfId="5543" xr:uid="{4554231B-24DA-42FA-9CE7-0BA3CE539CD8}"/>
    <cellStyle name="Migliaia 5 3 4 3" xfId="6723" xr:uid="{A909F13F-5F56-46DF-9EE4-58FC9D6497AF}"/>
    <cellStyle name="Migliaia 5 3 5" xfId="3818" xr:uid="{E1B9C5C9-706F-4AB4-93DD-6EBF8D7F9DBF}"/>
    <cellStyle name="Migliaia 5 3 5 2" xfId="5544" xr:uid="{8781A64A-5D57-48B3-8371-3A6873440D32}"/>
    <cellStyle name="Migliaia 5 3 5 3" xfId="6724" xr:uid="{C78D0715-5A68-4C8E-98F0-10A95C27698E}"/>
    <cellStyle name="Migliaia 5 3 6" xfId="5539" xr:uid="{702EAA1D-238A-4614-8CDF-00AFA46C4C2E}"/>
    <cellStyle name="Migliaia 5 3 7" xfId="6719" xr:uid="{7504247B-5B92-4CCB-AE5E-075C4006CEDE}"/>
    <cellStyle name="Migliaia 5 3 8" xfId="3813" xr:uid="{023F59AE-9885-4B4C-9EFD-1579A61659BF}"/>
    <cellStyle name="Migliaia 5 4" xfId="1879" xr:uid="{00000000-0005-0000-0000-000051040000}"/>
    <cellStyle name="Migliaia 5 4 2" xfId="1880" xr:uid="{00000000-0005-0000-0000-000052040000}"/>
    <cellStyle name="Migliaia 5 4 2 2" xfId="5546" xr:uid="{0167749C-44DC-4E9D-A530-BD9B865A70E1}"/>
    <cellStyle name="Migliaia 5 4 2 3" xfId="3820" xr:uid="{2055642A-EE01-41F6-9ACF-9B57EA4C314C}"/>
    <cellStyle name="Migliaia 5 4 3" xfId="5545" xr:uid="{28873FEF-A138-476C-8494-7DB887C20B08}"/>
    <cellStyle name="Migliaia 5 4 4" xfId="6725" xr:uid="{0530E6AF-86F4-4AB3-ADE1-8ABC895C8FE0}"/>
    <cellStyle name="Migliaia 5 4 5" xfId="3819" xr:uid="{DE259583-13F6-4785-B48D-3749074649A2}"/>
    <cellStyle name="Migliaia 5 5" xfId="1881" xr:uid="{00000000-0005-0000-0000-000053040000}"/>
    <cellStyle name="Migliaia 5 5 2" xfId="5547" xr:uid="{A3C92435-0753-4229-86D3-D003802E8B94}"/>
    <cellStyle name="Migliaia 5 5 3" xfId="6726" xr:uid="{73ED6986-017D-4A07-9812-B2DBF10FE10F}"/>
    <cellStyle name="Migliaia 5 5 4" xfId="3821" xr:uid="{AD3C3143-4292-4071-8393-832E4CA01768}"/>
    <cellStyle name="Migliaia 5 6" xfId="3822" xr:uid="{CE1128FF-0D85-442E-9973-298B89165B4A}"/>
    <cellStyle name="Migliaia 5 6 2" xfId="5548" xr:uid="{81AC2B4E-3750-4111-B38B-86D77C12DFB3}"/>
    <cellStyle name="Migliaia 5 6 3" xfId="6727" xr:uid="{99C53AF2-D058-4BA6-94FE-4145134FB039}"/>
    <cellStyle name="Migliaia 5 7" xfId="3823" xr:uid="{7961EA66-A6B4-405A-B106-2843D4B1AD3F}"/>
    <cellStyle name="Migliaia 5 7 2" xfId="5549" xr:uid="{5691E667-E1E9-4312-9C77-50F4CAE58B42}"/>
    <cellStyle name="Migliaia 5 7 3" xfId="6728" xr:uid="{129E5703-D28C-4465-A944-AEBF33E8C04D}"/>
    <cellStyle name="Migliaia 5 8" xfId="3824" xr:uid="{D0A3D77F-4B84-4DB4-AA41-9B697CA2AE02}"/>
    <cellStyle name="Migliaia 5 8 2" xfId="5550" xr:uid="{62E944AA-BF42-482D-AE25-7B56A058083A}"/>
    <cellStyle name="Migliaia 5 8 3" xfId="6729" xr:uid="{EE294F82-CD30-4E58-B51B-7CCD2E6991F4}"/>
    <cellStyle name="Migliaia 5 9" xfId="5535" xr:uid="{12662844-185E-4B71-B45E-27291F21D528}"/>
    <cellStyle name="Migliaia 50" xfId="481" xr:uid="{00000000-0005-0000-0000-000054040000}"/>
    <cellStyle name="Migliaia 50 10" xfId="6730" xr:uid="{052FC603-D84D-4F4D-BE55-B5DD14B44695}"/>
    <cellStyle name="Migliaia 50 11" xfId="3825" xr:uid="{9194D318-F10F-4F49-BABD-EB9451D83A6C}"/>
    <cellStyle name="Migliaia 50 2" xfId="482" xr:uid="{00000000-0005-0000-0000-000055040000}"/>
    <cellStyle name="Migliaia 50 2 2" xfId="1882" xr:uid="{00000000-0005-0000-0000-000056040000}"/>
    <cellStyle name="Migliaia 50 2 2 2" xfId="5553" xr:uid="{B83964E4-AD91-47C3-A227-E66AA3CB4163}"/>
    <cellStyle name="Migliaia 50 2 2 3" xfId="6732" xr:uid="{21659E38-682F-4D1A-9EEE-0E257D2179BF}"/>
    <cellStyle name="Migliaia 50 2 2 4" xfId="3827" xr:uid="{AC041363-C6D6-4287-8909-82CF016A2150}"/>
    <cellStyle name="Migliaia 50 2 3" xfId="3828" xr:uid="{02174822-0FCF-479A-B155-C55555097B84}"/>
    <cellStyle name="Migliaia 50 2 3 2" xfId="5554" xr:uid="{78A044AF-D18F-4777-A6D3-95AA7EF59786}"/>
    <cellStyle name="Migliaia 50 2 3 3" xfId="6733" xr:uid="{8B83B2CE-6689-4747-8B42-969BB066F1F8}"/>
    <cellStyle name="Migliaia 50 2 4" xfId="5552" xr:uid="{F2C26353-A5B3-447F-945E-395C4FB3BF14}"/>
    <cellStyle name="Migliaia 50 2 5" xfId="6731" xr:uid="{2F450306-4C8D-4EA9-9E55-98CD6E7D5AC1}"/>
    <cellStyle name="Migliaia 50 2 6" xfId="3826" xr:uid="{0786225E-232F-42B6-93C1-8F1439FE2E8B}"/>
    <cellStyle name="Migliaia 50 3" xfId="483" xr:uid="{00000000-0005-0000-0000-000057040000}"/>
    <cellStyle name="Migliaia 50 3 2" xfId="484" xr:uid="{00000000-0005-0000-0000-000058040000}"/>
    <cellStyle name="Migliaia 50 3 2 2" xfId="1883" xr:uid="{00000000-0005-0000-0000-000059040000}"/>
    <cellStyle name="Migliaia 50 3 2 2 2" xfId="5557" xr:uid="{0A4540D2-E20A-4B29-A1DB-F1542F602C60}"/>
    <cellStyle name="Migliaia 50 3 2 2 3" xfId="6736" xr:uid="{8ABF46CF-7632-4D0D-9971-1D223D1A690C}"/>
    <cellStyle name="Migliaia 50 3 2 2 4" xfId="3831" xr:uid="{6784C0D1-43B7-47C0-B8D5-6AD9D843F429}"/>
    <cellStyle name="Migliaia 50 3 2 3" xfId="5556" xr:uid="{051B4B79-92B7-448B-974A-27AD6318645F}"/>
    <cellStyle name="Migliaia 50 3 2 4" xfId="6735" xr:uid="{4E6208E2-3F4D-4BE5-9F5F-29FCA93B8E56}"/>
    <cellStyle name="Migliaia 50 3 2 5" xfId="3830" xr:uid="{CA51B2F2-2E1B-4253-BB52-F1E5AEE21BE5}"/>
    <cellStyle name="Migliaia 50 3 3" xfId="3832" xr:uid="{4C8B61BA-D09D-42D3-9679-536B38FB3434}"/>
    <cellStyle name="Migliaia 50 3 3 2" xfId="5558" xr:uid="{76CD6033-7917-4A32-ABB4-D12E3F0AF4CA}"/>
    <cellStyle name="Migliaia 50 3 3 3" xfId="6737" xr:uid="{16AAEDFD-5899-48D1-BF2C-C3F8A611EBC4}"/>
    <cellStyle name="Migliaia 50 3 4" xfId="3833" xr:uid="{61630A4C-D7F4-4D6D-AC7E-AF5000F1BD89}"/>
    <cellStyle name="Migliaia 50 3 4 2" xfId="5559" xr:uid="{6DF363F7-F0A6-4676-A7B2-757510CAED98}"/>
    <cellStyle name="Migliaia 50 3 4 3" xfId="6738" xr:uid="{432D1E88-4C6B-4ADB-B6B1-C8BABA3DBF19}"/>
    <cellStyle name="Migliaia 50 3 5" xfId="3834" xr:uid="{53F95984-E938-4B29-B1BB-A0351A3403EC}"/>
    <cellStyle name="Migliaia 50 3 5 2" xfId="5560" xr:uid="{5E29E62A-A1BF-4A0A-BDFD-18F65BFA4552}"/>
    <cellStyle name="Migliaia 50 3 5 3" xfId="6739" xr:uid="{6E33159D-382B-47EE-9213-7FD76751C414}"/>
    <cellStyle name="Migliaia 50 3 6" xfId="5555" xr:uid="{A382329F-F97D-49FC-8327-772E5B22ED8C}"/>
    <cellStyle name="Migliaia 50 3 7" xfId="6734" xr:uid="{62BD617F-CDE4-42C2-982B-57BE0EB632B4}"/>
    <cellStyle name="Migliaia 50 3 8" xfId="3829" xr:uid="{171A1F20-4986-4F0F-89D7-ED14B0C5F035}"/>
    <cellStyle name="Migliaia 50 4" xfId="1884" xr:uid="{00000000-0005-0000-0000-00005A040000}"/>
    <cellStyle name="Migliaia 50 4 2" xfId="1885" xr:uid="{00000000-0005-0000-0000-00005B040000}"/>
    <cellStyle name="Migliaia 50 4 2 2" xfId="5562" xr:uid="{0F6E3954-129E-48FB-8B7B-2A818B143147}"/>
    <cellStyle name="Migliaia 50 4 2 3" xfId="3836" xr:uid="{9B14D4BA-0C34-4CC9-BBCD-3D4DD522230C}"/>
    <cellStyle name="Migliaia 50 4 3" xfId="5561" xr:uid="{C4AD7F81-7CA9-41B1-93BF-C5AD3BE44A35}"/>
    <cellStyle name="Migliaia 50 4 4" xfId="6740" xr:uid="{C0B22001-1E00-4F3B-B4F5-9E832502C432}"/>
    <cellStyle name="Migliaia 50 4 5" xfId="3835" xr:uid="{BBCE4333-9F34-4C47-8868-73E9F07581E4}"/>
    <cellStyle name="Migliaia 50 5" xfId="1886" xr:uid="{00000000-0005-0000-0000-00005C040000}"/>
    <cellStyle name="Migliaia 50 5 2" xfId="5563" xr:uid="{9CE24454-31A6-4FA8-9C79-DEBD9FE6E401}"/>
    <cellStyle name="Migliaia 50 5 3" xfId="6741" xr:uid="{D6DDAC44-3120-4FA6-8DCA-9EEBC15692D7}"/>
    <cellStyle name="Migliaia 50 5 4" xfId="3837" xr:uid="{C7B93756-9009-454D-8D86-9D6E1C5E426D}"/>
    <cellStyle name="Migliaia 50 6" xfId="3838" xr:uid="{A371CFB9-2028-437F-B4EA-9C7804A49ED6}"/>
    <cellStyle name="Migliaia 50 6 2" xfId="5564" xr:uid="{20BA3BFE-3478-41C1-BD2B-2EB4B64F64F5}"/>
    <cellStyle name="Migliaia 50 6 3" xfId="6742" xr:uid="{821DA7F8-1DB0-439C-8CE9-6A0DC2D46436}"/>
    <cellStyle name="Migliaia 50 7" xfId="3839" xr:uid="{80CD9E38-1608-4D63-AF43-9629E0C03EEE}"/>
    <cellStyle name="Migliaia 50 7 2" xfId="5565" xr:uid="{4BECC92C-1125-4FF3-BAAB-7520683DCD9B}"/>
    <cellStyle name="Migliaia 50 7 3" xfId="6743" xr:uid="{2DDFB624-42A8-4612-BD61-45F774755535}"/>
    <cellStyle name="Migliaia 50 8" xfId="3840" xr:uid="{33E97BBD-C1BF-45AD-89BB-CB5D003145DC}"/>
    <cellStyle name="Migliaia 50 8 2" xfId="5566" xr:uid="{F2200D22-0E42-4820-8404-E386BE09584B}"/>
    <cellStyle name="Migliaia 50 8 3" xfId="6744" xr:uid="{E4ED31A0-E29E-4DE4-9054-37DE1F282765}"/>
    <cellStyle name="Migliaia 50 9" xfId="5551" xr:uid="{DBDDFA74-FB76-4FFA-A808-B56318FDC025}"/>
    <cellStyle name="Migliaia 51" xfId="485" xr:uid="{00000000-0005-0000-0000-00005D040000}"/>
    <cellStyle name="Migliaia 51 10" xfId="6745" xr:uid="{AACC4D75-CF7A-4BE3-A08B-DACE5A0D9604}"/>
    <cellStyle name="Migliaia 51 11" xfId="3841" xr:uid="{618DEF42-A21C-46FC-A76E-9C41CAE26608}"/>
    <cellStyle name="Migliaia 51 2" xfId="486" xr:uid="{00000000-0005-0000-0000-00005E040000}"/>
    <cellStyle name="Migliaia 51 2 2" xfId="1887" xr:uid="{00000000-0005-0000-0000-00005F040000}"/>
    <cellStyle name="Migliaia 51 2 2 2" xfId="5569" xr:uid="{65A01FB0-C034-4D03-ADF2-21145A5E0CF0}"/>
    <cellStyle name="Migliaia 51 2 2 3" xfId="6747" xr:uid="{5139F08B-47AA-4BAE-B41F-1DE4436E5FA6}"/>
    <cellStyle name="Migliaia 51 2 2 4" xfId="3843" xr:uid="{4C940DD2-A32A-4052-A1A9-0B7253505CA9}"/>
    <cellStyle name="Migliaia 51 2 3" xfId="3844" xr:uid="{AAC52EA7-8BB9-440D-8EDA-BFF1B24C4178}"/>
    <cellStyle name="Migliaia 51 2 3 2" xfId="5570" xr:uid="{4411E18C-E0C7-4640-A93E-348004503912}"/>
    <cellStyle name="Migliaia 51 2 3 3" xfId="6748" xr:uid="{AD2512A3-CBC3-4EB8-B80F-1B1F365D37AD}"/>
    <cellStyle name="Migliaia 51 2 4" xfId="5568" xr:uid="{B72E00B5-6BEA-423C-9227-B50B9B1E3B60}"/>
    <cellStyle name="Migliaia 51 2 5" xfId="6746" xr:uid="{5832C5BB-A2D4-40C7-A2E6-1A664E518E31}"/>
    <cellStyle name="Migliaia 51 2 6" xfId="3842" xr:uid="{A475D162-7F50-45B2-B159-C5966420D600}"/>
    <cellStyle name="Migliaia 51 3" xfId="487" xr:uid="{00000000-0005-0000-0000-000060040000}"/>
    <cellStyle name="Migliaia 51 3 2" xfId="488" xr:uid="{00000000-0005-0000-0000-000061040000}"/>
    <cellStyle name="Migliaia 51 3 2 2" xfId="1888" xr:uid="{00000000-0005-0000-0000-000062040000}"/>
    <cellStyle name="Migliaia 51 3 2 2 2" xfId="5573" xr:uid="{C9D4FC38-94E1-4E0F-8E01-E7394383E78D}"/>
    <cellStyle name="Migliaia 51 3 2 2 3" xfId="6751" xr:uid="{ABFC92A4-0C1C-4C8E-AE41-1EE37D87AF60}"/>
    <cellStyle name="Migliaia 51 3 2 2 4" xfId="3847" xr:uid="{E0D450B9-DAF9-49E0-9A5E-93CCC4970CF0}"/>
    <cellStyle name="Migliaia 51 3 2 3" xfId="5572" xr:uid="{5468F957-723F-49C9-8B21-5319CD9B3813}"/>
    <cellStyle name="Migliaia 51 3 2 4" xfId="6750" xr:uid="{3FB4E0F9-19D5-422A-9F28-9D61ED2A5680}"/>
    <cellStyle name="Migliaia 51 3 2 5" xfId="3846" xr:uid="{6AF79E83-0B69-48F2-877E-233B9CB08D66}"/>
    <cellStyle name="Migliaia 51 3 3" xfId="3848" xr:uid="{F95EDA76-92EB-45F1-95CF-B369510ED1A3}"/>
    <cellStyle name="Migliaia 51 3 3 2" xfId="5574" xr:uid="{8832C0C3-B99F-4792-90F1-44F323CACD69}"/>
    <cellStyle name="Migliaia 51 3 3 3" xfId="6752" xr:uid="{A24C6DE4-2606-4764-8B70-6D906A498FD6}"/>
    <cellStyle name="Migliaia 51 3 4" xfId="3849" xr:uid="{EE0B44F8-EB5A-44B9-A26F-5F0B1B85E61A}"/>
    <cellStyle name="Migliaia 51 3 4 2" xfId="5575" xr:uid="{35A4ACEE-D015-4CB5-B468-D5B5696FFDCF}"/>
    <cellStyle name="Migliaia 51 3 4 3" xfId="6753" xr:uid="{53D5B2D1-6A78-4314-A5DC-BE623023CB11}"/>
    <cellStyle name="Migliaia 51 3 5" xfId="3850" xr:uid="{5ADA7F42-8A78-40BE-9AF7-D55388D481CE}"/>
    <cellStyle name="Migliaia 51 3 5 2" xfId="5576" xr:uid="{8E840EBA-D277-4909-9E47-C263F89822F2}"/>
    <cellStyle name="Migliaia 51 3 5 3" xfId="6754" xr:uid="{D1B0A480-40D4-46B1-B85D-4A6267E8401E}"/>
    <cellStyle name="Migliaia 51 3 6" xfId="5571" xr:uid="{625C77C9-166B-497C-B063-E8F85BB936DC}"/>
    <cellStyle name="Migliaia 51 3 7" xfId="6749" xr:uid="{393AFC89-CFB9-4C48-A486-C73E49E36684}"/>
    <cellStyle name="Migliaia 51 3 8" xfId="3845" xr:uid="{1C60F52E-5FBF-4613-94A9-48448D399308}"/>
    <cellStyle name="Migliaia 51 4" xfId="1889" xr:uid="{00000000-0005-0000-0000-000063040000}"/>
    <cellStyle name="Migliaia 51 4 2" xfId="1890" xr:uid="{00000000-0005-0000-0000-000064040000}"/>
    <cellStyle name="Migliaia 51 4 2 2" xfId="5578" xr:uid="{75FA0004-DE90-407B-93B6-2F250AF634BD}"/>
    <cellStyle name="Migliaia 51 4 2 3" xfId="3852" xr:uid="{8C651A77-98CE-488E-A6D9-8D4AF767DA35}"/>
    <cellStyle name="Migliaia 51 4 3" xfId="5577" xr:uid="{AC0D6A30-F049-43FB-8C5C-60674D8A342A}"/>
    <cellStyle name="Migliaia 51 4 4" xfId="6755" xr:uid="{8627033C-CEA5-4BE9-8875-4B6C1A37899A}"/>
    <cellStyle name="Migliaia 51 4 5" xfId="3851" xr:uid="{F8755A77-E664-4A3A-91F3-384017DD3BBA}"/>
    <cellStyle name="Migliaia 51 5" xfId="1891" xr:uid="{00000000-0005-0000-0000-000065040000}"/>
    <cellStyle name="Migliaia 51 5 2" xfId="5579" xr:uid="{1EAF9CB0-5795-4A4C-AD74-6A03A80E7E52}"/>
    <cellStyle name="Migliaia 51 5 3" xfId="6756" xr:uid="{4F366AE7-23DC-4EC1-A0B8-35CBDDF39021}"/>
    <cellStyle name="Migliaia 51 5 4" xfId="3853" xr:uid="{F3CED710-64AB-43B8-AB4E-32D7E1BE0406}"/>
    <cellStyle name="Migliaia 51 6" xfId="3854" xr:uid="{1E301903-4C53-4992-902D-1F017D8456EA}"/>
    <cellStyle name="Migliaia 51 6 2" xfId="5580" xr:uid="{DBD49CC6-48A0-43EA-9527-003717943D06}"/>
    <cellStyle name="Migliaia 51 6 3" xfId="6757" xr:uid="{C5903F44-3F9D-4364-BA79-928A1B73295E}"/>
    <cellStyle name="Migliaia 51 7" xfId="3855" xr:uid="{520D5A07-1EFC-479D-A533-1AC2ED4B7D25}"/>
    <cellStyle name="Migliaia 51 7 2" xfId="5581" xr:uid="{C4D596D4-D510-4FD7-814C-BA6103B678ED}"/>
    <cellStyle name="Migliaia 51 7 3" xfId="6758" xr:uid="{7B4EE3F6-4C65-4210-8D52-D1EB6F83B1CC}"/>
    <cellStyle name="Migliaia 51 8" xfId="3856" xr:uid="{C31A8808-7EAB-4B89-9D5F-2BF47CE2C33E}"/>
    <cellStyle name="Migliaia 51 8 2" xfId="5582" xr:uid="{9381D578-0D5D-4059-9F47-B5136990127D}"/>
    <cellStyle name="Migliaia 51 8 3" xfId="6759" xr:uid="{0BBBB5C8-EE7A-4F1F-B5D7-39DD60FB227B}"/>
    <cellStyle name="Migliaia 51 9" xfId="5567" xr:uid="{AF09C562-BEDB-48C3-9A46-E255101142D0}"/>
    <cellStyle name="Migliaia 52" xfId="489" xr:uid="{00000000-0005-0000-0000-000066040000}"/>
    <cellStyle name="Migliaia 52 10" xfId="6760" xr:uid="{4F8F202B-9165-4708-81AA-0BA46E17474D}"/>
    <cellStyle name="Migliaia 52 11" xfId="3857" xr:uid="{4A3D0EA7-7816-471C-8713-4FB2392E468B}"/>
    <cellStyle name="Migliaia 52 2" xfId="490" xr:uid="{00000000-0005-0000-0000-000067040000}"/>
    <cellStyle name="Migliaia 52 2 2" xfId="1892" xr:uid="{00000000-0005-0000-0000-000068040000}"/>
    <cellStyle name="Migliaia 52 2 2 2" xfId="5585" xr:uid="{496893FF-52B0-4DD3-AF8D-FA52BCEF7B15}"/>
    <cellStyle name="Migliaia 52 2 2 3" xfId="6762" xr:uid="{357F043A-58EB-4BD6-A784-71A66B55E9A5}"/>
    <cellStyle name="Migliaia 52 2 2 4" xfId="3859" xr:uid="{0A121CDE-6712-404B-A7CF-7CD3DC628249}"/>
    <cellStyle name="Migliaia 52 2 3" xfId="3860" xr:uid="{9E30C25D-FD46-45E8-BE3C-727C55A3E0DC}"/>
    <cellStyle name="Migliaia 52 2 3 2" xfId="5586" xr:uid="{FFA8988A-63A5-480D-A2AB-5CDAED2487C8}"/>
    <cellStyle name="Migliaia 52 2 3 3" xfId="6763" xr:uid="{29C53278-71B7-4716-8049-33E239F57BCC}"/>
    <cellStyle name="Migliaia 52 2 4" xfId="5584" xr:uid="{9C7978A9-07A9-4F15-BEC7-964F570630A6}"/>
    <cellStyle name="Migliaia 52 2 5" xfId="6761" xr:uid="{34F150B4-839B-47A1-A13F-D074B998E071}"/>
    <cellStyle name="Migliaia 52 2 6" xfId="3858" xr:uid="{3A93DF82-25CE-4B62-ABB2-82D59B213E19}"/>
    <cellStyle name="Migliaia 52 3" xfId="491" xr:uid="{00000000-0005-0000-0000-000069040000}"/>
    <cellStyle name="Migliaia 52 3 2" xfId="492" xr:uid="{00000000-0005-0000-0000-00006A040000}"/>
    <cellStyle name="Migliaia 52 3 2 2" xfId="1893" xr:uid="{00000000-0005-0000-0000-00006B040000}"/>
    <cellStyle name="Migliaia 52 3 2 2 2" xfId="5589" xr:uid="{E353D501-58C2-4D0F-AE81-27D244064494}"/>
    <cellStyle name="Migliaia 52 3 2 2 3" xfId="6766" xr:uid="{4561DE48-8E04-45C2-8DE5-AE858B53D6F1}"/>
    <cellStyle name="Migliaia 52 3 2 2 4" xfId="3863" xr:uid="{041F1779-E0A9-456C-8B6E-57005D93D80C}"/>
    <cellStyle name="Migliaia 52 3 2 3" xfId="5588" xr:uid="{081C7DD0-E4A1-47A2-B1BD-493DD876A11E}"/>
    <cellStyle name="Migliaia 52 3 2 4" xfId="6765" xr:uid="{A2E23FA7-B29F-4317-ADFB-33E97CBC492D}"/>
    <cellStyle name="Migliaia 52 3 2 5" xfId="3862" xr:uid="{8B9B85AC-6B53-42A1-82F7-7C6DFB633BC7}"/>
    <cellStyle name="Migliaia 52 3 3" xfId="3864" xr:uid="{6B2BD9B4-5E99-4599-95CB-CA486B0886D7}"/>
    <cellStyle name="Migliaia 52 3 3 2" xfId="5590" xr:uid="{D553F11B-0000-44DC-9547-B349460B67F1}"/>
    <cellStyle name="Migliaia 52 3 3 3" xfId="6767" xr:uid="{1AAAE1AC-8E92-4BBE-B3E3-E069B500621D}"/>
    <cellStyle name="Migliaia 52 3 4" xfId="3865" xr:uid="{2E8FC73C-531C-4FC1-BBA3-B040D56697A6}"/>
    <cellStyle name="Migliaia 52 3 4 2" xfId="5591" xr:uid="{1C43779B-969B-4779-B238-F1DA6CCDAE8F}"/>
    <cellStyle name="Migliaia 52 3 4 3" xfId="6768" xr:uid="{1506BA68-84DB-49CE-9E0A-EA4D121F0F0A}"/>
    <cellStyle name="Migliaia 52 3 5" xfId="3866" xr:uid="{DB680883-2EC2-4686-BE19-C23065AADDCE}"/>
    <cellStyle name="Migliaia 52 3 5 2" xfId="5592" xr:uid="{6AE6EE50-DFBA-46EC-A7EE-1A995FA5BCEC}"/>
    <cellStyle name="Migliaia 52 3 5 3" xfId="6769" xr:uid="{4BD6F40A-F44E-472A-9394-BEF1AAC42170}"/>
    <cellStyle name="Migliaia 52 3 6" xfId="5587" xr:uid="{ACDC8639-7892-4486-9A58-DF50016D9B40}"/>
    <cellStyle name="Migliaia 52 3 7" xfId="6764" xr:uid="{67C174ED-B3F8-420F-A73F-4702FAE67348}"/>
    <cellStyle name="Migliaia 52 3 8" xfId="3861" xr:uid="{B2A29D56-E03C-42FA-9B73-33F1C6701030}"/>
    <cellStyle name="Migliaia 52 4" xfId="1894" xr:uid="{00000000-0005-0000-0000-00006C040000}"/>
    <cellStyle name="Migliaia 52 4 2" xfId="1895" xr:uid="{00000000-0005-0000-0000-00006D040000}"/>
    <cellStyle name="Migliaia 52 4 2 2" xfId="5594" xr:uid="{6C6C9FDF-B115-493C-8708-6F2DB120344D}"/>
    <cellStyle name="Migliaia 52 4 2 3" xfId="3868" xr:uid="{E74A678A-13CD-4343-9ACA-8FC9ABCE00FF}"/>
    <cellStyle name="Migliaia 52 4 3" xfId="5593" xr:uid="{64069470-4AF6-4A31-8FD4-9CA09ED15DC0}"/>
    <cellStyle name="Migliaia 52 4 4" xfId="6770" xr:uid="{81E0A9BA-6FA1-4775-8D03-0CA461993283}"/>
    <cellStyle name="Migliaia 52 4 5" xfId="3867" xr:uid="{0DAE8909-C240-44F2-8D5A-84163F08E9F6}"/>
    <cellStyle name="Migliaia 52 5" xfId="1896" xr:uid="{00000000-0005-0000-0000-00006E040000}"/>
    <cellStyle name="Migliaia 52 5 2" xfId="5595" xr:uid="{AB4021E3-902E-452A-AE4C-E93BF6E94F71}"/>
    <cellStyle name="Migliaia 52 5 3" xfId="6771" xr:uid="{D943F761-B4C9-4444-97F5-3399F4390E6E}"/>
    <cellStyle name="Migliaia 52 5 4" xfId="3869" xr:uid="{65FE5126-4CBF-4510-9CD4-D12C4C8C3A2A}"/>
    <cellStyle name="Migliaia 52 6" xfId="3870" xr:uid="{4D3AF9B1-0040-4E20-94C8-D18B5F0D3743}"/>
    <cellStyle name="Migliaia 52 6 2" xfId="5596" xr:uid="{8A2C2F60-7FB5-4288-8CCB-6835811F5EBB}"/>
    <cellStyle name="Migliaia 52 6 3" xfId="6772" xr:uid="{686B1AA2-4A21-4FCA-9846-5C701B54893D}"/>
    <cellStyle name="Migliaia 52 7" xfId="3871" xr:uid="{A9376C20-2A9D-48BF-A68E-D3155CE143D7}"/>
    <cellStyle name="Migliaia 52 7 2" xfId="5597" xr:uid="{2D8E491C-E4DA-4296-B25E-E55173329DA6}"/>
    <cellStyle name="Migliaia 52 7 3" xfId="6773" xr:uid="{EDE04637-5F84-48CE-A355-DB60D39184ED}"/>
    <cellStyle name="Migliaia 52 8" xfId="3872" xr:uid="{CDF16066-9FBF-400C-9E0C-859C512F7701}"/>
    <cellStyle name="Migliaia 52 8 2" xfId="5598" xr:uid="{BC0CC8ED-5DC5-431E-910D-D4B8094900F4}"/>
    <cellStyle name="Migliaia 52 8 3" xfId="6774" xr:uid="{0B01831D-C060-432E-8770-8AEA844FBDFE}"/>
    <cellStyle name="Migliaia 52 9" xfId="5583" xr:uid="{A9201CA5-F61B-4D5F-84CF-DA5CDC670C37}"/>
    <cellStyle name="Migliaia 53" xfId="493" xr:uid="{00000000-0005-0000-0000-00006F040000}"/>
    <cellStyle name="Migliaia 53 10" xfId="6775" xr:uid="{DAABB730-F358-454D-B24E-C6CA17D60C38}"/>
    <cellStyle name="Migliaia 53 11" xfId="3873" xr:uid="{F577A5FA-201D-4BAD-BE16-3B8538AADD32}"/>
    <cellStyle name="Migliaia 53 2" xfId="494" xr:uid="{00000000-0005-0000-0000-000070040000}"/>
    <cellStyle name="Migliaia 53 2 2" xfId="1897" xr:uid="{00000000-0005-0000-0000-000071040000}"/>
    <cellStyle name="Migliaia 53 2 2 2" xfId="5601" xr:uid="{9FCDC712-8F29-4C62-9DB0-A380AFDE55B0}"/>
    <cellStyle name="Migliaia 53 2 2 3" xfId="6777" xr:uid="{C294BC7A-BAAF-4BDD-B838-9C2DA801907C}"/>
    <cellStyle name="Migliaia 53 2 2 4" xfId="3875" xr:uid="{42DBEE27-4BB5-48A7-81B7-579439AEA7ED}"/>
    <cellStyle name="Migliaia 53 2 3" xfId="3876" xr:uid="{02500575-C6FA-402E-8599-0AD31427F0FE}"/>
    <cellStyle name="Migliaia 53 2 3 2" xfId="5602" xr:uid="{BE3AF0C6-4A27-4615-BD5A-C9651DD44D92}"/>
    <cellStyle name="Migliaia 53 2 3 3" xfId="6778" xr:uid="{B19315B1-1D0B-4601-8142-E9662F818A16}"/>
    <cellStyle name="Migliaia 53 2 4" xfId="5600" xr:uid="{79285C30-7E19-4A06-879C-5D9E17637B45}"/>
    <cellStyle name="Migliaia 53 2 5" xfId="6776" xr:uid="{3C67B881-3AA1-4800-8D4B-647D0E92CC67}"/>
    <cellStyle name="Migliaia 53 2 6" xfId="3874" xr:uid="{62C1B83E-D9A4-4B18-B4B9-F32F2D39B531}"/>
    <cellStyle name="Migliaia 53 3" xfId="495" xr:uid="{00000000-0005-0000-0000-000072040000}"/>
    <cellStyle name="Migliaia 53 3 2" xfId="496" xr:uid="{00000000-0005-0000-0000-000073040000}"/>
    <cellStyle name="Migliaia 53 3 2 2" xfId="1898" xr:uid="{00000000-0005-0000-0000-000074040000}"/>
    <cellStyle name="Migliaia 53 3 2 2 2" xfId="5605" xr:uid="{75C72B14-29FD-4EDC-A5AA-21C320D99EBB}"/>
    <cellStyle name="Migliaia 53 3 2 2 3" xfId="6781" xr:uid="{7FA9ABE1-7B77-45A7-BF60-319609DC99D0}"/>
    <cellStyle name="Migliaia 53 3 2 2 4" xfId="3879" xr:uid="{CB917C84-8DF1-469D-924F-DA2073ED0507}"/>
    <cellStyle name="Migliaia 53 3 2 3" xfId="5604" xr:uid="{85C60C5D-9849-414D-924D-2290AF049499}"/>
    <cellStyle name="Migliaia 53 3 2 4" xfId="6780" xr:uid="{7D14AFBB-177D-4DDF-A911-649763AF1ECE}"/>
    <cellStyle name="Migliaia 53 3 2 5" xfId="3878" xr:uid="{6775C2D6-273D-4242-8F25-D8BD483F35CC}"/>
    <cellStyle name="Migliaia 53 3 3" xfId="3880" xr:uid="{B007EE73-7F64-4378-82D1-D8E8338F4576}"/>
    <cellStyle name="Migliaia 53 3 3 2" xfId="5606" xr:uid="{81E03943-2F26-4427-9C81-124D02491819}"/>
    <cellStyle name="Migliaia 53 3 3 3" xfId="6782" xr:uid="{F340A5EC-D3CF-4110-8DC4-288ECD06B4F7}"/>
    <cellStyle name="Migliaia 53 3 4" xfId="3881" xr:uid="{C5224267-4214-4399-91CF-09B0D892940C}"/>
    <cellStyle name="Migliaia 53 3 4 2" xfId="5607" xr:uid="{04C6FA9A-47A6-4F06-9B3B-063D426021AE}"/>
    <cellStyle name="Migliaia 53 3 4 3" xfId="6783" xr:uid="{CE780606-F8E7-486D-B8D1-10B836AD182D}"/>
    <cellStyle name="Migliaia 53 3 5" xfId="3882" xr:uid="{47DD4609-1775-4409-9240-CAE6AD7E56FD}"/>
    <cellStyle name="Migliaia 53 3 5 2" xfId="5608" xr:uid="{38571950-1E44-46D7-AB1D-07A0003FCA8D}"/>
    <cellStyle name="Migliaia 53 3 5 3" xfId="6784" xr:uid="{14CE2A3B-5540-4BC3-B3D9-787823D44F6B}"/>
    <cellStyle name="Migliaia 53 3 6" xfId="5603" xr:uid="{A952BE88-463A-49B6-9098-9BAD5C9E3C5C}"/>
    <cellStyle name="Migliaia 53 3 7" xfId="6779" xr:uid="{A31DDD86-40AC-4241-AF89-473E11805479}"/>
    <cellStyle name="Migliaia 53 3 8" xfId="3877" xr:uid="{AE4B4BFC-96FE-46F7-BE5F-ED640FD1D2D3}"/>
    <cellStyle name="Migliaia 53 4" xfId="1899" xr:uid="{00000000-0005-0000-0000-000075040000}"/>
    <cellStyle name="Migliaia 53 4 2" xfId="1900" xr:uid="{00000000-0005-0000-0000-000076040000}"/>
    <cellStyle name="Migliaia 53 4 2 2" xfId="5610" xr:uid="{CA9FDED3-63DD-401A-BDA2-4B46F6FDB28A}"/>
    <cellStyle name="Migliaia 53 4 2 3" xfId="3884" xr:uid="{06F9AAF4-12C0-4749-8F15-1CFA81ED7146}"/>
    <cellStyle name="Migliaia 53 4 3" xfId="5609" xr:uid="{92383D3C-A1EB-42E3-850E-B67392493D18}"/>
    <cellStyle name="Migliaia 53 4 4" xfId="6785" xr:uid="{CD53CDE4-C9C0-46D6-AC1F-C476952F526A}"/>
    <cellStyle name="Migliaia 53 4 5" xfId="3883" xr:uid="{787DC4BA-F088-4A0C-AC33-159BA68A0B8F}"/>
    <cellStyle name="Migliaia 53 5" xfId="1901" xr:uid="{00000000-0005-0000-0000-000077040000}"/>
    <cellStyle name="Migliaia 53 5 2" xfId="5611" xr:uid="{5C04D5DE-F19D-4619-B40E-4A384003069C}"/>
    <cellStyle name="Migliaia 53 5 3" xfId="6786" xr:uid="{B23C12AC-6BD8-4385-9DA9-3D97653EE38E}"/>
    <cellStyle name="Migliaia 53 5 4" xfId="3885" xr:uid="{47509DBD-3D1D-451E-AE22-136B72219474}"/>
    <cellStyle name="Migliaia 53 6" xfId="3886" xr:uid="{5C9FD073-83AB-492E-A719-B8DED83D4A5C}"/>
    <cellStyle name="Migliaia 53 6 2" xfId="5612" xr:uid="{25D4EA56-8B20-4A08-9C39-D329B4D28484}"/>
    <cellStyle name="Migliaia 53 6 3" xfId="6787" xr:uid="{52D57E89-6984-43E4-9ADE-342F7AAD18F7}"/>
    <cellStyle name="Migliaia 53 7" xfId="3887" xr:uid="{70E68BE1-DC05-4D07-9B9D-3BD84C43AE9B}"/>
    <cellStyle name="Migliaia 53 7 2" xfId="5613" xr:uid="{CF88FE01-EA63-4EEA-A9CB-E3BDCC086337}"/>
    <cellStyle name="Migliaia 53 7 3" xfId="6788" xr:uid="{48E6106B-95FD-4672-B5EB-0A65BEEC2C19}"/>
    <cellStyle name="Migliaia 53 8" xfId="3888" xr:uid="{0B0BDC8D-2324-43D5-A4D7-2B25317E1EB9}"/>
    <cellStyle name="Migliaia 53 8 2" xfId="5614" xr:uid="{4DD31888-8092-4F16-8E5F-747D536714AE}"/>
    <cellStyle name="Migliaia 53 8 3" xfId="6789" xr:uid="{C9535630-BD64-4B75-9277-F76A5D03542D}"/>
    <cellStyle name="Migliaia 53 9" xfId="5599" xr:uid="{05C21FDF-6308-485A-A7EA-B51E0C017029}"/>
    <cellStyle name="Migliaia 54" xfId="497" xr:uid="{00000000-0005-0000-0000-000078040000}"/>
    <cellStyle name="Migliaia 54 10" xfId="6790" xr:uid="{29E2D201-844F-419E-8397-878EB832E861}"/>
    <cellStyle name="Migliaia 54 11" xfId="3889" xr:uid="{A406B706-863B-4438-99BF-EC8C477204ED}"/>
    <cellStyle name="Migliaia 54 2" xfId="498" xr:uid="{00000000-0005-0000-0000-000079040000}"/>
    <cellStyle name="Migliaia 54 2 2" xfId="1902" xr:uid="{00000000-0005-0000-0000-00007A040000}"/>
    <cellStyle name="Migliaia 54 2 2 2" xfId="5617" xr:uid="{1E2B8EB1-7F5B-4C7E-ACBF-C6D64F2F9CD9}"/>
    <cellStyle name="Migliaia 54 2 2 3" xfId="6792" xr:uid="{5EE7A8E0-AAD6-43F4-A63A-C8D236DE6C54}"/>
    <cellStyle name="Migliaia 54 2 2 4" xfId="3891" xr:uid="{A08667BC-F5EB-4A36-A045-94D93ACFDA11}"/>
    <cellStyle name="Migliaia 54 2 3" xfId="3892" xr:uid="{0F52A02A-1EB1-4DA5-938E-5EF19D7E75BD}"/>
    <cellStyle name="Migliaia 54 2 3 2" xfId="5618" xr:uid="{1F8DB1B4-5E47-4FED-86D9-C17130741652}"/>
    <cellStyle name="Migliaia 54 2 3 3" xfId="6793" xr:uid="{322EB5E0-6A70-4508-B49A-111898FFC848}"/>
    <cellStyle name="Migliaia 54 2 4" xfId="5616" xr:uid="{021C4E47-12A3-443B-B853-1EA4424E945E}"/>
    <cellStyle name="Migliaia 54 2 5" xfId="6791" xr:uid="{D659F3B8-07E4-4E59-A069-EA3A6564622A}"/>
    <cellStyle name="Migliaia 54 2 6" xfId="3890" xr:uid="{39FA281F-3ED5-41C5-8605-077420AF120F}"/>
    <cellStyle name="Migliaia 54 3" xfId="499" xr:uid="{00000000-0005-0000-0000-00007B040000}"/>
    <cellStyle name="Migliaia 54 3 2" xfId="500" xr:uid="{00000000-0005-0000-0000-00007C040000}"/>
    <cellStyle name="Migliaia 54 3 2 2" xfId="1903" xr:uid="{00000000-0005-0000-0000-00007D040000}"/>
    <cellStyle name="Migliaia 54 3 2 2 2" xfId="5621" xr:uid="{34487C83-14F3-4C66-95FB-221A974E49F3}"/>
    <cellStyle name="Migliaia 54 3 2 2 3" xfId="6796" xr:uid="{72E798C2-34BB-4A7F-AE46-AC32A70D22CA}"/>
    <cellStyle name="Migliaia 54 3 2 2 4" xfId="3895" xr:uid="{AE482941-0D8B-4774-9A58-036662BF809B}"/>
    <cellStyle name="Migliaia 54 3 2 3" xfId="5620" xr:uid="{6E2759E1-F77C-485A-AD20-ED2CFBB2707B}"/>
    <cellStyle name="Migliaia 54 3 2 4" xfId="6795" xr:uid="{06005A2B-294B-442B-BBFC-B031E12CFAE8}"/>
    <cellStyle name="Migliaia 54 3 2 5" xfId="3894" xr:uid="{E5F482F6-E013-4D57-8246-19B1B469C6EC}"/>
    <cellStyle name="Migliaia 54 3 3" xfId="3896" xr:uid="{E8707CFD-BDCA-439B-8398-0F537546007A}"/>
    <cellStyle name="Migliaia 54 3 3 2" xfId="5622" xr:uid="{20B7B2A1-78A3-4653-B9CF-70A9E97E5AC1}"/>
    <cellStyle name="Migliaia 54 3 3 3" xfId="6797" xr:uid="{79B4DB88-845E-4961-A3AF-F5F82A8FDBE4}"/>
    <cellStyle name="Migliaia 54 3 4" xfId="3897" xr:uid="{12333AE5-B3C3-44F7-9A8A-576D7C8A6313}"/>
    <cellStyle name="Migliaia 54 3 4 2" xfId="5623" xr:uid="{70EE280B-D1E8-4127-9069-0F969FA948B9}"/>
    <cellStyle name="Migliaia 54 3 4 3" xfId="6798" xr:uid="{D07C26F9-0E80-46F3-9B8A-6E9959EB834B}"/>
    <cellStyle name="Migliaia 54 3 5" xfId="3898" xr:uid="{69D3EF5A-6021-4B69-8184-7F316D4B4A34}"/>
    <cellStyle name="Migliaia 54 3 5 2" xfId="5624" xr:uid="{F543C407-A716-4014-8282-6CE86883F0A6}"/>
    <cellStyle name="Migliaia 54 3 5 3" xfId="6799" xr:uid="{43905B95-04D1-4EC2-857F-9FA06B82B7C4}"/>
    <cellStyle name="Migliaia 54 3 6" xfId="5619" xr:uid="{F12F2385-5A2B-47D9-A8BE-358B3553570C}"/>
    <cellStyle name="Migliaia 54 3 7" xfId="6794" xr:uid="{8358025A-587C-42DA-9297-E767BA20C6E5}"/>
    <cellStyle name="Migliaia 54 3 8" xfId="3893" xr:uid="{EC5ACF4E-8899-4780-8353-9DB72EDA0423}"/>
    <cellStyle name="Migliaia 54 4" xfId="1904" xr:uid="{00000000-0005-0000-0000-00007E040000}"/>
    <cellStyle name="Migliaia 54 4 2" xfId="1905" xr:uid="{00000000-0005-0000-0000-00007F040000}"/>
    <cellStyle name="Migliaia 54 4 2 2" xfId="5626" xr:uid="{2E71CD10-6D64-46BE-BB51-2D719789528C}"/>
    <cellStyle name="Migliaia 54 4 2 3" xfId="3900" xr:uid="{3847DD73-BBF6-44DB-B699-5468F0EA4E68}"/>
    <cellStyle name="Migliaia 54 4 3" xfId="5625" xr:uid="{F7E79B6F-32EA-4B25-9FB0-F38C3C63835E}"/>
    <cellStyle name="Migliaia 54 4 4" xfId="6800" xr:uid="{7AA01473-6AEB-4D1E-A677-156A15E5DB12}"/>
    <cellStyle name="Migliaia 54 4 5" xfId="3899" xr:uid="{51327D9F-F041-4628-AA50-162FDF7A4575}"/>
    <cellStyle name="Migliaia 54 5" xfId="1906" xr:uid="{00000000-0005-0000-0000-000080040000}"/>
    <cellStyle name="Migliaia 54 5 2" xfId="5627" xr:uid="{EE75512C-20D5-40AD-933C-15A8343E2B8C}"/>
    <cellStyle name="Migliaia 54 5 3" xfId="6801" xr:uid="{7B453BC3-A201-479E-B5F4-E3DEE4C48847}"/>
    <cellStyle name="Migliaia 54 5 4" xfId="3901" xr:uid="{D6BE16EF-8FEE-40FE-BF6C-B0F30A16F76C}"/>
    <cellStyle name="Migliaia 54 6" xfId="3902" xr:uid="{3DA98C7A-D5FA-4A16-BC65-4E8768B409C8}"/>
    <cellStyle name="Migliaia 54 6 2" xfId="5628" xr:uid="{023EDC9D-C211-48AD-8ECF-3218346D0F01}"/>
    <cellStyle name="Migliaia 54 6 3" xfId="6802" xr:uid="{18E147B5-1E02-4AB3-A5CF-89BD4CFFB87A}"/>
    <cellStyle name="Migliaia 54 7" xfId="3903" xr:uid="{4426B53A-057C-442B-9495-FCF499FF1426}"/>
    <cellStyle name="Migliaia 54 7 2" xfId="5629" xr:uid="{C92B0CB2-F3AD-41A0-A555-5CEC7A81421F}"/>
    <cellStyle name="Migliaia 54 7 3" xfId="6803" xr:uid="{E34355DC-D4A6-4E70-9849-C08D783D784F}"/>
    <cellStyle name="Migliaia 54 8" xfId="3904" xr:uid="{DED0693B-5703-44F9-9821-E307648457A0}"/>
    <cellStyle name="Migliaia 54 8 2" xfId="5630" xr:uid="{21664644-04A8-490D-96C4-6E7971D46CF9}"/>
    <cellStyle name="Migliaia 54 8 3" xfId="6804" xr:uid="{1C04C348-3293-4301-8243-7955B15AF2C2}"/>
    <cellStyle name="Migliaia 54 9" xfId="5615" xr:uid="{C50A4D05-FCFD-4B3A-B060-CBA53189FDDF}"/>
    <cellStyle name="Migliaia 55" xfId="501" xr:uid="{00000000-0005-0000-0000-000081040000}"/>
    <cellStyle name="Migliaia 55 10" xfId="6805" xr:uid="{E3940A7E-CADE-4CA4-BDB2-F2E6CEE202DD}"/>
    <cellStyle name="Migliaia 55 11" xfId="3905" xr:uid="{22FA0594-8774-4F02-BB76-7784F640A209}"/>
    <cellStyle name="Migliaia 55 2" xfId="502" xr:uid="{00000000-0005-0000-0000-000082040000}"/>
    <cellStyle name="Migliaia 55 2 2" xfId="1907" xr:uid="{00000000-0005-0000-0000-000083040000}"/>
    <cellStyle name="Migliaia 55 2 2 2" xfId="5633" xr:uid="{4C766987-9155-4427-AF94-CAEDAEF78613}"/>
    <cellStyle name="Migliaia 55 2 2 3" xfId="6807" xr:uid="{FCD8F3C3-0AF8-4403-9CE3-63AAFD3CF806}"/>
    <cellStyle name="Migliaia 55 2 2 4" xfId="3907" xr:uid="{507618F7-D66C-4693-8432-DC1414862180}"/>
    <cellStyle name="Migliaia 55 2 3" xfId="3908" xr:uid="{848F5F82-1027-4A77-82CE-98FDBE24628B}"/>
    <cellStyle name="Migliaia 55 2 3 2" xfId="5634" xr:uid="{C083E76F-99BB-41F4-82ED-B377FB2748ED}"/>
    <cellStyle name="Migliaia 55 2 3 3" xfId="6808" xr:uid="{173B1FCF-431A-465A-A9CF-80D5AC8FA804}"/>
    <cellStyle name="Migliaia 55 2 4" xfId="5632" xr:uid="{2EC4E3CB-C3D0-4BDF-B4F8-DE3D88878DA1}"/>
    <cellStyle name="Migliaia 55 2 5" xfId="6806" xr:uid="{AE568A93-6F72-46F1-8614-D38A7AB05C37}"/>
    <cellStyle name="Migliaia 55 2 6" xfId="3906" xr:uid="{919169A5-6FC2-45A7-A963-F38FF65420B4}"/>
    <cellStyle name="Migliaia 55 3" xfId="503" xr:uid="{00000000-0005-0000-0000-000084040000}"/>
    <cellStyle name="Migliaia 55 3 2" xfId="504" xr:uid="{00000000-0005-0000-0000-000085040000}"/>
    <cellStyle name="Migliaia 55 3 2 2" xfId="1908" xr:uid="{00000000-0005-0000-0000-000086040000}"/>
    <cellStyle name="Migliaia 55 3 2 2 2" xfId="5637" xr:uid="{6A841434-B074-4C06-A730-2ADB165F28D8}"/>
    <cellStyle name="Migliaia 55 3 2 2 3" xfId="6811" xr:uid="{0A8D8CF9-0ABF-4A0F-84AF-37DB7E454446}"/>
    <cellStyle name="Migliaia 55 3 2 2 4" xfId="3911" xr:uid="{E1947028-A1A6-46AB-B84E-BE4A8E66602A}"/>
    <cellStyle name="Migliaia 55 3 2 3" xfId="5636" xr:uid="{77F56CB2-C01B-4315-9C4A-3DF0652ED184}"/>
    <cellStyle name="Migliaia 55 3 2 4" xfId="6810" xr:uid="{1FF26294-F428-471E-9B1A-42ADE5D787D7}"/>
    <cellStyle name="Migliaia 55 3 2 5" xfId="3910" xr:uid="{B0EA70C2-9255-4EBA-8126-61DDE8A4B67F}"/>
    <cellStyle name="Migliaia 55 3 3" xfId="3912" xr:uid="{9255E58F-4468-4263-ABB8-33C46546CA74}"/>
    <cellStyle name="Migliaia 55 3 3 2" xfId="5638" xr:uid="{196578B0-4A88-4F2A-B83D-1F6C15965A26}"/>
    <cellStyle name="Migliaia 55 3 3 3" xfId="6812" xr:uid="{3C135A71-9572-44B6-BE3A-224908A75108}"/>
    <cellStyle name="Migliaia 55 3 4" xfId="3913" xr:uid="{99B7466E-CA48-4801-8D3D-2F0DD77935DD}"/>
    <cellStyle name="Migliaia 55 3 4 2" xfId="5639" xr:uid="{367D349C-ADD5-4BC6-BB2A-D5D841ED5B36}"/>
    <cellStyle name="Migliaia 55 3 4 3" xfId="6813" xr:uid="{60643042-20DF-49D9-A654-B46FCCDBE2E7}"/>
    <cellStyle name="Migliaia 55 3 5" xfId="3914" xr:uid="{6922E324-EAB3-4F4C-936F-5622583A8794}"/>
    <cellStyle name="Migliaia 55 3 5 2" xfId="5640" xr:uid="{34BED136-306C-487F-A9DA-8C987BE2A58C}"/>
    <cellStyle name="Migliaia 55 3 5 3" xfId="6814" xr:uid="{4E8DB34B-DCF4-4E01-B408-FA2998C794FD}"/>
    <cellStyle name="Migliaia 55 3 6" xfId="5635" xr:uid="{67953C8A-CF09-4BBE-A47E-F64B3C941433}"/>
    <cellStyle name="Migliaia 55 3 7" xfId="6809" xr:uid="{A531D3A5-2A36-47F0-8F32-756A4A55D6CB}"/>
    <cellStyle name="Migliaia 55 3 8" xfId="3909" xr:uid="{3311BBE6-AC94-499B-8C8C-9D03E2301C52}"/>
    <cellStyle name="Migliaia 55 4" xfId="1909" xr:uid="{00000000-0005-0000-0000-000087040000}"/>
    <cellStyle name="Migliaia 55 4 2" xfId="1910" xr:uid="{00000000-0005-0000-0000-000088040000}"/>
    <cellStyle name="Migliaia 55 4 2 2" xfId="5642" xr:uid="{B2DBABBD-237A-42C9-849C-9D06A93D1754}"/>
    <cellStyle name="Migliaia 55 4 2 3" xfId="3916" xr:uid="{300E1853-4EF6-4F8B-BC06-29D0137C1369}"/>
    <cellStyle name="Migliaia 55 4 3" xfId="5641" xr:uid="{D8D0371E-B806-4BF9-AAA6-05C3A0636ED8}"/>
    <cellStyle name="Migliaia 55 4 4" xfId="6815" xr:uid="{8F162600-032E-4AE7-997D-1C97B07E2631}"/>
    <cellStyle name="Migliaia 55 4 5" xfId="3915" xr:uid="{FF3B42B4-38DF-43D1-96EA-D2F2164EC081}"/>
    <cellStyle name="Migliaia 55 5" xfId="1911" xr:uid="{00000000-0005-0000-0000-000089040000}"/>
    <cellStyle name="Migliaia 55 5 2" xfId="5643" xr:uid="{F66A2613-42F4-4475-B082-2DF45771890C}"/>
    <cellStyle name="Migliaia 55 5 3" xfId="6816" xr:uid="{8448FABC-C628-46B2-A137-5D159A71520A}"/>
    <cellStyle name="Migliaia 55 5 4" xfId="3917" xr:uid="{1AB7B9BD-B505-47F6-9164-2421549AD519}"/>
    <cellStyle name="Migliaia 55 6" xfId="3918" xr:uid="{13C952F4-5711-4D0F-A42F-31949C3A5E02}"/>
    <cellStyle name="Migliaia 55 6 2" xfId="5644" xr:uid="{E2BCE070-5F4D-45AB-B247-03D4D3951DB1}"/>
    <cellStyle name="Migliaia 55 6 3" xfId="6817" xr:uid="{65F9CCB4-A9B4-4BD3-AE5C-9EAC849E2FFD}"/>
    <cellStyle name="Migliaia 55 7" xfId="3919" xr:uid="{B25D1C03-AD86-490A-88F7-DA95A00FA578}"/>
    <cellStyle name="Migliaia 55 7 2" xfId="5645" xr:uid="{87E545E2-2E40-4235-B30A-AB90C7C36DFA}"/>
    <cellStyle name="Migliaia 55 7 3" xfId="6818" xr:uid="{986AB476-AED1-4ACF-9E07-92034153E2E8}"/>
    <cellStyle name="Migliaia 55 8" xfId="3920" xr:uid="{7A1E14B0-A6DA-4600-A540-7ADCAF5071BB}"/>
    <cellStyle name="Migliaia 55 8 2" xfId="5646" xr:uid="{B18726B1-0B0B-4184-BD1C-ED6B846CCC02}"/>
    <cellStyle name="Migliaia 55 8 3" xfId="6819" xr:uid="{557C50E7-6ECA-4156-B7AD-7FF5A8732A4F}"/>
    <cellStyle name="Migliaia 55 9" xfId="5631" xr:uid="{A0DCC808-DEBA-4C91-9EB9-3DA1463ED197}"/>
    <cellStyle name="Migliaia 56" xfId="505" xr:uid="{00000000-0005-0000-0000-00008A040000}"/>
    <cellStyle name="Migliaia 56 10" xfId="6820" xr:uid="{7B9824B5-BAB3-4347-B67A-E1435A3FCCA2}"/>
    <cellStyle name="Migliaia 56 11" xfId="3921" xr:uid="{779DF0DA-0195-42B2-B60E-0C13086BB6F2}"/>
    <cellStyle name="Migliaia 56 2" xfId="506" xr:uid="{00000000-0005-0000-0000-00008B040000}"/>
    <cellStyle name="Migliaia 56 2 2" xfId="1912" xr:uid="{00000000-0005-0000-0000-00008C040000}"/>
    <cellStyle name="Migliaia 56 2 2 2" xfId="5649" xr:uid="{B7B48E49-4801-4A91-AB4D-BB158492FC7B}"/>
    <cellStyle name="Migliaia 56 2 2 3" xfId="6822" xr:uid="{32616EB8-562B-48C1-98AF-60FC73911A8F}"/>
    <cellStyle name="Migliaia 56 2 2 4" xfId="3923" xr:uid="{A224740C-6A80-498D-AF39-56C5ACF1E14D}"/>
    <cellStyle name="Migliaia 56 2 3" xfId="3924" xr:uid="{BC9062F7-A2AA-46DC-BC74-55FD0E1826E9}"/>
    <cellStyle name="Migliaia 56 2 3 2" xfId="5650" xr:uid="{90DD5F5C-1568-4D0C-9418-735883A9F84D}"/>
    <cellStyle name="Migliaia 56 2 3 3" xfId="6823" xr:uid="{25AC26C2-17F8-4F9C-941F-D9EADFA72C14}"/>
    <cellStyle name="Migliaia 56 2 4" xfId="5648" xr:uid="{71F9CD5F-308F-4DC5-AFFF-0FB4F5684498}"/>
    <cellStyle name="Migliaia 56 2 5" xfId="6821" xr:uid="{C21140F0-739B-4A24-A02C-2CD49457E7BB}"/>
    <cellStyle name="Migliaia 56 2 6" xfId="3922" xr:uid="{99BFC918-9F63-41C7-9BDD-B6CB7F05CAFC}"/>
    <cellStyle name="Migliaia 56 3" xfId="507" xr:uid="{00000000-0005-0000-0000-00008D040000}"/>
    <cellStyle name="Migliaia 56 3 2" xfId="508" xr:uid="{00000000-0005-0000-0000-00008E040000}"/>
    <cellStyle name="Migliaia 56 3 2 2" xfId="1913" xr:uid="{00000000-0005-0000-0000-00008F040000}"/>
    <cellStyle name="Migliaia 56 3 2 2 2" xfId="5653" xr:uid="{A0058D04-B87E-41FF-925A-359FFFFD1809}"/>
    <cellStyle name="Migliaia 56 3 2 2 3" xfId="6826" xr:uid="{76115F34-921D-42FD-9650-550B6DB245A3}"/>
    <cellStyle name="Migliaia 56 3 2 2 4" xfId="3927" xr:uid="{E9F77C00-317D-4570-A387-98CB76029B43}"/>
    <cellStyle name="Migliaia 56 3 2 3" xfId="5652" xr:uid="{B029BE73-B964-4964-A78A-52466D53A398}"/>
    <cellStyle name="Migliaia 56 3 2 4" xfId="6825" xr:uid="{21C3A369-903F-4679-9B80-D20F4CCC93B5}"/>
    <cellStyle name="Migliaia 56 3 2 5" xfId="3926" xr:uid="{70E8FD7B-ACB4-4DBC-8769-E07850401820}"/>
    <cellStyle name="Migliaia 56 3 3" xfId="3928" xr:uid="{F52C3B89-D58E-45C2-80E0-B810378303DF}"/>
    <cellStyle name="Migliaia 56 3 3 2" xfId="5654" xr:uid="{749B7FBA-DAE6-4C10-A29C-37E9F511C6E9}"/>
    <cellStyle name="Migliaia 56 3 3 3" xfId="6827" xr:uid="{B04EFE3F-79EE-428D-9800-E8097A6F73E5}"/>
    <cellStyle name="Migliaia 56 3 4" xfId="3929" xr:uid="{6F1F2548-4C7A-4DF9-A13A-B27F07E034E3}"/>
    <cellStyle name="Migliaia 56 3 4 2" xfId="5655" xr:uid="{B4417D29-F0C2-464C-B376-E5607649A165}"/>
    <cellStyle name="Migliaia 56 3 4 3" xfId="6828" xr:uid="{0E899DFF-6D70-462F-B758-72EE34AF912D}"/>
    <cellStyle name="Migliaia 56 3 5" xfId="3930" xr:uid="{52C8CA67-BC2C-4E60-B758-B27F75781DC9}"/>
    <cellStyle name="Migliaia 56 3 5 2" xfId="5656" xr:uid="{422E643C-F1A4-4CCE-A219-A30A895F5D90}"/>
    <cellStyle name="Migliaia 56 3 5 3" xfId="6829" xr:uid="{04B65902-1F4D-41B4-8B8A-737831198C5A}"/>
    <cellStyle name="Migliaia 56 3 6" xfId="5651" xr:uid="{C6A68D28-EC7F-4F07-A74D-AC1B756557C0}"/>
    <cellStyle name="Migliaia 56 3 7" xfId="6824" xr:uid="{6AB6FEC5-8357-49BC-9262-503A211AE607}"/>
    <cellStyle name="Migliaia 56 3 8" xfId="3925" xr:uid="{19CFA78E-1034-4266-9FD8-BB7B8819262F}"/>
    <cellStyle name="Migliaia 56 4" xfId="1914" xr:uid="{00000000-0005-0000-0000-000090040000}"/>
    <cellStyle name="Migliaia 56 4 2" xfId="1915" xr:uid="{00000000-0005-0000-0000-000091040000}"/>
    <cellStyle name="Migliaia 56 4 2 2" xfId="5658" xr:uid="{A8A97463-5354-4766-8004-EE79AF967DDE}"/>
    <cellStyle name="Migliaia 56 4 2 3" xfId="3932" xr:uid="{63DA9050-030A-4F0B-A01F-E2B0332E52BE}"/>
    <cellStyle name="Migliaia 56 4 3" xfId="5657" xr:uid="{3E393823-581A-467F-A5EC-89F606FB253B}"/>
    <cellStyle name="Migliaia 56 4 4" xfId="6830" xr:uid="{75BD60C2-CB7B-4E9E-AA6E-D94F8A76C9C0}"/>
    <cellStyle name="Migliaia 56 4 5" xfId="3931" xr:uid="{6A125E69-73AA-47C3-85F3-6EA3F106C8F5}"/>
    <cellStyle name="Migliaia 56 5" xfId="1916" xr:uid="{00000000-0005-0000-0000-000092040000}"/>
    <cellStyle name="Migliaia 56 5 2" xfId="5659" xr:uid="{48095C67-20EA-40D1-B5BE-A0851C125E71}"/>
    <cellStyle name="Migliaia 56 5 3" xfId="6831" xr:uid="{B5077DDD-6FA5-4800-A6E2-E52FA1B78F14}"/>
    <cellStyle name="Migliaia 56 5 4" xfId="3933" xr:uid="{AE09B1E3-7C6B-40A9-ADFA-6020A359E012}"/>
    <cellStyle name="Migliaia 56 6" xfId="3934" xr:uid="{B041CAF5-79E4-4C40-AF37-1EFF835A1A14}"/>
    <cellStyle name="Migliaia 56 6 2" xfId="5660" xr:uid="{313DD077-D8AF-4DB6-8E8F-5E81B25ACA03}"/>
    <cellStyle name="Migliaia 56 6 3" xfId="6832" xr:uid="{EEA92A1F-3532-4F3C-8E5C-BC97C2A2E2D4}"/>
    <cellStyle name="Migliaia 56 7" xfId="3935" xr:uid="{0061D3CF-4F2F-4EEA-9157-395A6D91E819}"/>
    <cellStyle name="Migliaia 56 7 2" xfId="5661" xr:uid="{2BBD2C37-B3CF-4164-A539-DB80FF1E9737}"/>
    <cellStyle name="Migliaia 56 7 3" xfId="6833" xr:uid="{CB42C656-21FB-4F76-90D6-A1E514BFCDB1}"/>
    <cellStyle name="Migliaia 56 8" xfId="3936" xr:uid="{F7E9E5FA-6142-40A6-B5D3-AA016D6BED87}"/>
    <cellStyle name="Migliaia 56 8 2" xfId="5662" xr:uid="{C1E7168A-AB92-4EED-BBFB-F5F6B9D4A487}"/>
    <cellStyle name="Migliaia 56 8 3" xfId="6834" xr:uid="{B8B83507-9E10-4F61-8763-D53533D27157}"/>
    <cellStyle name="Migliaia 56 9" xfId="5647" xr:uid="{82ED4B79-C498-4E90-932A-AC5885DEFD78}"/>
    <cellStyle name="Migliaia 57" xfId="509" xr:uid="{00000000-0005-0000-0000-000093040000}"/>
    <cellStyle name="Migliaia 57 10" xfId="6835" xr:uid="{E898081A-4834-4DE0-A219-4446A09BC029}"/>
    <cellStyle name="Migliaia 57 11" xfId="3937" xr:uid="{9BF00671-8E7C-417F-B22F-566C81EDAFBB}"/>
    <cellStyle name="Migliaia 57 2" xfId="510" xr:uid="{00000000-0005-0000-0000-000094040000}"/>
    <cellStyle name="Migliaia 57 2 2" xfId="1917" xr:uid="{00000000-0005-0000-0000-000095040000}"/>
    <cellStyle name="Migliaia 57 2 2 2" xfId="5665" xr:uid="{D77FABF2-3F95-4DE2-9819-B255D6D2CB99}"/>
    <cellStyle name="Migliaia 57 2 2 3" xfId="6837" xr:uid="{92012A35-829F-43C0-934B-4FBE290B143F}"/>
    <cellStyle name="Migliaia 57 2 2 4" xfId="3939" xr:uid="{190A57A3-BFCA-4526-8F9D-1686C6593331}"/>
    <cellStyle name="Migliaia 57 2 3" xfId="3940" xr:uid="{84A857F6-AC1D-4113-8D18-266D8B13A41A}"/>
    <cellStyle name="Migliaia 57 2 3 2" xfId="5666" xr:uid="{3D6E92E3-8240-4AB4-B0EC-7E0965F6A0A3}"/>
    <cellStyle name="Migliaia 57 2 3 3" xfId="6838" xr:uid="{9A4DE322-7430-4274-8F95-933A7FDBB532}"/>
    <cellStyle name="Migliaia 57 2 4" xfId="5664" xr:uid="{B83BFDAE-4557-4600-BDEB-4CBFA33A9926}"/>
    <cellStyle name="Migliaia 57 2 5" xfId="6836" xr:uid="{5D0B3699-2729-4E40-9B9B-56C39B03C29B}"/>
    <cellStyle name="Migliaia 57 2 6" xfId="3938" xr:uid="{16B11CBC-9F5F-45E5-ACF9-FC4BE515167E}"/>
    <cellStyle name="Migliaia 57 3" xfId="511" xr:uid="{00000000-0005-0000-0000-000096040000}"/>
    <cellStyle name="Migliaia 57 3 2" xfId="512" xr:uid="{00000000-0005-0000-0000-000097040000}"/>
    <cellStyle name="Migliaia 57 3 2 2" xfId="1918" xr:uid="{00000000-0005-0000-0000-000098040000}"/>
    <cellStyle name="Migliaia 57 3 2 2 2" xfId="5669" xr:uid="{4A9D6CAF-5817-4BF3-BC81-51E01E477CC2}"/>
    <cellStyle name="Migliaia 57 3 2 2 3" xfId="6841" xr:uid="{B3674FF5-1D58-4E10-B4D9-ABA2AD756ED5}"/>
    <cellStyle name="Migliaia 57 3 2 2 4" xfId="3943" xr:uid="{4C064C4A-7591-4FF1-A47A-6C7D0BB691B4}"/>
    <cellStyle name="Migliaia 57 3 2 3" xfId="5668" xr:uid="{09A10AC8-B0C1-4A30-A43C-F32FE9E49DDF}"/>
    <cellStyle name="Migliaia 57 3 2 4" xfId="6840" xr:uid="{4A058FBC-706D-4461-BF39-B23587F29F16}"/>
    <cellStyle name="Migliaia 57 3 2 5" xfId="3942" xr:uid="{68184B42-55C8-489E-A416-8C5EE303A1BD}"/>
    <cellStyle name="Migliaia 57 3 3" xfId="3944" xr:uid="{5FA081B1-B12E-41AF-B85B-126F43D38E39}"/>
    <cellStyle name="Migliaia 57 3 3 2" xfId="5670" xr:uid="{57F86EA8-9873-45C5-8173-FCEE4CB06B07}"/>
    <cellStyle name="Migliaia 57 3 3 3" xfId="6842" xr:uid="{9E283155-F271-4676-BCF0-E2512DBAD974}"/>
    <cellStyle name="Migliaia 57 3 4" xfId="3945" xr:uid="{B953C0B9-822F-4B0F-9661-60C746437117}"/>
    <cellStyle name="Migliaia 57 3 4 2" xfId="5671" xr:uid="{DA48DE7B-63A1-4041-A834-FDF9CCAC7C8C}"/>
    <cellStyle name="Migliaia 57 3 4 3" xfId="6843" xr:uid="{61DD9EFB-2738-4F11-9294-E4BF87A6A5B8}"/>
    <cellStyle name="Migliaia 57 3 5" xfId="3946" xr:uid="{4F0F4F44-F663-4BD9-8FD7-693748D3A300}"/>
    <cellStyle name="Migliaia 57 3 5 2" xfId="5672" xr:uid="{15717F24-AEC1-4B88-B331-FE4A3B4D8BD8}"/>
    <cellStyle name="Migliaia 57 3 5 3" xfId="6844" xr:uid="{DF6E40F6-C64B-4735-8B43-C36157638802}"/>
    <cellStyle name="Migliaia 57 3 6" xfId="5667" xr:uid="{044439EB-466C-4A6F-9D56-46FDB557CF26}"/>
    <cellStyle name="Migliaia 57 3 7" xfId="6839" xr:uid="{E78AFEA2-AA83-4901-BA8C-20AD1E7F94BA}"/>
    <cellStyle name="Migliaia 57 3 8" xfId="3941" xr:uid="{EAEA1F35-B3A6-45A0-974D-5956FF85DBEA}"/>
    <cellStyle name="Migliaia 57 4" xfId="1919" xr:uid="{00000000-0005-0000-0000-000099040000}"/>
    <cellStyle name="Migliaia 57 4 2" xfId="1920" xr:uid="{00000000-0005-0000-0000-00009A040000}"/>
    <cellStyle name="Migliaia 57 4 2 2" xfId="5674" xr:uid="{CB9A9E64-AC50-4996-B6F5-F4553A7CBFA1}"/>
    <cellStyle name="Migliaia 57 4 2 3" xfId="3948" xr:uid="{BED36A13-4821-4761-8E60-AE11002CB1B7}"/>
    <cellStyle name="Migliaia 57 4 3" xfId="5673" xr:uid="{AAF1B4C7-16CC-46C9-9153-B6D9FB46470B}"/>
    <cellStyle name="Migliaia 57 4 4" xfId="6845" xr:uid="{89A826A3-7CC6-444B-A75D-5B992B9033D1}"/>
    <cellStyle name="Migliaia 57 4 5" xfId="3947" xr:uid="{E5DC2196-567D-4139-B059-4D0A3045E553}"/>
    <cellStyle name="Migliaia 57 5" xfId="1921" xr:uid="{00000000-0005-0000-0000-00009B040000}"/>
    <cellStyle name="Migliaia 57 5 2" xfId="5675" xr:uid="{4FB3D0E9-EA40-4CC5-B5AB-B8DA7D59064A}"/>
    <cellStyle name="Migliaia 57 5 3" xfId="6846" xr:uid="{ABC01282-D23B-42F9-B713-AD60225FD30F}"/>
    <cellStyle name="Migliaia 57 5 4" xfId="3949" xr:uid="{38CDFE54-0F48-40A7-A4E0-1A222AEB9EBC}"/>
    <cellStyle name="Migliaia 57 6" xfId="3950" xr:uid="{F55036AE-C563-405E-A0BA-EEEB31E5B7EC}"/>
    <cellStyle name="Migliaia 57 6 2" xfId="5676" xr:uid="{600AA8AE-3BBC-4EB2-B58A-45DE04C1A931}"/>
    <cellStyle name="Migliaia 57 6 3" xfId="6847" xr:uid="{9A57E806-AAEE-4C40-81EE-BE1681B2718C}"/>
    <cellStyle name="Migliaia 57 7" xfId="3951" xr:uid="{763D5F6A-60D5-433D-8836-7AF14A6AAAF1}"/>
    <cellStyle name="Migliaia 57 7 2" xfId="5677" xr:uid="{F08C7BFC-D74B-4F9F-947C-333B1C7D29E1}"/>
    <cellStyle name="Migliaia 57 7 3" xfId="6848" xr:uid="{B4D8D6C0-3945-43E9-9741-E445A4C5769C}"/>
    <cellStyle name="Migliaia 57 8" xfId="3952" xr:uid="{65594BF0-C179-4302-9D2E-A55FF220BC91}"/>
    <cellStyle name="Migliaia 57 8 2" xfId="5678" xr:uid="{276204BD-A7CE-4F51-A29C-77BB3CB5DAC2}"/>
    <cellStyle name="Migliaia 57 8 3" xfId="6849" xr:uid="{D89D6693-DD1E-4D1E-B6A3-EEBCAB329441}"/>
    <cellStyle name="Migliaia 57 9" xfId="5663" xr:uid="{546AFB26-0AE7-4018-A13C-89AACB18E933}"/>
    <cellStyle name="Migliaia 58" xfId="513" xr:uid="{00000000-0005-0000-0000-00009C040000}"/>
    <cellStyle name="Migliaia 58 10" xfId="6850" xr:uid="{3394535C-1CB2-4BFE-B6F2-24F5B1D688E3}"/>
    <cellStyle name="Migliaia 58 11" xfId="3953" xr:uid="{DAACC7DD-B9E1-41BF-B219-D8D4A8E6532B}"/>
    <cellStyle name="Migliaia 58 2" xfId="514" xr:uid="{00000000-0005-0000-0000-00009D040000}"/>
    <cellStyle name="Migliaia 58 2 2" xfId="1922" xr:uid="{00000000-0005-0000-0000-00009E040000}"/>
    <cellStyle name="Migliaia 58 2 2 2" xfId="5681" xr:uid="{29566949-368E-4B10-9449-8F432DC0C969}"/>
    <cellStyle name="Migliaia 58 2 2 3" xfId="6852" xr:uid="{73FB7CEE-1C4A-48C8-9351-8DA6E2C90C03}"/>
    <cellStyle name="Migliaia 58 2 2 4" xfId="3955" xr:uid="{17E814A8-10A2-4826-BDBE-FB4BA9392572}"/>
    <cellStyle name="Migliaia 58 2 3" xfId="3956" xr:uid="{6D2EBAA9-5EC3-49BD-AAE5-20F7DEB0371E}"/>
    <cellStyle name="Migliaia 58 2 3 2" xfId="5682" xr:uid="{49428E3B-AA08-41F1-A900-E89D01088AF9}"/>
    <cellStyle name="Migliaia 58 2 3 3" xfId="6853" xr:uid="{C3478680-EB6A-4E0E-90EC-BAA01B56E7C6}"/>
    <cellStyle name="Migliaia 58 2 4" xfId="5680" xr:uid="{9F9B2B0A-2710-4889-861A-EEF6E9DA9587}"/>
    <cellStyle name="Migliaia 58 2 5" xfId="6851" xr:uid="{24353817-5494-4E8D-8DE3-2949C852C3FE}"/>
    <cellStyle name="Migliaia 58 2 6" xfId="3954" xr:uid="{54002C39-CC75-48B4-A8FA-47DD64A73B87}"/>
    <cellStyle name="Migliaia 58 3" xfId="515" xr:uid="{00000000-0005-0000-0000-00009F040000}"/>
    <cellStyle name="Migliaia 58 3 2" xfId="516" xr:uid="{00000000-0005-0000-0000-0000A0040000}"/>
    <cellStyle name="Migliaia 58 3 2 2" xfId="1923" xr:uid="{00000000-0005-0000-0000-0000A1040000}"/>
    <cellStyle name="Migliaia 58 3 2 2 2" xfId="5685" xr:uid="{88CCF012-DA0E-4341-8E34-E28A03BCBB27}"/>
    <cellStyle name="Migliaia 58 3 2 2 3" xfId="6856" xr:uid="{502DF71D-D22F-41DC-8B7D-A2FEC6E40DC0}"/>
    <cellStyle name="Migliaia 58 3 2 2 4" xfId="3959" xr:uid="{6E6ACAA6-BC33-428D-AECE-53001542183D}"/>
    <cellStyle name="Migliaia 58 3 2 3" xfId="5684" xr:uid="{A99B2CEF-CA46-4F1E-B604-881213E7D00B}"/>
    <cellStyle name="Migliaia 58 3 2 4" xfId="6855" xr:uid="{F52E4555-6FF1-46B4-ADD6-E35E4CAC7DF0}"/>
    <cellStyle name="Migliaia 58 3 2 5" xfId="3958" xr:uid="{8885D4AA-B1E4-4FD7-A0A8-5E4D7F3184EF}"/>
    <cellStyle name="Migliaia 58 3 3" xfId="3960" xr:uid="{9C65F5C0-E73B-41A6-9E1C-73D8C2A07F63}"/>
    <cellStyle name="Migliaia 58 3 3 2" xfId="5686" xr:uid="{5FE8F284-F0B7-4446-A352-F211CC31A8C3}"/>
    <cellStyle name="Migliaia 58 3 3 3" xfId="6857" xr:uid="{7069E256-9DAA-4E43-8FF3-90038EF3164B}"/>
    <cellStyle name="Migliaia 58 3 4" xfId="3961" xr:uid="{0873867C-06F0-4126-B3E6-280B637497A5}"/>
    <cellStyle name="Migliaia 58 3 4 2" xfId="5687" xr:uid="{AC63979C-4AD7-4A70-B623-C419105C60AF}"/>
    <cellStyle name="Migliaia 58 3 4 3" xfId="6858" xr:uid="{C8C59EDE-50E8-41B4-9CF0-A051BB32A133}"/>
    <cellStyle name="Migliaia 58 3 5" xfId="3962" xr:uid="{673AC2F7-0288-4BDE-939C-7DC41A3CC1D9}"/>
    <cellStyle name="Migliaia 58 3 5 2" xfId="5688" xr:uid="{67EBEB48-932C-46D8-9673-064B11673F8C}"/>
    <cellStyle name="Migliaia 58 3 5 3" xfId="6859" xr:uid="{02DD3391-4FDD-4EFC-BDAA-8666902EC72E}"/>
    <cellStyle name="Migliaia 58 3 6" xfId="5683" xr:uid="{97276CE5-AE1C-49D2-9A6B-CE6DC41CBD8F}"/>
    <cellStyle name="Migliaia 58 3 7" xfId="6854" xr:uid="{8BE22587-4071-4872-B1A5-BB87E70B31C7}"/>
    <cellStyle name="Migliaia 58 3 8" xfId="3957" xr:uid="{AC7BB67C-8D71-4F8B-AB06-29A03543AE85}"/>
    <cellStyle name="Migliaia 58 4" xfId="1924" xr:uid="{00000000-0005-0000-0000-0000A2040000}"/>
    <cellStyle name="Migliaia 58 4 2" xfId="1925" xr:uid="{00000000-0005-0000-0000-0000A3040000}"/>
    <cellStyle name="Migliaia 58 4 2 2" xfId="5690" xr:uid="{EAF163EB-0403-4D97-A391-4CA28B2EAE35}"/>
    <cellStyle name="Migliaia 58 4 2 3" xfId="3964" xr:uid="{435F6472-BF40-4E18-9878-58E4E1175C7A}"/>
    <cellStyle name="Migliaia 58 4 3" xfId="5689" xr:uid="{A2634E24-023F-463E-8603-447F43A4AC36}"/>
    <cellStyle name="Migliaia 58 4 4" xfId="6860" xr:uid="{BFE92F11-FD4A-4F61-BE6D-329D609609D8}"/>
    <cellStyle name="Migliaia 58 4 5" xfId="3963" xr:uid="{9BAB619A-8227-4476-9024-8BA43B0ED0AB}"/>
    <cellStyle name="Migliaia 58 5" xfId="1926" xr:uid="{00000000-0005-0000-0000-0000A4040000}"/>
    <cellStyle name="Migliaia 58 5 2" xfId="5691" xr:uid="{B9E56DF8-AE4F-47A5-A55A-3C477068E13A}"/>
    <cellStyle name="Migliaia 58 5 3" xfId="6861" xr:uid="{A3A956BB-F4C0-42DC-919D-5EA429379891}"/>
    <cellStyle name="Migliaia 58 5 4" xfId="3965" xr:uid="{F5C704B9-A9D2-41F9-9C99-869DF209C58D}"/>
    <cellStyle name="Migliaia 58 6" xfId="3966" xr:uid="{BD17C660-E4C7-494F-B59A-0E20DCCD2D90}"/>
    <cellStyle name="Migliaia 58 6 2" xfId="5692" xr:uid="{3F9874D6-224D-42A5-8CE8-A572E24B63BE}"/>
    <cellStyle name="Migliaia 58 6 3" xfId="6862" xr:uid="{E5ADC67B-E1A7-4B20-8EEF-091596DAC3EC}"/>
    <cellStyle name="Migliaia 58 7" xfId="3967" xr:uid="{F9978227-2727-44BC-B9FD-FDC5A13EE1EA}"/>
    <cellStyle name="Migliaia 58 7 2" xfId="5693" xr:uid="{CD04C17F-6D48-459A-88CA-EE16136E8E59}"/>
    <cellStyle name="Migliaia 58 7 3" xfId="6863" xr:uid="{58805836-6D15-455D-88A7-1E8320359481}"/>
    <cellStyle name="Migliaia 58 8" xfId="3968" xr:uid="{528C1CAA-AB00-4D79-A225-ABECA78028AD}"/>
    <cellStyle name="Migliaia 58 8 2" xfId="5694" xr:uid="{117FE1EE-F589-452E-9B5D-1FFA0BE33BE1}"/>
    <cellStyle name="Migliaia 58 8 3" xfId="6864" xr:uid="{0DDA52FA-71AB-404B-BA41-AFB94EB58E5A}"/>
    <cellStyle name="Migliaia 58 9" xfId="5679" xr:uid="{E9E51658-06D7-4D8D-AA58-9049D704E8AF}"/>
    <cellStyle name="Migliaia 59" xfId="517" xr:uid="{00000000-0005-0000-0000-0000A5040000}"/>
    <cellStyle name="Migliaia 59 10" xfId="6865" xr:uid="{05C71309-C703-44CD-99F3-B85D15E903B8}"/>
    <cellStyle name="Migliaia 59 11" xfId="3969" xr:uid="{7E1BCFA6-1942-451F-AE8D-51DC3B421CFA}"/>
    <cellStyle name="Migliaia 59 2" xfId="518" xr:uid="{00000000-0005-0000-0000-0000A6040000}"/>
    <cellStyle name="Migliaia 59 2 2" xfId="1927" xr:uid="{00000000-0005-0000-0000-0000A7040000}"/>
    <cellStyle name="Migliaia 59 2 2 2" xfId="5697" xr:uid="{62940791-FC1B-4C34-972E-FCCC77E17FC6}"/>
    <cellStyle name="Migliaia 59 2 2 3" xfId="6867" xr:uid="{30515DBB-08B4-4142-A5B8-6990347A2470}"/>
    <cellStyle name="Migliaia 59 2 2 4" xfId="3971" xr:uid="{FCF536A5-5C22-4EEC-9302-B366A1E40A4D}"/>
    <cellStyle name="Migliaia 59 2 3" xfId="3972" xr:uid="{19961814-DD21-495A-87D6-B1D0C0771451}"/>
    <cellStyle name="Migliaia 59 2 3 2" xfId="5698" xr:uid="{624BDB64-A7ED-4B6D-9F03-08FA24EC6177}"/>
    <cellStyle name="Migliaia 59 2 3 3" xfId="6868" xr:uid="{112A2AAD-6FEE-4B78-8593-23883F73081E}"/>
    <cellStyle name="Migliaia 59 2 4" xfId="5696" xr:uid="{463D1497-2C96-4022-933E-533D26C6D4B0}"/>
    <cellStyle name="Migliaia 59 2 5" xfId="6866" xr:uid="{D8E9447B-45FB-4574-8CE4-0C2B98182208}"/>
    <cellStyle name="Migliaia 59 2 6" xfId="3970" xr:uid="{17DCF0A0-2785-4164-A982-BEE0FA0580B5}"/>
    <cellStyle name="Migliaia 59 3" xfId="519" xr:uid="{00000000-0005-0000-0000-0000A8040000}"/>
    <cellStyle name="Migliaia 59 3 2" xfId="520" xr:uid="{00000000-0005-0000-0000-0000A9040000}"/>
    <cellStyle name="Migliaia 59 3 2 2" xfId="1928" xr:uid="{00000000-0005-0000-0000-0000AA040000}"/>
    <cellStyle name="Migliaia 59 3 2 2 2" xfId="5701" xr:uid="{92E8663A-D553-4F37-950F-BBBE85F92F31}"/>
    <cellStyle name="Migliaia 59 3 2 2 3" xfId="6871" xr:uid="{342355E0-FB30-4330-A676-95949EA33997}"/>
    <cellStyle name="Migliaia 59 3 2 2 4" xfId="3975" xr:uid="{52AB5E2A-47D2-4DD4-AD12-9E8F1525D9FB}"/>
    <cellStyle name="Migliaia 59 3 2 3" xfId="5700" xr:uid="{68793C65-A3A2-4B10-A914-3B1470F8C98E}"/>
    <cellStyle name="Migliaia 59 3 2 4" xfId="6870" xr:uid="{24B6FDB7-B8D4-4B20-90CE-505931E428EE}"/>
    <cellStyle name="Migliaia 59 3 2 5" xfId="3974" xr:uid="{398FDF36-589A-418D-BB43-25ACC5B8F9CD}"/>
    <cellStyle name="Migliaia 59 3 3" xfId="3976" xr:uid="{4625AA40-09DF-45F3-8795-F7ED6769B6AA}"/>
    <cellStyle name="Migliaia 59 3 3 2" xfId="5702" xr:uid="{768748BF-3882-47E3-B1F2-5F2DEBA9144A}"/>
    <cellStyle name="Migliaia 59 3 3 3" xfId="6872" xr:uid="{1CF6A832-5738-4727-8ACC-CC68843EFE45}"/>
    <cellStyle name="Migliaia 59 3 4" xfId="3977" xr:uid="{08D5E87A-8A05-42CB-82C5-F65B0689DE5A}"/>
    <cellStyle name="Migliaia 59 3 4 2" xfId="5703" xr:uid="{0BD71147-08C3-444D-8CE9-E77B8B1D9009}"/>
    <cellStyle name="Migliaia 59 3 4 3" xfId="6873" xr:uid="{E2162269-1CA9-4CF4-AB4C-D8135E6C3009}"/>
    <cellStyle name="Migliaia 59 3 5" xfId="3978" xr:uid="{180CE4AE-5577-4EEC-8C20-EB63DD9A6F90}"/>
    <cellStyle name="Migliaia 59 3 5 2" xfId="5704" xr:uid="{C3DB03DF-A2FF-44BB-96B7-8B5AC90F08F0}"/>
    <cellStyle name="Migliaia 59 3 5 3" xfId="6874" xr:uid="{BD3A0EFF-2F98-497C-95D2-CFD402E7BA71}"/>
    <cellStyle name="Migliaia 59 3 6" xfId="5699" xr:uid="{E22542AF-051A-4C04-93E6-EB2E70A465F8}"/>
    <cellStyle name="Migliaia 59 3 7" xfId="6869" xr:uid="{7EC32BAE-D2B3-46E7-91CD-66AD26415B1F}"/>
    <cellStyle name="Migliaia 59 3 8" xfId="3973" xr:uid="{1177A450-7BEA-4C8F-8600-CA25E211D92C}"/>
    <cellStyle name="Migliaia 59 4" xfId="1929" xr:uid="{00000000-0005-0000-0000-0000AB040000}"/>
    <cellStyle name="Migliaia 59 4 2" xfId="1930" xr:uid="{00000000-0005-0000-0000-0000AC040000}"/>
    <cellStyle name="Migliaia 59 4 2 2" xfId="5706" xr:uid="{662E79CB-951C-4229-B6FE-A5C313F4F09D}"/>
    <cellStyle name="Migliaia 59 4 2 3" xfId="3980" xr:uid="{D23AD6A4-D431-43B1-B282-4292F65938A4}"/>
    <cellStyle name="Migliaia 59 4 3" xfId="5705" xr:uid="{9C815720-B59F-4F77-B72F-23DF3E0A9947}"/>
    <cellStyle name="Migliaia 59 4 4" xfId="6875" xr:uid="{25D4A860-4165-47FC-8ECC-3F5621BE761F}"/>
    <cellStyle name="Migliaia 59 4 5" xfId="3979" xr:uid="{BAC42A76-1D67-419A-8DAD-646E3C8130CF}"/>
    <cellStyle name="Migliaia 59 5" xfId="1931" xr:uid="{00000000-0005-0000-0000-0000AD040000}"/>
    <cellStyle name="Migliaia 59 5 2" xfId="5707" xr:uid="{C90EB476-1402-426C-BD9A-9ABE73BAC860}"/>
    <cellStyle name="Migliaia 59 5 3" xfId="6876" xr:uid="{C29CDFA8-F6E7-4CA7-A011-41D89C4B4975}"/>
    <cellStyle name="Migliaia 59 5 4" xfId="3981" xr:uid="{10BB5540-6CFA-4F54-859F-C0B2F9F6A061}"/>
    <cellStyle name="Migliaia 59 6" xfId="3982" xr:uid="{B0ABC0F7-5AD6-4B68-9306-A51D0EA67613}"/>
    <cellStyle name="Migliaia 59 6 2" xfId="5708" xr:uid="{5C892C50-02F7-482B-A90B-11A765B6E67D}"/>
    <cellStyle name="Migliaia 59 6 3" xfId="6877" xr:uid="{8AAF8921-C6BB-43C2-80CA-2BA034A89896}"/>
    <cellStyle name="Migliaia 59 7" xfId="3983" xr:uid="{531DD226-7E94-421D-8AEF-FA6F6AB22B57}"/>
    <cellStyle name="Migliaia 59 7 2" xfId="5709" xr:uid="{6BA661C8-9962-4EEA-ADE5-12DB2789D107}"/>
    <cellStyle name="Migliaia 59 7 3" xfId="6878" xr:uid="{074FBB88-0FBD-4304-B6E7-224A599185BE}"/>
    <cellStyle name="Migliaia 59 8" xfId="3984" xr:uid="{133E183A-45E2-47B2-AF7C-589F9AEB6EAA}"/>
    <cellStyle name="Migliaia 59 8 2" xfId="5710" xr:uid="{C02CDA08-3CC9-46C2-B452-4F470D43E808}"/>
    <cellStyle name="Migliaia 59 8 3" xfId="6879" xr:uid="{05CA00B1-4C40-4CF3-B184-934067E5CA9F}"/>
    <cellStyle name="Migliaia 59 9" xfId="5695" xr:uid="{8C920DCD-05B7-413F-ACE9-AEA14321E67F}"/>
    <cellStyle name="Migliaia 6" xfId="521" xr:uid="{00000000-0005-0000-0000-0000AE040000}"/>
    <cellStyle name="Migliaia 6 10" xfId="6880" xr:uid="{6FF015D3-8F7A-40F4-B864-D55219DA374E}"/>
    <cellStyle name="Migliaia 6 11" xfId="3985" xr:uid="{6B02B19B-A35D-4A57-AB0D-19F091249173}"/>
    <cellStyle name="Migliaia 6 2" xfId="522" xr:uid="{00000000-0005-0000-0000-0000AF040000}"/>
    <cellStyle name="Migliaia 6 2 2" xfId="1932" xr:uid="{00000000-0005-0000-0000-0000B0040000}"/>
    <cellStyle name="Migliaia 6 2 2 2" xfId="5713" xr:uid="{F0CB9972-2878-4969-8C7A-9968094A41FE}"/>
    <cellStyle name="Migliaia 6 2 2 3" xfId="6882" xr:uid="{0DD95619-07B9-449F-9528-63A5D06B02D6}"/>
    <cellStyle name="Migliaia 6 2 2 4" xfId="3987" xr:uid="{1B1F52FC-005D-4298-8702-F68D1E653F4B}"/>
    <cellStyle name="Migliaia 6 2 3" xfId="3988" xr:uid="{4584618F-4FC8-42A5-AC42-D0573505E831}"/>
    <cellStyle name="Migliaia 6 2 3 2" xfId="5714" xr:uid="{67F87C38-AC7B-46AB-A738-43C8AB854E27}"/>
    <cellStyle name="Migliaia 6 2 3 3" xfId="6883" xr:uid="{C652D428-3914-4EEE-918A-066AE13E8C37}"/>
    <cellStyle name="Migliaia 6 2 4" xfId="5712" xr:uid="{C9B27D02-8CA4-491A-8DE2-F30EB3BC0FB9}"/>
    <cellStyle name="Migliaia 6 2 5" xfId="6881" xr:uid="{421F14A9-BDDC-4A26-94E4-F9B5DA554F86}"/>
    <cellStyle name="Migliaia 6 2 6" xfId="3986" xr:uid="{74A8D4F2-B69F-4E7D-8A6C-30153657A013}"/>
    <cellStyle name="Migliaia 6 3" xfId="523" xr:uid="{00000000-0005-0000-0000-0000B1040000}"/>
    <cellStyle name="Migliaia 6 3 2" xfId="524" xr:uid="{00000000-0005-0000-0000-0000B2040000}"/>
    <cellStyle name="Migliaia 6 3 2 2" xfId="1933" xr:uid="{00000000-0005-0000-0000-0000B3040000}"/>
    <cellStyle name="Migliaia 6 3 2 2 2" xfId="5717" xr:uid="{55DFB909-3E5D-4035-B7BB-718588E2F705}"/>
    <cellStyle name="Migliaia 6 3 2 2 3" xfId="6886" xr:uid="{42FF2B44-2FE0-4DCB-A5F1-CEDB0C7D20F1}"/>
    <cellStyle name="Migliaia 6 3 2 2 4" xfId="3991" xr:uid="{F7D749BB-DA14-4C79-BEC6-3277E7119227}"/>
    <cellStyle name="Migliaia 6 3 2 3" xfId="5716" xr:uid="{7764E4F6-B036-43D0-818E-78D576BCFC51}"/>
    <cellStyle name="Migliaia 6 3 2 4" xfId="6885" xr:uid="{E83D24DC-09BE-4F48-A4CB-FF04B3B128CF}"/>
    <cellStyle name="Migliaia 6 3 2 5" xfId="3990" xr:uid="{D5237CE1-7032-432B-A742-00324ED5D853}"/>
    <cellStyle name="Migliaia 6 3 3" xfId="3992" xr:uid="{4375E1AD-63F8-46C0-9A15-29840F8042FF}"/>
    <cellStyle name="Migliaia 6 3 3 2" xfId="5718" xr:uid="{48889843-A9E5-4493-9FEE-D567708D5555}"/>
    <cellStyle name="Migliaia 6 3 3 3" xfId="6887" xr:uid="{CA980769-F128-4C12-81AA-CB93BB3BCCEC}"/>
    <cellStyle name="Migliaia 6 3 4" xfId="3993" xr:uid="{D15491D4-9DC5-463C-9D34-6E9869B2EC0E}"/>
    <cellStyle name="Migliaia 6 3 4 2" xfId="5719" xr:uid="{2F9A4EE6-1E69-4773-84E8-3486C6015EEC}"/>
    <cellStyle name="Migliaia 6 3 4 3" xfId="6888" xr:uid="{595F4018-E261-4CD0-8AFA-75AFE1EEE35D}"/>
    <cellStyle name="Migliaia 6 3 5" xfId="3994" xr:uid="{555D6B7E-D4C7-49CD-AA27-4C4BD7D40316}"/>
    <cellStyle name="Migliaia 6 3 5 2" xfId="5720" xr:uid="{D0D8A614-E196-4622-B081-F734ADB0A9B6}"/>
    <cellStyle name="Migliaia 6 3 5 3" xfId="6889" xr:uid="{A8D124A1-51A0-4215-86AF-2F06F4343EC8}"/>
    <cellStyle name="Migliaia 6 3 6" xfId="5715" xr:uid="{9F3B3942-DC6C-4222-8F55-996956E1DEBE}"/>
    <cellStyle name="Migliaia 6 3 7" xfId="6884" xr:uid="{0ECE495E-084A-46E0-A01A-FC5E85625367}"/>
    <cellStyle name="Migliaia 6 3 8" xfId="3989" xr:uid="{8359E085-2CE7-4883-80F5-C06CFFF2E583}"/>
    <cellStyle name="Migliaia 6 4" xfId="1934" xr:uid="{00000000-0005-0000-0000-0000B4040000}"/>
    <cellStyle name="Migliaia 6 4 2" xfId="1935" xr:uid="{00000000-0005-0000-0000-0000B5040000}"/>
    <cellStyle name="Migliaia 6 4 2 2" xfId="5722" xr:uid="{159DE8BB-1FDD-45CF-9C4F-F1CA3114CA6D}"/>
    <cellStyle name="Migliaia 6 4 2 3" xfId="3996" xr:uid="{8D91E353-ED47-4478-A89A-F018C5CCBFB3}"/>
    <cellStyle name="Migliaia 6 4 3" xfId="5721" xr:uid="{A25F62C1-9D94-450E-A177-5DD255752869}"/>
    <cellStyle name="Migliaia 6 4 4" xfId="6890" xr:uid="{99A02547-A92D-4271-B98F-88DDFABEFE91}"/>
    <cellStyle name="Migliaia 6 4 5" xfId="3995" xr:uid="{E6EC6B55-1A16-4FF1-926F-7EF06CB7ACCA}"/>
    <cellStyle name="Migliaia 6 5" xfId="1936" xr:uid="{00000000-0005-0000-0000-0000B6040000}"/>
    <cellStyle name="Migliaia 6 5 2" xfId="5723" xr:uid="{E9452114-3106-42A3-9F0B-E9519DD3B81D}"/>
    <cellStyle name="Migliaia 6 5 3" xfId="6891" xr:uid="{1E1A828A-717A-4CAE-90EE-50792B070CD6}"/>
    <cellStyle name="Migliaia 6 5 4" xfId="3997" xr:uid="{63388B25-521D-456C-AFA3-3B13A6B435F2}"/>
    <cellStyle name="Migliaia 6 6" xfId="3998" xr:uid="{71A25357-8FAB-4752-A9AB-25498CEBFB33}"/>
    <cellStyle name="Migliaia 6 6 2" xfId="5724" xr:uid="{3E5C83BC-A4DB-42C8-82FB-48822C24C948}"/>
    <cellStyle name="Migliaia 6 6 3" xfId="6892" xr:uid="{AC7B38C9-F4B3-43C9-BAD9-0FA9926DF3D1}"/>
    <cellStyle name="Migliaia 6 7" xfId="3999" xr:uid="{640196F7-83F3-43AE-8089-7E55E0BBB1A1}"/>
    <cellStyle name="Migliaia 6 7 2" xfId="5725" xr:uid="{ECFE4E75-15C7-4891-B4B8-AABBBE8DC4D1}"/>
    <cellStyle name="Migliaia 6 7 3" xfId="6893" xr:uid="{DAA68D4A-5EE0-4FFE-A25B-6754111481EF}"/>
    <cellStyle name="Migliaia 6 8" xfId="4000" xr:uid="{8AA67740-0DD2-471F-9D0C-6D342C97ADEA}"/>
    <cellStyle name="Migliaia 6 8 2" xfId="5726" xr:uid="{64F3445A-06EC-4286-8CCA-D24FEE836B7C}"/>
    <cellStyle name="Migliaia 6 8 3" xfId="6894" xr:uid="{D072380F-86C2-4190-839B-B1B3DADB0D5F}"/>
    <cellStyle name="Migliaia 6 9" xfId="5711" xr:uid="{90CB8623-CDE7-4A82-8259-E06609741E91}"/>
    <cellStyle name="Migliaia 60" xfId="525" xr:uid="{00000000-0005-0000-0000-0000B7040000}"/>
    <cellStyle name="Migliaia 60 10" xfId="6895" xr:uid="{B9BC1757-6C28-43DB-94D2-258B7312A454}"/>
    <cellStyle name="Migliaia 60 11" xfId="4001" xr:uid="{01271245-E097-4E07-9C57-AD227ADFBFE9}"/>
    <cellStyle name="Migliaia 60 2" xfId="526" xr:uid="{00000000-0005-0000-0000-0000B8040000}"/>
    <cellStyle name="Migliaia 60 2 2" xfId="1937" xr:uid="{00000000-0005-0000-0000-0000B9040000}"/>
    <cellStyle name="Migliaia 60 2 2 2" xfId="5729" xr:uid="{E8E90049-B7E1-4B1F-BE1A-8AEAE8F5E2B0}"/>
    <cellStyle name="Migliaia 60 2 2 3" xfId="6897" xr:uid="{7A662D1B-B423-4AC6-830C-D6522F084461}"/>
    <cellStyle name="Migliaia 60 2 2 4" xfId="4003" xr:uid="{B33F874A-D2E5-459C-8CBC-BBCFA5659CB8}"/>
    <cellStyle name="Migliaia 60 2 3" xfId="4004" xr:uid="{9E09FCA5-168F-46C7-AEB9-E40DA8254710}"/>
    <cellStyle name="Migliaia 60 2 3 2" xfId="5730" xr:uid="{CB821AB2-4F81-4609-B47B-1D4788BDA8B6}"/>
    <cellStyle name="Migliaia 60 2 3 3" xfId="6898" xr:uid="{A0A20921-5323-4BC0-A00E-5879CDCBF050}"/>
    <cellStyle name="Migliaia 60 2 4" xfId="5728" xr:uid="{02C2B89A-C30A-45D6-BAEE-9D7ACCE35542}"/>
    <cellStyle name="Migliaia 60 2 5" xfId="6896" xr:uid="{071117BE-EA62-485D-8268-DB432E4DB7EF}"/>
    <cellStyle name="Migliaia 60 2 6" xfId="4002" xr:uid="{B571F1DE-CD08-4992-A2E6-BA66CF7EBBDB}"/>
    <cellStyle name="Migliaia 60 3" xfId="527" xr:uid="{00000000-0005-0000-0000-0000BA040000}"/>
    <cellStyle name="Migliaia 60 3 2" xfId="528" xr:uid="{00000000-0005-0000-0000-0000BB040000}"/>
    <cellStyle name="Migliaia 60 3 2 2" xfId="1938" xr:uid="{00000000-0005-0000-0000-0000BC040000}"/>
    <cellStyle name="Migliaia 60 3 2 2 2" xfId="5733" xr:uid="{E48901DD-7636-4631-92DD-82F268962BA0}"/>
    <cellStyle name="Migliaia 60 3 2 2 3" xfId="6901" xr:uid="{D9311C87-8566-4886-B993-CA3C54EDEC7C}"/>
    <cellStyle name="Migliaia 60 3 2 2 4" xfId="4007" xr:uid="{464AC856-3A1D-4100-BA53-BE6A9D8D2CD7}"/>
    <cellStyle name="Migliaia 60 3 2 3" xfId="5732" xr:uid="{6E69AE47-27DE-4953-8D16-5F88EAECC4A6}"/>
    <cellStyle name="Migliaia 60 3 2 4" xfId="6900" xr:uid="{2B741818-763D-4849-8FB7-2A4428D8C4F3}"/>
    <cellStyle name="Migliaia 60 3 2 5" xfId="4006" xr:uid="{9DF76BB5-32EE-463E-95DC-AFDD4B9387D9}"/>
    <cellStyle name="Migliaia 60 3 3" xfId="4008" xr:uid="{B88B0314-4626-49A4-A6EF-7EC04089FE98}"/>
    <cellStyle name="Migliaia 60 3 3 2" xfId="5734" xr:uid="{08FB6EE2-7D97-4734-9678-838D2B1E92FB}"/>
    <cellStyle name="Migliaia 60 3 3 3" xfId="6902" xr:uid="{D371E093-E284-49B4-B3EE-A42DB7F2566F}"/>
    <cellStyle name="Migliaia 60 3 4" xfId="4009" xr:uid="{AA60A637-919D-4D1F-9A0A-C78697BAE7B2}"/>
    <cellStyle name="Migliaia 60 3 4 2" xfId="5735" xr:uid="{06ABAEB4-95B8-4140-B147-AFA2FA315057}"/>
    <cellStyle name="Migliaia 60 3 4 3" xfId="6903" xr:uid="{063CFC75-FE31-4C53-8868-69CE6950C5AF}"/>
    <cellStyle name="Migliaia 60 3 5" xfId="4010" xr:uid="{C48E4ECE-2A4D-41A7-B64B-D234CEE0C308}"/>
    <cellStyle name="Migliaia 60 3 5 2" xfId="5736" xr:uid="{DA1AAEBE-6432-4801-A049-F282B9B35673}"/>
    <cellStyle name="Migliaia 60 3 5 3" xfId="6904" xr:uid="{405A201B-82E3-43F9-93A9-BF6790FA0F60}"/>
    <cellStyle name="Migliaia 60 3 6" xfId="5731" xr:uid="{72BE31CA-5C90-478D-9E97-2F5357207F69}"/>
    <cellStyle name="Migliaia 60 3 7" xfId="6899" xr:uid="{D0A361DC-1E0F-4413-9F05-3266F01B2E54}"/>
    <cellStyle name="Migliaia 60 3 8" xfId="4005" xr:uid="{3CAEBF58-AFF2-4E51-9F4B-1E5D4E84335B}"/>
    <cellStyle name="Migliaia 60 4" xfId="1939" xr:uid="{00000000-0005-0000-0000-0000BD040000}"/>
    <cellStyle name="Migliaia 60 4 2" xfId="1940" xr:uid="{00000000-0005-0000-0000-0000BE040000}"/>
    <cellStyle name="Migliaia 60 4 2 2" xfId="5738" xr:uid="{6FA717F5-2FAF-4F42-9C70-8D7551DBA312}"/>
    <cellStyle name="Migliaia 60 4 2 3" xfId="4012" xr:uid="{F1AC3A86-90B7-41BE-A358-C1EB138FA038}"/>
    <cellStyle name="Migliaia 60 4 3" xfId="5737" xr:uid="{46E40743-CED9-4BB0-8F45-BF3AD632E03A}"/>
    <cellStyle name="Migliaia 60 4 4" xfId="6905" xr:uid="{04EB69FA-DF80-4050-8B00-9006751E6441}"/>
    <cellStyle name="Migliaia 60 4 5" xfId="4011" xr:uid="{4EAE7764-ADEF-451E-99DD-4F8CD5E91DAF}"/>
    <cellStyle name="Migliaia 60 5" xfId="1941" xr:uid="{00000000-0005-0000-0000-0000BF040000}"/>
    <cellStyle name="Migliaia 60 5 2" xfId="5739" xr:uid="{E38962C9-A1AA-40F7-8F66-3194A4D277F1}"/>
    <cellStyle name="Migliaia 60 5 3" xfId="6906" xr:uid="{45B0DF2F-BC78-425F-81CA-C95247B1D9AB}"/>
    <cellStyle name="Migliaia 60 5 4" xfId="4013" xr:uid="{C8D9AF4B-81DF-450A-BA59-28BB253A7C59}"/>
    <cellStyle name="Migliaia 60 6" xfId="4014" xr:uid="{A4C9FF9A-E82B-4B1C-9162-B4E8FF9261E2}"/>
    <cellStyle name="Migliaia 60 6 2" xfId="5740" xr:uid="{74FB8CC8-0B0B-4663-B1BD-C0A8154AE315}"/>
    <cellStyle name="Migliaia 60 6 3" xfId="6907" xr:uid="{76448804-D996-469D-8EE7-12B4922071FC}"/>
    <cellStyle name="Migliaia 60 7" xfId="4015" xr:uid="{E9392378-1A6E-4B87-B7DF-411B98CC9D8C}"/>
    <cellStyle name="Migliaia 60 7 2" xfId="5741" xr:uid="{F1933EF3-34DB-4B5F-A96C-D8FB58DD540B}"/>
    <cellStyle name="Migliaia 60 7 3" xfId="6908" xr:uid="{5D8E54D9-1876-41D4-9615-43E137FF27AE}"/>
    <cellStyle name="Migliaia 60 8" xfId="4016" xr:uid="{D66217FA-D2E3-4FE0-89D1-2C0262EABC8A}"/>
    <cellStyle name="Migliaia 60 8 2" xfId="5742" xr:uid="{B1DB4880-F796-4E33-B39E-81D870CC7E9D}"/>
    <cellStyle name="Migliaia 60 8 3" xfId="6909" xr:uid="{72310718-219B-40C1-80A8-E4D1B54B195A}"/>
    <cellStyle name="Migliaia 60 9" xfId="5727" xr:uid="{51375491-4BFA-41A3-AA1D-A3FE3E051978}"/>
    <cellStyle name="Migliaia 61" xfId="529" xr:uid="{00000000-0005-0000-0000-0000C0040000}"/>
    <cellStyle name="Migliaia 61 10" xfId="6910" xr:uid="{CCBB74EF-B743-4EA6-A9BA-187DB221C7B2}"/>
    <cellStyle name="Migliaia 61 11" xfId="4017" xr:uid="{F69AFA85-74FD-4ECB-8A89-D7BC10BE4841}"/>
    <cellStyle name="Migliaia 61 2" xfId="530" xr:uid="{00000000-0005-0000-0000-0000C1040000}"/>
    <cellStyle name="Migliaia 61 2 2" xfId="1942" xr:uid="{00000000-0005-0000-0000-0000C2040000}"/>
    <cellStyle name="Migliaia 61 2 2 2" xfId="5745" xr:uid="{8252E4F2-869E-4FA0-AC07-68F58025B115}"/>
    <cellStyle name="Migliaia 61 2 2 3" xfId="6912" xr:uid="{ED7855B8-ECBF-4BE3-A268-48A30308F794}"/>
    <cellStyle name="Migliaia 61 2 2 4" xfId="4019" xr:uid="{F69A2CF5-5543-41EB-B28F-914BE4665B76}"/>
    <cellStyle name="Migliaia 61 2 3" xfId="4020" xr:uid="{C5CDB313-8AFE-4F4F-995D-00ACB9C0DE35}"/>
    <cellStyle name="Migliaia 61 2 3 2" xfId="5746" xr:uid="{4BF3182E-AA8D-4128-A969-F8AD7353AF3F}"/>
    <cellStyle name="Migliaia 61 2 3 3" xfId="6913" xr:uid="{4D105EC7-D0E6-4F3F-A169-A80418ECFD45}"/>
    <cellStyle name="Migliaia 61 2 4" xfId="5744" xr:uid="{1E234216-21A3-4F18-99C8-948B8733735A}"/>
    <cellStyle name="Migliaia 61 2 5" xfId="6911" xr:uid="{319FF08B-4146-4A70-961C-974FBCCEA648}"/>
    <cellStyle name="Migliaia 61 2 6" xfId="4018" xr:uid="{1B93B1C6-8910-44C7-B27C-1B16D079A8D8}"/>
    <cellStyle name="Migliaia 61 3" xfId="531" xr:uid="{00000000-0005-0000-0000-0000C3040000}"/>
    <cellStyle name="Migliaia 61 3 2" xfId="532" xr:uid="{00000000-0005-0000-0000-0000C4040000}"/>
    <cellStyle name="Migliaia 61 3 2 2" xfId="1943" xr:uid="{00000000-0005-0000-0000-0000C5040000}"/>
    <cellStyle name="Migliaia 61 3 2 2 2" xfId="5749" xr:uid="{10B71D0F-63DF-4164-BBAD-B356F0444C12}"/>
    <cellStyle name="Migliaia 61 3 2 2 3" xfId="6916" xr:uid="{A4763AFD-B718-4F15-B675-4EBA05ABAF90}"/>
    <cellStyle name="Migliaia 61 3 2 2 4" xfId="4023" xr:uid="{9AC3E9FC-1E27-48A5-9591-F09BAA5A1316}"/>
    <cellStyle name="Migliaia 61 3 2 3" xfId="5748" xr:uid="{3D1B12C4-9717-4CAF-88CB-BDB70B143DD4}"/>
    <cellStyle name="Migliaia 61 3 2 4" xfId="6915" xr:uid="{FAA1537C-B1DA-470B-92CF-EB18D0691F8A}"/>
    <cellStyle name="Migliaia 61 3 2 5" xfId="4022" xr:uid="{28F86807-3BB5-47E0-9FA2-1F5D75B1EFB4}"/>
    <cellStyle name="Migliaia 61 3 3" xfId="4024" xr:uid="{F2083E75-8C8B-4F9E-8E22-B1A4E67BD821}"/>
    <cellStyle name="Migliaia 61 3 3 2" xfId="5750" xr:uid="{5BBB10B1-1B57-42E0-8845-E6B96F07E206}"/>
    <cellStyle name="Migliaia 61 3 3 3" xfId="6917" xr:uid="{B252B2DC-62E3-4F3F-AFC2-DC7BB35B608A}"/>
    <cellStyle name="Migliaia 61 3 4" xfId="4025" xr:uid="{FC13DC0E-42E6-4E59-9AD2-83CA28653081}"/>
    <cellStyle name="Migliaia 61 3 4 2" xfId="5751" xr:uid="{AF40E1E8-27EB-4228-9FB8-25261046D3FE}"/>
    <cellStyle name="Migliaia 61 3 4 3" xfId="6918" xr:uid="{D8266C25-03F6-4922-AF56-6F993D234BFE}"/>
    <cellStyle name="Migliaia 61 3 5" xfId="4026" xr:uid="{3DE8B424-DBDF-4B02-B2D6-84FC6BB790CF}"/>
    <cellStyle name="Migliaia 61 3 5 2" xfId="5752" xr:uid="{74763CE4-8521-42F7-9F26-F6E7C2D3A27E}"/>
    <cellStyle name="Migliaia 61 3 5 3" xfId="6919" xr:uid="{3D574DF4-2297-46C1-AC01-27749EB1E3AF}"/>
    <cellStyle name="Migliaia 61 3 6" xfId="5747" xr:uid="{91B8830D-68B8-4611-993B-2BF637C35280}"/>
    <cellStyle name="Migliaia 61 3 7" xfId="6914" xr:uid="{86604F9A-465F-48A6-A7B6-2EB1CC263B37}"/>
    <cellStyle name="Migliaia 61 3 8" xfId="4021" xr:uid="{4E8EADA5-BAB0-45D3-8370-2CC07EDB714F}"/>
    <cellStyle name="Migliaia 61 4" xfId="1944" xr:uid="{00000000-0005-0000-0000-0000C6040000}"/>
    <cellStyle name="Migliaia 61 4 2" xfId="1945" xr:uid="{00000000-0005-0000-0000-0000C7040000}"/>
    <cellStyle name="Migliaia 61 4 2 2" xfId="5754" xr:uid="{AA9FB46E-D174-42DE-A46F-6F297BAA0346}"/>
    <cellStyle name="Migliaia 61 4 2 3" xfId="4028" xr:uid="{71549CE8-B4DC-4BCB-8C1F-E57321EC9B59}"/>
    <cellStyle name="Migliaia 61 4 3" xfId="5753" xr:uid="{932B2A33-4B64-48BB-9B19-35D6ED26253D}"/>
    <cellStyle name="Migliaia 61 4 4" xfId="6920" xr:uid="{EE779C50-69CD-428F-8121-A84115AC7295}"/>
    <cellStyle name="Migliaia 61 4 5" xfId="4027" xr:uid="{BD7FB8F1-43C3-48EA-925E-D7764F22C5BB}"/>
    <cellStyle name="Migliaia 61 5" xfId="1946" xr:uid="{00000000-0005-0000-0000-0000C8040000}"/>
    <cellStyle name="Migliaia 61 5 2" xfId="5755" xr:uid="{A3AD802E-F763-48E5-9F38-1C0E0AA74F7F}"/>
    <cellStyle name="Migliaia 61 5 3" xfId="6921" xr:uid="{13DCA814-3617-4045-AD42-C7E91851F58F}"/>
    <cellStyle name="Migliaia 61 5 4" xfId="4029" xr:uid="{59BDD42F-F781-4454-8255-513BB77C07C5}"/>
    <cellStyle name="Migliaia 61 6" xfId="4030" xr:uid="{7843036D-5F9C-4B94-9673-F3D09FDFDC3A}"/>
    <cellStyle name="Migliaia 61 6 2" xfId="5756" xr:uid="{528A52E9-CB1C-4509-910B-0DCA97586AB6}"/>
    <cellStyle name="Migliaia 61 6 3" xfId="6922" xr:uid="{CFCDAB9B-8FD6-42EA-9778-2D578AA6385B}"/>
    <cellStyle name="Migliaia 61 7" xfId="4031" xr:uid="{923371A1-25D8-4D4A-A8EC-638D0638642C}"/>
    <cellStyle name="Migliaia 61 7 2" xfId="5757" xr:uid="{4F84D7A4-E967-463D-ADCB-70B0C70A4B53}"/>
    <cellStyle name="Migliaia 61 7 3" xfId="6923" xr:uid="{99527448-33E1-424D-B900-5DC1597A49C2}"/>
    <cellStyle name="Migliaia 61 8" xfId="4032" xr:uid="{4EB147DB-DDB2-4B0E-9BC3-DA5723F9928A}"/>
    <cellStyle name="Migliaia 61 8 2" xfId="5758" xr:uid="{F265A75F-DAAB-4E08-82F4-E77F7E7BB5EA}"/>
    <cellStyle name="Migliaia 61 8 3" xfId="6924" xr:uid="{93063E19-0A7F-4104-B41F-BFAF1351EA44}"/>
    <cellStyle name="Migliaia 61 9" xfId="5743" xr:uid="{728D6198-5EC1-4445-9BEA-D67D8DAB3D1B}"/>
    <cellStyle name="Migliaia 7" xfId="533" xr:uid="{00000000-0005-0000-0000-0000C9040000}"/>
    <cellStyle name="Migliaia 7 10" xfId="6925" xr:uid="{61B092CD-C41F-4B75-AC8B-CF7BC56C95F1}"/>
    <cellStyle name="Migliaia 7 11" xfId="4033" xr:uid="{03C07C10-7A73-4C43-8427-9F8DBACF9983}"/>
    <cellStyle name="Migliaia 7 2" xfId="534" xr:uid="{00000000-0005-0000-0000-0000CA040000}"/>
    <cellStyle name="Migliaia 7 2 2" xfId="1947" xr:uid="{00000000-0005-0000-0000-0000CB040000}"/>
    <cellStyle name="Migliaia 7 2 2 2" xfId="5761" xr:uid="{3EF6181B-5B38-4CF6-A716-674262451153}"/>
    <cellStyle name="Migliaia 7 2 2 3" xfId="6927" xr:uid="{20F55CC5-373D-4830-9120-15967E423B31}"/>
    <cellStyle name="Migliaia 7 2 2 4" xfId="4035" xr:uid="{328666BE-35AF-4130-A4C6-D36F2D5E3CA5}"/>
    <cellStyle name="Migliaia 7 2 3" xfId="4036" xr:uid="{305EA2A1-8664-486C-9C60-5E43DE78BB7C}"/>
    <cellStyle name="Migliaia 7 2 3 2" xfId="5762" xr:uid="{DF455734-61CE-46AB-8D2D-70937A6FCE33}"/>
    <cellStyle name="Migliaia 7 2 3 3" xfId="6928" xr:uid="{0098B76F-FC61-47B4-A884-068F15403A62}"/>
    <cellStyle name="Migliaia 7 2 4" xfId="5760" xr:uid="{98E6110F-DCCB-4E8F-ACCD-92F873333EDC}"/>
    <cellStyle name="Migliaia 7 2 5" xfId="6926" xr:uid="{DB5C0626-FFB8-4613-9035-8BD2ED2634C2}"/>
    <cellStyle name="Migliaia 7 2 6" xfId="4034" xr:uid="{B562C66B-87E0-4845-90E8-4EC9B12C5C3A}"/>
    <cellStyle name="Migliaia 7 3" xfId="535" xr:uid="{00000000-0005-0000-0000-0000CC040000}"/>
    <cellStyle name="Migliaia 7 3 2" xfId="536" xr:uid="{00000000-0005-0000-0000-0000CD040000}"/>
    <cellStyle name="Migliaia 7 3 2 2" xfId="1948" xr:uid="{00000000-0005-0000-0000-0000CE040000}"/>
    <cellStyle name="Migliaia 7 3 2 2 2" xfId="5765" xr:uid="{D4E3C42F-282F-418F-B05D-EFAAA261656A}"/>
    <cellStyle name="Migliaia 7 3 2 2 3" xfId="6931" xr:uid="{86AD5B28-3C98-4473-AE49-406656A02C2F}"/>
    <cellStyle name="Migliaia 7 3 2 2 4" xfId="4039" xr:uid="{C4D1A235-C67C-43B2-B135-FF454A9D4086}"/>
    <cellStyle name="Migliaia 7 3 2 3" xfId="5764" xr:uid="{BB3B9352-54B1-4188-AF29-84609E44CCA3}"/>
    <cellStyle name="Migliaia 7 3 2 4" xfId="6930" xr:uid="{FA97F6C9-5E93-45DF-A565-B2F6889E2A60}"/>
    <cellStyle name="Migliaia 7 3 2 5" xfId="4038" xr:uid="{863F0336-2742-473E-AA34-4F5748070AC0}"/>
    <cellStyle name="Migliaia 7 3 3" xfId="4040" xr:uid="{4E100DFE-81D4-4D91-90A0-4F3B02A793FB}"/>
    <cellStyle name="Migliaia 7 3 3 2" xfId="5766" xr:uid="{CD575548-72E2-49CB-8034-C5BDBB5C835A}"/>
    <cellStyle name="Migliaia 7 3 3 3" xfId="6932" xr:uid="{1428600E-24D1-4A85-BEE5-D0A7EC1096BA}"/>
    <cellStyle name="Migliaia 7 3 4" xfId="4041" xr:uid="{333A6446-58D5-428E-B4C0-4469AC20C007}"/>
    <cellStyle name="Migliaia 7 3 4 2" xfId="5767" xr:uid="{E1BD2161-8F9E-4993-A555-19F8AD9A7D29}"/>
    <cellStyle name="Migliaia 7 3 4 3" xfId="6933" xr:uid="{A08F6748-4D51-446C-94C3-6D6B7E0EB054}"/>
    <cellStyle name="Migliaia 7 3 5" xfId="4042" xr:uid="{8AFF810F-FF20-48D0-9403-B4C4BD1B873E}"/>
    <cellStyle name="Migliaia 7 3 5 2" xfId="5768" xr:uid="{9B8F1404-B125-41F3-8C79-BF58551CEA0C}"/>
    <cellStyle name="Migliaia 7 3 5 3" xfId="6934" xr:uid="{9D989CE6-4BD3-41ED-B5D0-3C3B96A43034}"/>
    <cellStyle name="Migliaia 7 3 6" xfId="5763" xr:uid="{C437E233-4560-4CFE-A604-096AE3089A83}"/>
    <cellStyle name="Migliaia 7 3 7" xfId="6929" xr:uid="{D6053B9C-72F6-4438-8894-97705D338C55}"/>
    <cellStyle name="Migliaia 7 3 8" xfId="4037" xr:uid="{D7676ACD-2BE0-4B74-95B3-F2F384CED63A}"/>
    <cellStyle name="Migliaia 7 4" xfId="1949" xr:uid="{00000000-0005-0000-0000-0000CF040000}"/>
    <cellStyle name="Migliaia 7 4 2" xfId="1950" xr:uid="{00000000-0005-0000-0000-0000D0040000}"/>
    <cellStyle name="Migliaia 7 4 2 2" xfId="5770" xr:uid="{BCC4ADDC-E696-4619-9C43-5BEF7B9B1A5C}"/>
    <cellStyle name="Migliaia 7 4 2 3" xfId="4044" xr:uid="{45C78FEA-24A0-4636-B85D-9D9682CD9342}"/>
    <cellStyle name="Migliaia 7 4 3" xfId="5769" xr:uid="{835577E3-A207-477A-8D61-CDF29FE2CF12}"/>
    <cellStyle name="Migliaia 7 4 4" xfId="6935" xr:uid="{4736DBD1-8E8B-4099-BBBA-7F65146D4C5A}"/>
    <cellStyle name="Migliaia 7 4 5" xfId="4043" xr:uid="{A0FB0745-B555-42F7-9AC1-EF73EB14644A}"/>
    <cellStyle name="Migliaia 7 5" xfId="1951" xr:uid="{00000000-0005-0000-0000-0000D1040000}"/>
    <cellStyle name="Migliaia 7 5 2" xfId="5771" xr:uid="{002632B1-AB3C-4763-9AAF-83AA2D4BEB81}"/>
    <cellStyle name="Migliaia 7 5 3" xfId="6936" xr:uid="{E1918868-936D-42BD-ADC3-E03688033D38}"/>
    <cellStyle name="Migliaia 7 5 4" xfId="4045" xr:uid="{21AAB6AF-FB95-48C8-B2DC-F45D4F66FDFC}"/>
    <cellStyle name="Migliaia 7 6" xfId="4046" xr:uid="{45BB8103-A4D4-4395-A6DB-7E049D78584A}"/>
    <cellStyle name="Migliaia 7 6 2" xfId="5772" xr:uid="{4BD32CA3-F614-465A-B6B3-B55EEE94ABF5}"/>
    <cellStyle name="Migliaia 7 6 3" xfId="6937" xr:uid="{0BA02215-AA6A-4C63-A68E-AD1425C93165}"/>
    <cellStyle name="Migliaia 7 7" xfId="4047" xr:uid="{058B7C75-986B-4938-B9E1-BE8704A6BE63}"/>
    <cellStyle name="Migliaia 7 7 2" xfId="5773" xr:uid="{6C317DA2-D567-416A-99E9-5FF5B1EE2107}"/>
    <cellStyle name="Migliaia 7 7 3" xfId="6938" xr:uid="{CD139268-3FE5-4F21-9C06-770ED01198AA}"/>
    <cellStyle name="Migliaia 7 8" xfId="4048" xr:uid="{F291C5A0-E741-4085-896E-912335925A81}"/>
    <cellStyle name="Migliaia 7 8 2" xfId="5774" xr:uid="{004F08B0-91AA-44ED-8854-E2372DEC676E}"/>
    <cellStyle name="Migliaia 7 8 3" xfId="6939" xr:uid="{2753721D-0928-4BF5-BD70-305E454C310F}"/>
    <cellStyle name="Migliaia 7 9" xfId="5759" xr:uid="{9AF9A528-99A9-4B7B-B9D0-CC06B09BAFA3}"/>
    <cellStyle name="Migliaia 8" xfId="537" xr:uid="{00000000-0005-0000-0000-0000D2040000}"/>
    <cellStyle name="Migliaia 8 10" xfId="6940" xr:uid="{42732290-0D34-4357-9908-9669684615F5}"/>
    <cellStyle name="Migliaia 8 11" xfId="4049" xr:uid="{EA5BE971-B2A5-4A9F-B3AD-9A906962C9A3}"/>
    <cellStyle name="Migliaia 8 2" xfId="538" xr:uid="{00000000-0005-0000-0000-0000D3040000}"/>
    <cellStyle name="Migliaia 8 2 2" xfId="1952" xr:uid="{00000000-0005-0000-0000-0000D4040000}"/>
    <cellStyle name="Migliaia 8 2 2 2" xfId="5777" xr:uid="{198B8A53-891D-4DDE-8E39-BB5502252E55}"/>
    <cellStyle name="Migliaia 8 2 2 3" xfId="6942" xr:uid="{FF03437A-E241-474D-812F-59A357D88991}"/>
    <cellStyle name="Migliaia 8 2 2 4" xfId="4051" xr:uid="{C2966A30-CD7C-456B-8769-64314EC554C8}"/>
    <cellStyle name="Migliaia 8 2 3" xfId="4052" xr:uid="{19546196-290B-454C-BC62-71CA7E0989AE}"/>
    <cellStyle name="Migliaia 8 2 3 2" xfId="5778" xr:uid="{64BF85C6-DEB6-4A51-82CF-EDD32F712F22}"/>
    <cellStyle name="Migliaia 8 2 3 3" xfId="6943" xr:uid="{6976F27C-3C6B-41B5-939D-016EC96E0C2F}"/>
    <cellStyle name="Migliaia 8 2 4" xfId="5776" xr:uid="{A4B6968D-67E5-4C3E-B48F-38F3188C867D}"/>
    <cellStyle name="Migliaia 8 2 5" xfId="6941" xr:uid="{3CB1A946-BB27-429D-8F93-4F0C709B34FE}"/>
    <cellStyle name="Migliaia 8 2 6" xfId="4050" xr:uid="{2412CB90-CD2D-470C-B126-6D85C0B70FA8}"/>
    <cellStyle name="Migliaia 8 3" xfId="539" xr:uid="{00000000-0005-0000-0000-0000D5040000}"/>
    <cellStyle name="Migliaia 8 3 2" xfId="540" xr:uid="{00000000-0005-0000-0000-0000D6040000}"/>
    <cellStyle name="Migliaia 8 3 2 2" xfId="1953" xr:uid="{00000000-0005-0000-0000-0000D7040000}"/>
    <cellStyle name="Migliaia 8 3 2 2 2" xfId="5781" xr:uid="{55476D72-608F-4B23-A911-953C4EE76FA3}"/>
    <cellStyle name="Migliaia 8 3 2 2 3" xfId="6946" xr:uid="{5BF4C390-7D92-48D5-AC2B-D0AF5D51F4DC}"/>
    <cellStyle name="Migliaia 8 3 2 2 4" xfId="4055" xr:uid="{CC33838A-0484-4FD2-B4CB-4A04BC99661E}"/>
    <cellStyle name="Migliaia 8 3 2 3" xfId="5780" xr:uid="{240C5528-6D90-41D5-9DAB-AD2EC0A5B3A6}"/>
    <cellStyle name="Migliaia 8 3 2 4" xfId="6945" xr:uid="{FE8F7CF1-3510-44EC-94E4-6A6F3D91E842}"/>
    <cellStyle name="Migliaia 8 3 2 5" xfId="4054" xr:uid="{63748CD9-23B2-458A-9389-288A13E7C255}"/>
    <cellStyle name="Migliaia 8 3 3" xfId="4056" xr:uid="{4A2B5E83-2908-449A-86C4-CBCE3F3E554F}"/>
    <cellStyle name="Migliaia 8 3 3 2" xfId="5782" xr:uid="{5D9E08E2-8696-4AC9-B8A2-6311B65A2238}"/>
    <cellStyle name="Migliaia 8 3 3 3" xfId="6947" xr:uid="{9AC01286-4764-4805-B81A-9AB1788CD0CE}"/>
    <cellStyle name="Migliaia 8 3 4" xfId="4057" xr:uid="{D43ED737-AD63-48C3-9372-CD9B2B78B19D}"/>
    <cellStyle name="Migliaia 8 3 4 2" xfId="5783" xr:uid="{1F4BE67C-E4D0-4909-8759-788E90A4323F}"/>
    <cellStyle name="Migliaia 8 3 4 3" xfId="6948" xr:uid="{251EA692-6DCD-4682-8AD1-2D2D91A53C08}"/>
    <cellStyle name="Migliaia 8 3 5" xfId="4058" xr:uid="{3A2541F0-E259-4353-8C0F-7EC23A1265E5}"/>
    <cellStyle name="Migliaia 8 3 5 2" xfId="5784" xr:uid="{6F6E0E86-BA57-492E-8F0E-54BB2C166D42}"/>
    <cellStyle name="Migliaia 8 3 5 3" xfId="6949" xr:uid="{8B71E9BF-52E2-435E-8602-C73DF0DE60FD}"/>
    <cellStyle name="Migliaia 8 3 6" xfId="5779" xr:uid="{638CC610-A0CF-423C-BC53-4E019F5F7ADD}"/>
    <cellStyle name="Migliaia 8 3 7" xfId="6944" xr:uid="{7C753410-109D-4320-A6D1-F7F5A111A278}"/>
    <cellStyle name="Migliaia 8 3 8" xfId="4053" xr:uid="{625D4832-045F-4D5B-81E6-D0F7D30F88B0}"/>
    <cellStyle name="Migliaia 8 4" xfId="1954" xr:uid="{00000000-0005-0000-0000-0000D8040000}"/>
    <cellStyle name="Migliaia 8 4 2" xfId="1955" xr:uid="{00000000-0005-0000-0000-0000D9040000}"/>
    <cellStyle name="Migliaia 8 4 2 2" xfId="5786" xr:uid="{28D47832-F7D1-4D5E-939F-7A316EDDD151}"/>
    <cellStyle name="Migliaia 8 4 2 3" xfId="4060" xr:uid="{65C915E7-A5E6-4EBF-B3EE-CA36378182FE}"/>
    <cellStyle name="Migliaia 8 4 3" xfId="5785" xr:uid="{70B376AC-BFF8-46B7-B59C-4D1BD74A381B}"/>
    <cellStyle name="Migliaia 8 4 4" xfId="6950" xr:uid="{D16315A8-76E1-4735-A853-04F49591CE47}"/>
    <cellStyle name="Migliaia 8 4 5" xfId="4059" xr:uid="{4730F66D-B654-44CF-B7BC-91EECFBF4C68}"/>
    <cellStyle name="Migliaia 8 5" xfId="1956" xr:uid="{00000000-0005-0000-0000-0000DA040000}"/>
    <cellStyle name="Migliaia 8 5 2" xfId="5787" xr:uid="{3B4C5BEE-C3E6-4765-B446-ECC3C23FA290}"/>
    <cellStyle name="Migliaia 8 5 3" xfId="6951" xr:uid="{3B42F455-DB57-44A1-A34D-995449AC071B}"/>
    <cellStyle name="Migliaia 8 5 4" xfId="4061" xr:uid="{C9B8C833-2DD0-43F3-B948-2D65B4D6F71D}"/>
    <cellStyle name="Migliaia 8 6" xfId="4062" xr:uid="{8A638CAF-47FB-4EFE-B908-A171043B8A32}"/>
    <cellStyle name="Migliaia 8 6 2" xfId="5788" xr:uid="{ABB338E6-8C8C-4772-9C6E-BE1099AAE38F}"/>
    <cellStyle name="Migliaia 8 6 3" xfId="6952" xr:uid="{86094E8F-8854-4E9F-95F5-5BF9F7A5201D}"/>
    <cellStyle name="Migliaia 8 7" xfId="4063" xr:uid="{600A349C-40BC-4971-A0D3-DC370A847046}"/>
    <cellStyle name="Migliaia 8 7 2" xfId="5789" xr:uid="{12577BCA-A006-4E2E-BE2E-AA46DADBBCB4}"/>
    <cellStyle name="Migliaia 8 7 3" xfId="6953" xr:uid="{1BCEEC43-4416-4A33-8C78-E5A5EEA3BE56}"/>
    <cellStyle name="Migliaia 8 8" xfId="4064" xr:uid="{A11AF05E-045B-4E5C-8375-FEA30196341A}"/>
    <cellStyle name="Migliaia 8 8 2" xfId="5790" xr:uid="{13CEB729-B818-4F86-A7EF-15FAAD3E43A2}"/>
    <cellStyle name="Migliaia 8 8 3" xfId="6954" xr:uid="{9D9FB119-9772-4BC0-A045-13AA2CDF0527}"/>
    <cellStyle name="Migliaia 8 9" xfId="5775" xr:uid="{3238EFD4-53D7-4188-823C-A2F7716EF350}"/>
    <cellStyle name="Migliaia 9" xfId="541" xr:uid="{00000000-0005-0000-0000-0000DB040000}"/>
    <cellStyle name="Migliaia 9 10" xfId="6955" xr:uid="{9422089C-F3C7-4638-8D57-69992F6DA309}"/>
    <cellStyle name="Migliaia 9 11" xfId="4065" xr:uid="{5735C708-8682-4ABB-9B37-3CA1A8DAC16E}"/>
    <cellStyle name="Migliaia 9 2" xfId="542" xr:uid="{00000000-0005-0000-0000-0000DC040000}"/>
    <cellStyle name="Migliaia 9 2 2" xfId="1957" xr:uid="{00000000-0005-0000-0000-0000DD040000}"/>
    <cellStyle name="Migliaia 9 2 2 2" xfId="5793" xr:uid="{BFBFA100-FEB9-44C2-A459-B6BB61CB1B42}"/>
    <cellStyle name="Migliaia 9 2 2 3" xfId="6957" xr:uid="{44D855AE-E350-4944-9A25-F268D33B01A0}"/>
    <cellStyle name="Migliaia 9 2 2 4" xfId="4067" xr:uid="{EE74782A-71E4-437A-8373-E0D5CF5FF489}"/>
    <cellStyle name="Migliaia 9 2 3" xfId="4068" xr:uid="{9E22674B-5FF0-441B-83AD-475A9E6778D4}"/>
    <cellStyle name="Migliaia 9 2 3 2" xfId="5794" xr:uid="{363E7D07-71C9-45DC-95CB-58BAE52DF23C}"/>
    <cellStyle name="Migliaia 9 2 3 3" xfId="6958" xr:uid="{9B95BC2F-78B0-4070-A6C3-E57062AA2922}"/>
    <cellStyle name="Migliaia 9 2 4" xfId="5792" xr:uid="{A2FBE208-FC9C-4E2E-B897-66FEE0A66828}"/>
    <cellStyle name="Migliaia 9 2 5" xfId="6956" xr:uid="{9DFCFE63-43AD-4B0B-9DF2-77553895702E}"/>
    <cellStyle name="Migliaia 9 2 6" xfId="4066" xr:uid="{9F46BD22-C030-415A-9919-4371D66019F8}"/>
    <cellStyle name="Migliaia 9 3" xfId="543" xr:uid="{00000000-0005-0000-0000-0000DE040000}"/>
    <cellStyle name="Migliaia 9 3 2" xfId="544" xr:uid="{00000000-0005-0000-0000-0000DF040000}"/>
    <cellStyle name="Migliaia 9 3 2 2" xfId="1958" xr:uid="{00000000-0005-0000-0000-0000E0040000}"/>
    <cellStyle name="Migliaia 9 3 2 2 2" xfId="5797" xr:uid="{CDDC0203-C21C-4A10-87F1-0F7AFE69FF84}"/>
    <cellStyle name="Migliaia 9 3 2 2 3" xfId="6961" xr:uid="{321D3ECC-A31A-4337-85B1-97A8A40BE080}"/>
    <cellStyle name="Migliaia 9 3 2 2 4" xfId="4071" xr:uid="{F22EC6BA-7458-449F-80B0-06285C780B46}"/>
    <cellStyle name="Migliaia 9 3 2 3" xfId="5796" xr:uid="{6E8A4527-E654-499A-A49A-25D0CCB6B7C3}"/>
    <cellStyle name="Migliaia 9 3 2 4" xfId="6960" xr:uid="{52FD9F32-6FDE-4CC3-9498-4A84EDCE2A08}"/>
    <cellStyle name="Migliaia 9 3 2 5" xfId="4070" xr:uid="{94EA7D00-2BD0-463C-B332-1F8FECCED5D0}"/>
    <cellStyle name="Migliaia 9 3 3" xfId="4072" xr:uid="{ACCBB988-B4CC-4E81-8161-8B8CC9D214CB}"/>
    <cellStyle name="Migliaia 9 3 3 2" xfId="5798" xr:uid="{5CC1DB42-7175-4C9A-BF4E-CE88C1FD1985}"/>
    <cellStyle name="Migliaia 9 3 3 3" xfId="6962" xr:uid="{56A598A3-9B07-42EC-AA28-9AF25CBD90DE}"/>
    <cellStyle name="Migliaia 9 3 4" xfId="4073" xr:uid="{28EB31A9-0C2D-4A8A-8F64-C871DBEFFD12}"/>
    <cellStyle name="Migliaia 9 3 4 2" xfId="5799" xr:uid="{748AF8FE-108D-402E-BFF6-8EAC4EFFC186}"/>
    <cellStyle name="Migliaia 9 3 4 3" xfId="6963" xr:uid="{55D4BD7E-3B72-4671-B2A5-71BB2B8C1078}"/>
    <cellStyle name="Migliaia 9 3 5" xfId="4074" xr:uid="{FE7CB2C8-0CE2-4DF1-BAD3-427B3D8C5331}"/>
    <cellStyle name="Migliaia 9 3 5 2" xfId="5800" xr:uid="{870833B1-1FE1-44F1-AD59-B76F4DCF9663}"/>
    <cellStyle name="Migliaia 9 3 5 3" xfId="6964" xr:uid="{E6B56958-97E7-4BA1-8C07-B4634415B666}"/>
    <cellStyle name="Migliaia 9 3 6" xfId="5795" xr:uid="{7A860B01-E80A-4046-89AE-ECBD52ACEE64}"/>
    <cellStyle name="Migliaia 9 3 7" xfId="6959" xr:uid="{CB9DC3F6-A8F6-487A-A899-FF20B6FEB8CA}"/>
    <cellStyle name="Migliaia 9 3 8" xfId="4069" xr:uid="{FE2D2938-20C8-44E3-839F-05F5401798B3}"/>
    <cellStyle name="Migliaia 9 4" xfId="1959" xr:uid="{00000000-0005-0000-0000-0000E1040000}"/>
    <cellStyle name="Migliaia 9 4 2" xfId="1960" xr:uid="{00000000-0005-0000-0000-0000E2040000}"/>
    <cellStyle name="Migliaia 9 4 2 2" xfId="5802" xr:uid="{4441B9B0-3F93-4E61-8ADA-3E3A56CCF627}"/>
    <cellStyle name="Migliaia 9 4 2 3" xfId="4076" xr:uid="{CB3B3AF3-0326-470A-A417-3CE8AC3F69A0}"/>
    <cellStyle name="Migliaia 9 4 3" xfId="5801" xr:uid="{B800EBF7-E588-4B1B-954C-B1D3D115C02F}"/>
    <cellStyle name="Migliaia 9 4 4" xfId="6965" xr:uid="{E1A24F35-522C-490D-B37D-684CD12704B9}"/>
    <cellStyle name="Migliaia 9 4 5" xfId="4075" xr:uid="{13735715-4017-443A-BD7A-B70E08B12325}"/>
    <cellStyle name="Migliaia 9 5" xfId="1961" xr:uid="{00000000-0005-0000-0000-0000E3040000}"/>
    <cellStyle name="Migliaia 9 5 2" xfId="5803" xr:uid="{FB2698D1-A43A-4FAD-8626-45CACFE46F64}"/>
    <cellStyle name="Migliaia 9 5 3" xfId="6966" xr:uid="{4C01C900-B544-4381-B041-EE5DA3CF58F4}"/>
    <cellStyle name="Migliaia 9 5 4" xfId="4077" xr:uid="{C892A0DE-2216-424B-9103-E03B3A83A33C}"/>
    <cellStyle name="Migliaia 9 6" xfId="4078" xr:uid="{AC151E29-A1AF-4C68-924F-815A5E009242}"/>
    <cellStyle name="Migliaia 9 6 2" xfId="5804" xr:uid="{54886909-D92F-4806-9016-78D7081B275C}"/>
    <cellStyle name="Migliaia 9 6 3" xfId="6967" xr:uid="{870C5297-9DCE-4C76-B85E-63B612C18B9A}"/>
    <cellStyle name="Migliaia 9 7" xfId="4079" xr:uid="{992C413C-790E-4247-9C76-33C89B0CC7B1}"/>
    <cellStyle name="Migliaia 9 7 2" xfId="5805" xr:uid="{4F74F1E8-EE86-4F77-8E1B-31C5D8529E11}"/>
    <cellStyle name="Migliaia 9 7 3" xfId="6968" xr:uid="{9F1D38D3-D47E-44EB-8ABD-EC9889845EB0}"/>
    <cellStyle name="Migliaia 9 8" xfId="4080" xr:uid="{20B4D4BC-F145-4805-A6B0-84C6DA625243}"/>
    <cellStyle name="Migliaia 9 8 2" xfId="5806" xr:uid="{DD4C9894-6954-438B-957F-8A07AE879E66}"/>
    <cellStyle name="Migliaia 9 8 3" xfId="6969" xr:uid="{C71300A4-7314-4365-B508-262A5D358FB4}"/>
    <cellStyle name="Migliaia 9 9" xfId="5791" xr:uid="{69CC92EF-BF99-4C81-822E-6FF38615C59E}"/>
    <cellStyle name="Neutral 2" xfId="1962" xr:uid="{00000000-0005-0000-0000-0000E4040000}"/>
    <cellStyle name="Neutrale" xfId="545" xr:uid="{00000000-0005-0000-0000-0000E5040000}"/>
    <cellStyle name="Normal" xfId="0" builtinId="0"/>
    <cellStyle name="Normal 10" xfId="546" xr:uid="{00000000-0005-0000-0000-0000E7040000}"/>
    <cellStyle name="Normal 10 2" xfId="547" xr:uid="{00000000-0005-0000-0000-0000E8040000}"/>
    <cellStyle name="Normal 11" xfId="548" xr:uid="{00000000-0005-0000-0000-0000E9040000}"/>
    <cellStyle name="Normal 11 3" xfId="6970" xr:uid="{19879A5A-36C3-4CBB-9C55-BD1705E3F3FB}"/>
    <cellStyle name="Normal 12" xfId="549" xr:uid="{00000000-0005-0000-0000-0000EA040000}"/>
    <cellStyle name="Normal 12 2" xfId="1963" xr:uid="{00000000-0005-0000-0000-0000EB040000}"/>
    <cellStyle name="Normal 13" xfId="1252" xr:uid="{00000000-0005-0000-0000-0000EC040000}"/>
    <cellStyle name="Normal 13 2" xfId="4081" xr:uid="{A5158115-D314-454E-8DC8-A75CAB1A8815}"/>
    <cellStyle name="Normal 14" xfId="1964" xr:uid="{00000000-0005-0000-0000-0000ED040000}"/>
    <cellStyle name="Normal 15" xfId="1965" xr:uid="{00000000-0005-0000-0000-0000EE040000}"/>
    <cellStyle name="Normal 16" xfId="1966" xr:uid="{00000000-0005-0000-0000-0000EF040000}"/>
    <cellStyle name="Normal 16 2" xfId="1967" xr:uid="{00000000-0005-0000-0000-0000F0040000}"/>
    <cellStyle name="Normal 16 3" xfId="1968" xr:uid="{00000000-0005-0000-0000-0000F1040000}"/>
    <cellStyle name="Normal 17" xfId="1969" xr:uid="{00000000-0005-0000-0000-0000F2040000}"/>
    <cellStyle name="Normal 17 2" xfId="1970" xr:uid="{00000000-0005-0000-0000-0000F3040000}"/>
    <cellStyle name="Normal 18" xfId="1971" xr:uid="{00000000-0005-0000-0000-0000F4040000}"/>
    <cellStyle name="Normal 18 2" xfId="1972" xr:uid="{00000000-0005-0000-0000-0000F5040000}"/>
    <cellStyle name="Normal 19" xfId="1973" xr:uid="{00000000-0005-0000-0000-0000F6040000}"/>
    <cellStyle name="Normal 19 2" xfId="1974" xr:uid="{00000000-0005-0000-0000-0000F7040000}"/>
    <cellStyle name="Normal 19 3" xfId="1975" xr:uid="{00000000-0005-0000-0000-0000F8040000}"/>
    <cellStyle name="Normal 2" xfId="550" xr:uid="{00000000-0005-0000-0000-0000F9040000}"/>
    <cellStyle name="Normal 2 2" xfId="551" xr:uid="{00000000-0005-0000-0000-0000FA040000}"/>
    <cellStyle name="Normal 2 2 2" xfId="552" xr:uid="{00000000-0005-0000-0000-0000FB040000}"/>
    <cellStyle name="Normal 2 2 2 2" xfId="1976" xr:uid="{00000000-0005-0000-0000-0000FC040000}"/>
    <cellStyle name="Normal 2 2 2 2 2" xfId="1977" xr:uid="{00000000-0005-0000-0000-0000FD040000}"/>
    <cellStyle name="Normal 2 2 2 2 2 2" xfId="1978" xr:uid="{00000000-0005-0000-0000-0000FE040000}"/>
    <cellStyle name="Normal 2 2 2 2 3" xfId="1979" xr:uid="{00000000-0005-0000-0000-0000FF040000}"/>
    <cellStyle name="Normal 2 2 2 2 4" xfId="4083" xr:uid="{9AA9FFB5-EF86-4C98-9A4F-85A1B6A4AB37}"/>
    <cellStyle name="Normal 2 2 3" xfId="553" xr:uid="{00000000-0005-0000-0000-000000050000}"/>
    <cellStyle name="Normal 2 2 3 2" xfId="1980" xr:uid="{00000000-0005-0000-0000-000001050000}"/>
    <cellStyle name="Normal 2 2 3 2 2" xfId="1981" xr:uid="{00000000-0005-0000-0000-000002050000}"/>
    <cellStyle name="Normal 2 2 3 3" xfId="1982" xr:uid="{00000000-0005-0000-0000-000003050000}"/>
    <cellStyle name="Normal 2 2 4" xfId="1983" xr:uid="{00000000-0005-0000-0000-000004050000}"/>
    <cellStyle name="Normal 2 2 4 2" xfId="1984" xr:uid="{00000000-0005-0000-0000-000005050000}"/>
    <cellStyle name="Normal 2 2 5" xfId="1985" xr:uid="{00000000-0005-0000-0000-000006050000}"/>
    <cellStyle name="Normal 2 2 6" xfId="4082" xr:uid="{5FF66FF3-7BC3-4D2F-9C86-3405FF7C5FD2}"/>
    <cellStyle name="Normal 2 3" xfId="554" xr:uid="{00000000-0005-0000-0000-000007050000}"/>
    <cellStyle name="Normal 2 3 2" xfId="4084" xr:uid="{CE812BEB-0B05-48F1-B85D-DA6489CC357A}"/>
    <cellStyle name="Normal 2 3 3" xfId="4085" xr:uid="{D7D085DD-B1AB-4CE5-8D7A-31645E4285A1}"/>
    <cellStyle name="Normal 2 4" xfId="555" xr:uid="{00000000-0005-0000-0000-000008050000}"/>
    <cellStyle name="Normal 2 4 2" xfId="1986" xr:uid="{00000000-0005-0000-0000-000009050000}"/>
    <cellStyle name="Normal 2 4 2 2" xfId="1987" xr:uid="{00000000-0005-0000-0000-00000A050000}"/>
    <cellStyle name="Normal 2 4 3" xfId="1988" xr:uid="{00000000-0005-0000-0000-00000B050000}"/>
    <cellStyle name="Normal 2 5" xfId="1989" xr:uid="{00000000-0005-0000-0000-00000C050000}"/>
    <cellStyle name="Normal 2_Plants" xfId="1990" xr:uid="{00000000-0005-0000-0000-00000D050000}"/>
    <cellStyle name="Normal 20" xfId="1991" xr:uid="{00000000-0005-0000-0000-00000E050000}"/>
    <cellStyle name="Normal 21" xfId="1992" xr:uid="{00000000-0005-0000-0000-00000F050000}"/>
    <cellStyle name="Normal 22" xfId="1993" xr:uid="{00000000-0005-0000-0000-000010050000}"/>
    <cellStyle name="Normal 23" xfId="1994" xr:uid="{00000000-0005-0000-0000-000011050000}"/>
    <cellStyle name="Normal 24" xfId="1995" xr:uid="{00000000-0005-0000-0000-000012050000}"/>
    <cellStyle name="Normal 25" xfId="1996" xr:uid="{00000000-0005-0000-0000-000013050000}"/>
    <cellStyle name="Normal 26" xfId="1997" xr:uid="{00000000-0005-0000-0000-000014050000}"/>
    <cellStyle name="Normal 27" xfId="1998" xr:uid="{00000000-0005-0000-0000-000015050000}"/>
    <cellStyle name="Normal 28" xfId="1999" xr:uid="{00000000-0005-0000-0000-000016050000}"/>
    <cellStyle name="Normal 29" xfId="2000" xr:uid="{00000000-0005-0000-0000-000017050000}"/>
    <cellStyle name="Normal 29 2" xfId="2001" xr:uid="{00000000-0005-0000-0000-000018050000}"/>
    <cellStyle name="Normal 3" xfId="556" xr:uid="{00000000-0005-0000-0000-000019050000}"/>
    <cellStyle name="Normal 3 10" xfId="2002" xr:uid="{00000000-0005-0000-0000-00001A050000}"/>
    <cellStyle name="Normal 3 11" xfId="2003" xr:uid="{00000000-0005-0000-0000-00001B050000}"/>
    <cellStyle name="Normal 3 12" xfId="2004" xr:uid="{00000000-0005-0000-0000-00001C050000}"/>
    <cellStyle name="Normal 3 13" xfId="2005" xr:uid="{00000000-0005-0000-0000-00001D050000}"/>
    <cellStyle name="Normal 3 14" xfId="2006" xr:uid="{00000000-0005-0000-0000-00001E050000}"/>
    <cellStyle name="Normal 3 15" xfId="2007" xr:uid="{00000000-0005-0000-0000-00001F050000}"/>
    <cellStyle name="Normal 3 16" xfId="2008" xr:uid="{00000000-0005-0000-0000-000020050000}"/>
    <cellStyle name="Normal 3 2" xfId="557" xr:uid="{00000000-0005-0000-0000-000021050000}"/>
    <cellStyle name="Normal 3 2 2" xfId="558" xr:uid="{00000000-0005-0000-0000-000022050000}"/>
    <cellStyle name="Normal 3 2 2 2" xfId="2009" xr:uid="{00000000-0005-0000-0000-000023050000}"/>
    <cellStyle name="Normal 3 2 2 2 2" xfId="4086" xr:uid="{20EFB8C9-9949-4054-98E5-B71FE73FB663}"/>
    <cellStyle name="Normal 3 2 2 3" xfId="2010" xr:uid="{00000000-0005-0000-0000-000024050000}"/>
    <cellStyle name="Normal 3 2 2 3 2" xfId="2011" xr:uid="{00000000-0005-0000-0000-000025050000}"/>
    <cellStyle name="Normal 3 2 2 4" xfId="2012" xr:uid="{00000000-0005-0000-0000-000026050000}"/>
    <cellStyle name="Normal 3 2 3" xfId="559" xr:uid="{00000000-0005-0000-0000-000027050000}"/>
    <cellStyle name="Normal 3 2 3 2" xfId="2013" xr:uid="{00000000-0005-0000-0000-000028050000}"/>
    <cellStyle name="Normal 3 2 3 2 2" xfId="2014" xr:uid="{00000000-0005-0000-0000-000029050000}"/>
    <cellStyle name="Normal 3 2 3 3" xfId="2015" xr:uid="{00000000-0005-0000-0000-00002A050000}"/>
    <cellStyle name="Normal 3 2 4" xfId="2016" xr:uid="{00000000-0005-0000-0000-00002B050000}"/>
    <cellStyle name="Normal 3 2 4 2" xfId="2017" xr:uid="{00000000-0005-0000-0000-00002C050000}"/>
    <cellStyle name="Normal 3 2 5" xfId="2018" xr:uid="{00000000-0005-0000-0000-00002D050000}"/>
    <cellStyle name="Normal 3 3" xfId="560" xr:uid="{00000000-0005-0000-0000-00002E050000}"/>
    <cellStyle name="Normal 3 3 2" xfId="2019" xr:uid="{00000000-0005-0000-0000-00002F050000}"/>
    <cellStyle name="Normal 3 3 2 2" xfId="2020" xr:uid="{00000000-0005-0000-0000-000030050000}"/>
    <cellStyle name="Normal 3 3 2 2 2" xfId="2021" xr:uid="{00000000-0005-0000-0000-000031050000}"/>
    <cellStyle name="Normal 3 3 2 3" xfId="2022" xr:uid="{00000000-0005-0000-0000-000032050000}"/>
    <cellStyle name="Normal 3 3 3" xfId="2023" xr:uid="{00000000-0005-0000-0000-000033050000}"/>
    <cellStyle name="Normal 3 3 3 2" xfId="2024" xr:uid="{00000000-0005-0000-0000-000034050000}"/>
    <cellStyle name="Normal 3 3 4" xfId="2025" xr:uid="{00000000-0005-0000-0000-000035050000}"/>
    <cellStyle name="Normal 3 4" xfId="561" xr:uid="{00000000-0005-0000-0000-000036050000}"/>
    <cellStyle name="Normal 3 4 2" xfId="2026" xr:uid="{00000000-0005-0000-0000-000037050000}"/>
    <cellStyle name="Normal 3 4 2 2" xfId="4087" xr:uid="{982A97FA-4A6D-48BC-BB6D-A5B7619499EB}"/>
    <cellStyle name="Normal 3 5" xfId="562" xr:uid="{00000000-0005-0000-0000-000038050000}"/>
    <cellStyle name="Normal 3 5 2" xfId="4088" xr:uid="{D50390D2-3E3E-43F5-8220-10DC2BBCACB8}"/>
    <cellStyle name="Normal 3 6" xfId="2027" xr:uid="{00000000-0005-0000-0000-000039050000}"/>
    <cellStyle name="Normal 3 6 2" xfId="2028" xr:uid="{00000000-0005-0000-0000-00003A050000}"/>
    <cellStyle name="Normal 3 7" xfId="2029" xr:uid="{00000000-0005-0000-0000-00003B050000}"/>
    <cellStyle name="Normal 3 8" xfId="2030" xr:uid="{00000000-0005-0000-0000-00003C050000}"/>
    <cellStyle name="Normal 3 9" xfId="2031" xr:uid="{00000000-0005-0000-0000-00003D050000}"/>
    <cellStyle name="Normal 31" xfId="2032" xr:uid="{00000000-0005-0000-0000-00003E050000}"/>
    <cellStyle name="Normal 32" xfId="2033" xr:uid="{00000000-0005-0000-0000-00003F050000}"/>
    <cellStyle name="Normal 33" xfId="2034" xr:uid="{00000000-0005-0000-0000-000040050000}"/>
    <cellStyle name="Normal 34" xfId="2035" xr:uid="{00000000-0005-0000-0000-000041050000}"/>
    <cellStyle name="Normal 4" xfId="563" xr:uid="{00000000-0005-0000-0000-000042050000}"/>
    <cellStyle name="Normal 4 10" xfId="2036" xr:uid="{00000000-0005-0000-0000-000043050000}"/>
    <cellStyle name="Normal 4 11" xfId="2037" xr:uid="{00000000-0005-0000-0000-000044050000}"/>
    <cellStyle name="Normal 4 12" xfId="2038" xr:uid="{00000000-0005-0000-0000-000045050000}"/>
    <cellStyle name="Normal 4 13" xfId="2039" xr:uid="{00000000-0005-0000-0000-000046050000}"/>
    <cellStyle name="Normal 4 14" xfId="2040" xr:uid="{00000000-0005-0000-0000-000047050000}"/>
    <cellStyle name="Normal 4 15" xfId="2041" xr:uid="{00000000-0005-0000-0000-000048050000}"/>
    <cellStyle name="Normal 4 2" xfId="564" xr:uid="{00000000-0005-0000-0000-000049050000}"/>
    <cellStyle name="Normal 4 3" xfId="565" xr:uid="{00000000-0005-0000-0000-00004A050000}"/>
    <cellStyle name="Normal 4 4" xfId="566" xr:uid="{00000000-0005-0000-0000-00004B050000}"/>
    <cellStyle name="Normal 4 5" xfId="2042" xr:uid="{00000000-0005-0000-0000-00004C050000}"/>
    <cellStyle name="Normal 4 6" xfId="2043" xr:uid="{00000000-0005-0000-0000-00004D050000}"/>
    <cellStyle name="Normal 4 7" xfId="2044" xr:uid="{00000000-0005-0000-0000-00004E050000}"/>
    <cellStyle name="Normal 4 8" xfId="2045" xr:uid="{00000000-0005-0000-0000-00004F050000}"/>
    <cellStyle name="Normal 4 9" xfId="2046" xr:uid="{00000000-0005-0000-0000-000050050000}"/>
    <cellStyle name="Normal 5" xfId="567" xr:uid="{00000000-0005-0000-0000-000051050000}"/>
    <cellStyle name="Normal 5 2" xfId="568" xr:uid="{00000000-0005-0000-0000-000052050000}"/>
    <cellStyle name="Normal 5 2 2" xfId="569" xr:uid="{00000000-0005-0000-0000-000053050000}"/>
    <cellStyle name="Normal 5 2 2 2" xfId="570" xr:uid="{00000000-0005-0000-0000-000054050000}"/>
    <cellStyle name="Normal 5 2 2 3" xfId="2047" xr:uid="{00000000-0005-0000-0000-000055050000}"/>
    <cellStyle name="Normal 5 2 3" xfId="2048" xr:uid="{00000000-0005-0000-0000-000056050000}"/>
    <cellStyle name="Normal 5 2 3 2" xfId="2049" xr:uid="{00000000-0005-0000-0000-000057050000}"/>
    <cellStyle name="Normal 5 3" xfId="2050" xr:uid="{00000000-0005-0000-0000-000058050000}"/>
    <cellStyle name="Normal 6" xfId="571" xr:uid="{00000000-0005-0000-0000-000059050000}"/>
    <cellStyle name="Normal 6 2" xfId="572" xr:uid="{00000000-0005-0000-0000-00005A050000}"/>
    <cellStyle name="Normal 6 2 2" xfId="2051" xr:uid="{00000000-0005-0000-0000-00005B050000}"/>
    <cellStyle name="Normal 6 2 2 2" xfId="4089" xr:uid="{60083ED1-180F-4F02-BB0F-6635A2563F18}"/>
    <cellStyle name="Normal 6 2 3" xfId="2052" xr:uid="{00000000-0005-0000-0000-00005C050000}"/>
    <cellStyle name="Normal 6 2 3 2" xfId="2053" xr:uid="{00000000-0005-0000-0000-00005D050000}"/>
    <cellStyle name="Normal 6 2 4" xfId="2054" xr:uid="{00000000-0005-0000-0000-00005E050000}"/>
    <cellStyle name="Normal 6 3" xfId="573" xr:uid="{00000000-0005-0000-0000-00005F050000}"/>
    <cellStyle name="Normal 6 3 2" xfId="2055" xr:uid="{00000000-0005-0000-0000-000060050000}"/>
    <cellStyle name="Normal 6 3 2 2" xfId="2056" xr:uid="{00000000-0005-0000-0000-000061050000}"/>
    <cellStyle name="Normal 6 3 2 2 2" xfId="2057" xr:uid="{00000000-0005-0000-0000-000062050000}"/>
    <cellStyle name="Normal 6 3 2 3" xfId="2058" xr:uid="{00000000-0005-0000-0000-000063050000}"/>
    <cellStyle name="Normal 6 4" xfId="2059" xr:uid="{00000000-0005-0000-0000-000064050000}"/>
    <cellStyle name="Normal 6 4 2" xfId="2060" xr:uid="{00000000-0005-0000-0000-000065050000}"/>
    <cellStyle name="Normal 6 5" xfId="2061" xr:uid="{00000000-0005-0000-0000-000066050000}"/>
    <cellStyle name="Normal 7" xfId="574" xr:uid="{00000000-0005-0000-0000-000067050000}"/>
    <cellStyle name="Normal 7 2" xfId="575" xr:uid="{00000000-0005-0000-0000-000068050000}"/>
    <cellStyle name="Normal 7 3" xfId="576" xr:uid="{00000000-0005-0000-0000-000069050000}"/>
    <cellStyle name="Normal 7 3 2" xfId="2062" xr:uid="{00000000-0005-0000-0000-00006A050000}"/>
    <cellStyle name="Normal 7 3 2 2" xfId="2063" xr:uid="{00000000-0005-0000-0000-00006B050000}"/>
    <cellStyle name="Normal 7 3 3" xfId="2064" xr:uid="{00000000-0005-0000-0000-00006C050000}"/>
    <cellStyle name="Normal 7 4" xfId="4090" xr:uid="{29E4B45E-5ECC-409A-A027-13BD41D9D817}"/>
    <cellStyle name="Normal 8" xfId="577" xr:uid="{00000000-0005-0000-0000-00006D050000}"/>
    <cellStyle name="Normal 8 2" xfId="578" xr:uid="{00000000-0005-0000-0000-00006E050000}"/>
    <cellStyle name="Normal 8 2 2" xfId="2065" xr:uid="{00000000-0005-0000-0000-00006F050000}"/>
    <cellStyle name="Normal 8 2 2 2" xfId="2066" xr:uid="{00000000-0005-0000-0000-000070050000}"/>
    <cellStyle name="Normal 8 2 2 2 2" xfId="2067" xr:uid="{00000000-0005-0000-0000-000071050000}"/>
    <cellStyle name="Normal 8 2 2 3" xfId="2068" xr:uid="{00000000-0005-0000-0000-000072050000}"/>
    <cellStyle name="Normal 8 3" xfId="579" xr:uid="{00000000-0005-0000-0000-000073050000}"/>
    <cellStyle name="Normal 8 4" xfId="4091" xr:uid="{1C3B8848-506F-4067-8C6C-B7CD2EF24ACC}"/>
    <cellStyle name="Normal 9" xfId="580" xr:uid="{00000000-0005-0000-0000-000074050000}"/>
    <cellStyle name="Normal 9 2" xfId="2069" xr:uid="{00000000-0005-0000-0000-000075050000}"/>
    <cellStyle name="Normal 9 2 2" xfId="2070" xr:uid="{00000000-0005-0000-0000-000076050000}"/>
    <cellStyle name="Normal GHG Numbers (0.00)" xfId="581" xr:uid="{00000000-0005-0000-0000-000077050000}"/>
    <cellStyle name="Normal GHG Numbers (0.00) 2" xfId="582" xr:uid="{00000000-0005-0000-0000-000078050000}"/>
    <cellStyle name="Normal GHG Numbers (0.00) 3" xfId="583" xr:uid="{00000000-0005-0000-0000-000079050000}"/>
    <cellStyle name="Normal GHG Numbers (0.00) 4" xfId="4092" xr:uid="{10A23B8A-311A-4A12-A912-77C16296408E}"/>
    <cellStyle name="Normal GHG Textfiels Bold" xfId="584" xr:uid="{00000000-0005-0000-0000-00007A050000}"/>
    <cellStyle name="Normal GHG-Shade" xfId="585" xr:uid="{00000000-0005-0000-0000-00007B050000}"/>
    <cellStyle name="Normal GHG-Shade 2" xfId="4093" xr:uid="{959B814D-7EEC-4E72-8777-A08A97C06CCB}"/>
    <cellStyle name="Normale 10" xfId="586" xr:uid="{00000000-0005-0000-0000-00007C050000}"/>
    <cellStyle name="Normale 10 2" xfId="587" xr:uid="{00000000-0005-0000-0000-00007D050000}"/>
    <cellStyle name="Normale 10 2 2" xfId="588" xr:uid="{00000000-0005-0000-0000-00007E050000}"/>
    <cellStyle name="Normale 10 3" xfId="589" xr:uid="{00000000-0005-0000-0000-00007F050000}"/>
    <cellStyle name="Normale 10 3 2" xfId="590" xr:uid="{00000000-0005-0000-0000-000080050000}"/>
    <cellStyle name="Normale 10 4" xfId="591" xr:uid="{00000000-0005-0000-0000-000081050000}"/>
    <cellStyle name="Normale 10_EDEN industria 2008 rev" xfId="592" xr:uid="{00000000-0005-0000-0000-000082050000}"/>
    <cellStyle name="Normale 11" xfId="593" xr:uid="{00000000-0005-0000-0000-000083050000}"/>
    <cellStyle name="Normale 11 2" xfId="594" xr:uid="{00000000-0005-0000-0000-000084050000}"/>
    <cellStyle name="Normale 11 2 2" xfId="595" xr:uid="{00000000-0005-0000-0000-000085050000}"/>
    <cellStyle name="Normale 11 3" xfId="596" xr:uid="{00000000-0005-0000-0000-000086050000}"/>
    <cellStyle name="Normale 11 3 2" xfId="597" xr:uid="{00000000-0005-0000-0000-000087050000}"/>
    <cellStyle name="Normale 11 4" xfId="598" xr:uid="{00000000-0005-0000-0000-000088050000}"/>
    <cellStyle name="Normale 11_EDEN industria 2008 rev" xfId="599" xr:uid="{00000000-0005-0000-0000-000089050000}"/>
    <cellStyle name="Normale 12" xfId="600" xr:uid="{00000000-0005-0000-0000-00008A050000}"/>
    <cellStyle name="Normale 12 2" xfId="601" xr:uid="{00000000-0005-0000-0000-00008B050000}"/>
    <cellStyle name="Normale 12 2 2" xfId="602" xr:uid="{00000000-0005-0000-0000-00008C050000}"/>
    <cellStyle name="Normale 12 3" xfId="603" xr:uid="{00000000-0005-0000-0000-00008D050000}"/>
    <cellStyle name="Normale 12 3 2" xfId="604" xr:uid="{00000000-0005-0000-0000-00008E050000}"/>
    <cellStyle name="Normale 12 4" xfId="605" xr:uid="{00000000-0005-0000-0000-00008F050000}"/>
    <cellStyle name="Normale 12_EDEN industria 2008 rev" xfId="606" xr:uid="{00000000-0005-0000-0000-000090050000}"/>
    <cellStyle name="Normale 13" xfId="607" xr:uid="{00000000-0005-0000-0000-000091050000}"/>
    <cellStyle name="Normale 13 2" xfId="608" xr:uid="{00000000-0005-0000-0000-000092050000}"/>
    <cellStyle name="Normale 13 2 2" xfId="609" xr:uid="{00000000-0005-0000-0000-000093050000}"/>
    <cellStyle name="Normale 13 3" xfId="610" xr:uid="{00000000-0005-0000-0000-000094050000}"/>
    <cellStyle name="Normale 13 3 2" xfId="611" xr:uid="{00000000-0005-0000-0000-000095050000}"/>
    <cellStyle name="Normale 13 4" xfId="612" xr:uid="{00000000-0005-0000-0000-000096050000}"/>
    <cellStyle name="Normale 13_EDEN industria 2008 rev" xfId="613" xr:uid="{00000000-0005-0000-0000-000097050000}"/>
    <cellStyle name="Normale 14" xfId="614" xr:uid="{00000000-0005-0000-0000-000098050000}"/>
    <cellStyle name="Normale 14 2" xfId="615" xr:uid="{00000000-0005-0000-0000-000099050000}"/>
    <cellStyle name="Normale 14 2 2" xfId="616" xr:uid="{00000000-0005-0000-0000-00009A050000}"/>
    <cellStyle name="Normale 14 3" xfId="617" xr:uid="{00000000-0005-0000-0000-00009B050000}"/>
    <cellStyle name="Normale 14 3 2" xfId="618" xr:uid="{00000000-0005-0000-0000-00009C050000}"/>
    <cellStyle name="Normale 14 4" xfId="619" xr:uid="{00000000-0005-0000-0000-00009D050000}"/>
    <cellStyle name="Normale 14_EDEN industria 2008 rev" xfId="620" xr:uid="{00000000-0005-0000-0000-00009E050000}"/>
    <cellStyle name="Normale 15" xfId="621" xr:uid="{00000000-0005-0000-0000-00009F050000}"/>
    <cellStyle name="Normale 15 2" xfId="622" xr:uid="{00000000-0005-0000-0000-0000A0050000}"/>
    <cellStyle name="Normale 15 2 2" xfId="623" xr:uid="{00000000-0005-0000-0000-0000A1050000}"/>
    <cellStyle name="Normale 15 3" xfId="624" xr:uid="{00000000-0005-0000-0000-0000A2050000}"/>
    <cellStyle name="Normale 15 3 2" xfId="625" xr:uid="{00000000-0005-0000-0000-0000A3050000}"/>
    <cellStyle name="Normale 15 4" xfId="626" xr:uid="{00000000-0005-0000-0000-0000A4050000}"/>
    <cellStyle name="Normale 15_EDEN industria 2008 rev" xfId="627" xr:uid="{00000000-0005-0000-0000-0000A5050000}"/>
    <cellStyle name="Normale 16" xfId="628" xr:uid="{00000000-0005-0000-0000-0000A6050000}"/>
    <cellStyle name="Normale 16 2" xfId="629" xr:uid="{00000000-0005-0000-0000-0000A7050000}"/>
    <cellStyle name="Normale 17" xfId="630" xr:uid="{00000000-0005-0000-0000-0000A8050000}"/>
    <cellStyle name="Normale 17 2" xfId="631" xr:uid="{00000000-0005-0000-0000-0000A9050000}"/>
    <cellStyle name="Normale 18" xfId="632" xr:uid="{00000000-0005-0000-0000-0000AA050000}"/>
    <cellStyle name="Normale 18 2" xfId="633" xr:uid="{00000000-0005-0000-0000-0000AB050000}"/>
    <cellStyle name="Normale 19" xfId="634" xr:uid="{00000000-0005-0000-0000-0000AC050000}"/>
    <cellStyle name="Normale 19 2" xfId="635" xr:uid="{00000000-0005-0000-0000-0000AD050000}"/>
    <cellStyle name="Normale 2" xfId="636" xr:uid="{00000000-0005-0000-0000-0000AE050000}"/>
    <cellStyle name="Normale 2 2" xfId="637" xr:uid="{00000000-0005-0000-0000-0000AF050000}"/>
    <cellStyle name="Normale 2 2 2" xfId="638" xr:uid="{00000000-0005-0000-0000-0000B0050000}"/>
    <cellStyle name="Normale 2 3" xfId="639" xr:uid="{00000000-0005-0000-0000-0000B1050000}"/>
    <cellStyle name="Normale 2_EDEN industria 2008 rev" xfId="640" xr:uid="{00000000-0005-0000-0000-0000B2050000}"/>
    <cellStyle name="Normale 20" xfId="641" xr:uid="{00000000-0005-0000-0000-0000B3050000}"/>
    <cellStyle name="Normale 20 2" xfId="642" xr:uid="{00000000-0005-0000-0000-0000B4050000}"/>
    <cellStyle name="Normale 21" xfId="643" xr:uid="{00000000-0005-0000-0000-0000B5050000}"/>
    <cellStyle name="Normale 21 2" xfId="644" xr:uid="{00000000-0005-0000-0000-0000B6050000}"/>
    <cellStyle name="Normale 22" xfId="645" xr:uid="{00000000-0005-0000-0000-0000B7050000}"/>
    <cellStyle name="Normale 22 2" xfId="646" xr:uid="{00000000-0005-0000-0000-0000B8050000}"/>
    <cellStyle name="Normale 23" xfId="647" xr:uid="{00000000-0005-0000-0000-0000B9050000}"/>
    <cellStyle name="Normale 23 2" xfId="648" xr:uid="{00000000-0005-0000-0000-0000BA050000}"/>
    <cellStyle name="Normale 24" xfId="649" xr:uid="{00000000-0005-0000-0000-0000BB050000}"/>
    <cellStyle name="Normale 24 2" xfId="650" xr:uid="{00000000-0005-0000-0000-0000BC050000}"/>
    <cellStyle name="Normale 25" xfId="651" xr:uid="{00000000-0005-0000-0000-0000BD050000}"/>
    <cellStyle name="Normale 25 2" xfId="652" xr:uid="{00000000-0005-0000-0000-0000BE050000}"/>
    <cellStyle name="Normale 26" xfId="653" xr:uid="{00000000-0005-0000-0000-0000BF050000}"/>
    <cellStyle name="Normale 26 2" xfId="654" xr:uid="{00000000-0005-0000-0000-0000C0050000}"/>
    <cellStyle name="Normale 27" xfId="655" xr:uid="{00000000-0005-0000-0000-0000C1050000}"/>
    <cellStyle name="Normale 27 2" xfId="656" xr:uid="{00000000-0005-0000-0000-0000C2050000}"/>
    <cellStyle name="Normale 28" xfId="657" xr:uid="{00000000-0005-0000-0000-0000C3050000}"/>
    <cellStyle name="Normale 28 2" xfId="658" xr:uid="{00000000-0005-0000-0000-0000C4050000}"/>
    <cellStyle name="Normale 29" xfId="659" xr:uid="{00000000-0005-0000-0000-0000C5050000}"/>
    <cellStyle name="Normale 29 2" xfId="660" xr:uid="{00000000-0005-0000-0000-0000C6050000}"/>
    <cellStyle name="Normale 3" xfId="661" xr:uid="{00000000-0005-0000-0000-0000C7050000}"/>
    <cellStyle name="Normale 3 2" xfId="662" xr:uid="{00000000-0005-0000-0000-0000C8050000}"/>
    <cellStyle name="Normale 3 2 2" xfId="663" xr:uid="{00000000-0005-0000-0000-0000C9050000}"/>
    <cellStyle name="Normale 3 3" xfId="664" xr:uid="{00000000-0005-0000-0000-0000CA050000}"/>
    <cellStyle name="Normale 3 3 2" xfId="665" xr:uid="{00000000-0005-0000-0000-0000CB050000}"/>
    <cellStyle name="Normale 3 4" xfId="666" xr:uid="{00000000-0005-0000-0000-0000CC050000}"/>
    <cellStyle name="Normale 3_EDEN industria 2008 rev" xfId="667" xr:uid="{00000000-0005-0000-0000-0000CD050000}"/>
    <cellStyle name="Normale 30" xfId="668" xr:uid="{00000000-0005-0000-0000-0000CE050000}"/>
    <cellStyle name="Normale 30 2" xfId="669" xr:uid="{00000000-0005-0000-0000-0000CF050000}"/>
    <cellStyle name="Normale 31" xfId="670" xr:uid="{00000000-0005-0000-0000-0000D0050000}"/>
    <cellStyle name="Normale 31 2" xfId="671" xr:uid="{00000000-0005-0000-0000-0000D1050000}"/>
    <cellStyle name="Normale 32" xfId="672" xr:uid="{00000000-0005-0000-0000-0000D2050000}"/>
    <cellStyle name="Normale 32 2" xfId="673" xr:uid="{00000000-0005-0000-0000-0000D3050000}"/>
    <cellStyle name="Normale 33" xfId="674" xr:uid="{00000000-0005-0000-0000-0000D4050000}"/>
    <cellStyle name="Normale 33 2" xfId="675" xr:uid="{00000000-0005-0000-0000-0000D5050000}"/>
    <cellStyle name="Normale 34" xfId="676" xr:uid="{00000000-0005-0000-0000-0000D6050000}"/>
    <cellStyle name="Normale 34 2" xfId="677" xr:uid="{00000000-0005-0000-0000-0000D7050000}"/>
    <cellStyle name="Normale 35" xfId="678" xr:uid="{00000000-0005-0000-0000-0000D8050000}"/>
    <cellStyle name="Normale 35 2" xfId="679" xr:uid="{00000000-0005-0000-0000-0000D9050000}"/>
    <cellStyle name="Normale 36" xfId="680" xr:uid="{00000000-0005-0000-0000-0000DA050000}"/>
    <cellStyle name="Normale 36 2" xfId="681" xr:uid="{00000000-0005-0000-0000-0000DB050000}"/>
    <cellStyle name="Normale 37" xfId="682" xr:uid="{00000000-0005-0000-0000-0000DC050000}"/>
    <cellStyle name="Normale 37 2" xfId="683" xr:uid="{00000000-0005-0000-0000-0000DD050000}"/>
    <cellStyle name="Normale 38" xfId="684" xr:uid="{00000000-0005-0000-0000-0000DE050000}"/>
    <cellStyle name="Normale 38 2" xfId="685" xr:uid="{00000000-0005-0000-0000-0000DF050000}"/>
    <cellStyle name="Normale 39" xfId="686" xr:uid="{00000000-0005-0000-0000-0000E0050000}"/>
    <cellStyle name="Normale 39 2" xfId="687" xr:uid="{00000000-0005-0000-0000-0000E1050000}"/>
    <cellStyle name="Normale 4" xfId="688" xr:uid="{00000000-0005-0000-0000-0000E2050000}"/>
    <cellStyle name="Normale 4 2" xfId="689" xr:uid="{00000000-0005-0000-0000-0000E3050000}"/>
    <cellStyle name="Normale 4 2 2" xfId="690" xr:uid="{00000000-0005-0000-0000-0000E4050000}"/>
    <cellStyle name="Normale 4 3" xfId="691" xr:uid="{00000000-0005-0000-0000-0000E5050000}"/>
    <cellStyle name="Normale 4 3 2" xfId="692" xr:uid="{00000000-0005-0000-0000-0000E6050000}"/>
    <cellStyle name="Normale 4 4" xfId="693" xr:uid="{00000000-0005-0000-0000-0000E7050000}"/>
    <cellStyle name="Normale 4_EDEN industria 2008 rev" xfId="694" xr:uid="{00000000-0005-0000-0000-0000E8050000}"/>
    <cellStyle name="Normale 40" xfId="695" xr:uid="{00000000-0005-0000-0000-0000E9050000}"/>
    <cellStyle name="Normale 40 2" xfId="696" xr:uid="{00000000-0005-0000-0000-0000EA050000}"/>
    <cellStyle name="Normale 41" xfId="697" xr:uid="{00000000-0005-0000-0000-0000EB050000}"/>
    <cellStyle name="Normale 41 2" xfId="698" xr:uid="{00000000-0005-0000-0000-0000EC050000}"/>
    <cellStyle name="Normale 42" xfId="699" xr:uid="{00000000-0005-0000-0000-0000ED050000}"/>
    <cellStyle name="Normale 42 2" xfId="700" xr:uid="{00000000-0005-0000-0000-0000EE050000}"/>
    <cellStyle name="Normale 43" xfId="701" xr:uid="{00000000-0005-0000-0000-0000EF050000}"/>
    <cellStyle name="Normale 43 2" xfId="702" xr:uid="{00000000-0005-0000-0000-0000F0050000}"/>
    <cellStyle name="Normale 44" xfId="703" xr:uid="{00000000-0005-0000-0000-0000F1050000}"/>
    <cellStyle name="Normale 44 2" xfId="704" xr:uid="{00000000-0005-0000-0000-0000F2050000}"/>
    <cellStyle name="Normale 45" xfId="705" xr:uid="{00000000-0005-0000-0000-0000F3050000}"/>
    <cellStyle name="Normale 45 2" xfId="706" xr:uid="{00000000-0005-0000-0000-0000F4050000}"/>
    <cellStyle name="Normale 46" xfId="707" xr:uid="{00000000-0005-0000-0000-0000F5050000}"/>
    <cellStyle name="Normale 46 2" xfId="708" xr:uid="{00000000-0005-0000-0000-0000F6050000}"/>
    <cellStyle name="Normale 47" xfId="709" xr:uid="{00000000-0005-0000-0000-0000F7050000}"/>
    <cellStyle name="Normale 47 2" xfId="710" xr:uid="{00000000-0005-0000-0000-0000F8050000}"/>
    <cellStyle name="Normale 48" xfId="711" xr:uid="{00000000-0005-0000-0000-0000F9050000}"/>
    <cellStyle name="Normale 48 2" xfId="712" xr:uid="{00000000-0005-0000-0000-0000FA050000}"/>
    <cellStyle name="Normale 49" xfId="713" xr:uid="{00000000-0005-0000-0000-0000FB050000}"/>
    <cellStyle name="Normale 49 2" xfId="714" xr:uid="{00000000-0005-0000-0000-0000FC050000}"/>
    <cellStyle name="Normale 5" xfId="715" xr:uid="{00000000-0005-0000-0000-0000FD050000}"/>
    <cellStyle name="Normale 5 2" xfId="716" xr:uid="{00000000-0005-0000-0000-0000FE050000}"/>
    <cellStyle name="Normale 5 2 2" xfId="717" xr:uid="{00000000-0005-0000-0000-0000FF050000}"/>
    <cellStyle name="Normale 5 3" xfId="718" xr:uid="{00000000-0005-0000-0000-000000060000}"/>
    <cellStyle name="Normale 5 3 2" xfId="719" xr:uid="{00000000-0005-0000-0000-000001060000}"/>
    <cellStyle name="Normale 5 4" xfId="720" xr:uid="{00000000-0005-0000-0000-000002060000}"/>
    <cellStyle name="Normale 5_EDEN industria 2008 rev" xfId="721" xr:uid="{00000000-0005-0000-0000-000003060000}"/>
    <cellStyle name="Normale 50" xfId="722" xr:uid="{00000000-0005-0000-0000-000004060000}"/>
    <cellStyle name="Normale 50 2" xfId="723" xr:uid="{00000000-0005-0000-0000-000005060000}"/>
    <cellStyle name="Normale 51" xfId="724" xr:uid="{00000000-0005-0000-0000-000006060000}"/>
    <cellStyle name="Normale 51 2" xfId="725" xr:uid="{00000000-0005-0000-0000-000007060000}"/>
    <cellStyle name="Normale 52" xfId="726" xr:uid="{00000000-0005-0000-0000-000008060000}"/>
    <cellStyle name="Normale 52 2" xfId="727" xr:uid="{00000000-0005-0000-0000-000009060000}"/>
    <cellStyle name="Normale 53" xfId="728" xr:uid="{00000000-0005-0000-0000-00000A060000}"/>
    <cellStyle name="Normale 53 2" xfId="729" xr:uid="{00000000-0005-0000-0000-00000B060000}"/>
    <cellStyle name="Normale 54" xfId="730" xr:uid="{00000000-0005-0000-0000-00000C060000}"/>
    <cellStyle name="Normale 54 2" xfId="731" xr:uid="{00000000-0005-0000-0000-00000D060000}"/>
    <cellStyle name="Normale 55" xfId="732" xr:uid="{00000000-0005-0000-0000-00000E060000}"/>
    <cellStyle name="Normale 55 2" xfId="733" xr:uid="{00000000-0005-0000-0000-00000F060000}"/>
    <cellStyle name="Normale 56" xfId="734" xr:uid="{00000000-0005-0000-0000-000010060000}"/>
    <cellStyle name="Normale 56 2" xfId="735" xr:uid="{00000000-0005-0000-0000-000011060000}"/>
    <cellStyle name="Normale 57" xfId="736" xr:uid="{00000000-0005-0000-0000-000012060000}"/>
    <cellStyle name="Normale 57 2" xfId="737" xr:uid="{00000000-0005-0000-0000-000013060000}"/>
    <cellStyle name="Normale 58" xfId="738" xr:uid="{00000000-0005-0000-0000-000014060000}"/>
    <cellStyle name="Normale 58 2" xfId="739" xr:uid="{00000000-0005-0000-0000-000015060000}"/>
    <cellStyle name="Normale 59" xfId="740" xr:uid="{00000000-0005-0000-0000-000016060000}"/>
    <cellStyle name="Normale 59 2" xfId="741" xr:uid="{00000000-0005-0000-0000-000017060000}"/>
    <cellStyle name="Normale 6" xfId="742" xr:uid="{00000000-0005-0000-0000-000018060000}"/>
    <cellStyle name="Normale 6 2" xfId="743" xr:uid="{00000000-0005-0000-0000-000019060000}"/>
    <cellStyle name="Normale 6 2 2" xfId="744" xr:uid="{00000000-0005-0000-0000-00001A060000}"/>
    <cellStyle name="Normale 6 3" xfId="745" xr:uid="{00000000-0005-0000-0000-00001B060000}"/>
    <cellStyle name="Normale 6 3 2" xfId="746" xr:uid="{00000000-0005-0000-0000-00001C060000}"/>
    <cellStyle name="Normale 6 4" xfId="747" xr:uid="{00000000-0005-0000-0000-00001D060000}"/>
    <cellStyle name="Normale 6_EDEN industria 2008 rev" xfId="748" xr:uid="{00000000-0005-0000-0000-00001E060000}"/>
    <cellStyle name="Normale 60" xfId="749" xr:uid="{00000000-0005-0000-0000-00001F060000}"/>
    <cellStyle name="Normale 60 2" xfId="750" xr:uid="{00000000-0005-0000-0000-000020060000}"/>
    <cellStyle name="Normale 61" xfId="751" xr:uid="{00000000-0005-0000-0000-000021060000}"/>
    <cellStyle name="Normale 61 2" xfId="752" xr:uid="{00000000-0005-0000-0000-000022060000}"/>
    <cellStyle name="Normale 62" xfId="753" xr:uid="{00000000-0005-0000-0000-000023060000}"/>
    <cellStyle name="Normale 62 2" xfId="754" xr:uid="{00000000-0005-0000-0000-000024060000}"/>
    <cellStyle name="Normale 63" xfId="755" xr:uid="{00000000-0005-0000-0000-000025060000}"/>
    <cellStyle name="Normale 63 2" xfId="756" xr:uid="{00000000-0005-0000-0000-000026060000}"/>
    <cellStyle name="Normale 64" xfId="757" xr:uid="{00000000-0005-0000-0000-000027060000}"/>
    <cellStyle name="Normale 64 2" xfId="758" xr:uid="{00000000-0005-0000-0000-000028060000}"/>
    <cellStyle name="Normale 65" xfId="759" xr:uid="{00000000-0005-0000-0000-000029060000}"/>
    <cellStyle name="Normale 65 2" xfId="760" xr:uid="{00000000-0005-0000-0000-00002A060000}"/>
    <cellStyle name="Normale 7" xfId="761" xr:uid="{00000000-0005-0000-0000-00002B060000}"/>
    <cellStyle name="Normale 7 2" xfId="762" xr:uid="{00000000-0005-0000-0000-00002C060000}"/>
    <cellStyle name="Normale 7 2 2" xfId="763" xr:uid="{00000000-0005-0000-0000-00002D060000}"/>
    <cellStyle name="Normale 7 3" xfId="764" xr:uid="{00000000-0005-0000-0000-00002E060000}"/>
    <cellStyle name="Normale 7 3 2" xfId="765" xr:uid="{00000000-0005-0000-0000-00002F060000}"/>
    <cellStyle name="Normale 7 4" xfId="766" xr:uid="{00000000-0005-0000-0000-000030060000}"/>
    <cellStyle name="Normale 7_EDEN industria 2008 rev" xfId="767" xr:uid="{00000000-0005-0000-0000-000031060000}"/>
    <cellStyle name="Normale 8" xfId="768" xr:uid="{00000000-0005-0000-0000-000032060000}"/>
    <cellStyle name="Normale 8 2" xfId="769" xr:uid="{00000000-0005-0000-0000-000033060000}"/>
    <cellStyle name="Normale 8 2 2" xfId="770" xr:uid="{00000000-0005-0000-0000-000034060000}"/>
    <cellStyle name="Normale 8 3" xfId="771" xr:uid="{00000000-0005-0000-0000-000035060000}"/>
    <cellStyle name="Normale 8 3 2" xfId="772" xr:uid="{00000000-0005-0000-0000-000036060000}"/>
    <cellStyle name="Normale 8 4" xfId="773" xr:uid="{00000000-0005-0000-0000-000037060000}"/>
    <cellStyle name="Normale 8_EDEN industria 2008 rev" xfId="774" xr:uid="{00000000-0005-0000-0000-000038060000}"/>
    <cellStyle name="Normale 9" xfId="775" xr:uid="{00000000-0005-0000-0000-000039060000}"/>
    <cellStyle name="Normale 9 2" xfId="776" xr:uid="{00000000-0005-0000-0000-00003A060000}"/>
    <cellStyle name="Normale 9 2 2" xfId="777" xr:uid="{00000000-0005-0000-0000-00003B060000}"/>
    <cellStyle name="Normale 9 3" xfId="778" xr:uid="{00000000-0005-0000-0000-00003C060000}"/>
    <cellStyle name="Normale 9 3 2" xfId="779" xr:uid="{00000000-0005-0000-0000-00003D060000}"/>
    <cellStyle name="Normale 9 4" xfId="780" xr:uid="{00000000-0005-0000-0000-00003E060000}"/>
    <cellStyle name="Normale 9_EDEN industria 2008 rev" xfId="781" xr:uid="{00000000-0005-0000-0000-00003F060000}"/>
    <cellStyle name="Normale_B2020" xfId="782" xr:uid="{00000000-0005-0000-0000-000040060000}"/>
    <cellStyle name="Nota" xfId="783" xr:uid="{00000000-0005-0000-0000-000041060000}"/>
    <cellStyle name="Nota 2" xfId="784" xr:uid="{00000000-0005-0000-0000-000042060000}"/>
    <cellStyle name="Nota 2 2" xfId="2071" xr:uid="{00000000-0005-0000-0000-000043060000}"/>
    <cellStyle name="Nota 3" xfId="785" xr:uid="{00000000-0005-0000-0000-000044060000}"/>
    <cellStyle name="Nota 3 2" xfId="786" xr:uid="{00000000-0005-0000-0000-000045060000}"/>
    <cellStyle name="Nota 3 2 2" xfId="2072" xr:uid="{00000000-0005-0000-0000-000046060000}"/>
    <cellStyle name="Nota 3 2 2 2" xfId="2073" xr:uid="{00000000-0005-0000-0000-000047060000}"/>
    <cellStyle name="Nota 3 2 3" xfId="2074" xr:uid="{00000000-0005-0000-0000-000048060000}"/>
    <cellStyle name="Nota 3 3" xfId="2075" xr:uid="{00000000-0005-0000-0000-000049060000}"/>
    <cellStyle name="Nota 3 4" xfId="4094" xr:uid="{5AAEDC52-1C55-42E7-B8E6-D0223E699AC7}"/>
    <cellStyle name="Nota 4" xfId="787" xr:uid="{00000000-0005-0000-0000-00004A060000}"/>
    <cellStyle name="Nota 4 2" xfId="2076" xr:uid="{00000000-0005-0000-0000-00004B060000}"/>
    <cellStyle name="Nota 4 2 2" xfId="2077" xr:uid="{00000000-0005-0000-0000-00004C060000}"/>
    <cellStyle name="Nota 4 3" xfId="2078" xr:uid="{00000000-0005-0000-0000-00004D060000}"/>
    <cellStyle name="Nota 5" xfId="2079" xr:uid="{00000000-0005-0000-0000-00004E060000}"/>
    <cellStyle name="Nota 5 2" xfId="2080" xr:uid="{00000000-0005-0000-0000-00004F060000}"/>
    <cellStyle name="Nota 6" xfId="2081" xr:uid="{00000000-0005-0000-0000-000050060000}"/>
    <cellStyle name="Nota 7" xfId="4095" xr:uid="{B8D2523C-DF13-48FA-A53C-8A3604A97DB6}"/>
    <cellStyle name="Note 2" xfId="2082" xr:uid="{00000000-0005-0000-0000-000051060000}"/>
    <cellStyle name="Note 2 2" xfId="2083" xr:uid="{00000000-0005-0000-0000-000052060000}"/>
    <cellStyle name="Note 2 2 2" xfId="2084" xr:uid="{00000000-0005-0000-0000-000053060000}"/>
    <cellStyle name="Note 2 3" xfId="2085" xr:uid="{00000000-0005-0000-0000-000054060000}"/>
    <cellStyle name="Nuovo" xfId="788" xr:uid="{00000000-0005-0000-0000-000055060000}"/>
    <cellStyle name="Nuovo 10" xfId="789" xr:uid="{00000000-0005-0000-0000-000056060000}"/>
    <cellStyle name="Nuovo 10 2" xfId="790" xr:uid="{00000000-0005-0000-0000-000057060000}"/>
    <cellStyle name="Nuovo 10 2 2" xfId="4096" xr:uid="{723A12F6-28DB-44D7-B59B-154C35212950}"/>
    <cellStyle name="Nuovo 10 3" xfId="791" xr:uid="{00000000-0005-0000-0000-000058060000}"/>
    <cellStyle name="Nuovo 10 3 2" xfId="792" xr:uid="{00000000-0005-0000-0000-000059060000}"/>
    <cellStyle name="Nuovo 10 3 2 2" xfId="2086" xr:uid="{00000000-0005-0000-0000-00005A060000}"/>
    <cellStyle name="Nuovo 10 3 3" xfId="4097" xr:uid="{F075B04C-37FC-401E-BD8C-3E355D86CC7C}"/>
    <cellStyle name="Nuovo 10 3 4" xfId="4098" xr:uid="{E024607C-4B24-4063-8375-7852027ADA13}"/>
    <cellStyle name="Nuovo 10 4" xfId="2087" xr:uid="{00000000-0005-0000-0000-00005B060000}"/>
    <cellStyle name="Nuovo 10 4 2" xfId="2088" xr:uid="{00000000-0005-0000-0000-00005C060000}"/>
    <cellStyle name="Nuovo 10 5" xfId="2089" xr:uid="{00000000-0005-0000-0000-00005D060000}"/>
    <cellStyle name="Nuovo 10 6" xfId="4099" xr:uid="{3455894D-00B6-4B93-9B16-2A725F420E69}"/>
    <cellStyle name="Nuovo 11" xfId="793" xr:uid="{00000000-0005-0000-0000-00005E060000}"/>
    <cellStyle name="Nuovo 11 2" xfId="794" xr:uid="{00000000-0005-0000-0000-00005F060000}"/>
    <cellStyle name="Nuovo 11 2 2" xfId="4100" xr:uid="{0A1E126E-5882-483B-9E07-21B2D77FA1AB}"/>
    <cellStyle name="Nuovo 11 3" xfId="795" xr:uid="{00000000-0005-0000-0000-000060060000}"/>
    <cellStyle name="Nuovo 11 3 2" xfId="796" xr:uid="{00000000-0005-0000-0000-000061060000}"/>
    <cellStyle name="Nuovo 11 3 2 2" xfId="2090" xr:uid="{00000000-0005-0000-0000-000062060000}"/>
    <cellStyle name="Nuovo 11 3 3" xfId="4101" xr:uid="{103F5CDB-A1C1-41D3-9E40-6F0FDD65AABA}"/>
    <cellStyle name="Nuovo 11 3 4" xfId="4102" xr:uid="{C08DC5C1-4605-439C-BBFD-14A18D78FADF}"/>
    <cellStyle name="Nuovo 11 4" xfId="2091" xr:uid="{00000000-0005-0000-0000-000063060000}"/>
    <cellStyle name="Nuovo 11 4 2" xfId="2092" xr:uid="{00000000-0005-0000-0000-000064060000}"/>
    <cellStyle name="Nuovo 11 5" xfId="2093" xr:uid="{00000000-0005-0000-0000-000065060000}"/>
    <cellStyle name="Nuovo 11 6" xfId="4103" xr:uid="{7DC4FA71-46B2-4A44-B776-322E5564491C}"/>
    <cellStyle name="Nuovo 12" xfId="797" xr:uid="{00000000-0005-0000-0000-000066060000}"/>
    <cellStyle name="Nuovo 12 2" xfId="798" xr:uid="{00000000-0005-0000-0000-000067060000}"/>
    <cellStyle name="Nuovo 12 2 2" xfId="4104" xr:uid="{CE9F6DA8-2307-4B1F-8EE0-D0903E3B7D3F}"/>
    <cellStyle name="Nuovo 12 3" xfId="799" xr:uid="{00000000-0005-0000-0000-000068060000}"/>
    <cellStyle name="Nuovo 12 3 2" xfId="800" xr:uid="{00000000-0005-0000-0000-000069060000}"/>
    <cellStyle name="Nuovo 12 3 2 2" xfId="2094" xr:uid="{00000000-0005-0000-0000-00006A060000}"/>
    <cellStyle name="Nuovo 12 3 3" xfId="4105" xr:uid="{5EE056CA-855F-427E-9B21-25D361241825}"/>
    <cellStyle name="Nuovo 12 3 4" xfId="4106" xr:uid="{52F7B937-3D51-4B64-96EC-BA61D5C9C092}"/>
    <cellStyle name="Nuovo 12 4" xfId="2095" xr:uid="{00000000-0005-0000-0000-00006B060000}"/>
    <cellStyle name="Nuovo 12 4 2" xfId="2096" xr:uid="{00000000-0005-0000-0000-00006C060000}"/>
    <cellStyle name="Nuovo 12 5" xfId="2097" xr:uid="{00000000-0005-0000-0000-00006D060000}"/>
    <cellStyle name="Nuovo 12 6" xfId="4107" xr:uid="{3730AC5A-78BB-47C2-9940-80600D3C069C}"/>
    <cellStyle name="Nuovo 13" xfId="801" xr:uid="{00000000-0005-0000-0000-00006E060000}"/>
    <cellStyle name="Nuovo 13 2" xfId="802" xr:uid="{00000000-0005-0000-0000-00006F060000}"/>
    <cellStyle name="Nuovo 13 2 2" xfId="4108" xr:uid="{B3462424-B903-4D82-A94E-BCECF8331C67}"/>
    <cellStyle name="Nuovo 13 3" xfId="803" xr:uid="{00000000-0005-0000-0000-000070060000}"/>
    <cellStyle name="Nuovo 13 3 2" xfId="804" xr:uid="{00000000-0005-0000-0000-000071060000}"/>
    <cellStyle name="Nuovo 13 3 2 2" xfId="2098" xr:uid="{00000000-0005-0000-0000-000072060000}"/>
    <cellStyle name="Nuovo 13 3 3" xfId="4109" xr:uid="{8C85CC36-9D93-48FB-9F67-A21796D5E438}"/>
    <cellStyle name="Nuovo 13 3 4" xfId="4110" xr:uid="{0EADFF64-4EF5-46E4-B7E2-5C5D69BB536C}"/>
    <cellStyle name="Nuovo 13 4" xfId="2099" xr:uid="{00000000-0005-0000-0000-000073060000}"/>
    <cellStyle name="Nuovo 13 4 2" xfId="2100" xr:uid="{00000000-0005-0000-0000-000074060000}"/>
    <cellStyle name="Nuovo 13 5" xfId="2101" xr:uid="{00000000-0005-0000-0000-000075060000}"/>
    <cellStyle name="Nuovo 13 6" xfId="4111" xr:uid="{A1EA4960-875F-47FA-B5CE-F431BDC81CF2}"/>
    <cellStyle name="Nuovo 14" xfId="805" xr:uid="{00000000-0005-0000-0000-000076060000}"/>
    <cellStyle name="Nuovo 14 2" xfId="806" xr:uid="{00000000-0005-0000-0000-000077060000}"/>
    <cellStyle name="Nuovo 14 2 2" xfId="4112" xr:uid="{D6A59815-0321-4B32-8EC5-0E679D9B4B50}"/>
    <cellStyle name="Nuovo 14 3" xfId="807" xr:uid="{00000000-0005-0000-0000-000078060000}"/>
    <cellStyle name="Nuovo 14 3 2" xfId="808" xr:uid="{00000000-0005-0000-0000-000079060000}"/>
    <cellStyle name="Nuovo 14 3 2 2" xfId="2102" xr:uid="{00000000-0005-0000-0000-00007A060000}"/>
    <cellStyle name="Nuovo 14 3 3" xfId="4113" xr:uid="{297A7DB0-45E5-415E-870B-5D0B90C128A3}"/>
    <cellStyle name="Nuovo 14 3 4" xfId="4114" xr:uid="{740D2CAD-EB4C-448A-AB31-17E15720012C}"/>
    <cellStyle name="Nuovo 14 4" xfId="2103" xr:uid="{00000000-0005-0000-0000-00007B060000}"/>
    <cellStyle name="Nuovo 14 4 2" xfId="2104" xr:uid="{00000000-0005-0000-0000-00007C060000}"/>
    <cellStyle name="Nuovo 14 5" xfId="2105" xr:uid="{00000000-0005-0000-0000-00007D060000}"/>
    <cellStyle name="Nuovo 14 6" xfId="4115" xr:uid="{DB155427-2CA2-4D2B-A63C-86F196AD5154}"/>
    <cellStyle name="Nuovo 15" xfId="809" xr:uid="{00000000-0005-0000-0000-00007E060000}"/>
    <cellStyle name="Nuovo 15 2" xfId="810" xr:uid="{00000000-0005-0000-0000-00007F060000}"/>
    <cellStyle name="Nuovo 15 2 2" xfId="4116" xr:uid="{B6450B25-85C1-410F-94F3-6F3C3EE65A91}"/>
    <cellStyle name="Nuovo 15 3" xfId="811" xr:uid="{00000000-0005-0000-0000-000080060000}"/>
    <cellStyle name="Nuovo 15 3 2" xfId="812" xr:uid="{00000000-0005-0000-0000-000081060000}"/>
    <cellStyle name="Nuovo 15 3 2 2" xfId="2106" xr:uid="{00000000-0005-0000-0000-000082060000}"/>
    <cellStyle name="Nuovo 15 3 3" xfId="4117" xr:uid="{D1C30CCD-9832-4582-BED6-A70C5191CA94}"/>
    <cellStyle name="Nuovo 15 3 4" xfId="4118" xr:uid="{8AEAE1A3-272A-4158-A711-3BB33F95F417}"/>
    <cellStyle name="Nuovo 15 4" xfId="2107" xr:uid="{00000000-0005-0000-0000-000083060000}"/>
    <cellStyle name="Nuovo 15 4 2" xfId="2108" xr:uid="{00000000-0005-0000-0000-000084060000}"/>
    <cellStyle name="Nuovo 15 5" xfId="2109" xr:uid="{00000000-0005-0000-0000-000085060000}"/>
    <cellStyle name="Nuovo 15 6" xfId="4119" xr:uid="{EAC982BB-9C75-41FB-80A2-09932D31C774}"/>
    <cellStyle name="Nuovo 16" xfId="813" xr:uid="{00000000-0005-0000-0000-000086060000}"/>
    <cellStyle name="Nuovo 16 2" xfId="814" xr:uid="{00000000-0005-0000-0000-000087060000}"/>
    <cellStyle name="Nuovo 16 2 2" xfId="4120" xr:uid="{674E81C1-15FC-48CE-82A3-C9A86B0EC722}"/>
    <cellStyle name="Nuovo 16 3" xfId="815" xr:uid="{00000000-0005-0000-0000-000088060000}"/>
    <cellStyle name="Nuovo 16 3 2" xfId="816" xr:uid="{00000000-0005-0000-0000-000089060000}"/>
    <cellStyle name="Nuovo 16 3 2 2" xfId="2110" xr:uid="{00000000-0005-0000-0000-00008A060000}"/>
    <cellStyle name="Nuovo 16 3 3" xfId="4121" xr:uid="{732E2F74-9831-459D-996F-B14AB6D6AA93}"/>
    <cellStyle name="Nuovo 16 3 4" xfId="4122" xr:uid="{D0C9F8CE-B331-4CEC-BA70-E5E2AF66290F}"/>
    <cellStyle name="Nuovo 16 4" xfId="2111" xr:uid="{00000000-0005-0000-0000-00008B060000}"/>
    <cellStyle name="Nuovo 16 4 2" xfId="2112" xr:uid="{00000000-0005-0000-0000-00008C060000}"/>
    <cellStyle name="Nuovo 16 5" xfId="2113" xr:uid="{00000000-0005-0000-0000-00008D060000}"/>
    <cellStyle name="Nuovo 16 6" xfId="4123" xr:uid="{6A3142C1-60C7-4085-8046-8BB8F78E1344}"/>
    <cellStyle name="Nuovo 17" xfId="817" xr:uid="{00000000-0005-0000-0000-00008E060000}"/>
    <cellStyle name="Nuovo 17 2" xfId="818" xr:uid="{00000000-0005-0000-0000-00008F060000}"/>
    <cellStyle name="Nuovo 17 2 2" xfId="4124" xr:uid="{5680E20D-068A-478C-92E7-F135E9BF847C}"/>
    <cellStyle name="Nuovo 17 3" xfId="819" xr:uid="{00000000-0005-0000-0000-000090060000}"/>
    <cellStyle name="Nuovo 17 3 2" xfId="820" xr:uid="{00000000-0005-0000-0000-000091060000}"/>
    <cellStyle name="Nuovo 17 3 2 2" xfId="2114" xr:uid="{00000000-0005-0000-0000-000092060000}"/>
    <cellStyle name="Nuovo 17 3 3" xfId="4125" xr:uid="{6E633A86-78F0-48E6-A391-B054F0BF6D9A}"/>
    <cellStyle name="Nuovo 17 3 4" xfId="4126" xr:uid="{540D7934-7F25-4A18-B460-B6BA43E1E95E}"/>
    <cellStyle name="Nuovo 17 4" xfId="2115" xr:uid="{00000000-0005-0000-0000-000093060000}"/>
    <cellStyle name="Nuovo 17 4 2" xfId="2116" xr:uid="{00000000-0005-0000-0000-000094060000}"/>
    <cellStyle name="Nuovo 17 5" xfId="2117" xr:uid="{00000000-0005-0000-0000-000095060000}"/>
    <cellStyle name="Nuovo 17 6" xfId="4127" xr:uid="{685BADFE-6FEA-4AF5-852B-24E28B30987F}"/>
    <cellStyle name="Nuovo 18" xfId="821" xr:uid="{00000000-0005-0000-0000-000096060000}"/>
    <cellStyle name="Nuovo 18 2" xfId="822" xr:uid="{00000000-0005-0000-0000-000097060000}"/>
    <cellStyle name="Nuovo 18 2 2" xfId="4128" xr:uid="{16C23854-7301-45A9-A809-4071B3DB4052}"/>
    <cellStyle name="Nuovo 18 3" xfId="823" xr:uid="{00000000-0005-0000-0000-000098060000}"/>
    <cellStyle name="Nuovo 18 3 2" xfId="824" xr:uid="{00000000-0005-0000-0000-000099060000}"/>
    <cellStyle name="Nuovo 18 3 2 2" xfId="2118" xr:uid="{00000000-0005-0000-0000-00009A060000}"/>
    <cellStyle name="Nuovo 18 3 3" xfId="4129" xr:uid="{E7417115-6237-478F-BE88-ABFB7AE2A3E1}"/>
    <cellStyle name="Nuovo 18 3 4" xfId="4130" xr:uid="{12395711-7F7B-41F0-A4FD-E716E0CD77AD}"/>
    <cellStyle name="Nuovo 18 4" xfId="2119" xr:uid="{00000000-0005-0000-0000-00009B060000}"/>
    <cellStyle name="Nuovo 18 4 2" xfId="2120" xr:uid="{00000000-0005-0000-0000-00009C060000}"/>
    <cellStyle name="Nuovo 18 5" xfId="2121" xr:uid="{00000000-0005-0000-0000-00009D060000}"/>
    <cellStyle name="Nuovo 18 6" xfId="4131" xr:uid="{97BBC2CC-FD9F-4A01-82CE-0168A96D7A4B}"/>
    <cellStyle name="Nuovo 19" xfId="825" xr:uid="{00000000-0005-0000-0000-00009E060000}"/>
    <cellStyle name="Nuovo 19 2" xfId="826" xr:uid="{00000000-0005-0000-0000-00009F060000}"/>
    <cellStyle name="Nuovo 19 2 2" xfId="4132" xr:uid="{0469468D-0A85-41AA-881E-0E4239FFFFB2}"/>
    <cellStyle name="Nuovo 19 3" xfId="827" xr:uid="{00000000-0005-0000-0000-0000A0060000}"/>
    <cellStyle name="Nuovo 19 3 2" xfId="828" xr:uid="{00000000-0005-0000-0000-0000A1060000}"/>
    <cellStyle name="Nuovo 19 3 2 2" xfId="2122" xr:uid="{00000000-0005-0000-0000-0000A2060000}"/>
    <cellStyle name="Nuovo 19 3 3" xfId="4133" xr:uid="{3527E782-8BAD-4E82-B406-EAA2BB25A9BC}"/>
    <cellStyle name="Nuovo 19 3 4" xfId="4134" xr:uid="{48E805F6-9715-4CBD-AC54-5C6A713CB2F7}"/>
    <cellStyle name="Nuovo 19 4" xfId="2123" xr:uid="{00000000-0005-0000-0000-0000A3060000}"/>
    <cellStyle name="Nuovo 19 4 2" xfId="2124" xr:uid="{00000000-0005-0000-0000-0000A4060000}"/>
    <cellStyle name="Nuovo 19 5" xfId="2125" xr:uid="{00000000-0005-0000-0000-0000A5060000}"/>
    <cellStyle name="Nuovo 19 6" xfId="4135" xr:uid="{2523D6B6-F43D-4715-946F-6ED9B7ED078C}"/>
    <cellStyle name="Nuovo 2" xfId="829" xr:uid="{00000000-0005-0000-0000-0000A6060000}"/>
    <cellStyle name="Nuovo 2 2" xfId="830" xr:uid="{00000000-0005-0000-0000-0000A7060000}"/>
    <cellStyle name="Nuovo 2 2 2" xfId="4136" xr:uid="{E53EEAB2-42F8-43AC-A993-346B1C133123}"/>
    <cellStyle name="Nuovo 2 3" xfId="831" xr:uid="{00000000-0005-0000-0000-0000A8060000}"/>
    <cellStyle name="Nuovo 2 3 2" xfId="832" xr:uid="{00000000-0005-0000-0000-0000A9060000}"/>
    <cellStyle name="Nuovo 2 3 2 2" xfId="2126" xr:uid="{00000000-0005-0000-0000-0000AA060000}"/>
    <cellStyle name="Nuovo 2 3 3" xfId="4137" xr:uid="{71E8C56B-7BD8-4CA0-A7C2-ABF6955CB7A2}"/>
    <cellStyle name="Nuovo 2 3 4" xfId="4138" xr:uid="{D5F7A0F4-288E-43E4-AA47-4F708922E956}"/>
    <cellStyle name="Nuovo 2 4" xfId="2127" xr:uid="{00000000-0005-0000-0000-0000AB060000}"/>
    <cellStyle name="Nuovo 2 4 2" xfId="2128" xr:uid="{00000000-0005-0000-0000-0000AC060000}"/>
    <cellStyle name="Nuovo 2 5" xfId="2129" xr:uid="{00000000-0005-0000-0000-0000AD060000}"/>
    <cellStyle name="Nuovo 2 6" xfId="4139" xr:uid="{9DAE8486-7251-47E8-B4DF-8963FA0B0B0F}"/>
    <cellStyle name="Nuovo 20" xfId="833" xr:uid="{00000000-0005-0000-0000-0000AE060000}"/>
    <cellStyle name="Nuovo 20 2" xfId="834" xr:uid="{00000000-0005-0000-0000-0000AF060000}"/>
    <cellStyle name="Nuovo 20 2 2" xfId="4140" xr:uid="{E2D7AAF1-48E6-4223-98C5-DFB33D211CC2}"/>
    <cellStyle name="Nuovo 20 3" xfId="835" xr:uid="{00000000-0005-0000-0000-0000B0060000}"/>
    <cellStyle name="Nuovo 20 3 2" xfId="836" xr:uid="{00000000-0005-0000-0000-0000B1060000}"/>
    <cellStyle name="Nuovo 20 3 2 2" xfId="2130" xr:uid="{00000000-0005-0000-0000-0000B2060000}"/>
    <cellStyle name="Nuovo 20 3 3" xfId="4141" xr:uid="{FA7120B4-F2EA-4B18-8870-925291E037C3}"/>
    <cellStyle name="Nuovo 20 3 4" xfId="4142" xr:uid="{F4742C02-B8A7-4197-A3B4-02427543E0C7}"/>
    <cellStyle name="Nuovo 20 4" xfId="2131" xr:uid="{00000000-0005-0000-0000-0000B3060000}"/>
    <cellStyle name="Nuovo 20 4 2" xfId="2132" xr:uid="{00000000-0005-0000-0000-0000B4060000}"/>
    <cellStyle name="Nuovo 20 5" xfId="2133" xr:uid="{00000000-0005-0000-0000-0000B5060000}"/>
    <cellStyle name="Nuovo 20 6" xfId="4143" xr:uid="{042B3763-822C-4B3D-ADD5-8D2060976542}"/>
    <cellStyle name="Nuovo 21" xfId="837" xr:uid="{00000000-0005-0000-0000-0000B6060000}"/>
    <cellStyle name="Nuovo 21 2" xfId="838" xr:uid="{00000000-0005-0000-0000-0000B7060000}"/>
    <cellStyle name="Nuovo 21 2 2" xfId="4144" xr:uid="{4FCC9E5D-23AC-4097-858A-DEEE69DC2237}"/>
    <cellStyle name="Nuovo 21 3" xfId="839" xr:uid="{00000000-0005-0000-0000-0000B8060000}"/>
    <cellStyle name="Nuovo 21 3 2" xfId="840" xr:uid="{00000000-0005-0000-0000-0000B9060000}"/>
    <cellStyle name="Nuovo 21 3 2 2" xfId="2134" xr:uid="{00000000-0005-0000-0000-0000BA060000}"/>
    <cellStyle name="Nuovo 21 3 3" xfId="4145" xr:uid="{E46D2CAC-B7D0-43C9-892D-D9B54741D312}"/>
    <cellStyle name="Nuovo 21 3 4" xfId="4146" xr:uid="{6FE9A12F-CFE3-4CC9-9C01-DDF910E5B743}"/>
    <cellStyle name="Nuovo 21 4" xfId="2135" xr:uid="{00000000-0005-0000-0000-0000BB060000}"/>
    <cellStyle name="Nuovo 21 4 2" xfId="2136" xr:uid="{00000000-0005-0000-0000-0000BC060000}"/>
    <cellStyle name="Nuovo 21 5" xfId="2137" xr:uid="{00000000-0005-0000-0000-0000BD060000}"/>
    <cellStyle name="Nuovo 21 6" xfId="4147" xr:uid="{3A3FB840-1EB6-4965-9D89-22B6DB6D0BD6}"/>
    <cellStyle name="Nuovo 22" xfId="841" xr:uid="{00000000-0005-0000-0000-0000BE060000}"/>
    <cellStyle name="Nuovo 22 2" xfId="842" xr:uid="{00000000-0005-0000-0000-0000BF060000}"/>
    <cellStyle name="Nuovo 22 2 2" xfId="4148" xr:uid="{190D5F54-5CAE-4DBC-A781-BFE482AAF63F}"/>
    <cellStyle name="Nuovo 22 3" xfId="843" xr:uid="{00000000-0005-0000-0000-0000C0060000}"/>
    <cellStyle name="Nuovo 22 3 2" xfId="844" xr:uid="{00000000-0005-0000-0000-0000C1060000}"/>
    <cellStyle name="Nuovo 22 3 2 2" xfId="2138" xr:uid="{00000000-0005-0000-0000-0000C2060000}"/>
    <cellStyle name="Nuovo 22 3 3" xfId="4149" xr:uid="{C98F360E-D3DB-4833-9FCC-FBFA2AB35062}"/>
    <cellStyle name="Nuovo 22 3 4" xfId="4150" xr:uid="{978C556F-C091-4EF3-A925-EB25B90AD6F3}"/>
    <cellStyle name="Nuovo 22 4" xfId="2139" xr:uid="{00000000-0005-0000-0000-0000C3060000}"/>
    <cellStyle name="Nuovo 22 4 2" xfId="2140" xr:uid="{00000000-0005-0000-0000-0000C4060000}"/>
    <cellStyle name="Nuovo 22 5" xfId="2141" xr:uid="{00000000-0005-0000-0000-0000C5060000}"/>
    <cellStyle name="Nuovo 22 6" xfId="4151" xr:uid="{22ED8B9C-7D0C-44A3-B896-1D738241FB86}"/>
    <cellStyle name="Nuovo 23" xfId="845" xr:uid="{00000000-0005-0000-0000-0000C6060000}"/>
    <cellStyle name="Nuovo 23 2" xfId="846" xr:uid="{00000000-0005-0000-0000-0000C7060000}"/>
    <cellStyle name="Nuovo 23 2 2" xfId="4152" xr:uid="{7157CD31-4BAF-4EF6-839C-1BF23EFCA065}"/>
    <cellStyle name="Nuovo 23 3" xfId="847" xr:uid="{00000000-0005-0000-0000-0000C8060000}"/>
    <cellStyle name="Nuovo 23 3 2" xfId="848" xr:uid="{00000000-0005-0000-0000-0000C9060000}"/>
    <cellStyle name="Nuovo 23 3 2 2" xfId="2142" xr:uid="{00000000-0005-0000-0000-0000CA060000}"/>
    <cellStyle name="Nuovo 23 3 3" xfId="4153" xr:uid="{14F9BE04-39CB-446F-93DE-2163740E8775}"/>
    <cellStyle name="Nuovo 23 3 4" xfId="4154" xr:uid="{9DDA326C-DB94-4779-89B3-F731903B993B}"/>
    <cellStyle name="Nuovo 23 4" xfId="2143" xr:uid="{00000000-0005-0000-0000-0000CB060000}"/>
    <cellStyle name="Nuovo 23 4 2" xfId="2144" xr:uid="{00000000-0005-0000-0000-0000CC060000}"/>
    <cellStyle name="Nuovo 23 5" xfId="2145" xr:uid="{00000000-0005-0000-0000-0000CD060000}"/>
    <cellStyle name="Nuovo 23 6" xfId="4155" xr:uid="{D23FF2C2-A02C-4783-990C-742974AB7F70}"/>
    <cellStyle name="Nuovo 24" xfId="849" xr:uid="{00000000-0005-0000-0000-0000CE060000}"/>
    <cellStyle name="Nuovo 24 2" xfId="850" xr:uid="{00000000-0005-0000-0000-0000CF060000}"/>
    <cellStyle name="Nuovo 24 2 2" xfId="4156" xr:uid="{07EF2E84-99D0-417C-8416-17D77CA7FEFD}"/>
    <cellStyle name="Nuovo 24 3" xfId="851" xr:uid="{00000000-0005-0000-0000-0000D0060000}"/>
    <cellStyle name="Nuovo 24 3 2" xfId="852" xr:uid="{00000000-0005-0000-0000-0000D1060000}"/>
    <cellStyle name="Nuovo 24 3 2 2" xfId="2146" xr:uid="{00000000-0005-0000-0000-0000D2060000}"/>
    <cellStyle name="Nuovo 24 3 3" xfId="4157" xr:uid="{56D43F84-2932-4CD3-BA6E-BF4F10A37A82}"/>
    <cellStyle name="Nuovo 24 3 4" xfId="4158" xr:uid="{470A1564-651A-4F1E-8B49-BC23ECDFCF37}"/>
    <cellStyle name="Nuovo 24 4" xfId="2147" xr:uid="{00000000-0005-0000-0000-0000D3060000}"/>
    <cellStyle name="Nuovo 24 4 2" xfId="2148" xr:uid="{00000000-0005-0000-0000-0000D4060000}"/>
    <cellStyle name="Nuovo 24 5" xfId="2149" xr:uid="{00000000-0005-0000-0000-0000D5060000}"/>
    <cellStyle name="Nuovo 24 6" xfId="4159" xr:uid="{0962563C-1A01-4B00-B3AD-1CE8D47F7A08}"/>
    <cellStyle name="Nuovo 25" xfId="853" xr:uid="{00000000-0005-0000-0000-0000D6060000}"/>
    <cellStyle name="Nuovo 25 2" xfId="854" xr:uid="{00000000-0005-0000-0000-0000D7060000}"/>
    <cellStyle name="Nuovo 25 2 2" xfId="4160" xr:uid="{D8170EE6-B489-4C48-990E-0EA828ED6D8B}"/>
    <cellStyle name="Nuovo 25 3" xfId="855" xr:uid="{00000000-0005-0000-0000-0000D8060000}"/>
    <cellStyle name="Nuovo 25 3 2" xfId="856" xr:uid="{00000000-0005-0000-0000-0000D9060000}"/>
    <cellStyle name="Nuovo 25 3 2 2" xfId="2150" xr:uid="{00000000-0005-0000-0000-0000DA060000}"/>
    <cellStyle name="Nuovo 25 3 3" xfId="4161" xr:uid="{76D5FDE6-7908-477A-B000-AC5DEAA09139}"/>
    <cellStyle name="Nuovo 25 3 4" xfId="4162" xr:uid="{A6A4EB4B-270C-43EE-B8BA-36DEC1EAEC6B}"/>
    <cellStyle name="Nuovo 25 4" xfId="2151" xr:uid="{00000000-0005-0000-0000-0000DB060000}"/>
    <cellStyle name="Nuovo 25 4 2" xfId="2152" xr:uid="{00000000-0005-0000-0000-0000DC060000}"/>
    <cellStyle name="Nuovo 25 5" xfId="2153" xr:uid="{00000000-0005-0000-0000-0000DD060000}"/>
    <cellStyle name="Nuovo 25 6" xfId="4163" xr:uid="{74402205-FB7F-4276-8DFE-E6124C7D96FD}"/>
    <cellStyle name="Nuovo 26" xfId="857" xr:uid="{00000000-0005-0000-0000-0000DE060000}"/>
    <cellStyle name="Nuovo 26 2" xfId="858" xr:uid="{00000000-0005-0000-0000-0000DF060000}"/>
    <cellStyle name="Nuovo 26 2 2" xfId="4164" xr:uid="{EF14F0FD-8A37-4CE3-A40E-3CE8534B8C5B}"/>
    <cellStyle name="Nuovo 26 3" xfId="859" xr:uid="{00000000-0005-0000-0000-0000E0060000}"/>
    <cellStyle name="Nuovo 26 3 2" xfId="860" xr:uid="{00000000-0005-0000-0000-0000E1060000}"/>
    <cellStyle name="Nuovo 26 3 2 2" xfId="2154" xr:uid="{00000000-0005-0000-0000-0000E2060000}"/>
    <cellStyle name="Nuovo 26 3 3" xfId="4165" xr:uid="{D276A25C-4144-498C-9A7D-2D275B778B96}"/>
    <cellStyle name="Nuovo 26 3 4" xfId="4166" xr:uid="{6B877239-17AA-4D20-8268-EBA90573F64C}"/>
    <cellStyle name="Nuovo 26 4" xfId="2155" xr:uid="{00000000-0005-0000-0000-0000E3060000}"/>
    <cellStyle name="Nuovo 26 4 2" xfId="2156" xr:uid="{00000000-0005-0000-0000-0000E4060000}"/>
    <cellStyle name="Nuovo 26 5" xfId="2157" xr:uid="{00000000-0005-0000-0000-0000E5060000}"/>
    <cellStyle name="Nuovo 26 6" xfId="4167" xr:uid="{BFD5F675-45CF-4014-BDC9-8E5281593A98}"/>
    <cellStyle name="Nuovo 27" xfId="861" xr:uid="{00000000-0005-0000-0000-0000E6060000}"/>
    <cellStyle name="Nuovo 27 2" xfId="862" xr:uid="{00000000-0005-0000-0000-0000E7060000}"/>
    <cellStyle name="Nuovo 27 2 2" xfId="4168" xr:uid="{1F728945-5824-486B-9260-438B6B452C93}"/>
    <cellStyle name="Nuovo 27 3" xfId="863" xr:uid="{00000000-0005-0000-0000-0000E8060000}"/>
    <cellStyle name="Nuovo 27 3 2" xfId="864" xr:uid="{00000000-0005-0000-0000-0000E9060000}"/>
    <cellStyle name="Nuovo 27 3 2 2" xfId="2158" xr:uid="{00000000-0005-0000-0000-0000EA060000}"/>
    <cellStyle name="Nuovo 27 3 3" xfId="4169" xr:uid="{3D8CBF6F-3206-4603-B160-2B5A35715C28}"/>
    <cellStyle name="Nuovo 27 3 4" xfId="4170" xr:uid="{87E1DEC4-2B49-4E49-8D5C-702822A341A5}"/>
    <cellStyle name="Nuovo 27 4" xfId="2159" xr:uid="{00000000-0005-0000-0000-0000EB060000}"/>
    <cellStyle name="Nuovo 27 4 2" xfId="2160" xr:uid="{00000000-0005-0000-0000-0000EC060000}"/>
    <cellStyle name="Nuovo 27 5" xfId="2161" xr:uid="{00000000-0005-0000-0000-0000ED060000}"/>
    <cellStyle name="Nuovo 27 6" xfId="4171" xr:uid="{82E0C6F6-CF92-44FB-A4C7-EA23D3D1C610}"/>
    <cellStyle name="Nuovo 28" xfId="865" xr:uid="{00000000-0005-0000-0000-0000EE060000}"/>
    <cellStyle name="Nuovo 28 2" xfId="866" xr:uid="{00000000-0005-0000-0000-0000EF060000}"/>
    <cellStyle name="Nuovo 28 2 2" xfId="4172" xr:uid="{9DE10C6A-FE3D-43FF-946A-165F4E283575}"/>
    <cellStyle name="Nuovo 28 3" xfId="867" xr:uid="{00000000-0005-0000-0000-0000F0060000}"/>
    <cellStyle name="Nuovo 28 3 2" xfId="868" xr:uid="{00000000-0005-0000-0000-0000F1060000}"/>
    <cellStyle name="Nuovo 28 3 2 2" xfId="2162" xr:uid="{00000000-0005-0000-0000-0000F2060000}"/>
    <cellStyle name="Nuovo 28 3 3" xfId="4173" xr:uid="{3D0B2B9F-C859-40DC-818C-F674FD5D97AC}"/>
    <cellStyle name="Nuovo 28 3 4" xfId="4174" xr:uid="{3E3BC6D1-600C-4056-BFE1-E2376EFB2EBF}"/>
    <cellStyle name="Nuovo 28 4" xfId="2163" xr:uid="{00000000-0005-0000-0000-0000F3060000}"/>
    <cellStyle name="Nuovo 28 4 2" xfId="2164" xr:uid="{00000000-0005-0000-0000-0000F4060000}"/>
    <cellStyle name="Nuovo 28 5" xfId="2165" xr:uid="{00000000-0005-0000-0000-0000F5060000}"/>
    <cellStyle name="Nuovo 28 6" xfId="4175" xr:uid="{98B1C2A4-D4FE-41D6-8D83-6ED5CDB8F70C}"/>
    <cellStyle name="Nuovo 29" xfId="869" xr:uid="{00000000-0005-0000-0000-0000F6060000}"/>
    <cellStyle name="Nuovo 29 2" xfId="870" xr:uid="{00000000-0005-0000-0000-0000F7060000}"/>
    <cellStyle name="Nuovo 29 2 2" xfId="4176" xr:uid="{F435162C-D3E3-4A9E-AA6A-5B0C3198D196}"/>
    <cellStyle name="Nuovo 29 3" xfId="871" xr:uid="{00000000-0005-0000-0000-0000F8060000}"/>
    <cellStyle name="Nuovo 29 3 2" xfId="872" xr:uid="{00000000-0005-0000-0000-0000F9060000}"/>
    <cellStyle name="Nuovo 29 3 2 2" xfId="2166" xr:uid="{00000000-0005-0000-0000-0000FA060000}"/>
    <cellStyle name="Nuovo 29 3 3" xfId="4177" xr:uid="{5E205E26-4F26-47BD-A075-68C265ED28E6}"/>
    <cellStyle name="Nuovo 29 3 4" xfId="4178" xr:uid="{A702743B-FFF0-4DA4-AE77-ABC8D8146F26}"/>
    <cellStyle name="Nuovo 29 4" xfId="2167" xr:uid="{00000000-0005-0000-0000-0000FB060000}"/>
    <cellStyle name="Nuovo 29 4 2" xfId="2168" xr:uid="{00000000-0005-0000-0000-0000FC060000}"/>
    <cellStyle name="Nuovo 29 5" xfId="2169" xr:uid="{00000000-0005-0000-0000-0000FD060000}"/>
    <cellStyle name="Nuovo 29 6" xfId="4179" xr:uid="{7BD67813-54AA-4A51-803B-115A1461BE48}"/>
    <cellStyle name="Nuovo 3" xfId="873" xr:uid="{00000000-0005-0000-0000-0000FE060000}"/>
    <cellStyle name="Nuovo 3 2" xfId="874" xr:uid="{00000000-0005-0000-0000-0000FF060000}"/>
    <cellStyle name="Nuovo 3 2 2" xfId="4180" xr:uid="{B7732E74-5E32-47C5-9255-120C3F735E80}"/>
    <cellStyle name="Nuovo 3 3" xfId="875" xr:uid="{00000000-0005-0000-0000-000000070000}"/>
    <cellStyle name="Nuovo 3 3 2" xfId="876" xr:uid="{00000000-0005-0000-0000-000001070000}"/>
    <cellStyle name="Nuovo 3 3 2 2" xfId="2170" xr:uid="{00000000-0005-0000-0000-000002070000}"/>
    <cellStyle name="Nuovo 3 3 3" xfId="4181" xr:uid="{9744309A-C547-42CE-8175-02E4C23E7535}"/>
    <cellStyle name="Nuovo 3 3 4" xfId="4182" xr:uid="{EFAD7141-6CE2-487E-9383-987D46DE267F}"/>
    <cellStyle name="Nuovo 3 4" xfId="2171" xr:uid="{00000000-0005-0000-0000-000003070000}"/>
    <cellStyle name="Nuovo 3 4 2" xfId="2172" xr:uid="{00000000-0005-0000-0000-000004070000}"/>
    <cellStyle name="Nuovo 3 5" xfId="2173" xr:uid="{00000000-0005-0000-0000-000005070000}"/>
    <cellStyle name="Nuovo 3 6" xfId="4183" xr:uid="{38791E31-885B-4766-B109-B252BEE0E935}"/>
    <cellStyle name="Nuovo 30" xfId="877" xr:uid="{00000000-0005-0000-0000-000006070000}"/>
    <cellStyle name="Nuovo 30 2" xfId="878" xr:uid="{00000000-0005-0000-0000-000007070000}"/>
    <cellStyle name="Nuovo 30 2 2" xfId="4184" xr:uid="{FDDDBA86-EDE1-4E4A-BF91-2E8C2901BE3C}"/>
    <cellStyle name="Nuovo 30 3" xfId="879" xr:uid="{00000000-0005-0000-0000-000008070000}"/>
    <cellStyle name="Nuovo 30 3 2" xfId="880" xr:uid="{00000000-0005-0000-0000-000009070000}"/>
    <cellStyle name="Nuovo 30 3 2 2" xfId="2174" xr:uid="{00000000-0005-0000-0000-00000A070000}"/>
    <cellStyle name="Nuovo 30 3 3" xfId="4185" xr:uid="{465EDB66-FB94-4FF7-8B14-18C1B4E6070A}"/>
    <cellStyle name="Nuovo 30 3 4" xfId="4186" xr:uid="{02347DE2-C03F-465F-A55C-73A80116BC11}"/>
    <cellStyle name="Nuovo 30 4" xfId="2175" xr:uid="{00000000-0005-0000-0000-00000B070000}"/>
    <cellStyle name="Nuovo 30 4 2" xfId="2176" xr:uid="{00000000-0005-0000-0000-00000C070000}"/>
    <cellStyle name="Nuovo 30 5" xfId="2177" xr:uid="{00000000-0005-0000-0000-00000D070000}"/>
    <cellStyle name="Nuovo 30 6" xfId="4187" xr:uid="{E3B22F56-BF24-467E-BF96-5333ECD8B194}"/>
    <cellStyle name="Nuovo 31" xfId="881" xr:uid="{00000000-0005-0000-0000-00000E070000}"/>
    <cellStyle name="Nuovo 31 2" xfId="882" xr:uid="{00000000-0005-0000-0000-00000F070000}"/>
    <cellStyle name="Nuovo 31 2 2" xfId="4188" xr:uid="{E9E1DCB1-4C5F-4D84-B38A-F351F78CC572}"/>
    <cellStyle name="Nuovo 31 3" xfId="883" xr:uid="{00000000-0005-0000-0000-000010070000}"/>
    <cellStyle name="Nuovo 31 3 2" xfId="884" xr:uid="{00000000-0005-0000-0000-000011070000}"/>
    <cellStyle name="Nuovo 31 3 2 2" xfId="2178" xr:uid="{00000000-0005-0000-0000-000012070000}"/>
    <cellStyle name="Nuovo 31 3 3" xfId="4189" xr:uid="{9037ED7C-BA02-401F-845D-0144FB6019FC}"/>
    <cellStyle name="Nuovo 31 3 4" xfId="4190" xr:uid="{B65D84CB-B22C-4FE3-806F-168847179C1E}"/>
    <cellStyle name="Nuovo 31 4" xfId="2179" xr:uid="{00000000-0005-0000-0000-000013070000}"/>
    <cellStyle name="Nuovo 31 4 2" xfId="2180" xr:uid="{00000000-0005-0000-0000-000014070000}"/>
    <cellStyle name="Nuovo 31 5" xfId="2181" xr:uid="{00000000-0005-0000-0000-000015070000}"/>
    <cellStyle name="Nuovo 31 6" xfId="4191" xr:uid="{1D018E73-AF8A-407F-873F-7FE11FCAD5A8}"/>
    <cellStyle name="Nuovo 32" xfId="885" xr:uid="{00000000-0005-0000-0000-000016070000}"/>
    <cellStyle name="Nuovo 32 2" xfId="886" xr:uid="{00000000-0005-0000-0000-000017070000}"/>
    <cellStyle name="Nuovo 32 2 2" xfId="4192" xr:uid="{8073B24D-5183-4C64-A33C-1EAB1CCE37F9}"/>
    <cellStyle name="Nuovo 32 3" xfId="887" xr:uid="{00000000-0005-0000-0000-000018070000}"/>
    <cellStyle name="Nuovo 32 3 2" xfId="888" xr:uid="{00000000-0005-0000-0000-000019070000}"/>
    <cellStyle name="Nuovo 32 3 2 2" xfId="2182" xr:uid="{00000000-0005-0000-0000-00001A070000}"/>
    <cellStyle name="Nuovo 32 3 3" xfId="4193" xr:uid="{BD37E39D-AB41-4F8B-BF68-5F6FBE80EE1A}"/>
    <cellStyle name="Nuovo 32 3 4" xfId="4194" xr:uid="{F612A47E-9F57-463F-AFC0-6F060DFC7345}"/>
    <cellStyle name="Nuovo 32 4" xfId="2183" xr:uid="{00000000-0005-0000-0000-00001B070000}"/>
    <cellStyle name="Nuovo 32 4 2" xfId="2184" xr:uid="{00000000-0005-0000-0000-00001C070000}"/>
    <cellStyle name="Nuovo 32 5" xfId="2185" xr:uid="{00000000-0005-0000-0000-00001D070000}"/>
    <cellStyle name="Nuovo 32 6" xfId="4195" xr:uid="{EE24F8B6-634D-49B3-B532-AEA4C0175AEF}"/>
    <cellStyle name="Nuovo 33" xfId="889" xr:uid="{00000000-0005-0000-0000-00001E070000}"/>
    <cellStyle name="Nuovo 33 2" xfId="890" xr:uid="{00000000-0005-0000-0000-00001F070000}"/>
    <cellStyle name="Nuovo 33 2 2" xfId="4196" xr:uid="{62ADB340-5E6B-4703-81F7-D70A6E1E35DC}"/>
    <cellStyle name="Nuovo 33 3" xfId="891" xr:uid="{00000000-0005-0000-0000-000020070000}"/>
    <cellStyle name="Nuovo 33 3 2" xfId="892" xr:uid="{00000000-0005-0000-0000-000021070000}"/>
    <cellStyle name="Nuovo 33 3 2 2" xfId="2186" xr:uid="{00000000-0005-0000-0000-000022070000}"/>
    <cellStyle name="Nuovo 33 3 3" xfId="4197" xr:uid="{9F85EC94-8A08-4689-A3AB-00452B12ECE7}"/>
    <cellStyle name="Nuovo 33 3 4" xfId="4198" xr:uid="{754AD26F-2146-4481-BF38-22CA85809A56}"/>
    <cellStyle name="Nuovo 33 4" xfId="2187" xr:uid="{00000000-0005-0000-0000-000023070000}"/>
    <cellStyle name="Nuovo 33 4 2" xfId="2188" xr:uid="{00000000-0005-0000-0000-000024070000}"/>
    <cellStyle name="Nuovo 33 5" xfId="2189" xr:uid="{00000000-0005-0000-0000-000025070000}"/>
    <cellStyle name="Nuovo 33 6" xfId="4199" xr:uid="{FBED8D55-7227-4078-840F-0D474F8727B7}"/>
    <cellStyle name="Nuovo 34" xfId="893" xr:uid="{00000000-0005-0000-0000-000026070000}"/>
    <cellStyle name="Nuovo 34 2" xfId="894" xr:uid="{00000000-0005-0000-0000-000027070000}"/>
    <cellStyle name="Nuovo 34 2 2" xfId="4200" xr:uid="{4760C67D-B602-4944-B63E-417E03357B6B}"/>
    <cellStyle name="Nuovo 34 3" xfId="895" xr:uid="{00000000-0005-0000-0000-000028070000}"/>
    <cellStyle name="Nuovo 34 3 2" xfId="896" xr:uid="{00000000-0005-0000-0000-000029070000}"/>
    <cellStyle name="Nuovo 34 3 2 2" xfId="2190" xr:uid="{00000000-0005-0000-0000-00002A070000}"/>
    <cellStyle name="Nuovo 34 3 3" xfId="4201" xr:uid="{D0EF8D5A-0058-465E-BCC6-BFEED23F1AF9}"/>
    <cellStyle name="Nuovo 34 3 4" xfId="4202" xr:uid="{3F8DD797-F9E4-468E-95F0-FC1E5EE53A73}"/>
    <cellStyle name="Nuovo 34 4" xfId="2191" xr:uid="{00000000-0005-0000-0000-00002B070000}"/>
    <cellStyle name="Nuovo 34 4 2" xfId="2192" xr:uid="{00000000-0005-0000-0000-00002C070000}"/>
    <cellStyle name="Nuovo 34 5" xfId="2193" xr:uid="{00000000-0005-0000-0000-00002D070000}"/>
    <cellStyle name="Nuovo 34 6" xfId="4203" xr:uid="{6F1E2B6F-DB7F-49B8-BFCE-7D6C72323D19}"/>
    <cellStyle name="Nuovo 35" xfId="897" xr:uid="{00000000-0005-0000-0000-00002E070000}"/>
    <cellStyle name="Nuovo 35 2" xfId="898" xr:uid="{00000000-0005-0000-0000-00002F070000}"/>
    <cellStyle name="Nuovo 35 2 2" xfId="4204" xr:uid="{3C68626D-0530-49F3-9A9F-8B05D0D1F455}"/>
    <cellStyle name="Nuovo 35 3" xfId="899" xr:uid="{00000000-0005-0000-0000-000030070000}"/>
    <cellStyle name="Nuovo 35 3 2" xfId="900" xr:uid="{00000000-0005-0000-0000-000031070000}"/>
    <cellStyle name="Nuovo 35 3 2 2" xfId="2194" xr:uid="{00000000-0005-0000-0000-000032070000}"/>
    <cellStyle name="Nuovo 35 3 3" xfId="4205" xr:uid="{D3ABC173-4E1D-4ED0-B63C-0D64734FEE24}"/>
    <cellStyle name="Nuovo 35 3 4" xfId="4206" xr:uid="{4D1924AE-1D26-48C5-89BA-E0C03E0815B4}"/>
    <cellStyle name="Nuovo 35 4" xfId="2195" xr:uid="{00000000-0005-0000-0000-000033070000}"/>
    <cellStyle name="Nuovo 35 4 2" xfId="2196" xr:uid="{00000000-0005-0000-0000-000034070000}"/>
    <cellStyle name="Nuovo 35 5" xfId="2197" xr:uid="{00000000-0005-0000-0000-000035070000}"/>
    <cellStyle name="Nuovo 35 6" xfId="4207" xr:uid="{A00A477E-7DA4-4521-8B51-E29DF5333F8A}"/>
    <cellStyle name="Nuovo 36" xfId="901" xr:uid="{00000000-0005-0000-0000-000036070000}"/>
    <cellStyle name="Nuovo 36 2" xfId="902" xr:uid="{00000000-0005-0000-0000-000037070000}"/>
    <cellStyle name="Nuovo 36 2 2" xfId="4208" xr:uid="{BAB3A3CA-3D4A-489D-AE94-AA1754033E98}"/>
    <cellStyle name="Nuovo 36 3" xfId="903" xr:uid="{00000000-0005-0000-0000-000038070000}"/>
    <cellStyle name="Nuovo 36 3 2" xfId="904" xr:uid="{00000000-0005-0000-0000-000039070000}"/>
    <cellStyle name="Nuovo 36 3 2 2" xfId="2198" xr:uid="{00000000-0005-0000-0000-00003A070000}"/>
    <cellStyle name="Nuovo 36 3 3" xfId="4209" xr:uid="{1A6BB515-873D-4047-B086-90A7F6DAD89A}"/>
    <cellStyle name="Nuovo 36 3 4" xfId="4210" xr:uid="{348D861D-3051-4B69-A74B-58B7624BB565}"/>
    <cellStyle name="Nuovo 36 4" xfId="2199" xr:uid="{00000000-0005-0000-0000-00003B070000}"/>
    <cellStyle name="Nuovo 36 4 2" xfId="2200" xr:uid="{00000000-0005-0000-0000-00003C070000}"/>
    <cellStyle name="Nuovo 36 5" xfId="2201" xr:uid="{00000000-0005-0000-0000-00003D070000}"/>
    <cellStyle name="Nuovo 36 6" xfId="4211" xr:uid="{9EB4B771-343D-4179-846D-2C6EB25139AB}"/>
    <cellStyle name="Nuovo 37" xfId="905" xr:uid="{00000000-0005-0000-0000-00003E070000}"/>
    <cellStyle name="Nuovo 37 2" xfId="906" xr:uid="{00000000-0005-0000-0000-00003F070000}"/>
    <cellStyle name="Nuovo 37 2 2" xfId="4212" xr:uid="{451C8C83-4265-4C80-897F-9F90B06ACB10}"/>
    <cellStyle name="Nuovo 37 3" xfId="907" xr:uid="{00000000-0005-0000-0000-000040070000}"/>
    <cellStyle name="Nuovo 37 3 2" xfId="908" xr:uid="{00000000-0005-0000-0000-000041070000}"/>
    <cellStyle name="Nuovo 37 3 2 2" xfId="2202" xr:uid="{00000000-0005-0000-0000-000042070000}"/>
    <cellStyle name="Nuovo 37 3 3" xfId="4213" xr:uid="{709C5631-21BA-463E-ABE6-53AAADF9E01E}"/>
    <cellStyle name="Nuovo 37 3 4" xfId="4214" xr:uid="{E14B18BF-3A3A-4791-B319-5A5A89AF164F}"/>
    <cellStyle name="Nuovo 37 4" xfId="2203" xr:uid="{00000000-0005-0000-0000-000043070000}"/>
    <cellStyle name="Nuovo 37 4 2" xfId="2204" xr:uid="{00000000-0005-0000-0000-000044070000}"/>
    <cellStyle name="Nuovo 37 5" xfId="2205" xr:uid="{00000000-0005-0000-0000-000045070000}"/>
    <cellStyle name="Nuovo 37 6" xfId="4215" xr:uid="{755877FC-1C24-4FEF-A1CD-1F4E95F8A063}"/>
    <cellStyle name="Nuovo 38" xfId="909" xr:uid="{00000000-0005-0000-0000-000046070000}"/>
    <cellStyle name="Nuovo 38 2" xfId="910" xr:uid="{00000000-0005-0000-0000-000047070000}"/>
    <cellStyle name="Nuovo 38 2 2" xfId="4216" xr:uid="{857CA0DB-A952-4D08-A180-C69C09EBF2FA}"/>
    <cellStyle name="Nuovo 38 3" xfId="911" xr:uid="{00000000-0005-0000-0000-000048070000}"/>
    <cellStyle name="Nuovo 38 3 2" xfId="912" xr:uid="{00000000-0005-0000-0000-000049070000}"/>
    <cellStyle name="Nuovo 38 3 2 2" xfId="2206" xr:uid="{00000000-0005-0000-0000-00004A070000}"/>
    <cellStyle name="Nuovo 38 3 3" xfId="4217" xr:uid="{8E2433B2-F028-445A-9123-AF98EDF70BD8}"/>
    <cellStyle name="Nuovo 38 3 4" xfId="4218" xr:uid="{2AB2AD28-91AE-46D4-AF6B-DC30B0D982D8}"/>
    <cellStyle name="Nuovo 38 4" xfId="2207" xr:uid="{00000000-0005-0000-0000-00004B070000}"/>
    <cellStyle name="Nuovo 38 4 2" xfId="2208" xr:uid="{00000000-0005-0000-0000-00004C070000}"/>
    <cellStyle name="Nuovo 38 5" xfId="2209" xr:uid="{00000000-0005-0000-0000-00004D070000}"/>
    <cellStyle name="Nuovo 38 6" xfId="4219" xr:uid="{8D70B16F-9F06-48CE-B7E4-B3E2D2BA6946}"/>
    <cellStyle name="Nuovo 39" xfId="913" xr:uid="{00000000-0005-0000-0000-00004E070000}"/>
    <cellStyle name="Nuovo 39 2" xfId="914" xr:uid="{00000000-0005-0000-0000-00004F070000}"/>
    <cellStyle name="Nuovo 39 2 2" xfId="4220" xr:uid="{BF9C7FF7-BD0C-441F-9DA4-F117A547FE12}"/>
    <cellStyle name="Nuovo 39 3" xfId="915" xr:uid="{00000000-0005-0000-0000-000050070000}"/>
    <cellStyle name="Nuovo 39 3 2" xfId="916" xr:uid="{00000000-0005-0000-0000-000051070000}"/>
    <cellStyle name="Nuovo 39 3 2 2" xfId="2210" xr:uid="{00000000-0005-0000-0000-000052070000}"/>
    <cellStyle name="Nuovo 39 3 3" xfId="4221" xr:uid="{84BD995A-CF21-444C-BEE3-8301AA9C3CB4}"/>
    <cellStyle name="Nuovo 39 3 4" xfId="4222" xr:uid="{06B3BC52-BED8-486D-894F-576CCD3B75FA}"/>
    <cellStyle name="Nuovo 39 4" xfId="2211" xr:uid="{00000000-0005-0000-0000-000053070000}"/>
    <cellStyle name="Nuovo 39 4 2" xfId="2212" xr:uid="{00000000-0005-0000-0000-000054070000}"/>
    <cellStyle name="Nuovo 39 5" xfId="2213" xr:uid="{00000000-0005-0000-0000-000055070000}"/>
    <cellStyle name="Nuovo 39 6" xfId="4223" xr:uid="{983A5BD4-589B-4E00-AFAF-446FEB0DF76C}"/>
    <cellStyle name="Nuovo 4" xfId="917" xr:uid="{00000000-0005-0000-0000-000056070000}"/>
    <cellStyle name="Nuovo 4 2" xfId="918" xr:uid="{00000000-0005-0000-0000-000057070000}"/>
    <cellStyle name="Nuovo 4 2 2" xfId="4224" xr:uid="{FCC138C4-366E-47A8-87F8-7E63EDD151A2}"/>
    <cellStyle name="Nuovo 4 3" xfId="919" xr:uid="{00000000-0005-0000-0000-000058070000}"/>
    <cellStyle name="Nuovo 4 3 2" xfId="920" xr:uid="{00000000-0005-0000-0000-000059070000}"/>
    <cellStyle name="Nuovo 4 3 2 2" xfId="2214" xr:uid="{00000000-0005-0000-0000-00005A070000}"/>
    <cellStyle name="Nuovo 4 3 3" xfId="4225" xr:uid="{5574D065-638B-4D74-B8E5-18B7E011A848}"/>
    <cellStyle name="Nuovo 4 3 4" xfId="4226" xr:uid="{F8DC0B41-B601-49DC-8830-DFCBEB854319}"/>
    <cellStyle name="Nuovo 4 4" xfId="2215" xr:uid="{00000000-0005-0000-0000-00005B070000}"/>
    <cellStyle name="Nuovo 4 4 2" xfId="2216" xr:uid="{00000000-0005-0000-0000-00005C070000}"/>
    <cellStyle name="Nuovo 4 5" xfId="2217" xr:uid="{00000000-0005-0000-0000-00005D070000}"/>
    <cellStyle name="Nuovo 4 6" xfId="4227" xr:uid="{C431B80A-2152-4ED3-9A4F-8782E172FAD0}"/>
    <cellStyle name="Nuovo 40" xfId="921" xr:uid="{00000000-0005-0000-0000-00005E070000}"/>
    <cellStyle name="Nuovo 40 2" xfId="922" xr:uid="{00000000-0005-0000-0000-00005F070000}"/>
    <cellStyle name="Nuovo 40 2 2" xfId="4228" xr:uid="{F2C6464D-D72D-4FEC-80EE-67679F85F15C}"/>
    <cellStyle name="Nuovo 40 3" xfId="923" xr:uid="{00000000-0005-0000-0000-000060070000}"/>
    <cellStyle name="Nuovo 40 3 2" xfId="924" xr:uid="{00000000-0005-0000-0000-000061070000}"/>
    <cellStyle name="Nuovo 40 3 2 2" xfId="2218" xr:uid="{00000000-0005-0000-0000-000062070000}"/>
    <cellStyle name="Nuovo 40 3 3" xfId="4229" xr:uid="{9D55557E-02EB-43F2-8E75-AE93BAEA0100}"/>
    <cellStyle name="Nuovo 40 3 4" xfId="4230" xr:uid="{B1FDBF2D-E656-426E-97B4-F901BE4B45F3}"/>
    <cellStyle name="Nuovo 40 4" xfId="2219" xr:uid="{00000000-0005-0000-0000-000063070000}"/>
    <cellStyle name="Nuovo 40 4 2" xfId="2220" xr:uid="{00000000-0005-0000-0000-000064070000}"/>
    <cellStyle name="Nuovo 40 5" xfId="2221" xr:uid="{00000000-0005-0000-0000-000065070000}"/>
    <cellStyle name="Nuovo 40 6" xfId="4231" xr:uid="{B86B75D1-C360-480C-91C7-B9FA73136C2E}"/>
    <cellStyle name="Nuovo 41" xfId="925" xr:uid="{00000000-0005-0000-0000-000066070000}"/>
    <cellStyle name="Nuovo 41 2" xfId="926" xr:uid="{00000000-0005-0000-0000-000067070000}"/>
    <cellStyle name="Nuovo 41 2 2" xfId="4232" xr:uid="{47F07A4F-570A-42E1-B5AE-FF8155903F97}"/>
    <cellStyle name="Nuovo 41 3" xfId="927" xr:uid="{00000000-0005-0000-0000-000068070000}"/>
    <cellStyle name="Nuovo 41 3 2" xfId="928" xr:uid="{00000000-0005-0000-0000-000069070000}"/>
    <cellStyle name="Nuovo 41 3 2 2" xfId="2222" xr:uid="{00000000-0005-0000-0000-00006A070000}"/>
    <cellStyle name="Nuovo 41 3 3" xfId="4233" xr:uid="{D662131F-5360-44BD-B5DA-E1DC1C354A71}"/>
    <cellStyle name="Nuovo 41 3 4" xfId="4234" xr:uid="{1E350850-1D2C-4188-B57A-68067EDA607A}"/>
    <cellStyle name="Nuovo 41 4" xfId="2223" xr:uid="{00000000-0005-0000-0000-00006B070000}"/>
    <cellStyle name="Nuovo 41 4 2" xfId="2224" xr:uid="{00000000-0005-0000-0000-00006C070000}"/>
    <cellStyle name="Nuovo 41 5" xfId="2225" xr:uid="{00000000-0005-0000-0000-00006D070000}"/>
    <cellStyle name="Nuovo 41 6" xfId="4235" xr:uid="{B50168E3-ED89-4D6F-9970-96210F30D562}"/>
    <cellStyle name="Nuovo 42" xfId="929" xr:uid="{00000000-0005-0000-0000-00006E070000}"/>
    <cellStyle name="Nuovo 42 2" xfId="930" xr:uid="{00000000-0005-0000-0000-00006F070000}"/>
    <cellStyle name="Nuovo 42 2 2" xfId="4236" xr:uid="{E983E35F-B760-4232-8485-B35E3A0B314F}"/>
    <cellStyle name="Nuovo 42 3" xfId="931" xr:uid="{00000000-0005-0000-0000-000070070000}"/>
    <cellStyle name="Nuovo 42 3 2" xfId="932" xr:uid="{00000000-0005-0000-0000-000071070000}"/>
    <cellStyle name="Nuovo 42 3 2 2" xfId="2226" xr:uid="{00000000-0005-0000-0000-000072070000}"/>
    <cellStyle name="Nuovo 42 3 3" xfId="4237" xr:uid="{E383CD04-E6AC-4A24-9C9C-944607354ADF}"/>
    <cellStyle name="Nuovo 42 3 4" xfId="4238" xr:uid="{186D1FFC-3361-4697-A5B2-B054656489ED}"/>
    <cellStyle name="Nuovo 42 4" xfId="2227" xr:uid="{00000000-0005-0000-0000-000073070000}"/>
    <cellStyle name="Nuovo 42 4 2" xfId="2228" xr:uid="{00000000-0005-0000-0000-000074070000}"/>
    <cellStyle name="Nuovo 42 5" xfId="2229" xr:uid="{00000000-0005-0000-0000-000075070000}"/>
    <cellStyle name="Nuovo 42 6" xfId="4239" xr:uid="{FD1B599A-9539-4DB2-96AA-B6E53B61EDBD}"/>
    <cellStyle name="Nuovo 43" xfId="933" xr:uid="{00000000-0005-0000-0000-000076070000}"/>
    <cellStyle name="Nuovo 43 2" xfId="934" xr:uid="{00000000-0005-0000-0000-000077070000}"/>
    <cellStyle name="Nuovo 43 2 2" xfId="4240" xr:uid="{F58D121A-CAED-4167-B93F-F720212665F9}"/>
    <cellStyle name="Nuovo 43 3" xfId="935" xr:uid="{00000000-0005-0000-0000-000078070000}"/>
    <cellStyle name="Nuovo 43 3 2" xfId="936" xr:uid="{00000000-0005-0000-0000-000079070000}"/>
    <cellStyle name="Nuovo 43 3 2 2" xfId="2230" xr:uid="{00000000-0005-0000-0000-00007A070000}"/>
    <cellStyle name="Nuovo 43 3 3" xfId="4241" xr:uid="{60C1BE02-10F5-414A-AD7C-02D87E30FDC6}"/>
    <cellStyle name="Nuovo 43 3 4" xfId="4242" xr:uid="{1395E531-5F25-4717-A8AD-37407DC09562}"/>
    <cellStyle name="Nuovo 43 4" xfId="2231" xr:uid="{00000000-0005-0000-0000-00007B070000}"/>
    <cellStyle name="Nuovo 43 4 2" xfId="2232" xr:uid="{00000000-0005-0000-0000-00007C070000}"/>
    <cellStyle name="Nuovo 43 5" xfId="2233" xr:uid="{00000000-0005-0000-0000-00007D070000}"/>
    <cellStyle name="Nuovo 43 6" xfId="4243" xr:uid="{E49E4BD8-4582-4D5D-8EC1-8DC7BA72CDD2}"/>
    <cellStyle name="Nuovo 44" xfId="937" xr:uid="{00000000-0005-0000-0000-00007E070000}"/>
    <cellStyle name="Nuovo 44 2" xfId="938" xr:uid="{00000000-0005-0000-0000-00007F070000}"/>
    <cellStyle name="Nuovo 44 2 2" xfId="4244" xr:uid="{725E2A75-4E69-4022-A8F2-DC2F4886D07F}"/>
    <cellStyle name="Nuovo 44 3" xfId="939" xr:uid="{00000000-0005-0000-0000-000080070000}"/>
    <cellStyle name="Nuovo 44 3 2" xfId="940" xr:uid="{00000000-0005-0000-0000-000081070000}"/>
    <cellStyle name="Nuovo 44 3 2 2" xfId="2234" xr:uid="{00000000-0005-0000-0000-000082070000}"/>
    <cellStyle name="Nuovo 44 3 3" xfId="4245" xr:uid="{1442BC76-35CB-4B68-9136-1160ABA90BE2}"/>
    <cellStyle name="Nuovo 44 3 4" xfId="4246" xr:uid="{C416F728-FC04-462E-98EE-9FF7C36164B7}"/>
    <cellStyle name="Nuovo 44 4" xfId="2235" xr:uid="{00000000-0005-0000-0000-000083070000}"/>
    <cellStyle name="Nuovo 44 4 2" xfId="2236" xr:uid="{00000000-0005-0000-0000-000084070000}"/>
    <cellStyle name="Nuovo 44 5" xfId="2237" xr:uid="{00000000-0005-0000-0000-000085070000}"/>
    <cellStyle name="Nuovo 44 6" xfId="4247" xr:uid="{551B11CE-2F5D-4A4E-85E5-B9BA6FA0AD87}"/>
    <cellStyle name="Nuovo 45" xfId="941" xr:uid="{00000000-0005-0000-0000-000086070000}"/>
    <cellStyle name="Nuovo 45 2" xfId="4248" xr:uid="{51B4E3DC-427A-4DD9-8464-9980F714BA31}"/>
    <cellStyle name="Nuovo 46" xfId="942" xr:uid="{00000000-0005-0000-0000-000087070000}"/>
    <cellStyle name="Nuovo 46 2" xfId="943" xr:uid="{00000000-0005-0000-0000-000088070000}"/>
    <cellStyle name="Nuovo 46 2 2" xfId="2238" xr:uid="{00000000-0005-0000-0000-000089070000}"/>
    <cellStyle name="Nuovo 46 3" xfId="4249" xr:uid="{A95D3D39-4DC9-4775-81EB-EDF330EE94AC}"/>
    <cellStyle name="Nuovo 46 4" xfId="4250" xr:uid="{74D4AFBE-8B66-454D-B78A-7016B6B581AA}"/>
    <cellStyle name="Nuovo 47" xfId="2239" xr:uid="{00000000-0005-0000-0000-00008A070000}"/>
    <cellStyle name="Nuovo 47 2" xfId="2240" xr:uid="{00000000-0005-0000-0000-00008B070000}"/>
    <cellStyle name="Nuovo 48" xfId="2241" xr:uid="{00000000-0005-0000-0000-00008C070000}"/>
    <cellStyle name="Nuovo 49" xfId="4251" xr:uid="{D584F898-B09F-4EE0-BA51-80009E1C7D50}"/>
    <cellStyle name="Nuovo 5" xfId="944" xr:uid="{00000000-0005-0000-0000-00008D070000}"/>
    <cellStyle name="Nuovo 5 2" xfId="945" xr:uid="{00000000-0005-0000-0000-00008E070000}"/>
    <cellStyle name="Nuovo 5 2 2" xfId="4252" xr:uid="{C9D2D1BE-103A-4ABA-BD46-8DB596B4AEBC}"/>
    <cellStyle name="Nuovo 5 3" xfId="946" xr:uid="{00000000-0005-0000-0000-00008F070000}"/>
    <cellStyle name="Nuovo 5 3 2" xfId="947" xr:uid="{00000000-0005-0000-0000-000090070000}"/>
    <cellStyle name="Nuovo 5 3 2 2" xfId="2242" xr:uid="{00000000-0005-0000-0000-000091070000}"/>
    <cellStyle name="Nuovo 5 3 3" xfId="4253" xr:uid="{1EBC5A5F-FCDC-4CEA-BC01-804D469B4A94}"/>
    <cellStyle name="Nuovo 5 3 4" xfId="4254" xr:uid="{646838B4-BA06-47DF-8AA6-417C13BD827C}"/>
    <cellStyle name="Nuovo 5 4" xfId="2243" xr:uid="{00000000-0005-0000-0000-000092070000}"/>
    <cellStyle name="Nuovo 5 4 2" xfId="2244" xr:uid="{00000000-0005-0000-0000-000093070000}"/>
    <cellStyle name="Nuovo 5 5" xfId="2245" xr:uid="{00000000-0005-0000-0000-000094070000}"/>
    <cellStyle name="Nuovo 5 6" xfId="4255" xr:uid="{2B6B3E87-CB89-4B76-A64C-941635A9A278}"/>
    <cellStyle name="Nuovo 6" xfId="948" xr:uid="{00000000-0005-0000-0000-000095070000}"/>
    <cellStyle name="Nuovo 6 2" xfId="949" xr:uid="{00000000-0005-0000-0000-000096070000}"/>
    <cellStyle name="Nuovo 6 2 2" xfId="4256" xr:uid="{A16280CF-C1D4-4D43-9678-4CB49D308F39}"/>
    <cellStyle name="Nuovo 6 3" xfId="950" xr:uid="{00000000-0005-0000-0000-000097070000}"/>
    <cellStyle name="Nuovo 6 3 2" xfId="951" xr:uid="{00000000-0005-0000-0000-000098070000}"/>
    <cellStyle name="Nuovo 6 3 2 2" xfId="2246" xr:uid="{00000000-0005-0000-0000-000099070000}"/>
    <cellStyle name="Nuovo 6 3 3" xfId="4257" xr:uid="{7EB22C18-A38E-4F93-B665-29C8D5D77733}"/>
    <cellStyle name="Nuovo 6 3 4" xfId="4258" xr:uid="{9B83DCD6-2BEA-429B-AAED-A8F73C5D282E}"/>
    <cellStyle name="Nuovo 6 4" xfId="2247" xr:uid="{00000000-0005-0000-0000-00009A070000}"/>
    <cellStyle name="Nuovo 6 4 2" xfId="2248" xr:uid="{00000000-0005-0000-0000-00009B070000}"/>
    <cellStyle name="Nuovo 6 5" xfId="2249" xr:uid="{00000000-0005-0000-0000-00009C070000}"/>
    <cellStyle name="Nuovo 6 6" xfId="4259" xr:uid="{4BFB4BF1-0EB4-4082-BB69-B8A50C280552}"/>
    <cellStyle name="Nuovo 7" xfId="952" xr:uid="{00000000-0005-0000-0000-00009D070000}"/>
    <cellStyle name="Nuovo 7 2" xfId="953" xr:uid="{00000000-0005-0000-0000-00009E070000}"/>
    <cellStyle name="Nuovo 7 2 2" xfId="4260" xr:uid="{A18CFF9B-3E30-408B-8959-FC08DDCCC841}"/>
    <cellStyle name="Nuovo 7 3" xfId="954" xr:uid="{00000000-0005-0000-0000-00009F070000}"/>
    <cellStyle name="Nuovo 7 3 2" xfId="955" xr:uid="{00000000-0005-0000-0000-0000A0070000}"/>
    <cellStyle name="Nuovo 7 3 2 2" xfId="2250" xr:uid="{00000000-0005-0000-0000-0000A1070000}"/>
    <cellStyle name="Nuovo 7 3 3" xfId="4261" xr:uid="{1D8F7DD5-D19C-49C4-B565-7EA6012AF29A}"/>
    <cellStyle name="Nuovo 7 3 4" xfId="4262" xr:uid="{BB9B5E1E-25C1-41E7-8460-057039421166}"/>
    <cellStyle name="Nuovo 7 4" xfId="2251" xr:uid="{00000000-0005-0000-0000-0000A2070000}"/>
    <cellStyle name="Nuovo 7 4 2" xfId="2252" xr:uid="{00000000-0005-0000-0000-0000A3070000}"/>
    <cellStyle name="Nuovo 7 5" xfId="2253" xr:uid="{00000000-0005-0000-0000-0000A4070000}"/>
    <cellStyle name="Nuovo 7 6" xfId="4263" xr:uid="{48B2D8B1-6E01-43EF-9F92-21446BD5348B}"/>
    <cellStyle name="Nuovo 8" xfId="956" xr:uid="{00000000-0005-0000-0000-0000A5070000}"/>
    <cellStyle name="Nuovo 8 2" xfId="957" xr:uid="{00000000-0005-0000-0000-0000A6070000}"/>
    <cellStyle name="Nuovo 8 2 2" xfId="4264" xr:uid="{0557C983-A97E-48DB-82E8-9889A9AE4B81}"/>
    <cellStyle name="Nuovo 8 3" xfId="958" xr:uid="{00000000-0005-0000-0000-0000A7070000}"/>
    <cellStyle name="Nuovo 8 3 2" xfId="959" xr:uid="{00000000-0005-0000-0000-0000A8070000}"/>
    <cellStyle name="Nuovo 8 3 2 2" xfId="2254" xr:uid="{00000000-0005-0000-0000-0000A9070000}"/>
    <cellStyle name="Nuovo 8 3 3" xfId="4265" xr:uid="{98EB0646-F80A-4B37-ACE4-F8CA8FD2ABD0}"/>
    <cellStyle name="Nuovo 8 3 4" xfId="4266" xr:uid="{C6D261C3-4162-4C07-BBEA-2E0CBAEC3DAE}"/>
    <cellStyle name="Nuovo 8 4" xfId="2255" xr:uid="{00000000-0005-0000-0000-0000AA070000}"/>
    <cellStyle name="Nuovo 8 4 2" xfId="2256" xr:uid="{00000000-0005-0000-0000-0000AB070000}"/>
    <cellStyle name="Nuovo 8 5" xfId="2257" xr:uid="{00000000-0005-0000-0000-0000AC070000}"/>
    <cellStyle name="Nuovo 8 6" xfId="4267" xr:uid="{62832EDB-E12B-49BA-A4E4-AC88F202EDC6}"/>
    <cellStyle name="Nuovo 9" xfId="960" xr:uid="{00000000-0005-0000-0000-0000AD070000}"/>
    <cellStyle name="Nuovo 9 2" xfId="961" xr:uid="{00000000-0005-0000-0000-0000AE070000}"/>
    <cellStyle name="Nuovo 9 2 2" xfId="4268" xr:uid="{0515F40D-5790-4E64-9041-F42946477797}"/>
    <cellStyle name="Nuovo 9 3" xfId="962" xr:uid="{00000000-0005-0000-0000-0000AF070000}"/>
    <cellStyle name="Nuovo 9 3 2" xfId="963" xr:uid="{00000000-0005-0000-0000-0000B0070000}"/>
    <cellStyle name="Nuovo 9 3 2 2" xfId="2258" xr:uid="{00000000-0005-0000-0000-0000B1070000}"/>
    <cellStyle name="Nuovo 9 3 3" xfId="4269" xr:uid="{07640148-ECD8-4142-8CC5-28D875F382CD}"/>
    <cellStyle name="Nuovo 9 3 4" xfId="4270" xr:uid="{F7A607BC-E8A0-40E4-9A85-0C1205978F47}"/>
    <cellStyle name="Nuovo 9 4" xfId="2259" xr:uid="{00000000-0005-0000-0000-0000B2070000}"/>
    <cellStyle name="Nuovo 9 4 2" xfId="2260" xr:uid="{00000000-0005-0000-0000-0000B3070000}"/>
    <cellStyle name="Nuovo 9 5" xfId="2261" xr:uid="{00000000-0005-0000-0000-0000B4070000}"/>
    <cellStyle name="Nuovo 9 6" xfId="4271" xr:uid="{B2F955AB-3A64-4B07-8A37-6CF034E9843C}"/>
    <cellStyle name="Output 2" xfId="964" xr:uid="{00000000-0005-0000-0000-0000B5070000}"/>
    <cellStyle name="Output 2 2" xfId="965" xr:uid="{00000000-0005-0000-0000-0000B6070000}"/>
    <cellStyle name="Output 2 2 2" xfId="2262" xr:uid="{00000000-0005-0000-0000-0000B7070000}"/>
    <cellStyle name="Output 2 3" xfId="2263" xr:uid="{00000000-0005-0000-0000-0000B8070000}"/>
    <cellStyle name="Output 3" xfId="966" xr:uid="{00000000-0005-0000-0000-0000B9070000}"/>
    <cellStyle name="Output 3 2" xfId="2264" xr:uid="{00000000-0005-0000-0000-0000BA070000}"/>
    <cellStyle name="Output 3 2 2" xfId="4272" xr:uid="{842EFEF2-FB51-42F1-A44C-0AB70BAEADAB}"/>
    <cellStyle name="Percen - Type1" xfId="967" xr:uid="{00000000-0005-0000-0000-0000BB070000}"/>
    <cellStyle name="Percent" xfId="968" builtinId="5"/>
    <cellStyle name="Percent 2" xfId="969" xr:uid="{00000000-0005-0000-0000-0000BD070000}"/>
    <cellStyle name="Percent 2 2" xfId="970" xr:uid="{00000000-0005-0000-0000-0000BE070000}"/>
    <cellStyle name="Percent 2 2 2" xfId="2265" xr:uid="{00000000-0005-0000-0000-0000BF070000}"/>
    <cellStyle name="Percent 2 2 3" xfId="2266" xr:uid="{00000000-0005-0000-0000-0000C0070000}"/>
    <cellStyle name="Percent 2 2 3 2" xfId="2267" xr:uid="{00000000-0005-0000-0000-0000C1070000}"/>
    <cellStyle name="Percent 2 2 4" xfId="2268" xr:uid="{00000000-0005-0000-0000-0000C2070000}"/>
    <cellStyle name="Percent 2 3" xfId="2269" xr:uid="{00000000-0005-0000-0000-0000C3070000}"/>
    <cellStyle name="Percent 2 3 2" xfId="2270" xr:uid="{00000000-0005-0000-0000-0000C4070000}"/>
    <cellStyle name="Percent 3" xfId="971" xr:uid="{00000000-0005-0000-0000-0000C5070000}"/>
    <cellStyle name="Percent 3 2" xfId="972" xr:uid="{00000000-0005-0000-0000-0000C6070000}"/>
    <cellStyle name="Percent 3 3" xfId="973" xr:uid="{00000000-0005-0000-0000-0000C7070000}"/>
    <cellStyle name="Percent 3 3 2" xfId="2271" xr:uid="{00000000-0005-0000-0000-0000C8070000}"/>
    <cellStyle name="Percent 3 3 2 2" xfId="2272" xr:uid="{00000000-0005-0000-0000-0000C9070000}"/>
    <cellStyle name="Percent 3 3 3" xfId="4273" xr:uid="{D1A584F2-1BB1-4950-830C-9E5C2F5A2B90}"/>
    <cellStyle name="Percent 3 3 4" xfId="4274" xr:uid="{768DAE1E-6339-4415-87C6-0250EB247B4A}"/>
    <cellStyle name="Percent 3 4" xfId="2273" xr:uid="{00000000-0005-0000-0000-0000CA070000}"/>
    <cellStyle name="Percent 3 4 2" xfId="2274" xr:uid="{00000000-0005-0000-0000-0000CB070000}"/>
    <cellStyle name="Percent 4" xfId="2275" xr:uid="{00000000-0005-0000-0000-0000CC070000}"/>
    <cellStyle name="Percent 5" xfId="2276" xr:uid="{00000000-0005-0000-0000-0000CD070000}"/>
    <cellStyle name="Percentuale 10" xfId="974" xr:uid="{00000000-0005-0000-0000-0000CE070000}"/>
    <cellStyle name="Percentuale 10 2" xfId="975" xr:uid="{00000000-0005-0000-0000-0000CF070000}"/>
    <cellStyle name="Percentuale 10 2 2" xfId="4275" xr:uid="{39BCB8B2-FCB9-4C82-9A5D-BE1D03B8E592}"/>
    <cellStyle name="Percentuale 10 3" xfId="976" xr:uid="{00000000-0005-0000-0000-0000D0070000}"/>
    <cellStyle name="Percentuale 10 3 2" xfId="977" xr:uid="{00000000-0005-0000-0000-0000D1070000}"/>
    <cellStyle name="Percentuale 10 3 2 2" xfId="2277" xr:uid="{00000000-0005-0000-0000-0000D2070000}"/>
    <cellStyle name="Percentuale 10 3 3" xfId="4276" xr:uid="{56DC984E-2C46-4C9E-B3FC-C485EF4F5400}"/>
    <cellStyle name="Percentuale 10 3 4" xfId="4277" xr:uid="{764F49AA-8220-4A6F-A3C9-EDBB7EE07980}"/>
    <cellStyle name="Percentuale 10 4" xfId="2278" xr:uid="{00000000-0005-0000-0000-0000D3070000}"/>
    <cellStyle name="Percentuale 10 4 2" xfId="2279" xr:uid="{00000000-0005-0000-0000-0000D4070000}"/>
    <cellStyle name="Percentuale 10 5" xfId="2280" xr:uid="{00000000-0005-0000-0000-0000D5070000}"/>
    <cellStyle name="Percentuale 10 6" xfId="4278" xr:uid="{A028B1D7-AA1A-466E-9AE8-1E4FB82CCB4B}"/>
    <cellStyle name="Percentuale 11" xfId="978" xr:uid="{00000000-0005-0000-0000-0000D6070000}"/>
    <cellStyle name="Percentuale 11 2" xfId="979" xr:uid="{00000000-0005-0000-0000-0000D7070000}"/>
    <cellStyle name="Percentuale 11 2 2" xfId="4279" xr:uid="{5D1BD082-A620-4A4A-9176-08B178CC8C13}"/>
    <cellStyle name="Percentuale 11 3" xfId="980" xr:uid="{00000000-0005-0000-0000-0000D8070000}"/>
    <cellStyle name="Percentuale 11 3 2" xfId="981" xr:uid="{00000000-0005-0000-0000-0000D9070000}"/>
    <cellStyle name="Percentuale 11 3 2 2" xfId="2281" xr:uid="{00000000-0005-0000-0000-0000DA070000}"/>
    <cellStyle name="Percentuale 11 3 3" xfId="4280" xr:uid="{6C65DE3F-381D-444B-86BC-9FA9F8266DA0}"/>
    <cellStyle name="Percentuale 11 3 4" xfId="4281" xr:uid="{40615840-9947-4D02-8B04-B0A9B2DD6E0C}"/>
    <cellStyle name="Percentuale 11 4" xfId="2282" xr:uid="{00000000-0005-0000-0000-0000DB070000}"/>
    <cellStyle name="Percentuale 11 4 2" xfId="2283" xr:uid="{00000000-0005-0000-0000-0000DC070000}"/>
    <cellStyle name="Percentuale 11 5" xfId="2284" xr:uid="{00000000-0005-0000-0000-0000DD070000}"/>
    <cellStyle name="Percentuale 11 6" xfId="4282" xr:uid="{E4A69DDD-E4A7-47EC-8803-46270AE48339}"/>
    <cellStyle name="Percentuale 12" xfId="982" xr:uid="{00000000-0005-0000-0000-0000DE070000}"/>
    <cellStyle name="Percentuale 12 2" xfId="983" xr:uid="{00000000-0005-0000-0000-0000DF070000}"/>
    <cellStyle name="Percentuale 12 2 2" xfId="4283" xr:uid="{BE677AFB-96FF-43CD-A658-A16D1E66D8A4}"/>
    <cellStyle name="Percentuale 12 3" xfId="984" xr:uid="{00000000-0005-0000-0000-0000E0070000}"/>
    <cellStyle name="Percentuale 12 3 2" xfId="985" xr:uid="{00000000-0005-0000-0000-0000E1070000}"/>
    <cellStyle name="Percentuale 12 3 2 2" xfId="2285" xr:uid="{00000000-0005-0000-0000-0000E2070000}"/>
    <cellStyle name="Percentuale 12 3 3" xfId="4284" xr:uid="{25C4BBA1-F3D0-4E18-B2D8-ACA6D3DED9FF}"/>
    <cellStyle name="Percentuale 12 3 4" xfId="4285" xr:uid="{9D075CE4-5150-48DD-846E-109A88DFB1EE}"/>
    <cellStyle name="Percentuale 12 4" xfId="2286" xr:uid="{00000000-0005-0000-0000-0000E3070000}"/>
    <cellStyle name="Percentuale 12 4 2" xfId="2287" xr:uid="{00000000-0005-0000-0000-0000E4070000}"/>
    <cellStyle name="Percentuale 12 5" xfId="2288" xr:uid="{00000000-0005-0000-0000-0000E5070000}"/>
    <cellStyle name="Percentuale 12 6" xfId="4286" xr:uid="{1B474F75-1463-429B-8B6C-3B104A6FF5C8}"/>
    <cellStyle name="Percentuale 13" xfId="986" xr:uid="{00000000-0005-0000-0000-0000E6070000}"/>
    <cellStyle name="Percentuale 13 2" xfId="987" xr:uid="{00000000-0005-0000-0000-0000E7070000}"/>
    <cellStyle name="Percentuale 13 2 2" xfId="4287" xr:uid="{3E81DE9F-9A5D-45BE-A009-1D72EFA31886}"/>
    <cellStyle name="Percentuale 13 3" xfId="988" xr:uid="{00000000-0005-0000-0000-0000E8070000}"/>
    <cellStyle name="Percentuale 13 3 2" xfId="989" xr:uid="{00000000-0005-0000-0000-0000E9070000}"/>
    <cellStyle name="Percentuale 13 3 2 2" xfId="2289" xr:uid="{00000000-0005-0000-0000-0000EA070000}"/>
    <cellStyle name="Percentuale 13 3 3" xfId="4288" xr:uid="{A17B56E9-5C5C-4951-818E-CB71D7811CEB}"/>
    <cellStyle name="Percentuale 13 3 4" xfId="4289" xr:uid="{AE2DE5A2-130F-4C8F-9F41-64265A15728F}"/>
    <cellStyle name="Percentuale 13 4" xfId="2290" xr:uid="{00000000-0005-0000-0000-0000EB070000}"/>
    <cellStyle name="Percentuale 13 4 2" xfId="2291" xr:uid="{00000000-0005-0000-0000-0000EC070000}"/>
    <cellStyle name="Percentuale 13 5" xfId="2292" xr:uid="{00000000-0005-0000-0000-0000ED070000}"/>
    <cellStyle name="Percentuale 13 6" xfId="4290" xr:uid="{FE2019E6-7996-4B4D-A9AC-843051272977}"/>
    <cellStyle name="Percentuale 14" xfId="990" xr:uid="{00000000-0005-0000-0000-0000EE070000}"/>
    <cellStyle name="Percentuale 14 2" xfId="991" xr:uid="{00000000-0005-0000-0000-0000EF070000}"/>
    <cellStyle name="Percentuale 14 2 2" xfId="4291" xr:uid="{A24B67C0-A369-45C9-A12B-6B7C0CC4D7B0}"/>
    <cellStyle name="Percentuale 14 3" xfId="992" xr:uid="{00000000-0005-0000-0000-0000F0070000}"/>
    <cellStyle name="Percentuale 14 3 2" xfId="993" xr:uid="{00000000-0005-0000-0000-0000F1070000}"/>
    <cellStyle name="Percentuale 14 3 2 2" xfId="2293" xr:uid="{00000000-0005-0000-0000-0000F2070000}"/>
    <cellStyle name="Percentuale 14 3 3" xfId="4292" xr:uid="{D14B0D05-D337-47D6-8ECE-359B3FC7840F}"/>
    <cellStyle name="Percentuale 14 3 4" xfId="4293" xr:uid="{D98BC1E2-DE09-41DC-8329-E29219727C8E}"/>
    <cellStyle name="Percentuale 14 4" xfId="2294" xr:uid="{00000000-0005-0000-0000-0000F3070000}"/>
    <cellStyle name="Percentuale 14 4 2" xfId="2295" xr:uid="{00000000-0005-0000-0000-0000F4070000}"/>
    <cellStyle name="Percentuale 14 5" xfId="2296" xr:uid="{00000000-0005-0000-0000-0000F5070000}"/>
    <cellStyle name="Percentuale 14 6" xfId="4294" xr:uid="{9B05C7E9-5E19-4FFA-B096-3EC00D6FD146}"/>
    <cellStyle name="Percentuale 15" xfId="994" xr:uid="{00000000-0005-0000-0000-0000F6070000}"/>
    <cellStyle name="Percentuale 15 2" xfId="995" xr:uid="{00000000-0005-0000-0000-0000F7070000}"/>
    <cellStyle name="Percentuale 15 2 2" xfId="4295" xr:uid="{43242DA0-D136-4308-90A8-F1B031FCC2CC}"/>
    <cellStyle name="Percentuale 15 3" xfId="996" xr:uid="{00000000-0005-0000-0000-0000F8070000}"/>
    <cellStyle name="Percentuale 15 3 2" xfId="997" xr:uid="{00000000-0005-0000-0000-0000F9070000}"/>
    <cellStyle name="Percentuale 15 3 2 2" xfId="2297" xr:uid="{00000000-0005-0000-0000-0000FA070000}"/>
    <cellStyle name="Percentuale 15 3 3" xfId="4296" xr:uid="{73C5C2B4-D700-4F4F-A83F-90D827BA0BD0}"/>
    <cellStyle name="Percentuale 15 3 4" xfId="4297" xr:uid="{7CF19E3B-2E55-4257-BDD1-5D458B11A8BE}"/>
    <cellStyle name="Percentuale 15 4" xfId="2298" xr:uid="{00000000-0005-0000-0000-0000FB070000}"/>
    <cellStyle name="Percentuale 15 4 2" xfId="2299" xr:uid="{00000000-0005-0000-0000-0000FC070000}"/>
    <cellStyle name="Percentuale 15 5" xfId="2300" xr:uid="{00000000-0005-0000-0000-0000FD070000}"/>
    <cellStyle name="Percentuale 15 6" xfId="4298" xr:uid="{4002C3B1-580B-4A98-B30C-2043FCD3CEF9}"/>
    <cellStyle name="Percentuale 16" xfId="998" xr:uid="{00000000-0005-0000-0000-0000FE070000}"/>
    <cellStyle name="Percentuale 16 2" xfId="999" xr:uid="{00000000-0005-0000-0000-0000FF070000}"/>
    <cellStyle name="Percentuale 16 2 2" xfId="4299" xr:uid="{B5746CE2-CE53-4D9B-8202-5892DDA81895}"/>
    <cellStyle name="Percentuale 16 3" xfId="1000" xr:uid="{00000000-0005-0000-0000-000000080000}"/>
    <cellStyle name="Percentuale 16 3 2" xfId="1001" xr:uid="{00000000-0005-0000-0000-000001080000}"/>
    <cellStyle name="Percentuale 16 3 2 2" xfId="2301" xr:uid="{00000000-0005-0000-0000-000002080000}"/>
    <cellStyle name="Percentuale 16 3 3" xfId="4300" xr:uid="{56F89B6D-57DA-48F9-96E6-0CE47180B1E4}"/>
    <cellStyle name="Percentuale 16 3 4" xfId="4301" xr:uid="{E49952B0-787F-4084-8F94-27158F8BBB59}"/>
    <cellStyle name="Percentuale 16 4" xfId="2302" xr:uid="{00000000-0005-0000-0000-000003080000}"/>
    <cellStyle name="Percentuale 16 4 2" xfId="2303" xr:uid="{00000000-0005-0000-0000-000004080000}"/>
    <cellStyle name="Percentuale 16 5" xfId="2304" xr:uid="{00000000-0005-0000-0000-000005080000}"/>
    <cellStyle name="Percentuale 16 6" xfId="4302" xr:uid="{D91E1423-E155-4228-9F4E-E18DC6732DEC}"/>
    <cellStyle name="Percentuale 17" xfId="1002" xr:uid="{00000000-0005-0000-0000-000006080000}"/>
    <cellStyle name="Percentuale 17 2" xfId="1003" xr:uid="{00000000-0005-0000-0000-000007080000}"/>
    <cellStyle name="Percentuale 17 2 2" xfId="4303" xr:uid="{3A37A5AB-7F0C-44EC-8E58-74B5AC118992}"/>
    <cellStyle name="Percentuale 17 3" xfId="1004" xr:uid="{00000000-0005-0000-0000-000008080000}"/>
    <cellStyle name="Percentuale 17 3 2" xfId="1005" xr:uid="{00000000-0005-0000-0000-000009080000}"/>
    <cellStyle name="Percentuale 17 3 2 2" xfId="2305" xr:uid="{00000000-0005-0000-0000-00000A080000}"/>
    <cellStyle name="Percentuale 17 3 3" xfId="4304" xr:uid="{50C6E437-C6D1-488B-A064-64FAA92F4946}"/>
    <cellStyle name="Percentuale 17 3 4" xfId="4305" xr:uid="{FF0A1BD1-E9C3-412F-9B1B-427E542BAAA3}"/>
    <cellStyle name="Percentuale 17 4" xfId="2306" xr:uid="{00000000-0005-0000-0000-00000B080000}"/>
    <cellStyle name="Percentuale 17 4 2" xfId="2307" xr:uid="{00000000-0005-0000-0000-00000C080000}"/>
    <cellStyle name="Percentuale 17 5" xfId="2308" xr:uid="{00000000-0005-0000-0000-00000D080000}"/>
    <cellStyle name="Percentuale 17 6" xfId="4306" xr:uid="{27178EE9-8489-4826-9C90-E8DA6D9B7D3D}"/>
    <cellStyle name="Percentuale 18" xfId="1006" xr:uid="{00000000-0005-0000-0000-00000E080000}"/>
    <cellStyle name="Percentuale 18 2" xfId="1007" xr:uid="{00000000-0005-0000-0000-00000F080000}"/>
    <cellStyle name="Percentuale 18 2 2" xfId="4307" xr:uid="{A8658E94-A5F4-4F98-835C-AA0F367502F2}"/>
    <cellStyle name="Percentuale 18 3" xfId="1008" xr:uid="{00000000-0005-0000-0000-000010080000}"/>
    <cellStyle name="Percentuale 18 3 2" xfId="1009" xr:uid="{00000000-0005-0000-0000-000011080000}"/>
    <cellStyle name="Percentuale 18 3 2 2" xfId="2309" xr:uid="{00000000-0005-0000-0000-000012080000}"/>
    <cellStyle name="Percentuale 18 3 3" xfId="4308" xr:uid="{7EEA995A-CC7D-4ADF-B806-9FE64361B0AA}"/>
    <cellStyle name="Percentuale 18 3 4" xfId="4309" xr:uid="{64C40F14-9F40-45ED-A191-7869D8C182BD}"/>
    <cellStyle name="Percentuale 18 4" xfId="2310" xr:uid="{00000000-0005-0000-0000-000013080000}"/>
    <cellStyle name="Percentuale 18 4 2" xfId="2311" xr:uid="{00000000-0005-0000-0000-000014080000}"/>
    <cellStyle name="Percentuale 18 5" xfId="2312" xr:uid="{00000000-0005-0000-0000-000015080000}"/>
    <cellStyle name="Percentuale 18 6" xfId="4310" xr:uid="{87F10369-CB61-4986-95AF-149A6D0610C4}"/>
    <cellStyle name="Percentuale 19" xfId="1010" xr:uid="{00000000-0005-0000-0000-000016080000}"/>
    <cellStyle name="Percentuale 19 2" xfId="1011" xr:uid="{00000000-0005-0000-0000-000017080000}"/>
    <cellStyle name="Percentuale 19 2 2" xfId="4311" xr:uid="{BA9D46D7-7A0C-42F2-B2D2-8010FC9DD4AB}"/>
    <cellStyle name="Percentuale 19 3" xfId="1012" xr:uid="{00000000-0005-0000-0000-000018080000}"/>
    <cellStyle name="Percentuale 19 3 2" xfId="1013" xr:uid="{00000000-0005-0000-0000-000019080000}"/>
    <cellStyle name="Percentuale 19 3 2 2" xfId="2313" xr:uid="{00000000-0005-0000-0000-00001A080000}"/>
    <cellStyle name="Percentuale 19 3 3" xfId="4312" xr:uid="{6F703134-6C21-4517-A20B-161786AA7ABC}"/>
    <cellStyle name="Percentuale 19 3 4" xfId="4313" xr:uid="{A8FDC91B-88E8-47D5-9884-E5A60997680F}"/>
    <cellStyle name="Percentuale 19 4" xfId="2314" xr:uid="{00000000-0005-0000-0000-00001B080000}"/>
    <cellStyle name="Percentuale 19 4 2" xfId="2315" xr:uid="{00000000-0005-0000-0000-00001C080000}"/>
    <cellStyle name="Percentuale 19 5" xfId="2316" xr:uid="{00000000-0005-0000-0000-00001D080000}"/>
    <cellStyle name="Percentuale 19 6" xfId="4314" xr:uid="{52CEBB85-B015-4CAF-A5B6-B5BDE12EA177}"/>
    <cellStyle name="Percentuale 2" xfId="1014" xr:uid="{00000000-0005-0000-0000-00001E080000}"/>
    <cellStyle name="Percentuale 2 2" xfId="1015" xr:uid="{00000000-0005-0000-0000-00001F080000}"/>
    <cellStyle name="Percentuale 2 2 2" xfId="4315" xr:uid="{9C7650BE-CB76-4641-B9C2-ABEA3134E183}"/>
    <cellStyle name="Percentuale 2 3" xfId="1016" xr:uid="{00000000-0005-0000-0000-000020080000}"/>
    <cellStyle name="Percentuale 2 3 2" xfId="1017" xr:uid="{00000000-0005-0000-0000-000021080000}"/>
    <cellStyle name="Percentuale 2 3 2 2" xfId="2317" xr:uid="{00000000-0005-0000-0000-000022080000}"/>
    <cellStyle name="Percentuale 2 3 3" xfId="4316" xr:uid="{F3BF4111-45C3-4091-A992-0CE1048F3883}"/>
    <cellStyle name="Percentuale 2 3 4" xfId="4317" xr:uid="{940DADBD-F47C-48C6-893B-1055CEF95CF5}"/>
    <cellStyle name="Percentuale 2 4" xfId="2318" xr:uid="{00000000-0005-0000-0000-000023080000}"/>
    <cellStyle name="Percentuale 2 4 2" xfId="2319" xr:uid="{00000000-0005-0000-0000-000024080000}"/>
    <cellStyle name="Percentuale 2 5" xfId="2320" xr:uid="{00000000-0005-0000-0000-000025080000}"/>
    <cellStyle name="Percentuale 2 6" xfId="4318" xr:uid="{9DDDDF3B-A0B4-46A9-9634-0A29D3852675}"/>
    <cellStyle name="Percentuale 20" xfId="1018" xr:uid="{00000000-0005-0000-0000-000026080000}"/>
    <cellStyle name="Percentuale 20 2" xfId="1019" xr:uid="{00000000-0005-0000-0000-000027080000}"/>
    <cellStyle name="Percentuale 20 2 2" xfId="4319" xr:uid="{303484B0-2F85-447D-B322-6BEBD1E44FE3}"/>
    <cellStyle name="Percentuale 20 3" xfId="1020" xr:uid="{00000000-0005-0000-0000-000028080000}"/>
    <cellStyle name="Percentuale 20 3 2" xfId="1021" xr:uid="{00000000-0005-0000-0000-000029080000}"/>
    <cellStyle name="Percentuale 20 3 2 2" xfId="2321" xr:uid="{00000000-0005-0000-0000-00002A080000}"/>
    <cellStyle name="Percentuale 20 3 3" xfId="4320" xr:uid="{8A14543A-0246-477E-8897-44A04252041F}"/>
    <cellStyle name="Percentuale 20 3 4" xfId="4321" xr:uid="{69A0211B-5FA7-40B5-A334-5A4B9BD7DEB8}"/>
    <cellStyle name="Percentuale 20 4" xfId="2322" xr:uid="{00000000-0005-0000-0000-00002B080000}"/>
    <cellStyle name="Percentuale 20 4 2" xfId="2323" xr:uid="{00000000-0005-0000-0000-00002C080000}"/>
    <cellStyle name="Percentuale 20 5" xfId="2324" xr:uid="{00000000-0005-0000-0000-00002D080000}"/>
    <cellStyle name="Percentuale 20 6" xfId="4322" xr:uid="{95A6154F-01F0-4BAB-BEE1-FF3F97AA0F46}"/>
    <cellStyle name="Percentuale 21" xfId="1022" xr:uid="{00000000-0005-0000-0000-00002E080000}"/>
    <cellStyle name="Percentuale 21 2" xfId="1023" xr:uid="{00000000-0005-0000-0000-00002F080000}"/>
    <cellStyle name="Percentuale 21 2 2" xfId="4323" xr:uid="{411AFDE7-1BA9-453D-997F-735EBF12A0E7}"/>
    <cellStyle name="Percentuale 21 3" xfId="1024" xr:uid="{00000000-0005-0000-0000-000030080000}"/>
    <cellStyle name="Percentuale 21 3 2" xfId="1025" xr:uid="{00000000-0005-0000-0000-000031080000}"/>
    <cellStyle name="Percentuale 21 3 2 2" xfId="2325" xr:uid="{00000000-0005-0000-0000-000032080000}"/>
    <cellStyle name="Percentuale 21 3 3" xfId="4324" xr:uid="{B19CC735-7D8F-4506-857A-79A19285F46E}"/>
    <cellStyle name="Percentuale 21 3 4" xfId="4325" xr:uid="{266EAE50-6CB0-4462-A3BC-909FF3B48C3E}"/>
    <cellStyle name="Percentuale 21 4" xfId="2326" xr:uid="{00000000-0005-0000-0000-000033080000}"/>
    <cellStyle name="Percentuale 21 4 2" xfId="2327" xr:uid="{00000000-0005-0000-0000-000034080000}"/>
    <cellStyle name="Percentuale 21 5" xfId="2328" xr:uid="{00000000-0005-0000-0000-000035080000}"/>
    <cellStyle name="Percentuale 21 6" xfId="4326" xr:uid="{535C5308-7322-421C-B59C-EF8D14E1D787}"/>
    <cellStyle name="Percentuale 22" xfId="1026" xr:uid="{00000000-0005-0000-0000-000036080000}"/>
    <cellStyle name="Percentuale 22 2" xfId="1027" xr:uid="{00000000-0005-0000-0000-000037080000}"/>
    <cellStyle name="Percentuale 22 2 2" xfId="4327" xr:uid="{E2E6DF2D-0955-4ACC-A969-83E6192D94A8}"/>
    <cellStyle name="Percentuale 22 3" xfId="1028" xr:uid="{00000000-0005-0000-0000-000038080000}"/>
    <cellStyle name="Percentuale 22 3 2" xfId="1029" xr:uid="{00000000-0005-0000-0000-000039080000}"/>
    <cellStyle name="Percentuale 22 3 2 2" xfId="2329" xr:uid="{00000000-0005-0000-0000-00003A080000}"/>
    <cellStyle name="Percentuale 22 3 3" xfId="4328" xr:uid="{9FB22EE6-38EC-4DBE-B920-91B04C4AB4C4}"/>
    <cellStyle name="Percentuale 22 3 4" xfId="4329" xr:uid="{B2E6B3A1-F0E1-460E-B1A4-8FF717DF202E}"/>
    <cellStyle name="Percentuale 22 4" xfId="2330" xr:uid="{00000000-0005-0000-0000-00003B080000}"/>
    <cellStyle name="Percentuale 22 4 2" xfId="2331" xr:uid="{00000000-0005-0000-0000-00003C080000}"/>
    <cellStyle name="Percentuale 22 5" xfId="2332" xr:uid="{00000000-0005-0000-0000-00003D080000}"/>
    <cellStyle name="Percentuale 22 6" xfId="4330" xr:uid="{15AD8ACB-4DAF-4765-A05B-25FF1B4F81E2}"/>
    <cellStyle name="Percentuale 23" xfId="1030" xr:uid="{00000000-0005-0000-0000-00003E080000}"/>
    <cellStyle name="Percentuale 23 2" xfId="1031" xr:uid="{00000000-0005-0000-0000-00003F080000}"/>
    <cellStyle name="Percentuale 23 2 2" xfId="4331" xr:uid="{EA5C1A5B-C5FB-4876-AE9E-A13BB4F6FCAC}"/>
    <cellStyle name="Percentuale 23 3" xfId="1032" xr:uid="{00000000-0005-0000-0000-000040080000}"/>
    <cellStyle name="Percentuale 23 3 2" xfId="1033" xr:uid="{00000000-0005-0000-0000-000041080000}"/>
    <cellStyle name="Percentuale 23 3 2 2" xfId="2333" xr:uid="{00000000-0005-0000-0000-000042080000}"/>
    <cellStyle name="Percentuale 23 3 3" xfId="4332" xr:uid="{F874927C-7A57-4E01-BC96-C52FB8260D43}"/>
    <cellStyle name="Percentuale 23 3 4" xfId="4333" xr:uid="{B11250AF-04B5-4181-B427-3D0D2B26089F}"/>
    <cellStyle name="Percentuale 23 4" xfId="2334" xr:uid="{00000000-0005-0000-0000-000043080000}"/>
    <cellStyle name="Percentuale 23 4 2" xfId="2335" xr:uid="{00000000-0005-0000-0000-000044080000}"/>
    <cellStyle name="Percentuale 23 5" xfId="2336" xr:uid="{00000000-0005-0000-0000-000045080000}"/>
    <cellStyle name="Percentuale 23 6" xfId="4334" xr:uid="{8B582DA5-B09C-49DD-9BDF-C33F5690D056}"/>
    <cellStyle name="Percentuale 24" xfId="1034" xr:uid="{00000000-0005-0000-0000-000046080000}"/>
    <cellStyle name="Percentuale 24 2" xfId="1035" xr:uid="{00000000-0005-0000-0000-000047080000}"/>
    <cellStyle name="Percentuale 24 2 2" xfId="4335" xr:uid="{80AB36F7-E95B-42F2-9E36-2D8AE21EE450}"/>
    <cellStyle name="Percentuale 24 3" xfId="1036" xr:uid="{00000000-0005-0000-0000-000048080000}"/>
    <cellStyle name="Percentuale 24 3 2" xfId="1037" xr:uid="{00000000-0005-0000-0000-000049080000}"/>
    <cellStyle name="Percentuale 24 3 2 2" xfId="2337" xr:uid="{00000000-0005-0000-0000-00004A080000}"/>
    <cellStyle name="Percentuale 24 3 3" xfId="4336" xr:uid="{68423A94-4291-4BC1-98E6-2B168F91C377}"/>
    <cellStyle name="Percentuale 24 3 4" xfId="4337" xr:uid="{E4E5BED4-62EA-4707-B05B-82F24A38A5D8}"/>
    <cellStyle name="Percentuale 24 4" xfId="2338" xr:uid="{00000000-0005-0000-0000-00004B080000}"/>
    <cellStyle name="Percentuale 24 4 2" xfId="2339" xr:uid="{00000000-0005-0000-0000-00004C080000}"/>
    <cellStyle name="Percentuale 24 5" xfId="2340" xr:uid="{00000000-0005-0000-0000-00004D080000}"/>
    <cellStyle name="Percentuale 24 6" xfId="4338" xr:uid="{DE1861B5-E275-4951-AE40-99028ED65DE1}"/>
    <cellStyle name="Percentuale 25" xfId="1038" xr:uid="{00000000-0005-0000-0000-00004E080000}"/>
    <cellStyle name="Percentuale 25 2" xfId="1039" xr:uid="{00000000-0005-0000-0000-00004F080000}"/>
    <cellStyle name="Percentuale 25 2 2" xfId="4339" xr:uid="{D75FEB61-2635-4A05-BC35-447C92348384}"/>
    <cellStyle name="Percentuale 25 3" xfId="1040" xr:uid="{00000000-0005-0000-0000-000050080000}"/>
    <cellStyle name="Percentuale 25 3 2" xfId="1041" xr:uid="{00000000-0005-0000-0000-000051080000}"/>
    <cellStyle name="Percentuale 25 3 2 2" xfId="2341" xr:uid="{00000000-0005-0000-0000-000052080000}"/>
    <cellStyle name="Percentuale 25 3 3" xfId="4340" xr:uid="{C6C9AA98-5DA7-4219-AFB3-CE9712F908C6}"/>
    <cellStyle name="Percentuale 25 3 4" xfId="4341" xr:uid="{401DD4ED-D35E-4359-95C5-4B760AFA836C}"/>
    <cellStyle name="Percentuale 25 4" xfId="2342" xr:uid="{00000000-0005-0000-0000-000053080000}"/>
    <cellStyle name="Percentuale 25 4 2" xfId="2343" xr:uid="{00000000-0005-0000-0000-000054080000}"/>
    <cellStyle name="Percentuale 25 5" xfId="2344" xr:uid="{00000000-0005-0000-0000-000055080000}"/>
    <cellStyle name="Percentuale 25 6" xfId="4342" xr:uid="{0344AB72-D7EE-4F5C-A1DA-12D7E804C5E1}"/>
    <cellStyle name="Percentuale 26" xfId="1042" xr:uid="{00000000-0005-0000-0000-000056080000}"/>
    <cellStyle name="Percentuale 26 2" xfId="1043" xr:uid="{00000000-0005-0000-0000-000057080000}"/>
    <cellStyle name="Percentuale 26 2 2" xfId="4343" xr:uid="{72C4A156-A104-4DFD-A6AC-816EAE1B456F}"/>
    <cellStyle name="Percentuale 26 3" xfId="1044" xr:uid="{00000000-0005-0000-0000-000058080000}"/>
    <cellStyle name="Percentuale 26 3 2" xfId="1045" xr:uid="{00000000-0005-0000-0000-000059080000}"/>
    <cellStyle name="Percentuale 26 3 2 2" xfId="2345" xr:uid="{00000000-0005-0000-0000-00005A080000}"/>
    <cellStyle name="Percentuale 26 3 3" xfId="4344" xr:uid="{20F20252-975D-46B3-9784-EFF3FCF71703}"/>
    <cellStyle name="Percentuale 26 3 4" xfId="4345" xr:uid="{42E27C82-5218-408B-9D6F-B44AC517E865}"/>
    <cellStyle name="Percentuale 26 4" xfId="2346" xr:uid="{00000000-0005-0000-0000-00005B080000}"/>
    <cellStyle name="Percentuale 26 4 2" xfId="2347" xr:uid="{00000000-0005-0000-0000-00005C080000}"/>
    <cellStyle name="Percentuale 26 5" xfId="2348" xr:uid="{00000000-0005-0000-0000-00005D080000}"/>
    <cellStyle name="Percentuale 26 6" xfId="4346" xr:uid="{6F3222A7-5539-4DA3-B5ED-41D2B52F9043}"/>
    <cellStyle name="Percentuale 27" xfId="1046" xr:uid="{00000000-0005-0000-0000-00005E080000}"/>
    <cellStyle name="Percentuale 27 2" xfId="1047" xr:uid="{00000000-0005-0000-0000-00005F080000}"/>
    <cellStyle name="Percentuale 27 2 2" xfId="4347" xr:uid="{A9465755-FDE7-48E6-BA08-A512809C0D88}"/>
    <cellStyle name="Percentuale 27 3" xfId="1048" xr:uid="{00000000-0005-0000-0000-000060080000}"/>
    <cellStyle name="Percentuale 27 3 2" xfId="1049" xr:uid="{00000000-0005-0000-0000-000061080000}"/>
    <cellStyle name="Percentuale 27 3 2 2" xfId="2349" xr:uid="{00000000-0005-0000-0000-000062080000}"/>
    <cellStyle name="Percentuale 27 3 3" xfId="4348" xr:uid="{8CF57C26-C15C-424F-9D5E-CD265DC0E123}"/>
    <cellStyle name="Percentuale 27 3 4" xfId="4349" xr:uid="{204A3C27-331E-4B02-A048-0679E2E2A764}"/>
    <cellStyle name="Percentuale 27 4" xfId="2350" xr:uid="{00000000-0005-0000-0000-000063080000}"/>
    <cellStyle name="Percentuale 27 4 2" xfId="2351" xr:uid="{00000000-0005-0000-0000-000064080000}"/>
    <cellStyle name="Percentuale 27 5" xfId="2352" xr:uid="{00000000-0005-0000-0000-000065080000}"/>
    <cellStyle name="Percentuale 27 6" xfId="4350" xr:uid="{A15516B8-342A-443C-8DD4-67589E27CD21}"/>
    <cellStyle name="Percentuale 28" xfId="1050" xr:uid="{00000000-0005-0000-0000-000066080000}"/>
    <cellStyle name="Percentuale 28 2" xfId="1051" xr:uid="{00000000-0005-0000-0000-000067080000}"/>
    <cellStyle name="Percentuale 28 2 2" xfId="4351" xr:uid="{E94A0CCE-3B7B-4A45-B100-91C9C783C72B}"/>
    <cellStyle name="Percentuale 28 3" xfId="1052" xr:uid="{00000000-0005-0000-0000-000068080000}"/>
    <cellStyle name="Percentuale 28 3 2" xfId="1053" xr:uid="{00000000-0005-0000-0000-000069080000}"/>
    <cellStyle name="Percentuale 28 3 2 2" xfId="2353" xr:uid="{00000000-0005-0000-0000-00006A080000}"/>
    <cellStyle name="Percentuale 28 3 3" xfId="4352" xr:uid="{48C8B1D7-D9C3-4C76-A0E1-46B7433FA24F}"/>
    <cellStyle name="Percentuale 28 3 4" xfId="4353" xr:uid="{40E4C095-936D-4B7D-BB59-6B14F94B1C52}"/>
    <cellStyle name="Percentuale 28 4" xfId="2354" xr:uid="{00000000-0005-0000-0000-00006B080000}"/>
    <cellStyle name="Percentuale 28 4 2" xfId="2355" xr:uid="{00000000-0005-0000-0000-00006C080000}"/>
    <cellStyle name="Percentuale 28 5" xfId="2356" xr:uid="{00000000-0005-0000-0000-00006D080000}"/>
    <cellStyle name="Percentuale 28 6" xfId="4354" xr:uid="{C095D96B-78CF-44E2-99C3-707D738A998B}"/>
    <cellStyle name="Percentuale 29" xfId="1054" xr:uid="{00000000-0005-0000-0000-00006E080000}"/>
    <cellStyle name="Percentuale 29 2" xfId="1055" xr:uid="{00000000-0005-0000-0000-00006F080000}"/>
    <cellStyle name="Percentuale 29 2 2" xfId="4355" xr:uid="{9A96BE77-A48A-48C9-8028-6B0698D48C4E}"/>
    <cellStyle name="Percentuale 29 3" xfId="1056" xr:uid="{00000000-0005-0000-0000-000070080000}"/>
    <cellStyle name="Percentuale 29 3 2" xfId="1057" xr:uid="{00000000-0005-0000-0000-000071080000}"/>
    <cellStyle name="Percentuale 29 3 2 2" xfId="2357" xr:uid="{00000000-0005-0000-0000-000072080000}"/>
    <cellStyle name="Percentuale 29 3 3" xfId="4356" xr:uid="{7D1B6FC9-B054-4450-B3D9-7BE1A94D78C9}"/>
    <cellStyle name="Percentuale 29 3 4" xfId="4357" xr:uid="{D98C8AEB-4BDA-4712-AFCE-5BA535BF5B9E}"/>
    <cellStyle name="Percentuale 29 4" xfId="2358" xr:uid="{00000000-0005-0000-0000-000073080000}"/>
    <cellStyle name="Percentuale 29 4 2" xfId="2359" xr:uid="{00000000-0005-0000-0000-000074080000}"/>
    <cellStyle name="Percentuale 29 5" xfId="2360" xr:uid="{00000000-0005-0000-0000-000075080000}"/>
    <cellStyle name="Percentuale 29 6" xfId="4358" xr:uid="{F2E99350-E75A-40DA-839E-15F890049C73}"/>
    <cellStyle name="Percentuale 3" xfId="1058" xr:uid="{00000000-0005-0000-0000-000076080000}"/>
    <cellStyle name="Percentuale 3 2" xfId="1059" xr:uid="{00000000-0005-0000-0000-000077080000}"/>
    <cellStyle name="Percentuale 3 2 2" xfId="4359" xr:uid="{87BDB526-EE27-4DE7-B4EF-30473D1AFE44}"/>
    <cellStyle name="Percentuale 3 3" xfId="1060" xr:uid="{00000000-0005-0000-0000-000078080000}"/>
    <cellStyle name="Percentuale 3 3 2" xfId="1061" xr:uid="{00000000-0005-0000-0000-000079080000}"/>
    <cellStyle name="Percentuale 3 3 2 2" xfId="2361" xr:uid="{00000000-0005-0000-0000-00007A080000}"/>
    <cellStyle name="Percentuale 3 3 3" xfId="4360" xr:uid="{52A21AE1-C3B1-46C1-8C0E-C8C3A3AB28B6}"/>
    <cellStyle name="Percentuale 3 3 4" xfId="4361" xr:uid="{F7B45F65-47C9-4AFF-A02D-8DC3F9659A02}"/>
    <cellStyle name="Percentuale 3 4" xfId="2362" xr:uid="{00000000-0005-0000-0000-00007B080000}"/>
    <cellStyle name="Percentuale 3 4 2" xfId="2363" xr:uid="{00000000-0005-0000-0000-00007C080000}"/>
    <cellStyle name="Percentuale 3 5" xfId="2364" xr:uid="{00000000-0005-0000-0000-00007D080000}"/>
    <cellStyle name="Percentuale 3 6" xfId="4362" xr:uid="{147E2013-FEE0-4908-9E35-1410EBD24C68}"/>
    <cellStyle name="Percentuale 30" xfId="1062" xr:uid="{00000000-0005-0000-0000-00007E080000}"/>
    <cellStyle name="Percentuale 30 2" xfId="1063" xr:uid="{00000000-0005-0000-0000-00007F080000}"/>
    <cellStyle name="Percentuale 30 2 2" xfId="4363" xr:uid="{4A96FD9D-B74A-41B9-9AEB-40865818B422}"/>
    <cellStyle name="Percentuale 30 3" xfId="1064" xr:uid="{00000000-0005-0000-0000-000080080000}"/>
    <cellStyle name="Percentuale 30 3 2" xfId="1065" xr:uid="{00000000-0005-0000-0000-000081080000}"/>
    <cellStyle name="Percentuale 30 3 2 2" xfId="2365" xr:uid="{00000000-0005-0000-0000-000082080000}"/>
    <cellStyle name="Percentuale 30 3 3" xfId="4364" xr:uid="{41731041-6718-47B5-8C1E-3F4C4C8EBE75}"/>
    <cellStyle name="Percentuale 30 3 4" xfId="4365" xr:uid="{B8B1D075-DD58-44DE-8C89-260F994EEE8B}"/>
    <cellStyle name="Percentuale 30 4" xfId="2366" xr:uid="{00000000-0005-0000-0000-000083080000}"/>
    <cellStyle name="Percentuale 30 4 2" xfId="2367" xr:uid="{00000000-0005-0000-0000-000084080000}"/>
    <cellStyle name="Percentuale 30 5" xfId="2368" xr:uid="{00000000-0005-0000-0000-000085080000}"/>
    <cellStyle name="Percentuale 30 6" xfId="4366" xr:uid="{032C8BCC-3DE9-47EE-86BD-DDE5EE211E75}"/>
    <cellStyle name="Percentuale 31" xfId="1066" xr:uid="{00000000-0005-0000-0000-000086080000}"/>
    <cellStyle name="Percentuale 31 2" xfId="1067" xr:uid="{00000000-0005-0000-0000-000087080000}"/>
    <cellStyle name="Percentuale 31 2 2" xfId="4367" xr:uid="{E757F239-085D-4419-91ED-7E8211346AFA}"/>
    <cellStyle name="Percentuale 31 3" xfId="1068" xr:uid="{00000000-0005-0000-0000-000088080000}"/>
    <cellStyle name="Percentuale 31 3 2" xfId="1069" xr:uid="{00000000-0005-0000-0000-000089080000}"/>
    <cellStyle name="Percentuale 31 3 2 2" xfId="2369" xr:uid="{00000000-0005-0000-0000-00008A080000}"/>
    <cellStyle name="Percentuale 31 3 3" xfId="4368" xr:uid="{3152029B-4C06-48B6-8DDF-E41516C1377F}"/>
    <cellStyle name="Percentuale 31 3 4" xfId="4369" xr:uid="{1683807F-A0FF-494B-8420-1877978F524A}"/>
    <cellStyle name="Percentuale 31 4" xfId="2370" xr:uid="{00000000-0005-0000-0000-00008B080000}"/>
    <cellStyle name="Percentuale 31 4 2" xfId="2371" xr:uid="{00000000-0005-0000-0000-00008C080000}"/>
    <cellStyle name="Percentuale 31 5" xfId="2372" xr:uid="{00000000-0005-0000-0000-00008D080000}"/>
    <cellStyle name="Percentuale 31 6" xfId="4370" xr:uid="{B3CAEE8F-14AA-446C-83B0-6B094B9A3273}"/>
    <cellStyle name="Percentuale 32" xfId="1070" xr:uid="{00000000-0005-0000-0000-00008E080000}"/>
    <cellStyle name="Percentuale 32 2" xfId="1071" xr:uid="{00000000-0005-0000-0000-00008F080000}"/>
    <cellStyle name="Percentuale 32 2 2" xfId="4371" xr:uid="{A3B7BC30-FAF3-4192-9677-C4BEB14DC741}"/>
    <cellStyle name="Percentuale 32 3" xfId="1072" xr:uid="{00000000-0005-0000-0000-000090080000}"/>
    <cellStyle name="Percentuale 32 3 2" xfId="1073" xr:uid="{00000000-0005-0000-0000-000091080000}"/>
    <cellStyle name="Percentuale 32 3 2 2" xfId="2373" xr:uid="{00000000-0005-0000-0000-000092080000}"/>
    <cellStyle name="Percentuale 32 3 3" xfId="4372" xr:uid="{A9575134-9B60-458E-931C-C09BB7570058}"/>
    <cellStyle name="Percentuale 32 3 4" xfId="4373" xr:uid="{638DC675-51EF-4741-B5BE-1BBE38623FDA}"/>
    <cellStyle name="Percentuale 32 4" xfId="2374" xr:uid="{00000000-0005-0000-0000-000093080000}"/>
    <cellStyle name="Percentuale 32 4 2" xfId="2375" xr:uid="{00000000-0005-0000-0000-000094080000}"/>
    <cellStyle name="Percentuale 32 5" xfId="2376" xr:uid="{00000000-0005-0000-0000-000095080000}"/>
    <cellStyle name="Percentuale 32 6" xfId="4374" xr:uid="{8E742EB3-A264-4367-B1FA-35E31BE2DDBD}"/>
    <cellStyle name="Percentuale 33" xfId="1074" xr:uid="{00000000-0005-0000-0000-000096080000}"/>
    <cellStyle name="Percentuale 33 2" xfId="1075" xr:uid="{00000000-0005-0000-0000-000097080000}"/>
    <cellStyle name="Percentuale 33 2 2" xfId="4375" xr:uid="{8A000B55-869B-4A48-B19D-EF0A407A85A7}"/>
    <cellStyle name="Percentuale 33 3" xfId="1076" xr:uid="{00000000-0005-0000-0000-000098080000}"/>
    <cellStyle name="Percentuale 33 3 2" xfId="1077" xr:uid="{00000000-0005-0000-0000-000099080000}"/>
    <cellStyle name="Percentuale 33 3 2 2" xfId="2377" xr:uid="{00000000-0005-0000-0000-00009A080000}"/>
    <cellStyle name="Percentuale 33 3 3" xfId="4376" xr:uid="{E54E9F58-1394-4090-8EAE-F1A446B846BB}"/>
    <cellStyle name="Percentuale 33 3 4" xfId="4377" xr:uid="{C5469DA0-5670-4F86-AECC-813651A7E08C}"/>
    <cellStyle name="Percentuale 33 4" xfId="2378" xr:uid="{00000000-0005-0000-0000-00009B080000}"/>
    <cellStyle name="Percentuale 33 4 2" xfId="2379" xr:uid="{00000000-0005-0000-0000-00009C080000}"/>
    <cellStyle name="Percentuale 33 5" xfId="2380" xr:uid="{00000000-0005-0000-0000-00009D080000}"/>
    <cellStyle name="Percentuale 33 6" xfId="4378" xr:uid="{A8E30811-84FF-4B67-BF4F-958F62A5100F}"/>
    <cellStyle name="Percentuale 34" xfId="1078" xr:uid="{00000000-0005-0000-0000-00009E080000}"/>
    <cellStyle name="Percentuale 34 2" xfId="1079" xr:uid="{00000000-0005-0000-0000-00009F080000}"/>
    <cellStyle name="Percentuale 34 2 2" xfId="4379" xr:uid="{3121E7CF-396E-4238-A79D-B12E07E631B2}"/>
    <cellStyle name="Percentuale 34 3" xfId="1080" xr:uid="{00000000-0005-0000-0000-0000A0080000}"/>
    <cellStyle name="Percentuale 34 3 2" xfId="1081" xr:uid="{00000000-0005-0000-0000-0000A1080000}"/>
    <cellStyle name="Percentuale 34 3 2 2" xfId="2381" xr:uid="{00000000-0005-0000-0000-0000A2080000}"/>
    <cellStyle name="Percentuale 34 3 3" xfId="4380" xr:uid="{AEF09BDD-A55F-4918-B253-242BC10696FA}"/>
    <cellStyle name="Percentuale 34 3 4" xfId="4381" xr:uid="{F4EB1C1C-B38D-46BD-9C75-5A6EDAEB1E54}"/>
    <cellStyle name="Percentuale 34 4" xfId="2382" xr:uid="{00000000-0005-0000-0000-0000A3080000}"/>
    <cellStyle name="Percentuale 34 4 2" xfId="2383" xr:uid="{00000000-0005-0000-0000-0000A4080000}"/>
    <cellStyle name="Percentuale 34 5" xfId="2384" xr:uid="{00000000-0005-0000-0000-0000A5080000}"/>
    <cellStyle name="Percentuale 34 6" xfId="4382" xr:uid="{5767F785-9A81-4681-A86B-4D18C808E931}"/>
    <cellStyle name="Percentuale 35" xfId="1082" xr:uid="{00000000-0005-0000-0000-0000A6080000}"/>
    <cellStyle name="Percentuale 35 2" xfId="1083" xr:uid="{00000000-0005-0000-0000-0000A7080000}"/>
    <cellStyle name="Percentuale 35 2 2" xfId="4383" xr:uid="{6AEFA0E4-83AF-4909-A181-7C011A9C6E7F}"/>
    <cellStyle name="Percentuale 35 3" xfId="1084" xr:uid="{00000000-0005-0000-0000-0000A8080000}"/>
    <cellStyle name="Percentuale 35 3 2" xfId="1085" xr:uid="{00000000-0005-0000-0000-0000A9080000}"/>
    <cellStyle name="Percentuale 35 3 2 2" xfId="2385" xr:uid="{00000000-0005-0000-0000-0000AA080000}"/>
    <cellStyle name="Percentuale 35 3 3" xfId="4384" xr:uid="{3510A725-8D8D-4ED8-B92A-60EEF437E04D}"/>
    <cellStyle name="Percentuale 35 3 4" xfId="4385" xr:uid="{810744D7-314D-4497-B8DE-492FBE42E039}"/>
    <cellStyle name="Percentuale 35 4" xfId="2386" xr:uid="{00000000-0005-0000-0000-0000AB080000}"/>
    <cellStyle name="Percentuale 35 4 2" xfId="2387" xr:uid="{00000000-0005-0000-0000-0000AC080000}"/>
    <cellStyle name="Percentuale 35 5" xfId="2388" xr:uid="{00000000-0005-0000-0000-0000AD080000}"/>
    <cellStyle name="Percentuale 35 6" xfId="4386" xr:uid="{A9FADC21-0FCC-4BF3-93F6-BF612F134C5D}"/>
    <cellStyle name="Percentuale 36" xfId="1086" xr:uid="{00000000-0005-0000-0000-0000AE080000}"/>
    <cellStyle name="Percentuale 36 2" xfId="1087" xr:uid="{00000000-0005-0000-0000-0000AF080000}"/>
    <cellStyle name="Percentuale 36 2 2" xfId="4387" xr:uid="{70B91778-C724-43C7-84B1-3F1841C8145C}"/>
    <cellStyle name="Percentuale 36 3" xfId="1088" xr:uid="{00000000-0005-0000-0000-0000B0080000}"/>
    <cellStyle name="Percentuale 36 3 2" xfId="1089" xr:uid="{00000000-0005-0000-0000-0000B1080000}"/>
    <cellStyle name="Percentuale 36 3 2 2" xfId="2389" xr:uid="{00000000-0005-0000-0000-0000B2080000}"/>
    <cellStyle name="Percentuale 36 3 3" xfId="4388" xr:uid="{6D50C532-C90E-4914-8CE4-EE8708174B29}"/>
    <cellStyle name="Percentuale 36 3 4" xfId="4389" xr:uid="{5D8C4EF4-BA4C-457B-8A87-D0B4761765C9}"/>
    <cellStyle name="Percentuale 36 4" xfId="2390" xr:uid="{00000000-0005-0000-0000-0000B3080000}"/>
    <cellStyle name="Percentuale 36 4 2" xfId="2391" xr:uid="{00000000-0005-0000-0000-0000B4080000}"/>
    <cellStyle name="Percentuale 36 5" xfId="2392" xr:uid="{00000000-0005-0000-0000-0000B5080000}"/>
    <cellStyle name="Percentuale 36 6" xfId="4390" xr:uid="{E4506130-EDE4-4ECD-BABF-66DC99F01C22}"/>
    <cellStyle name="Percentuale 37" xfId="1090" xr:uid="{00000000-0005-0000-0000-0000B6080000}"/>
    <cellStyle name="Percentuale 37 2" xfId="1091" xr:uid="{00000000-0005-0000-0000-0000B7080000}"/>
    <cellStyle name="Percentuale 37 2 2" xfId="4391" xr:uid="{D2267C83-6C59-46FC-8EDD-24D78926DA0D}"/>
    <cellStyle name="Percentuale 37 3" xfId="1092" xr:uid="{00000000-0005-0000-0000-0000B8080000}"/>
    <cellStyle name="Percentuale 37 3 2" xfId="1093" xr:uid="{00000000-0005-0000-0000-0000B9080000}"/>
    <cellStyle name="Percentuale 37 3 2 2" xfId="2393" xr:uid="{00000000-0005-0000-0000-0000BA080000}"/>
    <cellStyle name="Percentuale 37 3 3" xfId="4392" xr:uid="{2D2207B3-3FBC-471C-BBD0-428E7C0B37F4}"/>
    <cellStyle name="Percentuale 37 3 4" xfId="4393" xr:uid="{74EBADBB-ACA1-4334-AD14-9FED7F524FB1}"/>
    <cellStyle name="Percentuale 37 4" xfId="2394" xr:uid="{00000000-0005-0000-0000-0000BB080000}"/>
    <cellStyle name="Percentuale 37 4 2" xfId="2395" xr:uid="{00000000-0005-0000-0000-0000BC080000}"/>
    <cellStyle name="Percentuale 37 5" xfId="2396" xr:uid="{00000000-0005-0000-0000-0000BD080000}"/>
    <cellStyle name="Percentuale 37 6" xfId="4394" xr:uid="{8F855EFA-EFE3-420F-B98A-7BEC1498299F}"/>
    <cellStyle name="Percentuale 38" xfId="1094" xr:uid="{00000000-0005-0000-0000-0000BE080000}"/>
    <cellStyle name="Percentuale 38 2" xfId="1095" xr:uid="{00000000-0005-0000-0000-0000BF080000}"/>
    <cellStyle name="Percentuale 38 2 2" xfId="4395" xr:uid="{396F2188-4485-43D0-B02F-F2911C9FD288}"/>
    <cellStyle name="Percentuale 38 3" xfId="1096" xr:uid="{00000000-0005-0000-0000-0000C0080000}"/>
    <cellStyle name="Percentuale 38 3 2" xfId="1097" xr:uid="{00000000-0005-0000-0000-0000C1080000}"/>
    <cellStyle name="Percentuale 38 3 2 2" xfId="2397" xr:uid="{00000000-0005-0000-0000-0000C2080000}"/>
    <cellStyle name="Percentuale 38 3 3" xfId="4396" xr:uid="{B5AF9D39-FE22-4ADE-9AFF-F1B22B221539}"/>
    <cellStyle name="Percentuale 38 3 4" xfId="4397" xr:uid="{ACE69057-A42C-41D3-A999-C6A09B03E23D}"/>
    <cellStyle name="Percentuale 38 4" xfId="2398" xr:uid="{00000000-0005-0000-0000-0000C3080000}"/>
    <cellStyle name="Percentuale 38 4 2" xfId="2399" xr:uid="{00000000-0005-0000-0000-0000C4080000}"/>
    <cellStyle name="Percentuale 38 5" xfId="2400" xr:uid="{00000000-0005-0000-0000-0000C5080000}"/>
    <cellStyle name="Percentuale 38 6" xfId="4398" xr:uid="{F4023244-3A9B-407E-88F5-7AB5EC288220}"/>
    <cellStyle name="Percentuale 39" xfId="1098" xr:uid="{00000000-0005-0000-0000-0000C6080000}"/>
    <cellStyle name="Percentuale 39 2" xfId="1099" xr:uid="{00000000-0005-0000-0000-0000C7080000}"/>
    <cellStyle name="Percentuale 39 2 2" xfId="4399" xr:uid="{D35F51B9-941B-4266-9744-C731D95920A7}"/>
    <cellStyle name="Percentuale 39 3" xfId="1100" xr:uid="{00000000-0005-0000-0000-0000C8080000}"/>
    <cellStyle name="Percentuale 39 3 2" xfId="1101" xr:uid="{00000000-0005-0000-0000-0000C9080000}"/>
    <cellStyle name="Percentuale 39 3 2 2" xfId="2401" xr:uid="{00000000-0005-0000-0000-0000CA080000}"/>
    <cellStyle name="Percentuale 39 3 3" xfId="4400" xr:uid="{B5140186-3D85-4826-B4F4-35A67F833FFE}"/>
    <cellStyle name="Percentuale 39 3 4" xfId="4401" xr:uid="{8B72E063-125E-4F2D-9EB1-531FBD5A20C3}"/>
    <cellStyle name="Percentuale 39 4" xfId="2402" xr:uid="{00000000-0005-0000-0000-0000CB080000}"/>
    <cellStyle name="Percentuale 39 4 2" xfId="2403" xr:uid="{00000000-0005-0000-0000-0000CC080000}"/>
    <cellStyle name="Percentuale 39 5" xfId="2404" xr:uid="{00000000-0005-0000-0000-0000CD080000}"/>
    <cellStyle name="Percentuale 39 6" xfId="4402" xr:uid="{96EA2831-37F3-4B29-A5F1-8E29208E2D28}"/>
    <cellStyle name="Percentuale 4" xfId="1102" xr:uid="{00000000-0005-0000-0000-0000CE080000}"/>
    <cellStyle name="Percentuale 4 2" xfId="1103" xr:uid="{00000000-0005-0000-0000-0000CF080000}"/>
    <cellStyle name="Percentuale 4 2 2" xfId="4403" xr:uid="{C607B04C-5B02-4D4B-851B-047F76622570}"/>
    <cellStyle name="Percentuale 4 3" xfId="1104" xr:uid="{00000000-0005-0000-0000-0000D0080000}"/>
    <cellStyle name="Percentuale 4 3 2" xfId="1105" xr:uid="{00000000-0005-0000-0000-0000D1080000}"/>
    <cellStyle name="Percentuale 4 3 2 2" xfId="2405" xr:uid="{00000000-0005-0000-0000-0000D2080000}"/>
    <cellStyle name="Percentuale 4 3 3" xfId="4404" xr:uid="{40187590-EDE3-4AA4-838B-9ED785322267}"/>
    <cellStyle name="Percentuale 4 3 4" xfId="4405" xr:uid="{2B91E132-9674-47F5-9B27-128BD0C1FA24}"/>
    <cellStyle name="Percentuale 4 4" xfId="2406" xr:uid="{00000000-0005-0000-0000-0000D3080000}"/>
    <cellStyle name="Percentuale 4 4 2" xfId="2407" xr:uid="{00000000-0005-0000-0000-0000D4080000}"/>
    <cellStyle name="Percentuale 4 5" xfId="2408" xr:uid="{00000000-0005-0000-0000-0000D5080000}"/>
    <cellStyle name="Percentuale 4 6" xfId="4406" xr:uid="{4D3EA76B-CFB6-4FC9-B12D-5E9C4B52F92B}"/>
    <cellStyle name="Percentuale 40" xfId="1106" xr:uid="{00000000-0005-0000-0000-0000D6080000}"/>
    <cellStyle name="Percentuale 40 2" xfId="1107" xr:uid="{00000000-0005-0000-0000-0000D7080000}"/>
    <cellStyle name="Percentuale 40 2 2" xfId="4407" xr:uid="{23833A70-AD97-41B9-9877-FAAC31951EBE}"/>
    <cellStyle name="Percentuale 40 3" xfId="1108" xr:uid="{00000000-0005-0000-0000-0000D8080000}"/>
    <cellStyle name="Percentuale 40 3 2" xfId="1109" xr:uid="{00000000-0005-0000-0000-0000D9080000}"/>
    <cellStyle name="Percentuale 40 3 2 2" xfId="2409" xr:uid="{00000000-0005-0000-0000-0000DA080000}"/>
    <cellStyle name="Percentuale 40 3 3" xfId="4408" xr:uid="{2BC6CAB1-CE2C-4E5B-BC7F-8BD719E0A4EA}"/>
    <cellStyle name="Percentuale 40 3 4" xfId="4409" xr:uid="{E9C044D8-0645-4A91-A4A4-B8FC934611D7}"/>
    <cellStyle name="Percentuale 40 4" xfId="2410" xr:uid="{00000000-0005-0000-0000-0000DB080000}"/>
    <cellStyle name="Percentuale 40 4 2" xfId="2411" xr:uid="{00000000-0005-0000-0000-0000DC080000}"/>
    <cellStyle name="Percentuale 40 5" xfId="2412" xr:uid="{00000000-0005-0000-0000-0000DD080000}"/>
    <cellStyle name="Percentuale 40 6" xfId="4410" xr:uid="{7C828DBF-AD70-4BB6-8CBA-09163EE6D6E5}"/>
    <cellStyle name="Percentuale 41" xfId="1110" xr:uid="{00000000-0005-0000-0000-0000DE080000}"/>
    <cellStyle name="Percentuale 41 2" xfId="1111" xr:uid="{00000000-0005-0000-0000-0000DF080000}"/>
    <cellStyle name="Percentuale 41 2 2" xfId="4411" xr:uid="{3114E41D-E641-4194-B1D8-72F6F3BB5571}"/>
    <cellStyle name="Percentuale 41 3" xfId="1112" xr:uid="{00000000-0005-0000-0000-0000E0080000}"/>
    <cellStyle name="Percentuale 41 3 2" xfId="1113" xr:uid="{00000000-0005-0000-0000-0000E1080000}"/>
    <cellStyle name="Percentuale 41 3 2 2" xfId="2413" xr:uid="{00000000-0005-0000-0000-0000E2080000}"/>
    <cellStyle name="Percentuale 41 3 3" xfId="4412" xr:uid="{2FBE0850-9EF0-4AA2-8791-F53CD3615AF5}"/>
    <cellStyle name="Percentuale 41 3 4" xfId="4413" xr:uid="{720CE512-E5B5-4C2F-8D01-E94FE21D5193}"/>
    <cellStyle name="Percentuale 41 4" xfId="2414" xr:uid="{00000000-0005-0000-0000-0000E3080000}"/>
    <cellStyle name="Percentuale 41 4 2" xfId="2415" xr:uid="{00000000-0005-0000-0000-0000E4080000}"/>
    <cellStyle name="Percentuale 41 5" xfId="2416" xr:uid="{00000000-0005-0000-0000-0000E5080000}"/>
    <cellStyle name="Percentuale 41 6" xfId="4414" xr:uid="{643F4D44-58A0-45B5-A02E-711566CF5FC4}"/>
    <cellStyle name="Percentuale 42" xfId="1114" xr:uid="{00000000-0005-0000-0000-0000E6080000}"/>
    <cellStyle name="Percentuale 42 2" xfId="1115" xr:uid="{00000000-0005-0000-0000-0000E7080000}"/>
    <cellStyle name="Percentuale 42 2 2" xfId="4415" xr:uid="{0B3569E2-50FF-4260-8356-7E7731DC9E92}"/>
    <cellStyle name="Percentuale 42 3" xfId="1116" xr:uid="{00000000-0005-0000-0000-0000E8080000}"/>
    <cellStyle name="Percentuale 42 3 2" xfId="1117" xr:uid="{00000000-0005-0000-0000-0000E9080000}"/>
    <cellStyle name="Percentuale 42 3 2 2" xfId="2417" xr:uid="{00000000-0005-0000-0000-0000EA080000}"/>
    <cellStyle name="Percentuale 42 3 3" xfId="4416" xr:uid="{5002C057-A0CB-46D9-881C-85A7CE11C29A}"/>
    <cellStyle name="Percentuale 42 3 4" xfId="4417" xr:uid="{7171AEE8-4800-453F-A8DC-DE6306711E7F}"/>
    <cellStyle name="Percentuale 42 4" xfId="2418" xr:uid="{00000000-0005-0000-0000-0000EB080000}"/>
    <cellStyle name="Percentuale 42 4 2" xfId="2419" xr:uid="{00000000-0005-0000-0000-0000EC080000}"/>
    <cellStyle name="Percentuale 42 5" xfId="2420" xr:uid="{00000000-0005-0000-0000-0000ED080000}"/>
    <cellStyle name="Percentuale 42 6" xfId="4418" xr:uid="{C2621BD9-8E20-43F2-B067-DA5D10B051E6}"/>
    <cellStyle name="Percentuale 43" xfId="1118" xr:uid="{00000000-0005-0000-0000-0000EE080000}"/>
    <cellStyle name="Percentuale 43 2" xfId="1119" xr:uid="{00000000-0005-0000-0000-0000EF080000}"/>
    <cellStyle name="Percentuale 43 2 2" xfId="4419" xr:uid="{EA3243B9-7EB8-4779-A147-0CEBC04E27DB}"/>
    <cellStyle name="Percentuale 43 3" xfId="1120" xr:uid="{00000000-0005-0000-0000-0000F0080000}"/>
    <cellStyle name="Percentuale 43 3 2" xfId="1121" xr:uid="{00000000-0005-0000-0000-0000F1080000}"/>
    <cellStyle name="Percentuale 43 3 2 2" xfId="2421" xr:uid="{00000000-0005-0000-0000-0000F2080000}"/>
    <cellStyle name="Percentuale 43 3 3" xfId="4420" xr:uid="{F80E7A3E-FFE7-44DE-8912-5936215840B0}"/>
    <cellStyle name="Percentuale 43 3 4" xfId="4421" xr:uid="{54FE9739-AFF9-4B86-A96B-C756B7509C57}"/>
    <cellStyle name="Percentuale 43 4" xfId="2422" xr:uid="{00000000-0005-0000-0000-0000F3080000}"/>
    <cellStyle name="Percentuale 43 4 2" xfId="2423" xr:uid="{00000000-0005-0000-0000-0000F4080000}"/>
    <cellStyle name="Percentuale 43 5" xfId="2424" xr:uid="{00000000-0005-0000-0000-0000F5080000}"/>
    <cellStyle name="Percentuale 43 6" xfId="4422" xr:uid="{1AC9A355-302A-42B8-AD9B-00CCE092A1D8}"/>
    <cellStyle name="Percentuale 44" xfId="1122" xr:uid="{00000000-0005-0000-0000-0000F6080000}"/>
    <cellStyle name="Percentuale 44 2" xfId="1123" xr:uid="{00000000-0005-0000-0000-0000F7080000}"/>
    <cellStyle name="Percentuale 44 2 2" xfId="4423" xr:uid="{FA9296BB-225F-4861-BCAB-C38637C1AF2B}"/>
    <cellStyle name="Percentuale 44 3" xfId="1124" xr:uid="{00000000-0005-0000-0000-0000F8080000}"/>
    <cellStyle name="Percentuale 44 3 2" xfId="1125" xr:uid="{00000000-0005-0000-0000-0000F9080000}"/>
    <cellStyle name="Percentuale 44 3 2 2" xfId="2425" xr:uid="{00000000-0005-0000-0000-0000FA080000}"/>
    <cellStyle name="Percentuale 44 3 3" xfId="4424" xr:uid="{573F4939-57B8-4001-9282-07477ADACEF1}"/>
    <cellStyle name="Percentuale 44 3 4" xfId="4425" xr:uid="{CFBD84A9-81FD-466A-A4BE-3721A000A152}"/>
    <cellStyle name="Percentuale 44 4" xfId="2426" xr:uid="{00000000-0005-0000-0000-0000FB080000}"/>
    <cellStyle name="Percentuale 44 4 2" xfId="2427" xr:uid="{00000000-0005-0000-0000-0000FC080000}"/>
    <cellStyle name="Percentuale 44 5" xfId="2428" xr:uid="{00000000-0005-0000-0000-0000FD080000}"/>
    <cellStyle name="Percentuale 44 6" xfId="4426" xr:uid="{A51BA692-0198-4FA5-AFCB-6830824D66CE}"/>
    <cellStyle name="Percentuale 45" xfId="1126" xr:uid="{00000000-0005-0000-0000-0000FE080000}"/>
    <cellStyle name="Percentuale 45 2" xfId="1127" xr:uid="{00000000-0005-0000-0000-0000FF080000}"/>
    <cellStyle name="Percentuale 45 2 2" xfId="4427" xr:uid="{5EFB8B56-BEDA-4B2C-A9C1-11E8A56C8AE0}"/>
    <cellStyle name="Percentuale 45 3" xfId="1128" xr:uid="{00000000-0005-0000-0000-000000090000}"/>
    <cellStyle name="Percentuale 45 3 2" xfId="1129" xr:uid="{00000000-0005-0000-0000-000001090000}"/>
    <cellStyle name="Percentuale 45 3 2 2" xfId="2429" xr:uid="{00000000-0005-0000-0000-000002090000}"/>
    <cellStyle name="Percentuale 45 3 3" xfId="4428" xr:uid="{56321FF6-9BB8-4130-85CB-FF1C8C82BD83}"/>
    <cellStyle name="Percentuale 45 3 4" xfId="4429" xr:uid="{5BB8571F-E019-4ECA-84AB-DB50FD8C7ED6}"/>
    <cellStyle name="Percentuale 45 4" xfId="2430" xr:uid="{00000000-0005-0000-0000-000003090000}"/>
    <cellStyle name="Percentuale 45 4 2" xfId="2431" xr:uid="{00000000-0005-0000-0000-000004090000}"/>
    <cellStyle name="Percentuale 45 5" xfId="2432" xr:uid="{00000000-0005-0000-0000-000005090000}"/>
    <cellStyle name="Percentuale 45 6" xfId="4430" xr:uid="{6B6FC2EC-4E3B-4694-87EE-C57F7995C6E3}"/>
    <cellStyle name="Percentuale 46" xfId="1130" xr:uid="{00000000-0005-0000-0000-000006090000}"/>
    <cellStyle name="Percentuale 46 2" xfId="1131" xr:uid="{00000000-0005-0000-0000-000007090000}"/>
    <cellStyle name="Percentuale 46 2 2" xfId="4431" xr:uid="{760EA28B-5463-43A2-ABD6-FE37E8F0006C}"/>
    <cellStyle name="Percentuale 46 3" xfId="1132" xr:uid="{00000000-0005-0000-0000-000008090000}"/>
    <cellStyle name="Percentuale 46 3 2" xfId="1133" xr:uid="{00000000-0005-0000-0000-000009090000}"/>
    <cellStyle name="Percentuale 46 3 2 2" xfId="2433" xr:uid="{00000000-0005-0000-0000-00000A090000}"/>
    <cellStyle name="Percentuale 46 3 3" xfId="4432" xr:uid="{DC23AB04-9F3F-424C-8D3E-403E4A7BB693}"/>
    <cellStyle name="Percentuale 46 3 4" xfId="4433" xr:uid="{30F39DA6-2623-4291-8B3B-B27974246976}"/>
    <cellStyle name="Percentuale 46 4" xfId="2434" xr:uid="{00000000-0005-0000-0000-00000B090000}"/>
    <cellStyle name="Percentuale 46 4 2" xfId="2435" xr:uid="{00000000-0005-0000-0000-00000C090000}"/>
    <cellStyle name="Percentuale 46 5" xfId="2436" xr:uid="{00000000-0005-0000-0000-00000D090000}"/>
    <cellStyle name="Percentuale 46 6" xfId="4434" xr:uid="{096CDA77-F88D-4010-9CF9-5C6A606516B0}"/>
    <cellStyle name="Percentuale 47" xfId="1134" xr:uid="{00000000-0005-0000-0000-00000E090000}"/>
    <cellStyle name="Percentuale 47 2" xfId="1135" xr:uid="{00000000-0005-0000-0000-00000F090000}"/>
    <cellStyle name="Percentuale 47 2 2" xfId="4435" xr:uid="{B094009C-E68A-4037-9076-C8AAAED39F30}"/>
    <cellStyle name="Percentuale 47 3" xfId="1136" xr:uid="{00000000-0005-0000-0000-000010090000}"/>
    <cellStyle name="Percentuale 47 3 2" xfId="1137" xr:uid="{00000000-0005-0000-0000-000011090000}"/>
    <cellStyle name="Percentuale 47 3 2 2" xfId="2437" xr:uid="{00000000-0005-0000-0000-000012090000}"/>
    <cellStyle name="Percentuale 47 3 3" xfId="4436" xr:uid="{F022C333-ADCA-425B-B780-900E1C5D78B0}"/>
    <cellStyle name="Percentuale 47 3 4" xfId="4437" xr:uid="{AF0E532D-853F-4522-A12D-E68A9EB97769}"/>
    <cellStyle name="Percentuale 47 4" xfId="2438" xr:uid="{00000000-0005-0000-0000-000013090000}"/>
    <cellStyle name="Percentuale 47 4 2" xfId="2439" xr:uid="{00000000-0005-0000-0000-000014090000}"/>
    <cellStyle name="Percentuale 47 5" xfId="2440" xr:uid="{00000000-0005-0000-0000-000015090000}"/>
    <cellStyle name="Percentuale 47 6" xfId="4438" xr:uid="{7360B186-F4AA-4A6C-8487-02465BE41720}"/>
    <cellStyle name="Percentuale 48" xfId="1138" xr:uid="{00000000-0005-0000-0000-000016090000}"/>
    <cellStyle name="Percentuale 48 2" xfId="1139" xr:uid="{00000000-0005-0000-0000-000017090000}"/>
    <cellStyle name="Percentuale 48 2 2" xfId="4439" xr:uid="{726D400F-8AAB-4727-B0FD-CED49B17E748}"/>
    <cellStyle name="Percentuale 48 3" xfId="1140" xr:uid="{00000000-0005-0000-0000-000018090000}"/>
    <cellStyle name="Percentuale 48 3 2" xfId="1141" xr:uid="{00000000-0005-0000-0000-000019090000}"/>
    <cellStyle name="Percentuale 48 3 2 2" xfId="2441" xr:uid="{00000000-0005-0000-0000-00001A090000}"/>
    <cellStyle name="Percentuale 48 3 3" xfId="4440" xr:uid="{A6436C44-8D95-41B5-9996-51064F542FE6}"/>
    <cellStyle name="Percentuale 48 3 4" xfId="4441" xr:uid="{C5EA6DBE-E426-499E-A3B3-1B7451E8C5FE}"/>
    <cellStyle name="Percentuale 48 4" xfId="2442" xr:uid="{00000000-0005-0000-0000-00001B090000}"/>
    <cellStyle name="Percentuale 48 4 2" xfId="2443" xr:uid="{00000000-0005-0000-0000-00001C090000}"/>
    <cellStyle name="Percentuale 48 5" xfId="2444" xr:uid="{00000000-0005-0000-0000-00001D090000}"/>
    <cellStyle name="Percentuale 48 6" xfId="4442" xr:uid="{7267F761-77BB-4BE3-9ED5-46A589F9F548}"/>
    <cellStyle name="Percentuale 49" xfId="1142" xr:uid="{00000000-0005-0000-0000-00001E090000}"/>
    <cellStyle name="Percentuale 49 2" xfId="1143" xr:uid="{00000000-0005-0000-0000-00001F090000}"/>
    <cellStyle name="Percentuale 49 2 2" xfId="4443" xr:uid="{56C6A778-CCEC-4924-96BD-BF5B699F9CBC}"/>
    <cellStyle name="Percentuale 49 3" xfId="1144" xr:uid="{00000000-0005-0000-0000-000020090000}"/>
    <cellStyle name="Percentuale 49 3 2" xfId="1145" xr:uid="{00000000-0005-0000-0000-000021090000}"/>
    <cellStyle name="Percentuale 49 3 2 2" xfId="2445" xr:uid="{00000000-0005-0000-0000-000022090000}"/>
    <cellStyle name="Percentuale 49 3 3" xfId="4444" xr:uid="{F01A5C83-2823-4E10-9E51-BB8C5677BE26}"/>
    <cellStyle name="Percentuale 49 3 4" xfId="4445" xr:uid="{C104C444-6531-4253-BCD2-2567DDBDB7F9}"/>
    <cellStyle name="Percentuale 49 4" xfId="2446" xr:uid="{00000000-0005-0000-0000-000023090000}"/>
    <cellStyle name="Percentuale 49 4 2" xfId="2447" xr:uid="{00000000-0005-0000-0000-000024090000}"/>
    <cellStyle name="Percentuale 49 5" xfId="2448" xr:uid="{00000000-0005-0000-0000-000025090000}"/>
    <cellStyle name="Percentuale 49 6" xfId="4446" xr:uid="{B0A69839-8799-4BB8-A746-D9337588C0BD}"/>
    <cellStyle name="Percentuale 5" xfId="1146" xr:uid="{00000000-0005-0000-0000-000026090000}"/>
    <cellStyle name="Percentuale 5 2" xfId="1147" xr:uid="{00000000-0005-0000-0000-000027090000}"/>
    <cellStyle name="Percentuale 5 2 2" xfId="4447" xr:uid="{E251CB64-84D1-4EEB-B6F5-0C6611F4CDC3}"/>
    <cellStyle name="Percentuale 5 3" xfId="1148" xr:uid="{00000000-0005-0000-0000-000028090000}"/>
    <cellStyle name="Percentuale 5 3 2" xfId="1149" xr:uid="{00000000-0005-0000-0000-000029090000}"/>
    <cellStyle name="Percentuale 5 3 2 2" xfId="2449" xr:uid="{00000000-0005-0000-0000-00002A090000}"/>
    <cellStyle name="Percentuale 5 3 3" xfId="4448" xr:uid="{1BCA16C4-B910-4012-B52F-6E5399E67E8A}"/>
    <cellStyle name="Percentuale 5 3 4" xfId="4449" xr:uid="{4BD6F7BE-EB6A-4D14-878A-FE17DA0AEA50}"/>
    <cellStyle name="Percentuale 5 4" xfId="2450" xr:uid="{00000000-0005-0000-0000-00002B090000}"/>
    <cellStyle name="Percentuale 5 4 2" xfId="2451" xr:uid="{00000000-0005-0000-0000-00002C090000}"/>
    <cellStyle name="Percentuale 5 5" xfId="2452" xr:uid="{00000000-0005-0000-0000-00002D090000}"/>
    <cellStyle name="Percentuale 5 6" xfId="4450" xr:uid="{3C0AC27A-EDD8-4B94-BD8F-9A02C1C62850}"/>
    <cellStyle name="Percentuale 50" xfId="1150" xr:uid="{00000000-0005-0000-0000-00002E090000}"/>
    <cellStyle name="Percentuale 50 2" xfId="1151" xr:uid="{00000000-0005-0000-0000-00002F090000}"/>
    <cellStyle name="Percentuale 50 2 2" xfId="4451" xr:uid="{4554B198-268A-4855-AE4B-5DD0D1F70F50}"/>
    <cellStyle name="Percentuale 50 3" xfId="1152" xr:uid="{00000000-0005-0000-0000-000030090000}"/>
    <cellStyle name="Percentuale 50 3 2" xfId="1153" xr:uid="{00000000-0005-0000-0000-000031090000}"/>
    <cellStyle name="Percentuale 50 3 2 2" xfId="2453" xr:uid="{00000000-0005-0000-0000-000032090000}"/>
    <cellStyle name="Percentuale 50 3 3" xfId="4452" xr:uid="{F72B520B-BCB3-4CB2-865A-1E0C08D3EAA1}"/>
    <cellStyle name="Percentuale 50 3 4" xfId="4453" xr:uid="{6A44ADA6-E7FA-48ED-8020-30324C301F8E}"/>
    <cellStyle name="Percentuale 50 4" xfId="2454" xr:uid="{00000000-0005-0000-0000-000033090000}"/>
    <cellStyle name="Percentuale 50 4 2" xfId="2455" xr:uid="{00000000-0005-0000-0000-000034090000}"/>
    <cellStyle name="Percentuale 50 5" xfId="2456" xr:uid="{00000000-0005-0000-0000-000035090000}"/>
    <cellStyle name="Percentuale 50 6" xfId="4454" xr:uid="{C87B59BC-DD55-477C-9851-3F1DA0C48FF5}"/>
    <cellStyle name="Percentuale 51" xfId="1154" xr:uid="{00000000-0005-0000-0000-000036090000}"/>
    <cellStyle name="Percentuale 51 2" xfId="1155" xr:uid="{00000000-0005-0000-0000-000037090000}"/>
    <cellStyle name="Percentuale 51 2 2" xfId="4455" xr:uid="{0161E5EC-29D0-4721-A1E9-A5036DEF8520}"/>
    <cellStyle name="Percentuale 51 3" xfId="1156" xr:uid="{00000000-0005-0000-0000-000038090000}"/>
    <cellStyle name="Percentuale 51 3 2" xfId="1157" xr:uid="{00000000-0005-0000-0000-000039090000}"/>
    <cellStyle name="Percentuale 51 3 2 2" xfId="2457" xr:uid="{00000000-0005-0000-0000-00003A090000}"/>
    <cellStyle name="Percentuale 51 3 3" xfId="4456" xr:uid="{EE04CF97-2153-42C9-8EF3-6B5C8D5A1591}"/>
    <cellStyle name="Percentuale 51 3 4" xfId="4457" xr:uid="{D84EC765-5A93-415B-AEB7-4F5B04EBB4AA}"/>
    <cellStyle name="Percentuale 51 4" xfId="2458" xr:uid="{00000000-0005-0000-0000-00003B090000}"/>
    <cellStyle name="Percentuale 51 4 2" xfId="2459" xr:uid="{00000000-0005-0000-0000-00003C090000}"/>
    <cellStyle name="Percentuale 51 5" xfId="2460" xr:uid="{00000000-0005-0000-0000-00003D090000}"/>
    <cellStyle name="Percentuale 51 6" xfId="4458" xr:uid="{5A1A967A-97F1-480D-9B37-7BE2A0CE0039}"/>
    <cellStyle name="Percentuale 52" xfId="1158" xr:uid="{00000000-0005-0000-0000-00003E090000}"/>
    <cellStyle name="Percentuale 52 2" xfId="1159" xr:uid="{00000000-0005-0000-0000-00003F090000}"/>
    <cellStyle name="Percentuale 52 2 2" xfId="4459" xr:uid="{4BD7B718-94F2-4FC0-BA6A-D6626BD21034}"/>
    <cellStyle name="Percentuale 52 3" xfId="1160" xr:uid="{00000000-0005-0000-0000-000040090000}"/>
    <cellStyle name="Percentuale 52 3 2" xfId="1161" xr:uid="{00000000-0005-0000-0000-000041090000}"/>
    <cellStyle name="Percentuale 52 3 2 2" xfId="2461" xr:uid="{00000000-0005-0000-0000-000042090000}"/>
    <cellStyle name="Percentuale 52 3 3" xfId="4460" xr:uid="{5AD33577-89EB-4739-85FA-A96EEE004D42}"/>
    <cellStyle name="Percentuale 52 3 4" xfId="4461" xr:uid="{610B74FE-D79D-4230-8123-00B0ED04DD83}"/>
    <cellStyle name="Percentuale 52 4" xfId="2462" xr:uid="{00000000-0005-0000-0000-000043090000}"/>
    <cellStyle name="Percentuale 52 4 2" xfId="2463" xr:uid="{00000000-0005-0000-0000-000044090000}"/>
    <cellStyle name="Percentuale 52 5" xfId="2464" xr:uid="{00000000-0005-0000-0000-000045090000}"/>
    <cellStyle name="Percentuale 52 6" xfId="4462" xr:uid="{B246CC44-E1D8-4B9C-91CB-09C8BBEE464F}"/>
    <cellStyle name="Percentuale 53" xfId="1162" xr:uid="{00000000-0005-0000-0000-000046090000}"/>
    <cellStyle name="Percentuale 53 2" xfId="1163" xr:uid="{00000000-0005-0000-0000-000047090000}"/>
    <cellStyle name="Percentuale 53 2 2" xfId="4463" xr:uid="{61903179-40AF-436F-9F66-4D48965D5CE7}"/>
    <cellStyle name="Percentuale 53 3" xfId="1164" xr:uid="{00000000-0005-0000-0000-000048090000}"/>
    <cellStyle name="Percentuale 53 3 2" xfId="1165" xr:uid="{00000000-0005-0000-0000-000049090000}"/>
    <cellStyle name="Percentuale 53 3 2 2" xfId="2465" xr:uid="{00000000-0005-0000-0000-00004A090000}"/>
    <cellStyle name="Percentuale 53 3 3" xfId="4464" xr:uid="{73EEBFFD-F94D-4600-A89A-9102246D6226}"/>
    <cellStyle name="Percentuale 53 3 4" xfId="4465" xr:uid="{A480B3C7-376C-4DB9-9A33-2F857A572DAD}"/>
    <cellStyle name="Percentuale 53 4" xfId="2466" xr:uid="{00000000-0005-0000-0000-00004B090000}"/>
    <cellStyle name="Percentuale 53 4 2" xfId="2467" xr:uid="{00000000-0005-0000-0000-00004C090000}"/>
    <cellStyle name="Percentuale 53 5" xfId="2468" xr:uid="{00000000-0005-0000-0000-00004D090000}"/>
    <cellStyle name="Percentuale 53 6" xfId="4466" xr:uid="{6BB39013-892E-48F3-BEE5-BB1EBF0493BD}"/>
    <cellStyle name="Percentuale 54" xfId="1166" xr:uid="{00000000-0005-0000-0000-00004E090000}"/>
    <cellStyle name="Percentuale 54 2" xfId="1167" xr:uid="{00000000-0005-0000-0000-00004F090000}"/>
    <cellStyle name="Percentuale 54 2 2" xfId="4467" xr:uid="{9CB51E58-AE54-4921-B5AE-AD6820279209}"/>
    <cellStyle name="Percentuale 54 3" xfId="1168" xr:uid="{00000000-0005-0000-0000-000050090000}"/>
    <cellStyle name="Percentuale 54 3 2" xfId="1169" xr:uid="{00000000-0005-0000-0000-000051090000}"/>
    <cellStyle name="Percentuale 54 3 2 2" xfId="2469" xr:uid="{00000000-0005-0000-0000-000052090000}"/>
    <cellStyle name="Percentuale 54 3 3" xfId="4468" xr:uid="{1AFC0FB9-37D3-41E3-929E-2571C5F13EBD}"/>
    <cellStyle name="Percentuale 54 3 4" xfId="4469" xr:uid="{93EA9C93-C781-475A-8DD1-937844A4F1CC}"/>
    <cellStyle name="Percentuale 54 4" xfId="2470" xr:uid="{00000000-0005-0000-0000-000053090000}"/>
    <cellStyle name="Percentuale 54 4 2" xfId="2471" xr:uid="{00000000-0005-0000-0000-000054090000}"/>
    <cellStyle name="Percentuale 54 5" xfId="2472" xr:uid="{00000000-0005-0000-0000-000055090000}"/>
    <cellStyle name="Percentuale 54 6" xfId="4470" xr:uid="{6CECE403-2B12-45D1-88B1-DFF6DD22191D}"/>
    <cellStyle name="Percentuale 55" xfId="1170" xr:uid="{00000000-0005-0000-0000-000056090000}"/>
    <cellStyle name="Percentuale 55 2" xfId="1171" xr:uid="{00000000-0005-0000-0000-000057090000}"/>
    <cellStyle name="Percentuale 55 2 2" xfId="4471" xr:uid="{F977554A-A1E0-4371-A64D-8DFB23416A3E}"/>
    <cellStyle name="Percentuale 55 3" xfId="1172" xr:uid="{00000000-0005-0000-0000-000058090000}"/>
    <cellStyle name="Percentuale 55 3 2" xfId="1173" xr:uid="{00000000-0005-0000-0000-000059090000}"/>
    <cellStyle name="Percentuale 55 3 2 2" xfId="2473" xr:uid="{00000000-0005-0000-0000-00005A090000}"/>
    <cellStyle name="Percentuale 55 3 3" xfId="4472" xr:uid="{C2FFB8A8-5D03-4ED2-BE07-006F14C9E749}"/>
    <cellStyle name="Percentuale 55 3 4" xfId="4473" xr:uid="{001A7FF7-02E7-4400-AC99-85F2DD4CE3F9}"/>
    <cellStyle name="Percentuale 55 4" xfId="2474" xr:uid="{00000000-0005-0000-0000-00005B090000}"/>
    <cellStyle name="Percentuale 55 4 2" xfId="2475" xr:uid="{00000000-0005-0000-0000-00005C090000}"/>
    <cellStyle name="Percentuale 55 5" xfId="2476" xr:uid="{00000000-0005-0000-0000-00005D090000}"/>
    <cellStyle name="Percentuale 55 6" xfId="4474" xr:uid="{5CBE3484-BF68-442A-9E8D-E89ABD37FFB0}"/>
    <cellStyle name="Percentuale 56" xfId="1174" xr:uid="{00000000-0005-0000-0000-00005E090000}"/>
    <cellStyle name="Percentuale 56 2" xfId="1175" xr:uid="{00000000-0005-0000-0000-00005F090000}"/>
    <cellStyle name="Percentuale 56 2 2" xfId="4475" xr:uid="{F0A729FD-68FA-4960-B068-48806F9B3947}"/>
    <cellStyle name="Percentuale 56 3" xfId="1176" xr:uid="{00000000-0005-0000-0000-000060090000}"/>
    <cellStyle name="Percentuale 56 3 2" xfId="1177" xr:uid="{00000000-0005-0000-0000-000061090000}"/>
    <cellStyle name="Percentuale 56 3 2 2" xfId="2477" xr:uid="{00000000-0005-0000-0000-000062090000}"/>
    <cellStyle name="Percentuale 56 3 3" xfId="4476" xr:uid="{15F86343-1FE0-4152-AC6A-79AD02705EF5}"/>
    <cellStyle name="Percentuale 56 3 4" xfId="4477" xr:uid="{BCAEFA1A-ADA8-4152-89B9-840C6CC2BACA}"/>
    <cellStyle name="Percentuale 56 4" xfId="2478" xr:uid="{00000000-0005-0000-0000-000063090000}"/>
    <cellStyle name="Percentuale 56 4 2" xfId="2479" xr:uid="{00000000-0005-0000-0000-000064090000}"/>
    <cellStyle name="Percentuale 56 5" xfId="2480" xr:uid="{00000000-0005-0000-0000-000065090000}"/>
    <cellStyle name="Percentuale 56 6" xfId="4478" xr:uid="{878B95F7-D7C0-476D-86EA-11C9A1EAF050}"/>
    <cellStyle name="Percentuale 57" xfId="1178" xr:uid="{00000000-0005-0000-0000-000066090000}"/>
    <cellStyle name="Percentuale 57 2" xfId="1179" xr:uid="{00000000-0005-0000-0000-000067090000}"/>
    <cellStyle name="Percentuale 57 2 2" xfId="4479" xr:uid="{802071B6-1DB8-4E88-9284-268E36F95370}"/>
    <cellStyle name="Percentuale 57 3" xfId="1180" xr:uid="{00000000-0005-0000-0000-000068090000}"/>
    <cellStyle name="Percentuale 57 3 2" xfId="1181" xr:uid="{00000000-0005-0000-0000-000069090000}"/>
    <cellStyle name="Percentuale 57 3 2 2" xfId="2481" xr:uid="{00000000-0005-0000-0000-00006A090000}"/>
    <cellStyle name="Percentuale 57 3 3" xfId="4480" xr:uid="{9A432AAB-FE07-49DF-A2EB-9027ACFACA74}"/>
    <cellStyle name="Percentuale 57 3 4" xfId="4481" xr:uid="{2256E624-F931-48E6-B76A-6CB5BC4F81A5}"/>
    <cellStyle name="Percentuale 57 4" xfId="2482" xr:uid="{00000000-0005-0000-0000-00006B090000}"/>
    <cellStyle name="Percentuale 57 4 2" xfId="2483" xr:uid="{00000000-0005-0000-0000-00006C090000}"/>
    <cellStyle name="Percentuale 57 5" xfId="2484" xr:uid="{00000000-0005-0000-0000-00006D090000}"/>
    <cellStyle name="Percentuale 57 6" xfId="4482" xr:uid="{19668B3A-51C5-4C47-8D19-2C9C755482C7}"/>
    <cellStyle name="Percentuale 58" xfId="1182" xr:uid="{00000000-0005-0000-0000-00006E090000}"/>
    <cellStyle name="Percentuale 58 2" xfId="1183" xr:uid="{00000000-0005-0000-0000-00006F090000}"/>
    <cellStyle name="Percentuale 58 2 2" xfId="4483" xr:uid="{98E9A2AD-3D94-4ADC-BE39-60F20F81CE80}"/>
    <cellStyle name="Percentuale 58 3" xfId="1184" xr:uid="{00000000-0005-0000-0000-000070090000}"/>
    <cellStyle name="Percentuale 58 3 2" xfId="1185" xr:uid="{00000000-0005-0000-0000-000071090000}"/>
    <cellStyle name="Percentuale 58 3 2 2" xfId="2485" xr:uid="{00000000-0005-0000-0000-000072090000}"/>
    <cellStyle name="Percentuale 58 3 3" xfId="4484" xr:uid="{CD494641-1FDC-404E-98F8-9AB0E0C84F4E}"/>
    <cellStyle name="Percentuale 58 3 4" xfId="4485" xr:uid="{2219F934-EDFE-4E81-82CF-3B29C1C2BB26}"/>
    <cellStyle name="Percentuale 58 4" xfId="2486" xr:uid="{00000000-0005-0000-0000-000073090000}"/>
    <cellStyle name="Percentuale 58 4 2" xfId="2487" xr:uid="{00000000-0005-0000-0000-000074090000}"/>
    <cellStyle name="Percentuale 58 5" xfId="2488" xr:uid="{00000000-0005-0000-0000-000075090000}"/>
    <cellStyle name="Percentuale 58 6" xfId="4486" xr:uid="{56342253-28BE-493F-B0E0-DFA831CD7057}"/>
    <cellStyle name="Percentuale 59" xfId="1186" xr:uid="{00000000-0005-0000-0000-000076090000}"/>
    <cellStyle name="Percentuale 59 2" xfId="1187" xr:uid="{00000000-0005-0000-0000-000077090000}"/>
    <cellStyle name="Percentuale 59 2 2" xfId="4487" xr:uid="{1B778C9F-89EA-440F-8B92-160FDE694F43}"/>
    <cellStyle name="Percentuale 59 3" xfId="1188" xr:uid="{00000000-0005-0000-0000-000078090000}"/>
    <cellStyle name="Percentuale 59 3 2" xfId="1189" xr:uid="{00000000-0005-0000-0000-000079090000}"/>
    <cellStyle name="Percentuale 59 3 2 2" xfId="2489" xr:uid="{00000000-0005-0000-0000-00007A090000}"/>
    <cellStyle name="Percentuale 59 3 3" xfId="4488" xr:uid="{36B2E09D-236E-4D14-9F1E-1F19B8523443}"/>
    <cellStyle name="Percentuale 59 3 4" xfId="4489" xr:uid="{7FECFE92-472B-453A-BE80-D34BDCF4D2E0}"/>
    <cellStyle name="Percentuale 59 4" xfId="2490" xr:uid="{00000000-0005-0000-0000-00007B090000}"/>
    <cellStyle name="Percentuale 59 4 2" xfId="2491" xr:uid="{00000000-0005-0000-0000-00007C090000}"/>
    <cellStyle name="Percentuale 59 5" xfId="2492" xr:uid="{00000000-0005-0000-0000-00007D090000}"/>
    <cellStyle name="Percentuale 59 6" xfId="4490" xr:uid="{D3DB3407-4102-4590-85A2-34C11F4AFE5C}"/>
    <cellStyle name="Percentuale 6" xfId="1190" xr:uid="{00000000-0005-0000-0000-00007E090000}"/>
    <cellStyle name="Percentuale 6 2" xfId="1191" xr:uid="{00000000-0005-0000-0000-00007F090000}"/>
    <cellStyle name="Percentuale 6 2 2" xfId="4491" xr:uid="{90E5CF0C-8429-4222-80BE-5FAD1F5A72F7}"/>
    <cellStyle name="Percentuale 6 3" xfId="1192" xr:uid="{00000000-0005-0000-0000-000080090000}"/>
    <cellStyle name="Percentuale 6 3 2" xfId="1193" xr:uid="{00000000-0005-0000-0000-000081090000}"/>
    <cellStyle name="Percentuale 6 3 2 2" xfId="2493" xr:uid="{00000000-0005-0000-0000-000082090000}"/>
    <cellStyle name="Percentuale 6 3 3" xfId="4492" xr:uid="{75300586-8009-43AB-A456-E2610EDA0574}"/>
    <cellStyle name="Percentuale 6 3 4" xfId="4493" xr:uid="{CA0CD72A-87E1-426E-BF0F-8ECD92FC0FAC}"/>
    <cellStyle name="Percentuale 6 4" xfId="2494" xr:uid="{00000000-0005-0000-0000-000083090000}"/>
    <cellStyle name="Percentuale 6 4 2" xfId="2495" xr:uid="{00000000-0005-0000-0000-000084090000}"/>
    <cellStyle name="Percentuale 6 5" xfId="2496" xr:uid="{00000000-0005-0000-0000-000085090000}"/>
    <cellStyle name="Percentuale 6 6" xfId="4494" xr:uid="{199D01E3-4552-44BA-8468-34581227733B}"/>
    <cellStyle name="Percentuale 60" xfId="1194" xr:uid="{00000000-0005-0000-0000-000086090000}"/>
    <cellStyle name="Percentuale 60 2" xfId="1195" xr:uid="{00000000-0005-0000-0000-000087090000}"/>
    <cellStyle name="Percentuale 60 2 2" xfId="4495" xr:uid="{9881725C-C786-498F-9F95-96CF2C503E8E}"/>
    <cellStyle name="Percentuale 60 3" xfId="1196" xr:uid="{00000000-0005-0000-0000-000088090000}"/>
    <cellStyle name="Percentuale 60 3 2" xfId="1197" xr:uid="{00000000-0005-0000-0000-000089090000}"/>
    <cellStyle name="Percentuale 60 3 2 2" xfId="2497" xr:uid="{00000000-0005-0000-0000-00008A090000}"/>
    <cellStyle name="Percentuale 60 3 3" xfId="4496" xr:uid="{5A765B27-BD85-4EA1-B9A8-1ECA6E11B6AF}"/>
    <cellStyle name="Percentuale 60 3 4" xfId="4497" xr:uid="{2B767809-4FBE-4C42-ADB9-045DCC193EEC}"/>
    <cellStyle name="Percentuale 60 4" xfId="2498" xr:uid="{00000000-0005-0000-0000-00008B090000}"/>
    <cellStyle name="Percentuale 60 4 2" xfId="2499" xr:uid="{00000000-0005-0000-0000-00008C090000}"/>
    <cellStyle name="Percentuale 60 5" xfId="2500" xr:uid="{00000000-0005-0000-0000-00008D090000}"/>
    <cellStyle name="Percentuale 60 6" xfId="4498" xr:uid="{7DD6DA45-4593-45F1-9140-05DC713798E4}"/>
    <cellStyle name="Percentuale 61" xfId="1198" xr:uid="{00000000-0005-0000-0000-00008E090000}"/>
    <cellStyle name="Percentuale 61 2" xfId="1199" xr:uid="{00000000-0005-0000-0000-00008F090000}"/>
    <cellStyle name="Percentuale 61 2 2" xfId="4499" xr:uid="{1043D732-06C1-494A-8B64-0E79BE32EE23}"/>
    <cellStyle name="Percentuale 61 3" xfId="1200" xr:uid="{00000000-0005-0000-0000-000090090000}"/>
    <cellStyle name="Percentuale 61 3 2" xfId="1201" xr:uid="{00000000-0005-0000-0000-000091090000}"/>
    <cellStyle name="Percentuale 61 3 2 2" xfId="2501" xr:uid="{00000000-0005-0000-0000-000092090000}"/>
    <cellStyle name="Percentuale 61 3 3" xfId="4500" xr:uid="{0B579BCD-FA2E-4E8B-A833-5BA539FBD773}"/>
    <cellStyle name="Percentuale 61 3 4" xfId="4501" xr:uid="{58A199FC-403B-4D02-8716-D144488EF6B6}"/>
    <cellStyle name="Percentuale 61 4" xfId="2502" xr:uid="{00000000-0005-0000-0000-000093090000}"/>
    <cellStyle name="Percentuale 61 4 2" xfId="2503" xr:uid="{00000000-0005-0000-0000-000094090000}"/>
    <cellStyle name="Percentuale 61 5" xfId="2504" xr:uid="{00000000-0005-0000-0000-000095090000}"/>
    <cellStyle name="Percentuale 61 6" xfId="4502" xr:uid="{64048847-2465-466E-9465-CDED2EE68F49}"/>
    <cellStyle name="Percentuale 62" xfId="1202" xr:uid="{00000000-0005-0000-0000-000096090000}"/>
    <cellStyle name="Percentuale 62 2" xfId="1203" xr:uid="{00000000-0005-0000-0000-000097090000}"/>
    <cellStyle name="Percentuale 63" xfId="1204" xr:uid="{00000000-0005-0000-0000-000098090000}"/>
    <cellStyle name="Percentuale 63 2" xfId="1205" xr:uid="{00000000-0005-0000-0000-000099090000}"/>
    <cellStyle name="Percentuale 64" xfId="1206" xr:uid="{00000000-0005-0000-0000-00009A090000}"/>
    <cellStyle name="Percentuale 64 2" xfId="1207" xr:uid="{00000000-0005-0000-0000-00009B090000}"/>
    <cellStyle name="Percentuale 65" xfId="1208" xr:uid="{00000000-0005-0000-0000-00009C090000}"/>
    <cellStyle name="Percentuale 65 2" xfId="1209" xr:uid="{00000000-0005-0000-0000-00009D090000}"/>
    <cellStyle name="Percentuale 66" xfId="1210" xr:uid="{00000000-0005-0000-0000-00009E090000}"/>
    <cellStyle name="Percentuale 66 2" xfId="1211" xr:uid="{00000000-0005-0000-0000-00009F090000}"/>
    <cellStyle name="Percentuale 67" xfId="1212" xr:uid="{00000000-0005-0000-0000-0000A0090000}"/>
    <cellStyle name="Percentuale 67 2" xfId="1213" xr:uid="{00000000-0005-0000-0000-0000A1090000}"/>
    <cellStyle name="Percentuale 68" xfId="1214" xr:uid="{00000000-0005-0000-0000-0000A2090000}"/>
    <cellStyle name="Percentuale 68 2" xfId="1215" xr:uid="{00000000-0005-0000-0000-0000A3090000}"/>
    <cellStyle name="Percentuale 68 2 2" xfId="4503" xr:uid="{BACC67DC-0D10-4A0C-8653-C032F3F4ECAE}"/>
    <cellStyle name="Percentuale 68 3" xfId="1216" xr:uid="{00000000-0005-0000-0000-0000A4090000}"/>
    <cellStyle name="Percentuale 68 3 2" xfId="1217" xr:uid="{00000000-0005-0000-0000-0000A5090000}"/>
    <cellStyle name="Percentuale 68 3 2 2" xfId="2505" xr:uid="{00000000-0005-0000-0000-0000A6090000}"/>
    <cellStyle name="Percentuale 68 3 3" xfId="4504" xr:uid="{DC9ED9B7-0593-4684-B2BF-E5BDE9B5FE35}"/>
    <cellStyle name="Percentuale 68 3 4" xfId="4505" xr:uid="{476AD549-44A6-4B35-B9D7-2515E2929DA2}"/>
    <cellStyle name="Percentuale 68 4" xfId="2506" xr:uid="{00000000-0005-0000-0000-0000A7090000}"/>
    <cellStyle name="Percentuale 68 4 2" xfId="2507" xr:uid="{00000000-0005-0000-0000-0000A8090000}"/>
    <cellStyle name="Percentuale 68 5" xfId="2508" xr:uid="{00000000-0005-0000-0000-0000A9090000}"/>
    <cellStyle name="Percentuale 68 6" xfId="4506" xr:uid="{B04B8D4B-5750-4393-9BCE-86DA715AD844}"/>
    <cellStyle name="Percentuale 69" xfId="1218" xr:uid="{00000000-0005-0000-0000-0000AA090000}"/>
    <cellStyle name="Percentuale 69 2" xfId="1219" xr:uid="{00000000-0005-0000-0000-0000AB090000}"/>
    <cellStyle name="Percentuale 69 2 2" xfId="4507" xr:uid="{23DB9E88-DEBE-4954-BEC1-3C3828A60C5B}"/>
    <cellStyle name="Percentuale 69 3" xfId="1220" xr:uid="{00000000-0005-0000-0000-0000AC090000}"/>
    <cellStyle name="Percentuale 69 3 2" xfId="1221" xr:uid="{00000000-0005-0000-0000-0000AD090000}"/>
    <cellStyle name="Percentuale 69 3 2 2" xfId="2509" xr:uid="{00000000-0005-0000-0000-0000AE090000}"/>
    <cellStyle name="Percentuale 69 3 3" xfId="4508" xr:uid="{F23C2736-47A1-4534-B738-9D35C0CD0C5F}"/>
    <cellStyle name="Percentuale 69 3 4" xfId="4509" xr:uid="{6EB096BA-F89C-46F3-B69D-C62A77C9EFB4}"/>
    <cellStyle name="Percentuale 69 4" xfId="2510" xr:uid="{00000000-0005-0000-0000-0000AF090000}"/>
    <cellStyle name="Percentuale 69 4 2" xfId="2511" xr:uid="{00000000-0005-0000-0000-0000B0090000}"/>
    <cellStyle name="Percentuale 69 5" xfId="2512" xr:uid="{00000000-0005-0000-0000-0000B1090000}"/>
    <cellStyle name="Percentuale 69 6" xfId="4510" xr:uid="{ECB2712E-6612-44FE-8D01-07451168264D}"/>
    <cellStyle name="Percentuale 7" xfId="1222" xr:uid="{00000000-0005-0000-0000-0000B2090000}"/>
    <cellStyle name="Percentuale 7 2" xfId="1223" xr:uid="{00000000-0005-0000-0000-0000B3090000}"/>
    <cellStyle name="Percentuale 7 2 2" xfId="4511" xr:uid="{39A505AE-B8B8-42CF-92B4-06C819A4CA23}"/>
    <cellStyle name="Percentuale 7 3" xfId="1224" xr:uid="{00000000-0005-0000-0000-0000B4090000}"/>
    <cellStyle name="Percentuale 7 3 2" xfId="1225" xr:uid="{00000000-0005-0000-0000-0000B5090000}"/>
    <cellStyle name="Percentuale 7 3 2 2" xfId="2513" xr:uid="{00000000-0005-0000-0000-0000B6090000}"/>
    <cellStyle name="Percentuale 7 3 3" xfId="4512" xr:uid="{27C4F1D5-4DF4-44E2-AE15-B3E5F9C2936B}"/>
    <cellStyle name="Percentuale 7 3 4" xfId="4513" xr:uid="{23D630BB-0139-496F-A9FA-0C19BCD36DAF}"/>
    <cellStyle name="Percentuale 7 4" xfId="2514" xr:uid="{00000000-0005-0000-0000-0000B7090000}"/>
    <cellStyle name="Percentuale 7 4 2" xfId="2515" xr:uid="{00000000-0005-0000-0000-0000B8090000}"/>
    <cellStyle name="Percentuale 7 5" xfId="2516" xr:uid="{00000000-0005-0000-0000-0000B9090000}"/>
    <cellStyle name="Percentuale 7 6" xfId="4514" xr:uid="{B971EC7F-33B1-45D2-99AE-E8B1207E15BA}"/>
    <cellStyle name="Percentuale 8" xfId="1226" xr:uid="{00000000-0005-0000-0000-0000BA090000}"/>
    <cellStyle name="Percentuale 8 2" xfId="1227" xr:uid="{00000000-0005-0000-0000-0000BB090000}"/>
    <cellStyle name="Percentuale 8 2 2" xfId="4515" xr:uid="{EC87832A-4D3F-42EC-84F1-A7153A9C2B19}"/>
    <cellStyle name="Percentuale 8 3" xfId="1228" xr:uid="{00000000-0005-0000-0000-0000BC090000}"/>
    <cellStyle name="Percentuale 8 3 2" xfId="1229" xr:uid="{00000000-0005-0000-0000-0000BD090000}"/>
    <cellStyle name="Percentuale 8 3 2 2" xfId="2517" xr:uid="{00000000-0005-0000-0000-0000BE090000}"/>
    <cellStyle name="Percentuale 8 3 3" xfId="4516" xr:uid="{741C152F-232A-4B81-B58A-36B8BFCCE056}"/>
    <cellStyle name="Percentuale 8 3 4" xfId="4517" xr:uid="{4CFB019E-7393-468B-81F1-1169D28536A4}"/>
    <cellStyle name="Percentuale 8 4" xfId="2518" xr:uid="{00000000-0005-0000-0000-0000BF090000}"/>
    <cellStyle name="Percentuale 8 4 2" xfId="2519" xr:uid="{00000000-0005-0000-0000-0000C0090000}"/>
    <cellStyle name="Percentuale 8 5" xfId="2520" xr:uid="{00000000-0005-0000-0000-0000C1090000}"/>
    <cellStyle name="Percentuale 8 6" xfId="4518" xr:uid="{3B0E0195-3231-418E-81FD-1D9A483AA130}"/>
    <cellStyle name="Percentuale 9" xfId="1230" xr:uid="{00000000-0005-0000-0000-0000C2090000}"/>
    <cellStyle name="Percentuale 9 2" xfId="1231" xr:uid="{00000000-0005-0000-0000-0000C3090000}"/>
    <cellStyle name="Percentuale 9 2 2" xfId="4519" xr:uid="{7C19F368-3FB0-4038-A5D5-3D8B341AAC7A}"/>
    <cellStyle name="Percentuale 9 3" xfId="1232" xr:uid="{00000000-0005-0000-0000-0000C4090000}"/>
    <cellStyle name="Percentuale 9 3 2" xfId="1233" xr:uid="{00000000-0005-0000-0000-0000C5090000}"/>
    <cellStyle name="Percentuale 9 3 2 2" xfId="2521" xr:uid="{00000000-0005-0000-0000-0000C6090000}"/>
    <cellStyle name="Percentuale 9 3 3" xfId="4520" xr:uid="{09BEE86E-5621-4A2E-9E12-DEB898ADB992}"/>
    <cellStyle name="Percentuale 9 3 4" xfId="4521" xr:uid="{9895FC97-83C2-4E5D-BA95-411E3648771D}"/>
    <cellStyle name="Percentuale 9 4" xfId="2522" xr:uid="{00000000-0005-0000-0000-0000C7090000}"/>
    <cellStyle name="Percentuale 9 4 2" xfId="2523" xr:uid="{00000000-0005-0000-0000-0000C8090000}"/>
    <cellStyle name="Percentuale 9 5" xfId="2524" xr:uid="{00000000-0005-0000-0000-0000C9090000}"/>
    <cellStyle name="Percentuale 9 6" xfId="4522" xr:uid="{467D75F9-414A-4C6D-9D8C-A93815D42E74}"/>
    <cellStyle name="Procent 2" xfId="1234" xr:uid="{00000000-0005-0000-0000-0000CA090000}"/>
    <cellStyle name="Procent 2 2" xfId="2525" xr:uid="{00000000-0005-0000-0000-0000CB090000}"/>
    <cellStyle name="Procent 2 2 2" xfId="2526" xr:uid="{00000000-0005-0000-0000-0000CC090000}"/>
    <cellStyle name="Procent 3" xfId="2527" xr:uid="{00000000-0005-0000-0000-0000CD090000}"/>
    <cellStyle name="Procent 3 2" xfId="2528" xr:uid="{00000000-0005-0000-0000-0000CE090000}"/>
    <cellStyle name="Procent 3 3" xfId="4523" xr:uid="{2BE8DBFD-9061-48F6-B3D5-F878BE6E63E6}"/>
    <cellStyle name="Standard_Sce_D_Extraction" xfId="1235" xr:uid="{00000000-0005-0000-0000-0000CF090000}"/>
    <cellStyle name="Style 155" xfId="2529" xr:uid="{00000000-0005-0000-0000-0000D0090000}"/>
    <cellStyle name="Style 156" xfId="2530" xr:uid="{00000000-0005-0000-0000-0000D1090000}"/>
    <cellStyle name="Style 157" xfId="2531" xr:uid="{00000000-0005-0000-0000-0000D2090000}"/>
    <cellStyle name="Style 158" xfId="2532" xr:uid="{00000000-0005-0000-0000-0000D3090000}"/>
    <cellStyle name="Style 159" xfId="2533" xr:uid="{00000000-0005-0000-0000-0000D4090000}"/>
    <cellStyle name="Style 161" xfId="2534" xr:uid="{00000000-0005-0000-0000-0000D5090000}"/>
    <cellStyle name="Style 162" xfId="2535" xr:uid="{00000000-0005-0000-0000-0000D6090000}"/>
    <cellStyle name="Style 163" xfId="2536" xr:uid="{00000000-0005-0000-0000-0000D7090000}"/>
    <cellStyle name="Style 223" xfId="2537" xr:uid="{00000000-0005-0000-0000-0000D8090000}"/>
    <cellStyle name="Style 224" xfId="2538" xr:uid="{00000000-0005-0000-0000-0000D9090000}"/>
    <cellStyle name="Style 225" xfId="2539" xr:uid="{00000000-0005-0000-0000-0000DA090000}"/>
    <cellStyle name="Style 226" xfId="2540" xr:uid="{00000000-0005-0000-0000-0000DB090000}"/>
    <cellStyle name="Style 227" xfId="2541" xr:uid="{00000000-0005-0000-0000-0000DC090000}"/>
    <cellStyle name="Style 229" xfId="2542" xr:uid="{00000000-0005-0000-0000-0000DD090000}"/>
    <cellStyle name="Style 230" xfId="2543" xr:uid="{00000000-0005-0000-0000-0000DE090000}"/>
    <cellStyle name="Style 231" xfId="2544" xr:uid="{00000000-0005-0000-0000-0000DF090000}"/>
    <cellStyle name="Style 257" xfId="2545" xr:uid="{00000000-0005-0000-0000-0000E0090000}"/>
    <cellStyle name="Style 258" xfId="2546" xr:uid="{00000000-0005-0000-0000-0000E1090000}"/>
    <cellStyle name="Style 259" xfId="2547" xr:uid="{00000000-0005-0000-0000-0000E2090000}"/>
    <cellStyle name="Style 260" xfId="2548" xr:uid="{00000000-0005-0000-0000-0000E3090000}"/>
    <cellStyle name="Style 261" xfId="2549" xr:uid="{00000000-0005-0000-0000-0000E4090000}"/>
    <cellStyle name="Style 263" xfId="2550" xr:uid="{00000000-0005-0000-0000-0000E5090000}"/>
    <cellStyle name="Style 264" xfId="2551" xr:uid="{00000000-0005-0000-0000-0000E6090000}"/>
    <cellStyle name="Style 265" xfId="2552" xr:uid="{00000000-0005-0000-0000-0000E7090000}"/>
    <cellStyle name="Style 461" xfId="2553" xr:uid="{00000000-0005-0000-0000-0000E8090000}"/>
    <cellStyle name="Style 467" xfId="2554" xr:uid="{00000000-0005-0000-0000-0000E9090000}"/>
    <cellStyle name="Style 468" xfId="2555" xr:uid="{00000000-0005-0000-0000-0000EA090000}"/>
    <cellStyle name="Style 469" xfId="2556" xr:uid="{00000000-0005-0000-0000-0000EB090000}"/>
    <cellStyle name="Style 478" xfId="2557" xr:uid="{00000000-0005-0000-0000-0000EC090000}"/>
    <cellStyle name="Style 479" xfId="2558" xr:uid="{00000000-0005-0000-0000-0000ED090000}"/>
    <cellStyle name="Style 480" xfId="2559" xr:uid="{00000000-0005-0000-0000-0000EE090000}"/>
    <cellStyle name="Style 481" xfId="2560" xr:uid="{00000000-0005-0000-0000-0000EF090000}"/>
    <cellStyle name="Style 482" xfId="2561" xr:uid="{00000000-0005-0000-0000-0000F0090000}"/>
    <cellStyle name="Style 484" xfId="2562" xr:uid="{00000000-0005-0000-0000-0000F1090000}"/>
    <cellStyle name="Style 485" xfId="2563" xr:uid="{00000000-0005-0000-0000-0000F2090000}"/>
    <cellStyle name="Style 486" xfId="2564" xr:uid="{00000000-0005-0000-0000-0000F3090000}"/>
    <cellStyle name="Style 495" xfId="2565" xr:uid="{00000000-0005-0000-0000-0000F4090000}"/>
    <cellStyle name="Style 496" xfId="2566" xr:uid="{00000000-0005-0000-0000-0000F5090000}"/>
    <cellStyle name="Style 497" xfId="2567" xr:uid="{00000000-0005-0000-0000-0000F6090000}"/>
    <cellStyle name="Style 498" xfId="2568" xr:uid="{00000000-0005-0000-0000-0000F7090000}"/>
    <cellStyle name="Style 499" xfId="2569" xr:uid="{00000000-0005-0000-0000-0000F8090000}"/>
    <cellStyle name="Style 501" xfId="2570" xr:uid="{00000000-0005-0000-0000-0000F9090000}"/>
    <cellStyle name="Style 502" xfId="2571" xr:uid="{00000000-0005-0000-0000-0000FA090000}"/>
    <cellStyle name="Style 503" xfId="2572" xr:uid="{00000000-0005-0000-0000-0000FB090000}"/>
    <cellStyle name="Style 580" xfId="2573" xr:uid="{00000000-0005-0000-0000-0000FC090000}"/>
    <cellStyle name="Style 581" xfId="2574" xr:uid="{00000000-0005-0000-0000-0000FD090000}"/>
    <cellStyle name="Style 582" xfId="2575" xr:uid="{00000000-0005-0000-0000-0000FE090000}"/>
    <cellStyle name="Style 583" xfId="2576" xr:uid="{00000000-0005-0000-0000-0000FF090000}"/>
    <cellStyle name="Style 584" xfId="2577" xr:uid="{00000000-0005-0000-0000-0000000A0000}"/>
    <cellStyle name="Style 586" xfId="2578" xr:uid="{00000000-0005-0000-0000-0000010A0000}"/>
    <cellStyle name="Style 587" xfId="2579" xr:uid="{00000000-0005-0000-0000-0000020A0000}"/>
    <cellStyle name="Style 588" xfId="2580" xr:uid="{00000000-0005-0000-0000-0000030A0000}"/>
    <cellStyle name="Testo avviso" xfId="1236" xr:uid="{00000000-0005-0000-0000-0000040A0000}"/>
    <cellStyle name="Testo descrittivo" xfId="1237" xr:uid="{00000000-0005-0000-0000-0000050A0000}"/>
    <cellStyle name="Titolo" xfId="1238" xr:uid="{00000000-0005-0000-0000-0000060A0000}"/>
    <cellStyle name="Titolo 1" xfId="1239" xr:uid="{00000000-0005-0000-0000-0000070A0000}"/>
    <cellStyle name="Titolo 1 2" xfId="1240" xr:uid="{00000000-0005-0000-0000-0000080A0000}"/>
    <cellStyle name="Titolo 2" xfId="1241" xr:uid="{00000000-0005-0000-0000-0000090A0000}"/>
    <cellStyle name="Titolo 2 2" xfId="1242" xr:uid="{00000000-0005-0000-0000-00000A0A0000}"/>
    <cellStyle name="Titolo 3" xfId="1243" xr:uid="{00000000-0005-0000-0000-00000B0A0000}"/>
    <cellStyle name="Titolo 3 2" xfId="1244" xr:uid="{00000000-0005-0000-0000-00000C0A0000}"/>
    <cellStyle name="Titolo 3 3" xfId="4524" xr:uid="{1EF959C1-F0C8-4104-B19C-1CB50B47E8C3}"/>
    <cellStyle name="Titolo 4" xfId="1245" xr:uid="{00000000-0005-0000-0000-00000D0A0000}"/>
    <cellStyle name="Total 2" xfId="2581" xr:uid="{00000000-0005-0000-0000-00000E0A0000}"/>
    <cellStyle name="Total 2 2" xfId="2582" xr:uid="{00000000-0005-0000-0000-00000F0A0000}"/>
    <cellStyle name="Totale" xfId="1246" xr:uid="{00000000-0005-0000-0000-0000100A0000}"/>
    <cellStyle name="Totale 2" xfId="1247" xr:uid="{00000000-0005-0000-0000-0000110A0000}"/>
    <cellStyle name="Totale 2 2" xfId="2583" xr:uid="{00000000-0005-0000-0000-0000120A0000}"/>
    <cellStyle name="Totale 3" xfId="1248" xr:uid="{00000000-0005-0000-0000-0000130A0000}"/>
    <cellStyle name="Totale 3 2" xfId="2584" xr:uid="{00000000-0005-0000-0000-0000140A0000}"/>
    <cellStyle name="Totale 4" xfId="2585" xr:uid="{00000000-0005-0000-0000-0000150A0000}"/>
    <cellStyle name="Usikre tal" xfId="1259" xr:uid="{00000000-0005-0000-0000-0000160A0000}"/>
    <cellStyle name="Valore non valido" xfId="1249" xr:uid="{00000000-0005-0000-0000-0000170A0000}"/>
    <cellStyle name="Valore valido" xfId="1250" xr:uid="{00000000-0005-0000-0000-0000180A0000}"/>
    <cellStyle name="Обычный_CRF2002 (1)" xfId="1251" xr:uid="{00000000-0005-0000-0000-0000190A0000}"/>
  </cellStyles>
  <dxfs count="2">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2.xml"/><Relationship Id="rId68" Type="http://schemas.openxmlformats.org/officeDocument/2006/relationships/styles" Target="styles.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5.xml"/><Relationship Id="rId7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4.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3.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1.xml"/><Relationship Id="rId70" Type="http://schemas.openxmlformats.org/officeDocument/2006/relationships/sheetMetadata" Target="metadata.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twoCellAnchor>
    <xdr:from>
      <xdr:col>0</xdr:col>
      <xdr:colOff>0</xdr:colOff>
      <xdr:row>14</xdr:row>
      <xdr:rowOff>0</xdr:rowOff>
    </xdr:from>
    <xdr:to>
      <xdr:col>14</xdr:col>
      <xdr:colOff>581025</xdr:colOff>
      <xdr:row>26</xdr:row>
      <xdr:rowOff>47625</xdr:rowOff>
    </xdr:to>
    <xdr:sp macro="" textlink="">
      <xdr:nvSpPr>
        <xdr:cNvPr id="3" name="Tekstboks 1">
          <a:extLst>
            <a:ext uri="{FF2B5EF4-FFF2-40B4-BE49-F238E27FC236}">
              <a16:creationId xmlns:a16="http://schemas.microsoft.com/office/drawing/2014/main" id="{0DA8BFE0-83DA-460F-BD1B-81567F3DC3E5}"/>
            </a:ext>
          </a:extLst>
        </xdr:cNvPr>
        <xdr:cNvSpPr txBox="1"/>
      </xdr:nvSpPr>
      <xdr:spPr>
        <a:xfrm>
          <a:off x="0" y="266700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r>
            <a:rPr lang="da-DK" sz="1100"/>
            <a:t>Martin</a:t>
          </a:r>
          <a:r>
            <a:rPr lang="da-DK" sz="1100" baseline="0"/>
            <a:t> Hagberg: </a:t>
          </a:r>
          <a:endParaRPr lang="da-DK" sz="1100"/>
        </a:p>
        <a:p>
          <a:endParaRPr lang="da-DK" sz="1100"/>
        </a:p>
        <a:p>
          <a:r>
            <a:rPr lang="da-DK" sz="1100"/>
            <a:t>SE and NO industry</a:t>
          </a:r>
          <a:r>
            <a:rPr lang="da-DK" sz="1100" baseline="0"/>
            <a:t> representation including sector division is based on Eurostat data. </a:t>
          </a:r>
          <a:endParaRPr lang="da-DK" sz="1100"/>
        </a:p>
        <a:p>
          <a:endParaRPr lang="da-DK" sz="1100"/>
        </a:p>
        <a:p>
          <a:endParaRPr lang="da-DK" sz="1100"/>
        </a:p>
        <a:p>
          <a:r>
            <a:rPr lang="da-DK" sz="1100"/>
            <a:t>DK</a:t>
          </a:r>
          <a:r>
            <a:rPr lang="da-DK" sz="1100" baseline="0"/>
            <a:t> industry sector and sector division, which was developed earlier than SE and NO, has been developed based on other sources and therefore differ somewhat to SE and NO. </a:t>
          </a:r>
        </a:p>
        <a:p>
          <a:endParaRPr lang="da-DK" sz="1100" baseline="0"/>
        </a:p>
        <a:p>
          <a:endParaRPr lang="da-DK" sz="1100" baseline="0"/>
        </a:p>
        <a:p>
          <a:r>
            <a:rPr lang="da-DK" sz="1100" baseline="0"/>
            <a:t>The easiest approach for adding new countries to the model would be to follow the approach by SE (for 4 regions</a:t>
          </a:r>
          <a:r>
            <a:rPr lang="da-DK" sz="1100" baseline="0">
              <a:solidFill>
                <a:schemeClr val="dk1"/>
              </a:solidFill>
              <a:effectLst/>
              <a:latin typeface="+mn-lt"/>
              <a:ea typeface="+mn-ea"/>
              <a:cs typeface="+mn-cs"/>
            </a:rPr>
            <a:t>/country</a:t>
          </a:r>
          <a:r>
            <a:rPr lang="da-DK" sz="1100" baseline="0"/>
            <a:t>) or NO (for two regions/country), starting from their respective VT file structure. </a:t>
          </a:r>
        </a:p>
        <a:p>
          <a:endParaRPr lang="da-DK" sz="1100" baseline="0"/>
        </a:p>
        <a:p>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0</xdr:col>
      <xdr:colOff>2892136</xdr:colOff>
      <xdr:row>64</xdr:row>
      <xdr:rowOff>29154</xdr:rowOff>
    </xdr:to>
    <mc:AlternateContent xmlns:mc="http://schemas.openxmlformats.org/markup-compatibility/2006" xmlns:a14="http://schemas.microsoft.com/office/drawing/2010/main">
      <mc:Choice Requires="a14">
        <xdr:sp macro="" textlink="">
          <xdr:nvSpPr>
            <xdr:cNvPr id="35" name="TextBox 55">
              <a:extLst>
                <a:ext uri="{FF2B5EF4-FFF2-40B4-BE49-F238E27FC236}">
                  <a16:creationId xmlns:a16="http://schemas.microsoft.com/office/drawing/2014/main" id="{00000000-0008-0000-1F00-000023000000}"/>
                </a:ext>
              </a:extLst>
            </xdr:cNvPr>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35" name="TextBox 55"/>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2892136</xdr:colOff>
      <xdr:row>63</xdr:row>
      <xdr:rowOff>168578</xdr:rowOff>
    </xdr:from>
    <xdr:to>
      <xdr:col>1</xdr:col>
      <xdr:colOff>2224135</xdr:colOff>
      <xdr:row>64</xdr:row>
      <xdr:rowOff>33498</xdr:rowOff>
    </xdr:to>
    <xdr:cxnSp macro="">
      <xdr:nvCxnSpPr>
        <xdr:cNvPr id="36" name="Elbow Connector 56">
          <a:extLst>
            <a:ext uri="{FF2B5EF4-FFF2-40B4-BE49-F238E27FC236}">
              <a16:creationId xmlns:a16="http://schemas.microsoft.com/office/drawing/2014/main" id="{00000000-0008-0000-1F00-000024000000}"/>
            </a:ext>
          </a:extLst>
        </xdr:cNvPr>
        <xdr:cNvCxnSpPr/>
      </xdr:nvCxnSpPr>
      <xdr:spPr>
        <a:xfrm flipV="1">
          <a:off x="2892136" y="13655978"/>
          <a:ext cx="2541924"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441906</xdr:colOff>
      <xdr:row>43</xdr:row>
      <xdr:rowOff>57049</xdr:rowOff>
    </xdr:from>
    <xdr:to>
      <xdr:col>30</xdr:col>
      <xdr:colOff>513873</xdr:colOff>
      <xdr:row>63</xdr:row>
      <xdr:rowOff>198578</xdr:rowOff>
    </xdr:to>
    <mc:AlternateContent xmlns:mc="http://schemas.openxmlformats.org/markup-compatibility/2006" xmlns:a14="http://schemas.microsoft.com/office/drawing/2010/main">
      <mc:Choice Requires="a14">
        <xdr:sp macro="" textlink="">
          <xdr:nvSpPr>
            <xdr:cNvPr id="37" name="TextBox 51">
              <a:extLst>
                <a:ext uri="{FF2B5EF4-FFF2-40B4-BE49-F238E27FC236}">
                  <a16:creationId xmlns:a16="http://schemas.microsoft.com/office/drawing/2014/main" id="{00000000-0008-0000-1F00-000025000000}"/>
                </a:ext>
              </a:extLst>
            </xdr:cNvPr>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37" name="TextBox 51"/>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8</xdr:col>
      <xdr:colOff>0</xdr:colOff>
      <xdr:row>57</xdr:row>
      <xdr:rowOff>134471</xdr:rowOff>
    </xdr:from>
    <xdr:to>
      <xdr:col>22</xdr:col>
      <xdr:colOff>470647</xdr:colOff>
      <xdr:row>58</xdr:row>
      <xdr:rowOff>156883</xdr:rowOff>
    </xdr:to>
    <xdr:cxnSp macro="">
      <xdr:nvCxnSpPr>
        <xdr:cNvPr id="38" name="Elbow Connector 52">
          <a:extLst>
            <a:ext uri="{FF2B5EF4-FFF2-40B4-BE49-F238E27FC236}">
              <a16:creationId xmlns:a16="http://schemas.microsoft.com/office/drawing/2014/main" id="{00000000-0008-0000-1F00-000026000000}"/>
            </a:ext>
          </a:extLst>
        </xdr:cNvPr>
        <xdr:cNvCxnSpPr/>
      </xdr:nvCxnSpPr>
      <xdr:spPr>
        <a:xfrm flipV="1">
          <a:off x="9054353" y="12516971"/>
          <a:ext cx="8942294" cy="212912"/>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126021</xdr:colOff>
      <xdr:row>43</xdr:row>
      <xdr:rowOff>11205</xdr:rowOff>
    </xdr:from>
    <xdr:to>
      <xdr:col>13</xdr:col>
      <xdr:colOff>336177</xdr:colOff>
      <xdr:row>46</xdr:row>
      <xdr:rowOff>145677</xdr:rowOff>
    </xdr:to>
    <xdr:sp macro="" textlink="">
      <xdr:nvSpPr>
        <xdr:cNvPr id="39" name="TextBox 53">
          <a:extLst>
            <a:ext uri="{FF2B5EF4-FFF2-40B4-BE49-F238E27FC236}">
              <a16:creationId xmlns:a16="http://schemas.microsoft.com/office/drawing/2014/main" id="{00000000-0008-0000-1F00-000027000000}"/>
            </a:ext>
          </a:extLst>
        </xdr:cNvPr>
        <xdr:cNvSpPr txBox="1"/>
      </xdr:nvSpPr>
      <xdr:spPr>
        <a:xfrm>
          <a:off x="9180374" y="9468970"/>
          <a:ext cx="3235744" cy="73958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6</xdr:col>
      <xdr:colOff>549091</xdr:colOff>
      <xdr:row>44</xdr:row>
      <xdr:rowOff>179294</xdr:rowOff>
    </xdr:from>
    <xdr:to>
      <xdr:col>8</xdr:col>
      <xdr:colOff>126022</xdr:colOff>
      <xdr:row>58</xdr:row>
      <xdr:rowOff>64236</xdr:rowOff>
    </xdr:to>
    <xdr:cxnSp macro="">
      <xdr:nvCxnSpPr>
        <xdr:cNvPr id="40" name="Elbow Connector 54">
          <a:extLst>
            <a:ext uri="{FF2B5EF4-FFF2-40B4-BE49-F238E27FC236}">
              <a16:creationId xmlns:a16="http://schemas.microsoft.com/office/drawing/2014/main" id="{00000000-0008-0000-1F00-000028000000}"/>
            </a:ext>
          </a:extLst>
        </xdr:cNvPr>
        <xdr:cNvCxnSpPr>
          <a:endCxn id="39" idx="1"/>
        </xdr:cNvCxnSpPr>
      </xdr:nvCxnSpPr>
      <xdr:spPr>
        <a:xfrm rot="5400000" flipH="1" flipV="1">
          <a:off x="7387556" y="10844418"/>
          <a:ext cx="2798471" cy="78716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vlse.sharepoint.com/VEDA/VEDA_Models/EMS/SubRES_TMPL/SubRes_ELC_Tech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EMS/SubRES_TMPL/SubRes_ELC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vlse.sharepoint.com/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persons/person.xml><?xml version="1.0" encoding="utf-8"?>
<personList xmlns="http://schemas.microsoft.com/office/spreadsheetml/2018/threadedcomments" xmlns:x="http://schemas.openxmlformats.org/spreadsheetml/2006/main">
  <person displayName="Mikkel Bosack" id="{8520D9DC-FAB7-4D8E-AC34-4336233837CC}" userId="S::mikkel.bosack@energymodellinglab.com::b594ae19-3675-44c5-8ed6-19b23ef79d9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87" dT="2021-01-22T15:03:02.90" personId="{8520D9DC-FAB7-4D8E-AC34-4336233837CC}" id="{D7126B91-2E02-47EF-A085-1E21EB89156A}">
    <text>Assumed to 85% lower efficiency, fue to BLQ, following VT files</text>
  </threadedComment>
  <threadedComment ref="O171" dT="2021-01-27T16:32:10.11" personId="{8520D9DC-FAB7-4D8E-AC34-4336233837CC}" id="{AC4D1D3C-0F3E-42AA-AC47-853578D5FA32}">
    <text>Assumed to be similar to that of BLQ plants</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3" Type="http://schemas.openxmlformats.org/officeDocument/2006/relationships/hyperlink" Target="http://www.planenergi.dk/varmepumper/.%20Drejebog%20til%20store%20varmepumpeprojekter%20i%20fjernvarmesystemet,%202014.%20%5bOnline%5d" TargetMode="External"/><Relationship Id="rId2" Type="http://schemas.openxmlformats.org/officeDocument/2006/relationships/hyperlink" Target="http://www.planenergi.dk/varmepumper/.%20Drejebog%20til%20store%20varmepumpeprojekter%20i%20fjernvarmesystemet,%202014.%20%5bOnline%5d" TargetMode="External"/><Relationship Id="rId1" Type="http://schemas.openxmlformats.org/officeDocument/2006/relationships/hyperlink" Target="http://www.planenergi.dk/varmepumper/.%20Drejebog%20til%20store%20varmepumpeprojekter%20i%20fjernvarmesystemet,%202014.%20%5bOnline%5d" TargetMode="External"/><Relationship Id="rId6" Type="http://schemas.openxmlformats.org/officeDocument/2006/relationships/comments" Target="../comments20.xml"/><Relationship Id="rId5" Type="http://schemas.openxmlformats.org/officeDocument/2006/relationships/vmlDrawing" Target="../drawings/vmlDrawing20.vml"/><Relationship Id="rId4"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planenergi.dk/varmepumper/" TargetMode="External"/><Relationship Id="rId1" Type="http://schemas.openxmlformats.org/officeDocument/2006/relationships/hyperlink" Target="http://www.planenergi.dk/varmepumper/" TargetMode="Externa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sciencedirect.com/topics/engineering/partial-load"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2.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31"/>
  <sheetViews>
    <sheetView zoomScaleNormal="100" workbookViewId="0">
      <selection activeCell="B7" sqref="B7"/>
    </sheetView>
  </sheetViews>
  <sheetFormatPr defaultRowHeight="14.4"/>
  <cols>
    <col min="1" max="1" width="11.5546875" customWidth="1"/>
    <col min="2" max="2" width="24.33203125" bestFit="1" customWidth="1"/>
    <col min="3" max="3" width="13.6640625" customWidth="1"/>
    <col min="4" max="4" width="19.6640625" customWidth="1"/>
    <col min="5" max="5" width="235" bestFit="1" customWidth="1"/>
  </cols>
  <sheetData>
    <row r="3" spans="1:5">
      <c r="A3" s="8" t="s">
        <v>506</v>
      </c>
      <c r="B3" s="8" t="s">
        <v>507</v>
      </c>
      <c r="C3" s="8" t="s">
        <v>508</v>
      </c>
      <c r="D3" s="8" t="s">
        <v>509</v>
      </c>
      <c r="E3" s="8" t="s">
        <v>510</v>
      </c>
    </row>
    <row r="4" spans="1:5" s="239" customFormat="1">
      <c r="A4" s="285">
        <v>43903</v>
      </c>
      <c r="B4" s="314" t="s">
        <v>833</v>
      </c>
      <c r="C4" s="8"/>
      <c r="D4" s="8"/>
      <c r="E4" s="314" t="s">
        <v>834</v>
      </c>
    </row>
    <row r="5" spans="1:5" s="284" customFormat="1">
      <c r="A5" s="285">
        <v>43144</v>
      </c>
      <c r="B5" s="284" t="s">
        <v>511</v>
      </c>
      <c r="C5" s="284" t="s">
        <v>732</v>
      </c>
      <c r="D5" s="284" t="e">
        <f>ADDRESS(ROW(#REF!),COLUMN(#REF!),4,1)</f>
        <v>#REF!</v>
      </c>
      <c r="E5" s="284" t="s">
        <v>733</v>
      </c>
    </row>
    <row r="6" spans="1:5" s="284" customFormat="1">
      <c r="A6" s="285">
        <v>42958</v>
      </c>
      <c r="B6" s="284" t="s">
        <v>729</v>
      </c>
      <c r="C6" s="284" t="s">
        <v>131</v>
      </c>
      <c r="D6" s="284" t="str">
        <f>ADDRESS(ROW('Electric heating'!L39),COLUMN('Electric heating'!L39),4,1)&amp;":"&amp;ADDRESS(ROW('Electric heating'!Q42),COLUMN('Electric heating'!Q42),4,1)</f>
        <v>L39:Q42</v>
      </c>
      <c r="E6" s="284" t="s">
        <v>730</v>
      </c>
    </row>
    <row r="7" spans="1:5" s="239" customFormat="1">
      <c r="A7" s="285">
        <v>42593</v>
      </c>
      <c r="B7" s="314" t="s">
        <v>650</v>
      </c>
      <c r="C7" s="314" t="s">
        <v>620</v>
      </c>
      <c r="D7" s="314"/>
      <c r="E7" s="314" t="s">
        <v>689</v>
      </c>
    </row>
    <row r="8" spans="1:5" s="239" customFormat="1">
      <c r="A8" s="285">
        <v>42578</v>
      </c>
      <c r="B8" s="314" t="s">
        <v>650</v>
      </c>
      <c r="C8" s="314" t="s">
        <v>571</v>
      </c>
      <c r="D8" s="314"/>
      <c r="E8" s="314" t="s">
        <v>681</v>
      </c>
    </row>
    <row r="9" spans="1:5" s="239" customFormat="1">
      <c r="A9" s="285">
        <v>42572</v>
      </c>
      <c r="B9" s="314" t="s">
        <v>650</v>
      </c>
      <c r="C9" s="314" t="s">
        <v>571</v>
      </c>
      <c r="D9" s="314"/>
      <c r="E9" s="314" t="s">
        <v>674</v>
      </c>
    </row>
    <row r="10" spans="1:5" s="239" customFormat="1">
      <c r="A10" s="285">
        <v>42572</v>
      </c>
      <c r="B10" s="314" t="s">
        <v>650</v>
      </c>
      <c r="C10" s="314" t="s">
        <v>669</v>
      </c>
      <c r="D10" s="314"/>
      <c r="E10" s="314" t="s">
        <v>670</v>
      </c>
    </row>
    <row r="11" spans="1:5" s="239" customFormat="1">
      <c r="A11" s="285">
        <v>42536</v>
      </c>
      <c r="B11" s="314" t="s">
        <v>650</v>
      </c>
      <c r="C11" s="314" t="s">
        <v>589</v>
      </c>
      <c r="D11" s="314"/>
      <c r="E11" s="314" t="s">
        <v>668</v>
      </c>
    </row>
    <row r="12" spans="1:5" s="239" customFormat="1">
      <c r="A12" s="285">
        <v>42502</v>
      </c>
      <c r="B12" s="314" t="s">
        <v>650</v>
      </c>
      <c r="C12" s="314" t="s">
        <v>571</v>
      </c>
      <c r="D12" s="314"/>
      <c r="E12" s="314" t="s">
        <v>667</v>
      </c>
    </row>
    <row r="13" spans="1:5" s="239" customFormat="1">
      <c r="A13" s="285">
        <v>42501</v>
      </c>
      <c r="B13" s="314" t="s">
        <v>650</v>
      </c>
      <c r="C13" s="314" t="s">
        <v>571</v>
      </c>
      <c r="D13" s="314"/>
      <c r="E13" s="314" t="s">
        <v>666</v>
      </c>
    </row>
    <row r="14" spans="1:5" s="239" customFormat="1">
      <c r="A14" s="285">
        <v>42488</v>
      </c>
      <c r="B14" s="314" t="s">
        <v>650</v>
      </c>
      <c r="C14" s="314" t="s">
        <v>589</v>
      </c>
      <c r="D14" s="314" t="s">
        <v>663</v>
      </c>
      <c r="E14" s="314" t="s">
        <v>664</v>
      </c>
    </row>
    <row r="15" spans="1:5" s="239" customFormat="1">
      <c r="A15" s="285">
        <v>42487</v>
      </c>
      <c r="B15" s="314" t="s">
        <v>650</v>
      </c>
      <c r="C15" s="314" t="s">
        <v>571</v>
      </c>
      <c r="D15" s="314"/>
      <c r="E15" s="314" t="s">
        <v>660</v>
      </c>
    </row>
    <row r="16" spans="1:5" s="239" customFormat="1">
      <c r="A16" s="285">
        <v>42487</v>
      </c>
      <c r="B16" s="314" t="s">
        <v>650</v>
      </c>
      <c r="C16" s="314" t="s">
        <v>571</v>
      </c>
      <c r="D16" s="314" t="s">
        <v>659</v>
      </c>
      <c r="E16" s="314" t="s">
        <v>658</v>
      </c>
    </row>
    <row r="17" spans="1:5" s="239" customFormat="1">
      <c r="A17" s="285">
        <v>42487</v>
      </c>
      <c r="B17" s="314" t="s">
        <v>650</v>
      </c>
      <c r="C17" s="314" t="s">
        <v>571</v>
      </c>
      <c r="D17" s="314" t="s">
        <v>656</v>
      </c>
      <c r="E17" s="314" t="s">
        <v>657</v>
      </c>
    </row>
    <row r="18" spans="1:5" s="239" customFormat="1">
      <c r="A18" s="285">
        <v>42486</v>
      </c>
      <c r="B18" s="314" t="s">
        <v>650</v>
      </c>
      <c r="C18" s="314" t="s">
        <v>571</v>
      </c>
      <c r="D18" s="314" t="s">
        <v>655</v>
      </c>
      <c r="E18" s="314" t="s">
        <v>654</v>
      </c>
    </row>
    <row r="19" spans="1:5" s="314" customFormat="1">
      <c r="A19" s="285">
        <v>42486</v>
      </c>
      <c r="B19" s="314" t="s">
        <v>650</v>
      </c>
      <c r="C19" s="314" t="s">
        <v>571</v>
      </c>
      <c r="D19" s="314" t="s">
        <v>651</v>
      </c>
      <c r="E19" s="314" t="s">
        <v>652</v>
      </c>
    </row>
    <row r="20" spans="1:5" s="239" customFormat="1">
      <c r="A20" s="285">
        <v>42479</v>
      </c>
      <c r="B20" s="314" t="s">
        <v>574</v>
      </c>
      <c r="C20" s="314" t="s">
        <v>577</v>
      </c>
      <c r="D20" s="314"/>
      <c r="E20" s="314" t="s">
        <v>578</v>
      </c>
    </row>
    <row r="21" spans="1:5" s="239" customFormat="1">
      <c r="A21" s="285">
        <v>42479</v>
      </c>
      <c r="B21" s="314" t="s">
        <v>574</v>
      </c>
      <c r="C21" s="314" t="s">
        <v>575</v>
      </c>
      <c r="D21" s="314"/>
      <c r="E21" s="314" t="s">
        <v>576</v>
      </c>
    </row>
    <row r="22" spans="1:5" s="239" customFormat="1">
      <c r="A22" s="285">
        <v>42467</v>
      </c>
      <c r="B22" s="314" t="s">
        <v>570</v>
      </c>
      <c r="C22" s="314" t="s">
        <v>571</v>
      </c>
      <c r="D22" s="314" t="s">
        <v>573</v>
      </c>
      <c r="E22" s="314" t="s">
        <v>572</v>
      </c>
    </row>
    <row r="23" spans="1:5" s="284" customFormat="1">
      <c r="A23" s="285">
        <v>42261</v>
      </c>
      <c r="B23" s="284" t="s">
        <v>565</v>
      </c>
      <c r="C23" s="284" t="s">
        <v>566</v>
      </c>
      <c r="D23" s="284" t="str">
        <f>ADDRESS(ROW(IND_SavTechs!A1),COLUMN(IND_SavTechs!A1),4,1)</f>
        <v>A1</v>
      </c>
      <c r="E23" s="284" t="s">
        <v>567</v>
      </c>
    </row>
    <row r="24" spans="1:5" s="284" customFormat="1">
      <c r="A24" s="285">
        <v>42129</v>
      </c>
      <c r="B24" s="284" t="s">
        <v>530</v>
      </c>
      <c r="C24" s="284" t="s">
        <v>512</v>
      </c>
      <c r="D24" s="284" t="e">
        <f>ADDRESS(ROW(#REF!),COLUMN(#REF!),4,1)</f>
        <v>#REF!</v>
      </c>
      <c r="E24" s="284" t="s">
        <v>534</v>
      </c>
    </row>
    <row r="25" spans="1:5" s="284" customFormat="1">
      <c r="A25" s="285">
        <v>42129</v>
      </c>
      <c r="B25" s="284" t="s">
        <v>530</v>
      </c>
      <c r="C25" s="284" t="s">
        <v>531</v>
      </c>
      <c r="D25" s="284" t="e">
        <f>ADDRESS(ROW(#REF!),COLUMN(#REF!),4,1)</f>
        <v>#REF!</v>
      </c>
      <c r="E25" s="284" t="s">
        <v>533</v>
      </c>
    </row>
    <row r="26" spans="1:5" s="284" customFormat="1">
      <c r="A26" s="285">
        <v>42129</v>
      </c>
      <c r="B26" s="284" t="s">
        <v>530</v>
      </c>
      <c r="C26" s="284" t="s">
        <v>531</v>
      </c>
      <c r="D26" s="284" t="e">
        <f>ADDRESS(ROW(#REF!),COLUMN(#REF!),4,1)</f>
        <v>#REF!</v>
      </c>
      <c r="E26" s="284" t="s">
        <v>532</v>
      </c>
    </row>
    <row r="27" spans="1:5" s="284" customFormat="1">
      <c r="A27" s="285">
        <v>42074</v>
      </c>
      <c r="B27" s="284" t="s">
        <v>511</v>
      </c>
      <c r="C27" s="284" t="s">
        <v>512</v>
      </c>
      <c r="D27" s="284" t="e">
        <f>ADDRESS(ROW(#REF!),COLUMN(#REF!),4,1)&amp;","&amp;ADDRESS(ROW(#REF!),COLUMN(#REF!),4,1)&amp;","&amp;ADDRESS(ROW(#REF!),COLUMN(#REF!),4,1)&amp;","&amp;ADDRESS(ROW(#REF!),COLUMN(#REF!),4,1)</f>
        <v>#REF!</v>
      </c>
      <c r="E27" s="284" t="s">
        <v>513</v>
      </c>
    </row>
    <row r="28" spans="1:5">
      <c r="A28" s="286">
        <v>41841</v>
      </c>
      <c r="B28" s="239" t="s">
        <v>477</v>
      </c>
      <c r="C28" s="239" t="s">
        <v>479</v>
      </c>
      <c r="D28" s="239" t="s">
        <v>514</v>
      </c>
      <c r="E28" s="239" t="s">
        <v>515</v>
      </c>
    </row>
    <row r="29" spans="1:5">
      <c r="A29" s="286">
        <v>41841</v>
      </c>
      <c r="B29" s="239" t="s">
        <v>477</v>
      </c>
      <c r="C29" s="239" t="s">
        <v>478</v>
      </c>
      <c r="D29" s="239" t="s">
        <v>514</v>
      </c>
      <c r="E29" s="239" t="s">
        <v>515</v>
      </c>
    </row>
    <row r="30" spans="1:5">
      <c r="A30" s="286">
        <v>41802</v>
      </c>
      <c r="B30" s="239" t="s">
        <v>474</v>
      </c>
      <c r="C30" s="239" t="s">
        <v>476</v>
      </c>
      <c r="D30" s="239" t="s">
        <v>516</v>
      </c>
      <c r="E30" s="239" t="s">
        <v>518</v>
      </c>
    </row>
    <row r="31" spans="1:5">
      <c r="A31" s="286">
        <v>41802</v>
      </c>
      <c r="B31" s="239" t="s">
        <v>474</v>
      </c>
      <c r="C31" s="239" t="s">
        <v>475</v>
      </c>
      <c r="D31" s="74" t="s">
        <v>516</v>
      </c>
      <c r="E31" s="239" t="s">
        <v>517</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tabColor theme="9"/>
  </sheetPr>
  <dimension ref="B1:E51"/>
  <sheetViews>
    <sheetView topLeftCell="A10" workbookViewId="0">
      <selection activeCell="C20" sqref="C20"/>
    </sheetView>
  </sheetViews>
  <sheetFormatPr defaultColWidth="9.33203125" defaultRowHeight="13.8"/>
  <cols>
    <col min="1" max="1" width="9.33203125" style="322"/>
    <col min="2" max="2" width="24" style="322" bestFit="1" customWidth="1"/>
    <col min="3" max="3" width="138.44140625" style="322" customWidth="1"/>
    <col min="4" max="16384" width="9.33203125" style="322"/>
  </cols>
  <sheetData>
    <row r="1" spans="2:5" ht="18">
      <c r="B1" s="321" t="s">
        <v>579</v>
      </c>
    </row>
    <row r="3" spans="2:5" ht="14.4">
      <c r="B3" s="323" t="s">
        <v>580</v>
      </c>
      <c r="C3" s="322" t="s">
        <v>587</v>
      </c>
    </row>
    <row r="4" spans="2:5" ht="14.4">
      <c r="B4" s="323" t="s">
        <v>581</v>
      </c>
      <c r="C4" s="322" t="s">
        <v>598</v>
      </c>
    </row>
    <row r="5" spans="2:5" ht="14.4">
      <c r="B5" s="323"/>
    </row>
    <row r="6" spans="2:5" ht="14.4">
      <c r="B6" s="323" t="s">
        <v>582</v>
      </c>
      <c r="C6" s="322" t="s">
        <v>586</v>
      </c>
    </row>
    <row r="7" spans="2:5" ht="14.4">
      <c r="B7" s="323"/>
    </row>
    <row r="8" spans="2:5" ht="14.4">
      <c r="B8" s="324" t="s">
        <v>583</v>
      </c>
    </row>
    <row r="9" spans="2:5" ht="14.4">
      <c r="B9" s="323"/>
      <c r="D9" s="322" t="s">
        <v>816</v>
      </c>
    </row>
    <row r="10" spans="2:5" ht="14.4">
      <c r="B10" s="328" t="s">
        <v>584</v>
      </c>
      <c r="C10" s="325" t="s">
        <v>585</v>
      </c>
    </row>
    <row r="11" spans="2:5" ht="14.4">
      <c r="B11" s="327" t="s">
        <v>566</v>
      </c>
      <c r="C11" s="325" t="s">
        <v>564</v>
      </c>
    </row>
    <row r="12" spans="2:5" ht="14.4">
      <c r="B12" s="327" t="s">
        <v>817</v>
      </c>
      <c r="C12" s="325" t="s">
        <v>823</v>
      </c>
      <c r="D12" s="322" t="s">
        <v>818</v>
      </c>
      <c r="E12" s="322" t="s">
        <v>830</v>
      </c>
    </row>
    <row r="13" spans="2:5" ht="14.4">
      <c r="B13" s="327" t="s">
        <v>819</v>
      </c>
      <c r="C13" s="325" t="s">
        <v>824</v>
      </c>
      <c r="D13" s="322" t="s">
        <v>818</v>
      </c>
      <c r="E13" s="322" t="s">
        <v>830</v>
      </c>
    </row>
    <row r="14" spans="2:5" ht="14.4">
      <c r="B14" s="327" t="s">
        <v>820</v>
      </c>
      <c r="C14" s="325" t="s">
        <v>825</v>
      </c>
      <c r="D14" s="322" t="s">
        <v>818</v>
      </c>
      <c r="E14" s="322" t="s">
        <v>830</v>
      </c>
    </row>
    <row r="15" spans="2:5" ht="14.4">
      <c r="B15" s="327" t="s">
        <v>821</v>
      </c>
      <c r="C15" s="325" t="s">
        <v>826</v>
      </c>
      <c r="D15" s="322" t="s">
        <v>818</v>
      </c>
      <c r="E15" s="322" t="s">
        <v>830</v>
      </c>
    </row>
    <row r="16" spans="2:5" ht="14.4">
      <c r="B16" s="327" t="s">
        <v>822</v>
      </c>
      <c r="C16" s="325" t="s">
        <v>827</v>
      </c>
      <c r="D16" s="322" t="s">
        <v>818</v>
      </c>
      <c r="E16" s="322" t="s">
        <v>830</v>
      </c>
    </row>
    <row r="17" spans="2:5" ht="14.4">
      <c r="B17" s="327" t="s">
        <v>531</v>
      </c>
      <c r="C17" s="325" t="s">
        <v>599</v>
      </c>
      <c r="D17" s="322" t="s">
        <v>829</v>
      </c>
      <c r="E17" s="322" t="s">
        <v>830</v>
      </c>
    </row>
    <row r="18" spans="2:5" ht="14.4">
      <c r="B18" s="327" t="s">
        <v>512</v>
      </c>
      <c r="C18" s="325" t="s">
        <v>600</v>
      </c>
      <c r="D18" s="322" t="s">
        <v>829</v>
      </c>
      <c r="E18" s="322" t="s">
        <v>830</v>
      </c>
    </row>
    <row r="19" spans="2:5" ht="14.4">
      <c r="B19" s="327" t="s">
        <v>588</v>
      </c>
      <c r="C19" s="325" t="s">
        <v>601</v>
      </c>
      <c r="D19" s="322" t="s">
        <v>829</v>
      </c>
      <c r="E19" s="322" t="s">
        <v>830</v>
      </c>
    </row>
    <row r="20" spans="2:5" ht="14.4">
      <c r="B20" s="327" t="s">
        <v>590</v>
      </c>
      <c r="C20" s="325" t="s">
        <v>602</v>
      </c>
      <c r="D20" s="322" t="s">
        <v>829</v>
      </c>
      <c r="E20" s="322" t="s">
        <v>830</v>
      </c>
    </row>
    <row r="21" spans="2:5" ht="14.4">
      <c r="B21" s="327" t="s">
        <v>591</v>
      </c>
      <c r="C21" s="325" t="s">
        <v>603</v>
      </c>
      <c r="D21" s="322" t="s">
        <v>829</v>
      </c>
      <c r="E21" s="322" t="s">
        <v>830</v>
      </c>
    </row>
    <row r="22" spans="2:5" ht="14.4">
      <c r="B22" s="327" t="s">
        <v>592</v>
      </c>
      <c r="C22" s="325" t="s">
        <v>604</v>
      </c>
      <c r="D22" s="322" t="s">
        <v>828</v>
      </c>
    </row>
    <row r="23" spans="2:5" ht="14.4">
      <c r="B23" s="327" t="s">
        <v>593</v>
      </c>
      <c r="C23" s="325" t="s">
        <v>605</v>
      </c>
      <c r="D23" s="322" t="s">
        <v>828</v>
      </c>
    </row>
    <row r="24" spans="2:5" ht="14.4">
      <c r="B24" s="327" t="s">
        <v>594</v>
      </c>
      <c r="C24" s="325" t="s">
        <v>606</v>
      </c>
      <c r="D24" s="322" t="s">
        <v>828</v>
      </c>
    </row>
    <row r="25" spans="2:5" ht="14.4">
      <c r="B25" s="327" t="s">
        <v>595</v>
      </c>
      <c r="C25" s="418" t="s">
        <v>831</v>
      </c>
      <c r="D25" s="322" t="s">
        <v>829</v>
      </c>
      <c r="E25" s="322" t="s">
        <v>830</v>
      </c>
    </row>
    <row r="26" spans="2:5" ht="14.4">
      <c r="B26" s="327" t="s">
        <v>596</v>
      </c>
      <c r="C26" s="325" t="s">
        <v>607</v>
      </c>
      <c r="D26" s="322" t="s">
        <v>829</v>
      </c>
      <c r="E26" s="322" t="s">
        <v>830</v>
      </c>
    </row>
    <row r="27" spans="2:5" ht="14.4">
      <c r="B27" s="327" t="s">
        <v>597</v>
      </c>
      <c r="C27" s="325" t="s">
        <v>608</v>
      </c>
      <c r="D27" s="322" t="s">
        <v>828</v>
      </c>
    </row>
    <row r="28" spans="2:5" ht="14.4">
      <c r="B28" s="330" t="s">
        <v>589</v>
      </c>
      <c r="C28" s="325" t="s">
        <v>661</v>
      </c>
      <c r="D28" s="322" t="s">
        <v>829</v>
      </c>
      <c r="E28" s="322" t="s">
        <v>830</v>
      </c>
    </row>
    <row r="29" spans="2:5" ht="14.4">
      <c r="B29" s="326" t="s">
        <v>609</v>
      </c>
      <c r="C29" s="325" t="s">
        <v>627</v>
      </c>
    </row>
    <row r="30" spans="2:5" ht="14.4">
      <c r="B30" s="326" t="s">
        <v>37</v>
      </c>
      <c r="C30" s="325" t="s">
        <v>628</v>
      </c>
    </row>
    <row r="31" spans="2:5" ht="14.4">
      <c r="B31" s="326" t="s">
        <v>610</v>
      </c>
      <c r="C31" s="325" t="s">
        <v>629</v>
      </c>
    </row>
    <row r="32" spans="2:5" ht="14.4">
      <c r="B32" s="326" t="s">
        <v>611</v>
      </c>
      <c r="C32" s="325" t="s">
        <v>630</v>
      </c>
    </row>
    <row r="33" spans="2:3" ht="14.4">
      <c r="B33" s="326" t="s">
        <v>612</v>
      </c>
      <c r="C33" s="325" t="s">
        <v>631</v>
      </c>
    </row>
    <row r="34" spans="2:3" ht="14.4">
      <c r="B34" s="326" t="s">
        <v>613</v>
      </c>
      <c r="C34" s="325" t="s">
        <v>632</v>
      </c>
    </row>
    <row r="35" spans="2:3" ht="14.4">
      <c r="B35" s="326" t="s">
        <v>614</v>
      </c>
      <c r="C35" s="325" t="s">
        <v>633</v>
      </c>
    </row>
    <row r="36" spans="2:3" ht="14.4">
      <c r="B36" s="326" t="s">
        <v>93</v>
      </c>
      <c r="C36" s="325" t="s">
        <v>634</v>
      </c>
    </row>
    <row r="37" spans="2:3" ht="14.4">
      <c r="B37" s="326" t="s">
        <v>99</v>
      </c>
      <c r="C37" s="325" t="s">
        <v>635</v>
      </c>
    </row>
    <row r="38" spans="2:3" ht="14.4">
      <c r="B38" s="326" t="s">
        <v>615</v>
      </c>
      <c r="C38" s="325" t="s">
        <v>636</v>
      </c>
    </row>
    <row r="39" spans="2:3" ht="14.4">
      <c r="B39" s="326" t="s">
        <v>616</v>
      </c>
      <c r="C39" s="325" t="s">
        <v>637</v>
      </c>
    </row>
    <row r="40" spans="2:3" ht="14.4">
      <c r="B40" s="326" t="s">
        <v>617</v>
      </c>
      <c r="C40" s="325" t="s">
        <v>638</v>
      </c>
    </row>
    <row r="41" spans="2:3" ht="14.4">
      <c r="B41" s="326" t="s">
        <v>618</v>
      </c>
      <c r="C41" s="325" t="s">
        <v>639</v>
      </c>
    </row>
    <row r="42" spans="2:3" ht="14.4">
      <c r="B42" s="326" t="s">
        <v>619</v>
      </c>
      <c r="C42" s="325" t="s">
        <v>640</v>
      </c>
    </row>
    <row r="43" spans="2:3" ht="14.4">
      <c r="B43" s="326" t="s">
        <v>620</v>
      </c>
      <c r="C43" s="325" t="s">
        <v>641</v>
      </c>
    </row>
    <row r="44" spans="2:3" ht="14.4">
      <c r="B44" s="326" t="s">
        <v>117</v>
      </c>
      <c r="C44" s="325" t="s">
        <v>642</v>
      </c>
    </row>
    <row r="45" spans="2:3" ht="14.4">
      <c r="B45" s="326" t="s">
        <v>621</v>
      </c>
      <c r="C45" s="325" t="s">
        <v>643</v>
      </c>
    </row>
    <row r="46" spans="2:3" ht="14.4">
      <c r="B46" s="326" t="s">
        <v>622</v>
      </c>
      <c r="C46" s="322" t="s">
        <v>644</v>
      </c>
    </row>
    <row r="47" spans="2:3" ht="14.4">
      <c r="B47" s="326" t="s">
        <v>623</v>
      </c>
      <c r="C47" s="322" t="s">
        <v>645</v>
      </c>
    </row>
    <row r="48" spans="2:3" ht="14.4">
      <c r="B48" s="326" t="s">
        <v>624</v>
      </c>
      <c r="C48" s="322" t="s">
        <v>646</v>
      </c>
    </row>
    <row r="49" spans="2:3" ht="14.4">
      <c r="B49" s="326" t="s">
        <v>625</v>
      </c>
      <c r="C49" s="322" t="s">
        <v>647</v>
      </c>
    </row>
    <row r="50" spans="2:3" ht="14.4">
      <c r="B50" s="326" t="s">
        <v>626</v>
      </c>
      <c r="C50" s="322" t="s">
        <v>648</v>
      </c>
    </row>
    <row r="51" spans="2:3" ht="14.4">
      <c r="B51" s="326" t="s">
        <v>264</v>
      </c>
      <c r="C51" s="322" t="s">
        <v>649</v>
      </c>
    </row>
  </sheetData>
  <conditionalFormatting sqref="C3">
    <cfRule type="cellIs" dxfId="1" priority="1" operator="equal">
      <formula>"No"</formula>
    </cfRule>
    <cfRule type="cellIs" dxfId="0" priority="2" operator="equal">
      <formula>"Yes"</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sheetPr>
  <dimension ref="A1"/>
  <sheetViews>
    <sheetView workbookViewId="0">
      <selection activeCell="K32" sqref="K32"/>
    </sheetView>
  </sheetViews>
  <sheetFormatPr defaultRowHeight="14.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6EB9-1C0C-4612-96EC-C815945AB094}">
  <dimension ref="B1:C4"/>
  <sheetViews>
    <sheetView workbookViewId="0">
      <selection activeCell="B5" sqref="B5"/>
    </sheetView>
  </sheetViews>
  <sheetFormatPr defaultRowHeight="14.4"/>
  <sheetData>
    <row r="1" spans="2:3">
      <c r="B1" t="s">
        <v>908</v>
      </c>
    </row>
    <row r="2" spans="2:3">
      <c r="B2" s="771" t="s">
        <v>1136</v>
      </c>
    </row>
    <row r="3" spans="2:3">
      <c r="B3" s="771" t="s">
        <v>1137</v>
      </c>
    </row>
    <row r="4" spans="2:3">
      <c r="C4" s="771" t="s">
        <v>1138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Ark2">
    <tabColor rgb="FF92D050"/>
  </sheetPr>
  <dimension ref="B2:AF149"/>
  <sheetViews>
    <sheetView zoomScale="40" zoomScaleNormal="40" workbookViewId="0">
      <selection activeCell="H22" sqref="H22"/>
    </sheetView>
  </sheetViews>
  <sheetFormatPr defaultColWidth="9.33203125" defaultRowHeight="13.2"/>
  <cols>
    <col min="1" max="1" width="2.6640625" style="300" customWidth="1"/>
    <col min="2" max="2" width="18.6640625" style="300" customWidth="1"/>
    <col min="3" max="3" width="11.44140625" style="300" bestFit="1" customWidth="1"/>
    <col min="4" max="4" width="7.33203125" style="300" bestFit="1" customWidth="1"/>
    <col min="5" max="5" width="5" style="300" bestFit="1" customWidth="1"/>
    <col min="6" max="6" width="9.33203125" style="300" bestFit="1" customWidth="1"/>
    <col min="7" max="7" width="7" style="300" bestFit="1" customWidth="1"/>
    <col min="8" max="8" width="7.6640625" style="300" bestFit="1" customWidth="1"/>
    <col min="9" max="9" width="9.6640625" style="300" bestFit="1" customWidth="1"/>
    <col min="10" max="10" width="8.33203125" style="300" bestFit="1" customWidth="1"/>
    <col min="11" max="11" width="12" style="300" customWidth="1"/>
    <col min="12" max="12" width="16.33203125" style="300" customWidth="1"/>
    <col min="13" max="13" width="13.33203125" style="300" customWidth="1"/>
    <col min="14" max="14" width="72.44140625" style="300" bestFit="1" customWidth="1"/>
    <col min="15" max="15" width="13.33203125" style="300" customWidth="1"/>
    <col min="16" max="16" width="11.33203125" style="300" customWidth="1"/>
    <col min="17" max="17" width="16.33203125" style="300" customWidth="1"/>
    <col min="18" max="18" width="17.44140625" style="300" customWidth="1"/>
    <col min="19" max="19" width="13.33203125" style="300" customWidth="1"/>
    <col min="20" max="20" width="13.6640625" style="300" customWidth="1"/>
    <col min="21" max="21" width="11.44140625" style="300" customWidth="1"/>
    <col min="22" max="22" width="24.33203125" style="300" bestFit="1" customWidth="1"/>
    <col min="23" max="16384" width="9.33203125" style="300"/>
  </cols>
  <sheetData>
    <row r="2" spans="2:32" ht="22.8">
      <c r="B2" s="312" t="s">
        <v>832</v>
      </c>
    </row>
    <row r="5" spans="2:32">
      <c r="C5" s="311" t="s">
        <v>468</v>
      </c>
      <c r="L5" s="310" t="s">
        <v>467</v>
      </c>
      <c r="M5" s="310"/>
      <c r="N5" s="301"/>
      <c r="O5" s="301"/>
      <c r="P5" s="301"/>
      <c r="Q5" s="301"/>
      <c r="R5" s="301"/>
      <c r="S5" s="301"/>
      <c r="W5" s="306" t="s">
        <v>563</v>
      </c>
      <c r="X5" s="306"/>
      <c r="Y5" s="306"/>
      <c r="Z5" s="306"/>
      <c r="AA5" s="306"/>
      <c r="AB5" s="306"/>
      <c r="AC5" s="306"/>
      <c r="AD5" s="306"/>
      <c r="AE5" s="306"/>
      <c r="AF5" s="306"/>
    </row>
    <row r="6" spans="2:32">
      <c r="B6" s="309" t="s">
        <v>425</v>
      </c>
      <c r="C6" s="309" t="s">
        <v>428</v>
      </c>
      <c r="D6" s="308" t="s">
        <v>336</v>
      </c>
      <c r="E6" s="308" t="s">
        <v>339</v>
      </c>
      <c r="F6" s="308" t="s">
        <v>340</v>
      </c>
      <c r="G6" s="308" t="s">
        <v>341</v>
      </c>
      <c r="H6" s="308" t="s">
        <v>342</v>
      </c>
      <c r="I6" s="308" t="s">
        <v>343</v>
      </c>
      <c r="J6" s="308" t="s">
        <v>562</v>
      </c>
      <c r="L6" s="307" t="s">
        <v>466</v>
      </c>
      <c r="M6" s="307" t="s">
        <v>425</v>
      </c>
      <c r="N6" s="307" t="s">
        <v>465</v>
      </c>
      <c r="O6" s="307" t="s">
        <v>464</v>
      </c>
      <c r="P6" s="307" t="s">
        <v>463</v>
      </c>
      <c r="Q6" s="307" t="s">
        <v>462</v>
      </c>
      <c r="R6" s="307" t="s">
        <v>461</v>
      </c>
      <c r="S6" s="307" t="s">
        <v>460</v>
      </c>
      <c r="W6" s="306" t="s">
        <v>561</v>
      </c>
      <c r="X6" s="306"/>
      <c r="Y6" s="306"/>
      <c r="Z6" s="306"/>
      <c r="AA6" s="306"/>
      <c r="AB6" s="306"/>
      <c r="AC6" s="306"/>
      <c r="AD6" s="306"/>
      <c r="AE6" s="306"/>
      <c r="AF6" s="306"/>
    </row>
    <row r="7" spans="2:32" ht="27" thickBot="1">
      <c r="B7" s="305" t="s">
        <v>560</v>
      </c>
      <c r="C7" s="305"/>
      <c r="D7" s="305"/>
      <c r="E7" s="305"/>
      <c r="F7" s="305"/>
      <c r="G7" s="305"/>
      <c r="H7" s="305"/>
      <c r="I7" s="305"/>
      <c r="J7" s="305"/>
      <c r="L7" s="304" t="s">
        <v>559</v>
      </c>
      <c r="M7" s="304" t="s">
        <v>458</v>
      </c>
      <c r="N7" s="304" t="s">
        <v>457</v>
      </c>
      <c r="O7" s="304" t="s">
        <v>456</v>
      </c>
      <c r="P7" s="304" t="s">
        <v>455</v>
      </c>
      <c r="Q7" s="304" t="s">
        <v>558</v>
      </c>
      <c r="R7" s="304" t="s">
        <v>557</v>
      </c>
      <c r="S7" s="304" t="s">
        <v>452</v>
      </c>
    </row>
    <row r="8" spans="2:32">
      <c r="B8" s="300" t="str">
        <f>"IND"&amp;RIGHT(U8,2)&amp;"EFF"&amp;LEFT(W8,2)</f>
        <v>INDADEFFMT</v>
      </c>
      <c r="C8" s="300" t="str">
        <f>U8&amp;LEFT(W8,2)</f>
        <v>IADMT</v>
      </c>
      <c r="D8" s="300">
        <v>2015</v>
      </c>
      <c r="E8" s="300">
        <v>100</v>
      </c>
      <c r="I8" s="302">
        <v>1</v>
      </c>
      <c r="J8" s="302">
        <v>1</v>
      </c>
      <c r="L8" s="301" t="s">
        <v>505</v>
      </c>
      <c r="M8" s="389" t="str">
        <f>B8</f>
        <v>INDADEFFMT</v>
      </c>
      <c r="N8" s="301" t="str">
        <f>V8&amp;" Saving Tech"&amp;"-"&amp;X8</f>
        <v>Agriculture Saving Tech-Heat Medium Temp. up to 150C</v>
      </c>
      <c r="O8" s="301" t="s">
        <v>450</v>
      </c>
      <c r="P8" s="301" t="s">
        <v>536</v>
      </c>
      <c r="Q8" s="301"/>
      <c r="R8" s="301"/>
      <c r="S8" s="301"/>
      <c r="U8" s="401" t="s">
        <v>737</v>
      </c>
      <c r="V8" s="400" t="s">
        <v>521</v>
      </c>
      <c r="W8" s="399" t="s">
        <v>556</v>
      </c>
      <c r="X8" s="398" t="s">
        <v>555</v>
      </c>
    </row>
    <row r="9" spans="2:32">
      <c r="B9" s="300" t="str">
        <f t="shared" ref="B9:B14" si="0">"IND"&amp;RIGHT(U9,2)&amp;"EFF"&amp;LEFT(W9,2)</f>
        <v>INDADEFFHT</v>
      </c>
      <c r="C9" s="300" t="str">
        <f t="shared" ref="C9:C14" si="1">U9&amp;LEFT(W9,2)</f>
        <v>IADHT</v>
      </c>
      <c r="D9" s="300">
        <v>2015</v>
      </c>
      <c r="E9" s="300">
        <v>100</v>
      </c>
      <c r="I9" s="302">
        <v>1</v>
      </c>
      <c r="J9" s="302">
        <v>1</v>
      </c>
      <c r="L9" s="301"/>
      <c r="M9" s="389" t="str">
        <f t="shared" ref="M9:M86" si="2">B9</f>
        <v>INDADEFFHT</v>
      </c>
      <c r="N9" s="301" t="str">
        <f t="shared" ref="N9:N86" si="3">V9&amp;" Saving Tech"&amp;"-"&amp;X9</f>
        <v>Agriculture Saving Tech-Heat High Temp. over 150C</v>
      </c>
      <c r="O9" s="301" t="s">
        <v>450</v>
      </c>
      <c r="P9" s="301" t="s">
        <v>536</v>
      </c>
      <c r="Q9" s="301"/>
      <c r="R9" s="301"/>
      <c r="S9" s="301"/>
      <c r="U9" s="397" t="s">
        <v>737</v>
      </c>
      <c r="V9" s="396" t="str">
        <f t="shared" ref="V9:V14" si="4">V8</f>
        <v>Agriculture</v>
      </c>
      <c r="W9" s="396" t="s">
        <v>554</v>
      </c>
      <c r="X9" s="395" t="s">
        <v>553</v>
      </c>
    </row>
    <row r="10" spans="2:32">
      <c r="B10" s="300" t="str">
        <f t="shared" si="0"/>
        <v>INDADEFFRH</v>
      </c>
      <c r="C10" s="300" t="str">
        <f t="shared" si="1"/>
        <v>IADRH</v>
      </c>
      <c r="D10" s="300">
        <v>2015</v>
      </c>
      <c r="E10" s="300">
        <v>100</v>
      </c>
      <c r="I10" s="302">
        <v>1</v>
      </c>
      <c r="J10" s="302">
        <v>1</v>
      </c>
      <c r="L10" s="301"/>
      <c r="M10" s="389" t="str">
        <f t="shared" si="2"/>
        <v>INDADEFFRH</v>
      </c>
      <c r="N10" s="301" t="str">
        <f t="shared" si="3"/>
        <v>Agriculture Saving Tech-Heat Room Heat</v>
      </c>
      <c r="O10" s="301" t="s">
        <v>450</v>
      </c>
      <c r="P10" s="301" t="s">
        <v>536</v>
      </c>
      <c r="Q10" s="301"/>
      <c r="R10" s="301"/>
      <c r="S10" s="301"/>
      <c r="U10" s="397" t="s">
        <v>737</v>
      </c>
      <c r="V10" s="396" t="str">
        <f t="shared" si="4"/>
        <v>Agriculture</v>
      </c>
      <c r="W10" s="396" t="s">
        <v>552</v>
      </c>
      <c r="X10" s="395" t="s">
        <v>551</v>
      </c>
    </row>
    <row r="11" spans="2:32">
      <c r="B11" s="300" t="str">
        <f t="shared" si="0"/>
        <v>INDADEFFLA</v>
      </c>
      <c r="C11" s="300" t="str">
        <f t="shared" si="1"/>
        <v>IADLA</v>
      </c>
      <c r="D11" s="300">
        <v>2015</v>
      </c>
      <c r="E11" s="300">
        <v>100</v>
      </c>
      <c r="I11" s="302">
        <v>1</v>
      </c>
      <c r="J11" s="302">
        <v>1</v>
      </c>
      <c r="L11" s="301"/>
      <c r="M11" s="389" t="str">
        <f t="shared" si="2"/>
        <v>INDADEFFLA</v>
      </c>
      <c r="N11" s="301" t="str">
        <f t="shared" si="3"/>
        <v>Agriculture Saving Tech-Light</v>
      </c>
      <c r="O11" s="301" t="s">
        <v>450</v>
      </c>
      <c r="P11" s="301" t="s">
        <v>536</v>
      </c>
      <c r="Q11" s="301"/>
      <c r="R11" s="301"/>
      <c r="S11" s="301"/>
      <c r="U11" s="397" t="s">
        <v>737</v>
      </c>
      <c r="V11" s="396" t="str">
        <f t="shared" si="4"/>
        <v>Agriculture</v>
      </c>
      <c r="W11" s="396" t="s">
        <v>550</v>
      </c>
      <c r="X11" s="395" t="s">
        <v>549</v>
      </c>
    </row>
    <row r="12" spans="2:32">
      <c r="B12" s="300" t="str">
        <f t="shared" si="0"/>
        <v>INDADEFFEM</v>
      </c>
      <c r="C12" s="300" t="str">
        <f t="shared" si="1"/>
        <v>IADEM</v>
      </c>
      <c r="D12" s="300">
        <v>2015</v>
      </c>
      <c r="E12" s="300">
        <v>100</v>
      </c>
      <c r="I12" s="302">
        <v>1</v>
      </c>
      <c r="J12" s="302">
        <v>1</v>
      </c>
      <c r="L12" s="301"/>
      <c r="M12" s="389" t="str">
        <f t="shared" si="2"/>
        <v>INDADEFFEM</v>
      </c>
      <c r="N12" s="301" t="str">
        <f t="shared" si="3"/>
        <v>Agriculture Saving Tech-Electric Motors</v>
      </c>
      <c r="O12" s="301" t="s">
        <v>450</v>
      </c>
      <c r="P12" s="301" t="s">
        <v>536</v>
      </c>
      <c r="Q12" s="301"/>
      <c r="R12" s="301"/>
      <c r="S12" s="301"/>
      <c r="U12" s="397" t="s">
        <v>737</v>
      </c>
      <c r="V12" s="396" t="str">
        <f t="shared" si="4"/>
        <v>Agriculture</v>
      </c>
      <c r="W12" s="396" t="s">
        <v>548</v>
      </c>
      <c r="X12" s="395" t="s">
        <v>547</v>
      </c>
    </row>
    <row r="13" spans="2:32">
      <c r="B13" s="300" t="str">
        <f t="shared" si="0"/>
        <v>INDADEFFTF</v>
      </c>
      <c r="C13" s="300" t="str">
        <f t="shared" si="1"/>
        <v>IADTF</v>
      </c>
      <c r="D13" s="300">
        <v>2015</v>
      </c>
      <c r="E13" s="300">
        <v>100</v>
      </c>
      <c r="I13" s="302">
        <v>1</v>
      </c>
      <c r="J13" s="302">
        <v>1</v>
      </c>
      <c r="L13" s="303"/>
      <c r="M13" s="389" t="str">
        <f t="shared" si="2"/>
        <v>INDADEFFTF</v>
      </c>
      <c r="N13" s="301" t="str">
        <f t="shared" si="3"/>
        <v>Agriculture Saving Tech-Haulage Tractors, Trucks, Fishing boats</v>
      </c>
      <c r="O13" s="301" t="s">
        <v>450</v>
      </c>
      <c r="P13" s="301" t="s">
        <v>536</v>
      </c>
      <c r="Q13" s="303"/>
      <c r="R13" s="303"/>
      <c r="S13" s="303"/>
      <c r="U13" s="397" t="s">
        <v>737</v>
      </c>
      <c r="V13" s="396" t="str">
        <f t="shared" si="4"/>
        <v>Agriculture</v>
      </c>
      <c r="W13" s="396" t="s">
        <v>546</v>
      </c>
      <c r="X13" s="395" t="s">
        <v>545</v>
      </c>
    </row>
    <row r="14" spans="2:32">
      <c r="B14" s="300" t="str">
        <f t="shared" si="0"/>
        <v>INDADEFFFL</v>
      </c>
      <c r="C14" s="300" t="str">
        <f t="shared" si="1"/>
        <v>IADFL</v>
      </c>
      <c r="D14" s="300">
        <v>2015</v>
      </c>
      <c r="E14" s="300">
        <v>100</v>
      </c>
      <c r="I14" s="302">
        <v>1</v>
      </c>
      <c r="J14" s="302">
        <v>1</v>
      </c>
      <c r="L14" s="303"/>
      <c r="M14" s="389" t="str">
        <f t="shared" si="2"/>
        <v>INDADEFFFL</v>
      </c>
      <c r="N14" s="301" t="str">
        <f t="shared" si="3"/>
        <v>Agriculture Saving Tech-Forklifts</v>
      </c>
      <c r="O14" s="301" t="s">
        <v>450</v>
      </c>
      <c r="P14" s="301" t="s">
        <v>536</v>
      </c>
      <c r="Q14" s="303"/>
      <c r="R14" s="303"/>
      <c r="S14" s="303"/>
      <c r="U14" s="397" t="s">
        <v>737</v>
      </c>
      <c r="V14" s="396" t="str">
        <f t="shared" si="4"/>
        <v>Agriculture</v>
      </c>
      <c r="W14" s="396" t="s">
        <v>736</v>
      </c>
      <c r="X14" s="395" t="s">
        <v>735</v>
      </c>
    </row>
    <row r="15" spans="2:32" ht="14.4">
      <c r="B15" s="300" t="str">
        <f t="shared" ref="B15:B91" si="5">"IND"&amp;RIGHT(U15,2)&amp;"EFF"&amp;LEFT(W15,2)</f>
        <v>INDFDEFFMT</v>
      </c>
      <c r="C15" s="300" t="str">
        <f t="shared" ref="C15:C91" si="6">U15&amp;LEFT(W15,2)</f>
        <v>IFDMT</v>
      </c>
      <c r="D15" s="300">
        <v>2015</v>
      </c>
      <c r="E15" s="300">
        <v>100</v>
      </c>
      <c r="I15" s="302">
        <v>1</v>
      </c>
      <c r="J15" s="302">
        <v>1</v>
      </c>
      <c r="L15" s="301"/>
      <c r="M15" s="389" t="str">
        <f t="shared" si="2"/>
        <v>INDFDEFFMT</v>
      </c>
      <c r="N15" s="301" t="str">
        <f t="shared" si="3"/>
        <v>Food Industry Saving Tech-Heat Medium Temp. up to 150C</v>
      </c>
      <c r="O15" s="301" t="s">
        <v>450</v>
      </c>
      <c r="P15" s="301" t="s">
        <v>536</v>
      </c>
      <c r="Q15" s="301"/>
      <c r="R15" s="301"/>
      <c r="S15" s="301"/>
      <c r="U15" s="397" t="s">
        <v>738</v>
      </c>
      <c r="V15" s="394" t="s">
        <v>544</v>
      </c>
      <c r="W15" s="55" t="str">
        <f>W8</f>
        <v>MT2015</v>
      </c>
      <c r="X15" s="393" t="str">
        <f>X8</f>
        <v>Heat Medium Temp. up to 150C</v>
      </c>
    </row>
    <row r="16" spans="2:32" ht="14.4">
      <c r="B16" s="300" t="str">
        <f t="shared" si="5"/>
        <v>INDFDEFFHT</v>
      </c>
      <c r="C16" s="300" t="str">
        <f t="shared" si="6"/>
        <v>IFDHT</v>
      </c>
      <c r="D16" s="300">
        <v>2015</v>
      </c>
      <c r="E16" s="300">
        <v>100</v>
      </c>
      <c r="I16" s="302">
        <v>1</v>
      </c>
      <c r="J16" s="302">
        <v>1</v>
      </c>
      <c r="L16" s="301"/>
      <c r="M16" s="389" t="str">
        <f t="shared" si="2"/>
        <v>INDFDEFFHT</v>
      </c>
      <c r="N16" s="301" t="str">
        <f t="shared" si="3"/>
        <v>Food Industry Saving Tech-Heat High Temp. over 150C</v>
      </c>
      <c r="O16" s="301" t="s">
        <v>450</v>
      </c>
      <c r="P16" s="301" t="s">
        <v>536</v>
      </c>
      <c r="Q16" s="301"/>
      <c r="R16" s="301"/>
      <c r="S16" s="301"/>
      <c r="U16" s="397" t="s">
        <v>738</v>
      </c>
      <c r="V16" s="396" t="str">
        <f t="shared" ref="V16:V21" si="7">V15</f>
        <v>Food Industry</v>
      </c>
      <c r="W16" s="55" t="str">
        <f t="shared" ref="W16:X16" si="8">W9</f>
        <v>HT2015</v>
      </c>
      <c r="X16" s="393" t="str">
        <f t="shared" si="8"/>
        <v>Heat High Temp. over 150C</v>
      </c>
    </row>
    <row r="17" spans="2:24" ht="14.4">
      <c r="B17" s="300" t="str">
        <f t="shared" si="5"/>
        <v>INDFDEFFRH</v>
      </c>
      <c r="C17" s="300" t="str">
        <f t="shared" si="6"/>
        <v>IFDRH</v>
      </c>
      <c r="D17" s="300">
        <v>2015</v>
      </c>
      <c r="E17" s="300">
        <v>100</v>
      </c>
      <c r="I17" s="302">
        <v>1</v>
      </c>
      <c r="J17" s="302">
        <v>1</v>
      </c>
      <c r="L17" s="301"/>
      <c r="M17" s="389" t="str">
        <f t="shared" si="2"/>
        <v>INDFDEFFRH</v>
      </c>
      <c r="N17" s="301" t="str">
        <f t="shared" si="3"/>
        <v>Food Industry Saving Tech-Heat Room Heat</v>
      </c>
      <c r="O17" s="301" t="s">
        <v>450</v>
      </c>
      <c r="P17" s="301" t="s">
        <v>536</v>
      </c>
      <c r="Q17" s="301"/>
      <c r="R17" s="301"/>
      <c r="S17" s="301"/>
      <c r="U17" s="397" t="s">
        <v>738</v>
      </c>
      <c r="V17" s="396" t="str">
        <f t="shared" si="7"/>
        <v>Food Industry</v>
      </c>
      <c r="W17" s="55" t="str">
        <f t="shared" ref="W17:X17" si="9">W10</f>
        <v>RH2015</v>
      </c>
      <c r="X17" s="393" t="str">
        <f t="shared" si="9"/>
        <v>Heat Room Heat</v>
      </c>
    </row>
    <row r="18" spans="2:24" ht="14.4">
      <c r="B18" s="300" t="str">
        <f t="shared" si="5"/>
        <v>INDFDEFFLA</v>
      </c>
      <c r="C18" s="300" t="str">
        <f t="shared" si="6"/>
        <v>IFDLA</v>
      </c>
      <c r="D18" s="300">
        <v>2015</v>
      </c>
      <c r="E18" s="300">
        <v>100</v>
      </c>
      <c r="I18" s="302">
        <v>1</v>
      </c>
      <c r="J18" s="302">
        <v>1</v>
      </c>
      <c r="L18" s="301"/>
      <c r="M18" s="389" t="str">
        <f t="shared" si="2"/>
        <v>INDFDEFFLA</v>
      </c>
      <c r="N18" s="301" t="str">
        <f t="shared" si="3"/>
        <v>Food Industry Saving Tech-Light</v>
      </c>
      <c r="O18" s="301" t="s">
        <v>450</v>
      </c>
      <c r="P18" s="301" t="s">
        <v>536</v>
      </c>
      <c r="Q18" s="301"/>
      <c r="R18" s="301"/>
      <c r="S18" s="301"/>
      <c r="U18" s="397" t="s">
        <v>738</v>
      </c>
      <c r="V18" s="396" t="str">
        <f t="shared" si="7"/>
        <v>Food Industry</v>
      </c>
      <c r="W18" s="55" t="str">
        <f t="shared" ref="W18:X18" si="10">W11</f>
        <v>LA2015</v>
      </c>
      <c r="X18" s="393" t="str">
        <f t="shared" si="10"/>
        <v>Light</v>
      </c>
    </row>
    <row r="19" spans="2:24" ht="14.4">
      <c r="B19" s="300" t="str">
        <f t="shared" si="5"/>
        <v>INDFDEFFEM</v>
      </c>
      <c r="C19" s="300" t="str">
        <f t="shared" si="6"/>
        <v>IFDEM</v>
      </c>
      <c r="D19" s="300">
        <v>2015</v>
      </c>
      <c r="E19" s="300">
        <v>100</v>
      </c>
      <c r="I19" s="302">
        <v>1</v>
      </c>
      <c r="J19" s="302">
        <v>1</v>
      </c>
      <c r="L19" s="301"/>
      <c r="M19" s="389" t="str">
        <f t="shared" si="2"/>
        <v>INDFDEFFEM</v>
      </c>
      <c r="N19" s="301" t="str">
        <f t="shared" si="3"/>
        <v>Food Industry Saving Tech-Electric Motors</v>
      </c>
      <c r="O19" s="301" t="s">
        <v>450</v>
      </c>
      <c r="P19" s="301" t="s">
        <v>536</v>
      </c>
      <c r="Q19" s="303"/>
      <c r="R19" s="303"/>
      <c r="S19" s="303"/>
      <c r="U19" s="397" t="s">
        <v>738</v>
      </c>
      <c r="V19" s="396" t="str">
        <f t="shared" si="7"/>
        <v>Food Industry</v>
      </c>
      <c r="W19" s="55" t="str">
        <f t="shared" ref="W19:X19" si="11">W12</f>
        <v>EM2015</v>
      </c>
      <c r="X19" s="393" t="str">
        <f t="shared" si="11"/>
        <v>Electric Motors</v>
      </c>
    </row>
    <row r="20" spans="2:24" ht="14.4">
      <c r="B20" s="300" t="str">
        <f t="shared" si="5"/>
        <v>INDFDEFFTF</v>
      </c>
      <c r="C20" s="300" t="str">
        <f t="shared" si="6"/>
        <v>IFDTF</v>
      </c>
      <c r="D20" s="300">
        <v>2015</v>
      </c>
      <c r="E20" s="300">
        <v>100</v>
      </c>
      <c r="I20" s="302">
        <v>1</v>
      </c>
      <c r="J20" s="302">
        <v>1</v>
      </c>
      <c r="L20" s="303"/>
      <c r="M20" s="389" t="str">
        <f t="shared" si="2"/>
        <v>INDFDEFFTF</v>
      </c>
      <c r="N20" s="301" t="str">
        <f t="shared" si="3"/>
        <v>Food Industry Saving Tech-Haulage Tractors, Trucks, Fishing boats</v>
      </c>
      <c r="O20" s="301" t="s">
        <v>450</v>
      </c>
      <c r="P20" s="301" t="s">
        <v>536</v>
      </c>
      <c r="Q20" s="301"/>
      <c r="R20" s="301"/>
      <c r="S20" s="301"/>
      <c r="U20" s="397" t="s">
        <v>738</v>
      </c>
      <c r="V20" s="396" t="str">
        <f t="shared" si="7"/>
        <v>Food Industry</v>
      </c>
      <c r="W20" s="55" t="str">
        <f t="shared" ref="W20:X20" si="12">W13</f>
        <v>TF2015</v>
      </c>
      <c r="X20" s="393" t="str">
        <f t="shared" si="12"/>
        <v>Haulage Tractors, Trucks, Fishing boats</v>
      </c>
    </row>
    <row r="21" spans="2:24" ht="14.4">
      <c r="B21" s="300" t="str">
        <f t="shared" si="5"/>
        <v>INDFDEFFFL</v>
      </c>
      <c r="C21" s="300" t="str">
        <f t="shared" si="6"/>
        <v>IFDFL</v>
      </c>
      <c r="D21" s="300">
        <v>2015</v>
      </c>
      <c r="E21" s="300">
        <v>100</v>
      </c>
      <c r="I21" s="302">
        <v>1</v>
      </c>
      <c r="J21" s="302">
        <v>1</v>
      </c>
      <c r="L21" s="303"/>
      <c r="M21" s="389" t="str">
        <f t="shared" si="2"/>
        <v>INDFDEFFFL</v>
      </c>
      <c r="N21" s="301" t="str">
        <f t="shared" si="3"/>
        <v>Food Industry Saving Tech-Forklifts</v>
      </c>
      <c r="O21" s="301" t="s">
        <v>450</v>
      </c>
      <c r="P21" s="301" t="s">
        <v>536</v>
      </c>
      <c r="Q21" s="301"/>
      <c r="R21" s="301"/>
      <c r="S21" s="301"/>
      <c r="U21" s="397" t="s">
        <v>738</v>
      </c>
      <c r="V21" s="396" t="str">
        <f t="shared" si="7"/>
        <v>Food Industry</v>
      </c>
      <c r="W21" s="55" t="str">
        <f t="shared" ref="W21:X21" si="13">W14</f>
        <v>FL2015</v>
      </c>
      <c r="X21" s="393" t="str">
        <f t="shared" si="13"/>
        <v>Forklifts</v>
      </c>
    </row>
    <row r="22" spans="2:24" ht="14.4">
      <c r="B22" s="300" t="str">
        <f t="shared" si="5"/>
        <v>INDCDEFFMT</v>
      </c>
      <c r="C22" s="300" t="str">
        <f t="shared" si="6"/>
        <v>ICDMT</v>
      </c>
      <c r="D22" s="300">
        <v>2015</v>
      </c>
      <c r="E22" s="300">
        <v>100</v>
      </c>
      <c r="I22" s="302">
        <v>1</v>
      </c>
      <c r="J22" s="302">
        <v>1</v>
      </c>
      <c r="L22" s="301"/>
      <c r="M22" s="389" t="str">
        <f t="shared" si="2"/>
        <v>INDCDEFFMT</v>
      </c>
      <c r="N22" s="301" t="str">
        <f t="shared" si="3"/>
        <v>Chemical Industry Saving Tech-Heat Medium Temp. up to 150C</v>
      </c>
      <c r="O22" s="301" t="s">
        <v>450</v>
      </c>
      <c r="P22" s="301" t="s">
        <v>536</v>
      </c>
      <c r="Q22" s="301"/>
      <c r="R22" s="301"/>
      <c r="S22" s="301"/>
      <c r="U22" s="397" t="s">
        <v>739</v>
      </c>
      <c r="V22" s="394" t="s">
        <v>543</v>
      </c>
      <c r="W22" s="55" t="str">
        <f t="shared" ref="W22:X22" si="14">W15</f>
        <v>MT2015</v>
      </c>
      <c r="X22" s="393" t="str">
        <f t="shared" si="14"/>
        <v>Heat Medium Temp. up to 150C</v>
      </c>
    </row>
    <row r="23" spans="2:24" ht="14.4">
      <c r="B23" s="300" t="str">
        <f t="shared" si="5"/>
        <v>INDCDEFFHT</v>
      </c>
      <c r="C23" s="300" t="str">
        <f t="shared" si="6"/>
        <v>ICDHT</v>
      </c>
      <c r="D23" s="300">
        <v>2015</v>
      </c>
      <c r="E23" s="300">
        <v>100</v>
      </c>
      <c r="I23" s="302">
        <v>1</v>
      </c>
      <c r="J23" s="302">
        <v>1</v>
      </c>
      <c r="L23" s="301"/>
      <c r="M23" s="389" t="str">
        <f t="shared" si="2"/>
        <v>INDCDEFFHT</v>
      </c>
      <c r="N23" s="301" t="str">
        <f t="shared" si="3"/>
        <v>Chemical Industry Saving Tech-Heat High Temp. over 150C</v>
      </c>
      <c r="O23" s="301" t="s">
        <v>450</v>
      </c>
      <c r="P23" s="301" t="s">
        <v>536</v>
      </c>
      <c r="Q23" s="301"/>
      <c r="R23" s="301"/>
      <c r="S23" s="301"/>
      <c r="U23" s="397" t="s">
        <v>739</v>
      </c>
      <c r="V23" s="396" t="str">
        <f t="shared" ref="V23:V28" si="15">V22</f>
        <v>Chemical Industry</v>
      </c>
      <c r="W23" s="55" t="str">
        <f t="shared" ref="W23:X23" si="16">W16</f>
        <v>HT2015</v>
      </c>
      <c r="X23" s="393" t="str">
        <f t="shared" si="16"/>
        <v>Heat High Temp. over 150C</v>
      </c>
    </row>
    <row r="24" spans="2:24" ht="14.4">
      <c r="B24" s="300" t="str">
        <f t="shared" si="5"/>
        <v>INDCDEFFRH</v>
      </c>
      <c r="C24" s="300" t="str">
        <f t="shared" si="6"/>
        <v>ICDRH</v>
      </c>
      <c r="D24" s="300">
        <v>2015</v>
      </c>
      <c r="E24" s="300">
        <v>100</v>
      </c>
      <c r="I24" s="302">
        <v>1</v>
      </c>
      <c r="J24" s="302">
        <v>1</v>
      </c>
      <c r="L24" s="301"/>
      <c r="M24" s="389" t="str">
        <f t="shared" si="2"/>
        <v>INDCDEFFRH</v>
      </c>
      <c r="N24" s="301" t="str">
        <f t="shared" si="3"/>
        <v>Chemical Industry Saving Tech-Heat Room Heat</v>
      </c>
      <c r="O24" s="301" t="s">
        <v>450</v>
      </c>
      <c r="P24" s="301" t="s">
        <v>536</v>
      </c>
      <c r="Q24" s="301"/>
      <c r="R24" s="301"/>
      <c r="S24" s="301"/>
      <c r="U24" s="397" t="s">
        <v>739</v>
      </c>
      <c r="V24" s="396" t="str">
        <f t="shared" si="15"/>
        <v>Chemical Industry</v>
      </c>
      <c r="W24" s="55" t="str">
        <f t="shared" ref="W24:X24" si="17">W17</f>
        <v>RH2015</v>
      </c>
      <c r="X24" s="393" t="str">
        <f t="shared" si="17"/>
        <v>Heat Room Heat</v>
      </c>
    </row>
    <row r="25" spans="2:24" ht="14.4">
      <c r="B25" s="300" t="str">
        <f t="shared" si="5"/>
        <v>INDCDEFFLA</v>
      </c>
      <c r="C25" s="300" t="str">
        <f t="shared" si="6"/>
        <v>ICDLA</v>
      </c>
      <c r="D25" s="300">
        <v>2015</v>
      </c>
      <c r="E25" s="300">
        <v>100</v>
      </c>
      <c r="I25" s="302">
        <v>1</v>
      </c>
      <c r="J25" s="302">
        <v>1</v>
      </c>
      <c r="L25" s="301"/>
      <c r="M25" s="389" t="str">
        <f t="shared" si="2"/>
        <v>INDCDEFFLA</v>
      </c>
      <c r="N25" s="301" t="str">
        <f t="shared" si="3"/>
        <v>Chemical Industry Saving Tech-Light</v>
      </c>
      <c r="O25" s="301" t="s">
        <v>450</v>
      </c>
      <c r="P25" s="301" t="s">
        <v>536</v>
      </c>
      <c r="Q25" s="303"/>
      <c r="R25" s="303"/>
      <c r="S25" s="303"/>
      <c r="U25" s="397" t="s">
        <v>739</v>
      </c>
      <c r="V25" s="396" t="str">
        <f t="shared" si="15"/>
        <v>Chemical Industry</v>
      </c>
      <c r="W25" s="55" t="str">
        <f t="shared" ref="W25:X25" si="18">W18</f>
        <v>LA2015</v>
      </c>
      <c r="X25" s="393" t="str">
        <f t="shared" si="18"/>
        <v>Light</v>
      </c>
    </row>
    <row r="26" spans="2:24" ht="14.4">
      <c r="B26" s="300" t="str">
        <f t="shared" si="5"/>
        <v>INDCDEFFEM</v>
      </c>
      <c r="C26" s="300" t="str">
        <f t="shared" si="6"/>
        <v>ICDEM</v>
      </c>
      <c r="D26" s="300">
        <v>2015</v>
      </c>
      <c r="E26" s="300">
        <v>100</v>
      </c>
      <c r="I26" s="302">
        <v>1</v>
      </c>
      <c r="J26" s="302">
        <v>1</v>
      </c>
      <c r="L26" s="301"/>
      <c r="M26" s="389" t="str">
        <f t="shared" si="2"/>
        <v>INDCDEFFEM</v>
      </c>
      <c r="N26" s="301" t="str">
        <f t="shared" si="3"/>
        <v>Chemical Industry Saving Tech-Electric Motors</v>
      </c>
      <c r="O26" s="301" t="s">
        <v>450</v>
      </c>
      <c r="P26" s="301" t="s">
        <v>536</v>
      </c>
      <c r="Q26" s="301"/>
      <c r="R26" s="301"/>
      <c r="S26" s="301"/>
      <c r="U26" s="397" t="s">
        <v>739</v>
      </c>
      <c r="V26" s="396" t="str">
        <f t="shared" si="15"/>
        <v>Chemical Industry</v>
      </c>
      <c r="W26" s="55" t="str">
        <f t="shared" ref="W26:X26" si="19">W19</f>
        <v>EM2015</v>
      </c>
      <c r="X26" s="393" t="str">
        <f t="shared" si="19"/>
        <v>Electric Motors</v>
      </c>
    </row>
    <row r="27" spans="2:24" ht="14.4">
      <c r="B27" s="300" t="str">
        <f t="shared" si="5"/>
        <v>INDCDEFFTF</v>
      </c>
      <c r="C27" s="300" t="str">
        <f t="shared" si="6"/>
        <v>ICDTF</v>
      </c>
      <c r="D27" s="300">
        <v>2015</v>
      </c>
      <c r="E27" s="300">
        <v>100</v>
      </c>
      <c r="I27" s="302">
        <v>1</v>
      </c>
      <c r="J27" s="302">
        <v>1</v>
      </c>
      <c r="L27" s="303"/>
      <c r="M27" s="389" t="str">
        <f t="shared" si="2"/>
        <v>INDCDEFFTF</v>
      </c>
      <c r="N27" s="301" t="str">
        <f t="shared" si="3"/>
        <v>Chemical Industry Saving Tech-Haulage Tractors, Trucks, Fishing boats</v>
      </c>
      <c r="O27" s="301" t="s">
        <v>450</v>
      </c>
      <c r="P27" s="301" t="s">
        <v>536</v>
      </c>
      <c r="Q27" s="301"/>
      <c r="R27" s="301"/>
      <c r="S27" s="301"/>
      <c r="U27" s="397" t="s">
        <v>739</v>
      </c>
      <c r="V27" s="396" t="str">
        <f t="shared" si="15"/>
        <v>Chemical Industry</v>
      </c>
      <c r="W27" s="55" t="str">
        <f t="shared" ref="W27:X27" si="20">W20</f>
        <v>TF2015</v>
      </c>
      <c r="X27" s="393" t="str">
        <f t="shared" si="20"/>
        <v>Haulage Tractors, Trucks, Fishing boats</v>
      </c>
    </row>
    <row r="28" spans="2:24" ht="14.4">
      <c r="B28" s="300" t="str">
        <f t="shared" si="5"/>
        <v>INDCDEFFFL</v>
      </c>
      <c r="C28" s="300" t="str">
        <f t="shared" si="6"/>
        <v>ICDFL</v>
      </c>
      <c r="D28" s="300">
        <v>2015</v>
      </c>
      <c r="E28" s="300">
        <v>100</v>
      </c>
      <c r="I28" s="302">
        <v>1</v>
      </c>
      <c r="J28" s="302">
        <v>1</v>
      </c>
      <c r="L28" s="303"/>
      <c r="M28" s="389" t="str">
        <f t="shared" si="2"/>
        <v>INDCDEFFFL</v>
      </c>
      <c r="N28" s="301" t="str">
        <f t="shared" si="3"/>
        <v>Chemical Industry Saving Tech-Forklifts</v>
      </c>
      <c r="O28" s="301" t="s">
        <v>450</v>
      </c>
      <c r="P28" s="301" t="s">
        <v>536</v>
      </c>
      <c r="Q28" s="301"/>
      <c r="R28" s="301"/>
      <c r="S28" s="301"/>
      <c r="U28" s="397" t="s">
        <v>739</v>
      </c>
      <c r="V28" s="396" t="str">
        <f t="shared" si="15"/>
        <v>Chemical Industry</v>
      </c>
      <c r="W28" s="55" t="str">
        <f t="shared" ref="W28:X28" si="21">W21</f>
        <v>FL2015</v>
      </c>
      <c r="X28" s="393" t="str">
        <f t="shared" si="21"/>
        <v>Forklifts</v>
      </c>
    </row>
    <row r="29" spans="2:24" ht="14.4">
      <c r="B29" s="300" t="str">
        <f t="shared" si="5"/>
        <v>INDGDEFFMT</v>
      </c>
      <c r="C29" s="300" t="str">
        <f t="shared" si="6"/>
        <v>IGDMT</v>
      </c>
      <c r="D29" s="300">
        <v>2015</v>
      </c>
      <c r="E29" s="300">
        <v>100</v>
      </c>
      <c r="I29" s="302">
        <v>1</v>
      </c>
      <c r="J29" s="302">
        <v>1</v>
      </c>
      <c r="L29" s="301"/>
      <c r="M29" s="389" t="str">
        <f t="shared" si="2"/>
        <v>INDGDEFFMT</v>
      </c>
      <c r="N29" s="301" t="str">
        <f t="shared" si="3"/>
        <v>Glass &amp; Concrete industry Saving Tech-Heat Medium Temp. up to 150C</v>
      </c>
      <c r="O29" s="301" t="s">
        <v>450</v>
      </c>
      <c r="P29" s="301" t="s">
        <v>536</v>
      </c>
      <c r="Q29" s="301"/>
      <c r="R29" s="301"/>
      <c r="S29" s="301"/>
      <c r="U29" s="397" t="s">
        <v>740</v>
      </c>
      <c r="V29" s="396" t="s">
        <v>542</v>
      </c>
      <c r="W29" s="55" t="str">
        <f t="shared" ref="W29:X29" si="22">W22</f>
        <v>MT2015</v>
      </c>
      <c r="X29" s="393" t="str">
        <f t="shared" si="22"/>
        <v>Heat Medium Temp. up to 150C</v>
      </c>
    </row>
    <row r="30" spans="2:24" ht="14.4">
      <c r="B30" s="300" t="str">
        <f t="shared" si="5"/>
        <v>INDGDEFFHT</v>
      </c>
      <c r="C30" s="300" t="str">
        <f t="shared" si="6"/>
        <v>IGDHT</v>
      </c>
      <c r="D30" s="300">
        <v>2015</v>
      </c>
      <c r="E30" s="300">
        <v>100</v>
      </c>
      <c r="I30" s="302">
        <v>1</v>
      </c>
      <c r="J30" s="302">
        <v>1</v>
      </c>
      <c r="L30" s="301"/>
      <c r="M30" s="389" t="str">
        <f t="shared" si="2"/>
        <v>INDGDEFFHT</v>
      </c>
      <c r="N30" s="301" t="str">
        <f t="shared" si="3"/>
        <v>Glass &amp; Concrete industry Saving Tech-Heat High Temp. over 150C</v>
      </c>
      <c r="O30" s="301" t="s">
        <v>450</v>
      </c>
      <c r="P30" s="301" t="s">
        <v>536</v>
      </c>
      <c r="Q30" s="301"/>
      <c r="R30" s="301"/>
      <c r="S30" s="301"/>
      <c r="U30" s="397" t="s">
        <v>740</v>
      </c>
      <c r="V30" s="396" t="str">
        <f t="shared" ref="V30:V35" si="23">V29</f>
        <v>Glass &amp; Concrete industry</v>
      </c>
      <c r="W30" s="55" t="str">
        <f t="shared" ref="W30:X30" si="24">W23</f>
        <v>HT2015</v>
      </c>
      <c r="X30" s="393" t="str">
        <f t="shared" si="24"/>
        <v>Heat High Temp. over 150C</v>
      </c>
    </row>
    <row r="31" spans="2:24" ht="14.4">
      <c r="B31" s="300" t="str">
        <f t="shared" si="5"/>
        <v>INDGDEFFRH</v>
      </c>
      <c r="C31" s="300" t="str">
        <f t="shared" si="6"/>
        <v>IGDRH</v>
      </c>
      <c r="D31" s="300">
        <v>2015</v>
      </c>
      <c r="E31" s="300">
        <v>100</v>
      </c>
      <c r="I31" s="302">
        <v>1</v>
      </c>
      <c r="J31" s="302">
        <v>1</v>
      </c>
      <c r="L31" s="301"/>
      <c r="M31" s="389" t="str">
        <f t="shared" si="2"/>
        <v>INDGDEFFRH</v>
      </c>
      <c r="N31" s="301" t="str">
        <f t="shared" si="3"/>
        <v>Glass &amp; Concrete industry Saving Tech-Heat Room Heat</v>
      </c>
      <c r="O31" s="301" t="s">
        <v>450</v>
      </c>
      <c r="P31" s="301" t="s">
        <v>536</v>
      </c>
      <c r="Q31" s="303"/>
      <c r="R31" s="303"/>
      <c r="S31" s="303"/>
      <c r="U31" s="397" t="s">
        <v>740</v>
      </c>
      <c r="V31" s="396" t="str">
        <f t="shared" si="23"/>
        <v>Glass &amp; Concrete industry</v>
      </c>
      <c r="W31" s="55" t="str">
        <f t="shared" ref="W31:X31" si="25">W24</f>
        <v>RH2015</v>
      </c>
      <c r="X31" s="393" t="str">
        <f t="shared" si="25"/>
        <v>Heat Room Heat</v>
      </c>
    </row>
    <row r="32" spans="2:24" ht="14.4">
      <c r="B32" s="300" t="str">
        <f t="shared" si="5"/>
        <v>INDGDEFFLA</v>
      </c>
      <c r="C32" s="300" t="str">
        <f t="shared" si="6"/>
        <v>IGDLA</v>
      </c>
      <c r="D32" s="300">
        <v>2015</v>
      </c>
      <c r="E32" s="300">
        <v>100</v>
      </c>
      <c r="I32" s="302">
        <v>1</v>
      </c>
      <c r="J32" s="302">
        <v>1</v>
      </c>
      <c r="L32" s="301"/>
      <c r="M32" s="389" t="str">
        <f t="shared" si="2"/>
        <v>INDGDEFFLA</v>
      </c>
      <c r="N32" s="301" t="str">
        <f t="shared" si="3"/>
        <v>Glass &amp; Concrete industry Saving Tech-Light</v>
      </c>
      <c r="O32" s="301" t="s">
        <v>450</v>
      </c>
      <c r="P32" s="301" t="s">
        <v>536</v>
      </c>
      <c r="Q32" s="301"/>
      <c r="R32" s="301"/>
      <c r="S32" s="301"/>
      <c r="U32" s="397" t="s">
        <v>740</v>
      </c>
      <c r="V32" s="396" t="str">
        <f t="shared" si="23"/>
        <v>Glass &amp; Concrete industry</v>
      </c>
      <c r="W32" s="55" t="str">
        <f t="shared" ref="W32:X32" si="26">W25</f>
        <v>LA2015</v>
      </c>
      <c r="X32" s="393" t="str">
        <f t="shared" si="26"/>
        <v>Light</v>
      </c>
    </row>
    <row r="33" spans="2:24" ht="14.4">
      <c r="B33" s="300" t="str">
        <f t="shared" si="5"/>
        <v>INDGDEFFEM</v>
      </c>
      <c r="C33" s="300" t="str">
        <f t="shared" si="6"/>
        <v>IGDEM</v>
      </c>
      <c r="D33" s="300">
        <v>2015</v>
      </c>
      <c r="E33" s="300">
        <v>100</v>
      </c>
      <c r="I33" s="302">
        <v>1</v>
      </c>
      <c r="J33" s="302">
        <v>1</v>
      </c>
      <c r="L33" s="301"/>
      <c r="M33" s="389" t="str">
        <f t="shared" si="2"/>
        <v>INDGDEFFEM</v>
      </c>
      <c r="N33" s="301" t="str">
        <f t="shared" si="3"/>
        <v>Glass &amp; Concrete industry Saving Tech-Electric Motors</v>
      </c>
      <c r="O33" s="301" t="s">
        <v>450</v>
      </c>
      <c r="P33" s="301" t="s">
        <v>536</v>
      </c>
      <c r="Q33" s="301"/>
      <c r="R33" s="301"/>
      <c r="S33" s="301"/>
      <c r="U33" s="397" t="s">
        <v>740</v>
      </c>
      <c r="V33" s="396" t="str">
        <f t="shared" si="23"/>
        <v>Glass &amp; Concrete industry</v>
      </c>
      <c r="W33" s="55" t="str">
        <f t="shared" ref="W33:X33" si="27">W26</f>
        <v>EM2015</v>
      </c>
      <c r="X33" s="393" t="str">
        <f t="shared" si="27"/>
        <v>Electric Motors</v>
      </c>
    </row>
    <row r="34" spans="2:24" ht="14.4">
      <c r="B34" s="300" t="str">
        <f t="shared" si="5"/>
        <v>INDGDEFFTF</v>
      </c>
      <c r="C34" s="300" t="str">
        <f t="shared" si="6"/>
        <v>IGDTF</v>
      </c>
      <c r="D34" s="300">
        <v>2015</v>
      </c>
      <c r="E34" s="300">
        <v>100</v>
      </c>
      <c r="I34" s="302">
        <v>1</v>
      </c>
      <c r="J34" s="302">
        <v>1</v>
      </c>
      <c r="L34" s="303"/>
      <c r="M34" s="389" t="str">
        <f t="shared" si="2"/>
        <v>INDGDEFFTF</v>
      </c>
      <c r="N34" s="301" t="str">
        <f t="shared" si="3"/>
        <v>Glass &amp; Concrete industry Saving Tech-Haulage Tractors, Trucks, Fishing boats</v>
      </c>
      <c r="O34" s="301" t="s">
        <v>450</v>
      </c>
      <c r="P34" s="301" t="s">
        <v>536</v>
      </c>
      <c r="Q34" s="301"/>
      <c r="R34" s="301"/>
      <c r="S34" s="301"/>
      <c r="U34" s="397" t="s">
        <v>740</v>
      </c>
      <c r="V34" s="396" t="str">
        <f t="shared" si="23"/>
        <v>Glass &amp; Concrete industry</v>
      </c>
      <c r="W34" s="55" t="str">
        <f t="shared" ref="W34:X34" si="28">W27</f>
        <v>TF2015</v>
      </c>
      <c r="X34" s="393" t="str">
        <f t="shared" si="28"/>
        <v>Haulage Tractors, Trucks, Fishing boats</v>
      </c>
    </row>
    <row r="35" spans="2:24" ht="14.4">
      <c r="B35" s="300" t="str">
        <f t="shared" si="5"/>
        <v>INDGDEFFFL</v>
      </c>
      <c r="C35" s="300" t="str">
        <f t="shared" si="6"/>
        <v>IGDFL</v>
      </c>
      <c r="D35" s="300">
        <v>2015</v>
      </c>
      <c r="E35" s="300">
        <v>100</v>
      </c>
      <c r="I35" s="302">
        <v>1</v>
      </c>
      <c r="J35" s="302">
        <v>1</v>
      </c>
      <c r="L35" s="303"/>
      <c r="M35" s="389" t="str">
        <f t="shared" si="2"/>
        <v>INDGDEFFFL</v>
      </c>
      <c r="N35" s="301" t="str">
        <f t="shared" si="3"/>
        <v>Glass &amp; Concrete industry Saving Tech-Forklifts</v>
      </c>
      <c r="O35" s="301" t="s">
        <v>450</v>
      </c>
      <c r="P35" s="301" t="s">
        <v>536</v>
      </c>
      <c r="Q35" s="301"/>
      <c r="R35" s="301"/>
      <c r="S35" s="301"/>
      <c r="U35" s="397" t="s">
        <v>740</v>
      </c>
      <c r="V35" s="396" t="str">
        <f t="shared" si="23"/>
        <v>Glass &amp; Concrete industry</v>
      </c>
      <c r="W35" s="55" t="str">
        <f t="shared" ref="W35:X35" si="29">W28</f>
        <v>FL2015</v>
      </c>
      <c r="X35" s="393" t="str">
        <f t="shared" si="29"/>
        <v>Forklifts</v>
      </c>
    </row>
    <row r="36" spans="2:24" ht="14.4">
      <c r="B36" s="300" t="str">
        <f t="shared" si="5"/>
        <v>INDMDEFFMT</v>
      </c>
      <c r="C36" s="300" t="str">
        <f t="shared" si="6"/>
        <v>IMDMT</v>
      </c>
      <c r="D36" s="300">
        <v>2015</v>
      </c>
      <c r="E36" s="300">
        <v>100</v>
      </c>
      <c r="I36" s="302">
        <v>1</v>
      </c>
      <c r="J36" s="302">
        <v>1</v>
      </c>
      <c r="L36" s="301"/>
      <c r="M36" s="389" t="str">
        <f t="shared" si="2"/>
        <v>INDMDEFFMT</v>
      </c>
      <c r="N36" s="301" t="str">
        <f t="shared" si="3"/>
        <v>Metal industry Saving Tech-Heat Medium Temp. up to 150C</v>
      </c>
      <c r="O36" s="301" t="s">
        <v>450</v>
      </c>
      <c r="P36" s="301" t="s">
        <v>536</v>
      </c>
      <c r="Q36" s="301"/>
      <c r="R36" s="301"/>
      <c r="S36" s="301"/>
      <c r="U36" s="397" t="s">
        <v>741</v>
      </c>
      <c r="V36" s="396" t="s">
        <v>541</v>
      </c>
      <c r="W36" s="55" t="str">
        <f t="shared" ref="W36:X36" si="30">W29</f>
        <v>MT2015</v>
      </c>
      <c r="X36" s="393" t="str">
        <f t="shared" si="30"/>
        <v>Heat Medium Temp. up to 150C</v>
      </c>
    </row>
    <row r="37" spans="2:24" ht="14.4">
      <c r="B37" s="300" t="str">
        <f t="shared" si="5"/>
        <v>INDMDEFFHT</v>
      </c>
      <c r="C37" s="300" t="str">
        <f t="shared" si="6"/>
        <v>IMDHT</v>
      </c>
      <c r="D37" s="300">
        <v>2015</v>
      </c>
      <c r="E37" s="300">
        <v>100</v>
      </c>
      <c r="I37" s="302">
        <v>1</v>
      </c>
      <c r="J37" s="302">
        <v>1</v>
      </c>
      <c r="L37" s="301"/>
      <c r="M37" s="389" t="str">
        <f t="shared" si="2"/>
        <v>INDMDEFFHT</v>
      </c>
      <c r="N37" s="301" t="str">
        <f t="shared" si="3"/>
        <v>Metal industry Saving Tech-Heat High Temp. over 150C</v>
      </c>
      <c r="O37" s="301" t="s">
        <v>450</v>
      </c>
      <c r="P37" s="301" t="s">
        <v>536</v>
      </c>
      <c r="Q37" s="303"/>
      <c r="R37" s="303"/>
      <c r="S37" s="303"/>
      <c r="U37" s="397" t="s">
        <v>741</v>
      </c>
      <c r="V37" s="396" t="str">
        <f t="shared" ref="V37:V42" si="31">V36</f>
        <v>Metal industry</v>
      </c>
      <c r="W37" s="55" t="str">
        <f t="shared" ref="W37:X37" si="32">W30</f>
        <v>HT2015</v>
      </c>
      <c r="X37" s="393" t="str">
        <f t="shared" si="32"/>
        <v>Heat High Temp. over 150C</v>
      </c>
    </row>
    <row r="38" spans="2:24" ht="14.4">
      <c r="B38" s="300" t="str">
        <f t="shared" si="5"/>
        <v>INDMDEFFRH</v>
      </c>
      <c r="C38" s="300" t="str">
        <f t="shared" si="6"/>
        <v>IMDRH</v>
      </c>
      <c r="D38" s="300">
        <v>2015</v>
      </c>
      <c r="E38" s="300">
        <v>100</v>
      </c>
      <c r="I38" s="302">
        <v>1</v>
      </c>
      <c r="J38" s="302">
        <v>1</v>
      </c>
      <c r="L38" s="301"/>
      <c r="M38" s="389" t="str">
        <f t="shared" si="2"/>
        <v>INDMDEFFRH</v>
      </c>
      <c r="N38" s="301" t="str">
        <f t="shared" si="3"/>
        <v>Metal industry Saving Tech-Heat Room Heat</v>
      </c>
      <c r="O38" s="301" t="s">
        <v>450</v>
      </c>
      <c r="P38" s="301" t="s">
        <v>536</v>
      </c>
      <c r="Q38" s="301"/>
      <c r="R38" s="301"/>
      <c r="S38" s="301"/>
      <c r="U38" s="397" t="s">
        <v>741</v>
      </c>
      <c r="V38" s="396" t="str">
        <f t="shared" si="31"/>
        <v>Metal industry</v>
      </c>
      <c r="W38" s="55" t="str">
        <f t="shared" ref="W38:X38" si="33">W31</f>
        <v>RH2015</v>
      </c>
      <c r="X38" s="393" t="str">
        <f t="shared" si="33"/>
        <v>Heat Room Heat</v>
      </c>
    </row>
    <row r="39" spans="2:24" ht="14.4">
      <c r="B39" s="300" t="str">
        <f t="shared" si="5"/>
        <v>INDMDEFFLA</v>
      </c>
      <c r="C39" s="300" t="str">
        <f t="shared" si="6"/>
        <v>IMDLA</v>
      </c>
      <c r="D39" s="300">
        <v>2015</v>
      </c>
      <c r="E39" s="300">
        <v>100</v>
      </c>
      <c r="I39" s="302">
        <v>1</v>
      </c>
      <c r="J39" s="302">
        <v>1</v>
      </c>
      <c r="L39" s="301"/>
      <c r="M39" s="389" t="str">
        <f t="shared" si="2"/>
        <v>INDMDEFFLA</v>
      </c>
      <c r="N39" s="301" t="str">
        <f t="shared" si="3"/>
        <v>Metal industry Saving Tech-Light</v>
      </c>
      <c r="O39" s="301" t="s">
        <v>450</v>
      </c>
      <c r="P39" s="301" t="s">
        <v>536</v>
      </c>
      <c r="Q39" s="301"/>
      <c r="R39" s="301"/>
      <c r="S39" s="301"/>
      <c r="U39" s="397" t="s">
        <v>741</v>
      </c>
      <c r="V39" s="396" t="str">
        <f t="shared" si="31"/>
        <v>Metal industry</v>
      </c>
      <c r="W39" s="55" t="str">
        <f t="shared" ref="W39:X39" si="34">W32</f>
        <v>LA2015</v>
      </c>
      <c r="X39" s="393" t="str">
        <f t="shared" si="34"/>
        <v>Light</v>
      </c>
    </row>
    <row r="40" spans="2:24" ht="14.4">
      <c r="B40" s="300" t="str">
        <f t="shared" si="5"/>
        <v>INDMDEFFEM</v>
      </c>
      <c r="C40" s="300" t="str">
        <f t="shared" si="6"/>
        <v>IMDEM</v>
      </c>
      <c r="D40" s="300">
        <v>2015</v>
      </c>
      <c r="E40" s="300">
        <v>100</v>
      </c>
      <c r="I40" s="302">
        <v>1</v>
      </c>
      <c r="J40" s="302">
        <v>1</v>
      </c>
      <c r="L40" s="301"/>
      <c r="M40" s="389" t="str">
        <f t="shared" si="2"/>
        <v>INDMDEFFEM</v>
      </c>
      <c r="N40" s="301" t="str">
        <f t="shared" si="3"/>
        <v>Metal industry Saving Tech-Electric Motors</v>
      </c>
      <c r="O40" s="301" t="s">
        <v>450</v>
      </c>
      <c r="P40" s="301" t="s">
        <v>536</v>
      </c>
      <c r="Q40" s="301"/>
      <c r="R40" s="301"/>
      <c r="S40" s="301"/>
      <c r="U40" s="397" t="s">
        <v>741</v>
      </c>
      <c r="V40" s="396" t="str">
        <f t="shared" si="31"/>
        <v>Metal industry</v>
      </c>
      <c r="W40" s="55" t="str">
        <f t="shared" ref="W40:X40" si="35">W33</f>
        <v>EM2015</v>
      </c>
      <c r="X40" s="393" t="str">
        <f t="shared" si="35"/>
        <v>Electric Motors</v>
      </c>
    </row>
    <row r="41" spans="2:24" ht="14.4">
      <c r="B41" s="300" t="str">
        <f t="shared" si="5"/>
        <v>INDMDEFFTF</v>
      </c>
      <c r="C41" s="300" t="str">
        <f t="shared" si="6"/>
        <v>IMDTF</v>
      </c>
      <c r="D41" s="300">
        <v>2015</v>
      </c>
      <c r="E41" s="300">
        <v>100</v>
      </c>
      <c r="I41" s="302">
        <v>1</v>
      </c>
      <c r="J41" s="302">
        <v>1</v>
      </c>
      <c r="L41" s="303"/>
      <c r="M41" s="389" t="str">
        <f t="shared" si="2"/>
        <v>INDMDEFFTF</v>
      </c>
      <c r="N41" s="301" t="str">
        <f t="shared" si="3"/>
        <v>Metal industry Saving Tech-Haulage Tractors, Trucks, Fishing boats</v>
      </c>
      <c r="O41" s="301" t="s">
        <v>450</v>
      </c>
      <c r="P41" s="301" t="s">
        <v>536</v>
      </c>
      <c r="Q41" s="301"/>
      <c r="R41" s="301"/>
      <c r="S41" s="301"/>
      <c r="U41" s="397" t="s">
        <v>741</v>
      </c>
      <c r="V41" s="396" t="str">
        <f t="shared" si="31"/>
        <v>Metal industry</v>
      </c>
      <c r="W41" s="55" t="str">
        <f t="shared" ref="W41:X41" si="36">W34</f>
        <v>TF2015</v>
      </c>
      <c r="X41" s="393" t="str">
        <f t="shared" si="36"/>
        <v>Haulage Tractors, Trucks, Fishing boats</v>
      </c>
    </row>
    <row r="42" spans="2:24" ht="14.4">
      <c r="B42" s="300" t="str">
        <f t="shared" si="5"/>
        <v>INDMDEFFFL</v>
      </c>
      <c r="C42" s="300" t="str">
        <f t="shared" si="6"/>
        <v>IMDFL</v>
      </c>
      <c r="D42" s="300">
        <v>2015</v>
      </c>
      <c r="E42" s="300">
        <v>100</v>
      </c>
      <c r="I42" s="302">
        <v>1</v>
      </c>
      <c r="J42" s="302">
        <v>1</v>
      </c>
      <c r="L42" s="303"/>
      <c r="M42" s="389" t="str">
        <f t="shared" si="2"/>
        <v>INDMDEFFFL</v>
      </c>
      <c r="N42" s="301" t="str">
        <f t="shared" si="3"/>
        <v>Metal industry Saving Tech-Forklifts</v>
      </c>
      <c r="O42" s="301" t="s">
        <v>450</v>
      </c>
      <c r="P42" s="301" t="s">
        <v>536</v>
      </c>
      <c r="Q42" s="301"/>
      <c r="R42" s="301"/>
      <c r="S42" s="301"/>
      <c r="U42" s="397" t="s">
        <v>741</v>
      </c>
      <c r="V42" s="396" t="str">
        <f t="shared" si="31"/>
        <v>Metal industry</v>
      </c>
      <c r="W42" s="55" t="str">
        <f t="shared" ref="W42:X42" si="37">W35</f>
        <v>FL2015</v>
      </c>
      <c r="X42" s="393" t="str">
        <f t="shared" si="37"/>
        <v>Forklifts</v>
      </c>
    </row>
    <row r="43" spans="2:24" ht="14.4">
      <c r="B43" s="300" t="str">
        <f t="shared" si="5"/>
        <v>INDODEFFMT</v>
      </c>
      <c r="C43" s="300" t="str">
        <f t="shared" si="6"/>
        <v>IODMT</v>
      </c>
      <c r="D43" s="300">
        <v>2015</v>
      </c>
      <c r="E43" s="300">
        <v>100</v>
      </c>
      <c r="I43" s="302">
        <v>1</v>
      </c>
      <c r="J43" s="302">
        <v>1</v>
      </c>
      <c r="L43" s="301"/>
      <c r="M43" s="389" t="str">
        <f t="shared" si="2"/>
        <v>INDODEFFMT</v>
      </c>
      <c r="N43" s="301" t="str">
        <f t="shared" si="3"/>
        <v>Other comm Saving Tech-Heat Medium Temp. up to 150C</v>
      </c>
      <c r="O43" s="301" t="s">
        <v>450</v>
      </c>
      <c r="P43" s="301" t="s">
        <v>536</v>
      </c>
      <c r="Q43" s="303"/>
      <c r="R43" s="303"/>
      <c r="S43" s="303"/>
      <c r="U43" s="397" t="s">
        <v>742</v>
      </c>
      <c r="V43" s="396" t="s">
        <v>524</v>
      </c>
      <c r="W43" s="55" t="str">
        <f t="shared" ref="W43:X43" si="38">W36</f>
        <v>MT2015</v>
      </c>
      <c r="X43" s="393" t="str">
        <f t="shared" si="38"/>
        <v>Heat Medium Temp. up to 150C</v>
      </c>
    </row>
    <row r="44" spans="2:24" ht="14.4">
      <c r="B44" s="300" t="str">
        <f t="shared" si="5"/>
        <v>INDODEFFHT</v>
      </c>
      <c r="C44" s="300" t="str">
        <f t="shared" si="6"/>
        <v>IODHT</v>
      </c>
      <c r="D44" s="300">
        <v>2015</v>
      </c>
      <c r="E44" s="300">
        <v>100</v>
      </c>
      <c r="I44" s="302">
        <v>1</v>
      </c>
      <c r="J44" s="302">
        <v>1</v>
      </c>
      <c r="L44" s="301"/>
      <c r="M44" s="389" t="str">
        <f t="shared" si="2"/>
        <v>INDODEFFHT</v>
      </c>
      <c r="N44" s="301" t="str">
        <f t="shared" si="3"/>
        <v>Other comm Saving Tech-Heat High Temp. over 150C</v>
      </c>
      <c r="O44" s="301" t="s">
        <v>450</v>
      </c>
      <c r="P44" s="301" t="s">
        <v>536</v>
      </c>
      <c r="Q44" s="301"/>
      <c r="R44" s="301"/>
      <c r="S44" s="301"/>
      <c r="U44" s="397" t="s">
        <v>742</v>
      </c>
      <c r="V44" s="396" t="str">
        <f t="shared" ref="V44:V49" si="39">V43</f>
        <v>Other comm</v>
      </c>
      <c r="W44" s="55" t="str">
        <f t="shared" ref="W44:X44" si="40">W37</f>
        <v>HT2015</v>
      </c>
      <c r="X44" s="393" t="str">
        <f t="shared" si="40"/>
        <v>Heat High Temp. over 150C</v>
      </c>
    </row>
    <row r="45" spans="2:24" ht="14.4">
      <c r="B45" s="300" t="str">
        <f t="shared" si="5"/>
        <v>INDODEFFRH</v>
      </c>
      <c r="C45" s="300" t="str">
        <f t="shared" si="6"/>
        <v>IODRH</v>
      </c>
      <c r="D45" s="300">
        <v>2015</v>
      </c>
      <c r="E45" s="300">
        <v>100</v>
      </c>
      <c r="I45" s="302">
        <v>1</v>
      </c>
      <c r="J45" s="302">
        <v>1</v>
      </c>
      <c r="L45" s="301"/>
      <c r="M45" s="389" t="str">
        <f t="shared" si="2"/>
        <v>INDODEFFRH</v>
      </c>
      <c r="N45" s="301" t="str">
        <f t="shared" si="3"/>
        <v>Other comm Saving Tech-Heat Room Heat</v>
      </c>
      <c r="O45" s="301" t="s">
        <v>450</v>
      </c>
      <c r="P45" s="301" t="s">
        <v>536</v>
      </c>
      <c r="Q45" s="301"/>
      <c r="R45" s="301"/>
      <c r="S45" s="301"/>
      <c r="U45" s="397" t="s">
        <v>742</v>
      </c>
      <c r="V45" s="396" t="str">
        <f t="shared" si="39"/>
        <v>Other comm</v>
      </c>
      <c r="W45" s="55" t="str">
        <f t="shared" ref="W45:X45" si="41">W38</f>
        <v>RH2015</v>
      </c>
      <c r="X45" s="393" t="str">
        <f t="shared" si="41"/>
        <v>Heat Room Heat</v>
      </c>
    </row>
    <row r="46" spans="2:24" ht="14.4">
      <c r="B46" s="300" t="str">
        <f t="shared" si="5"/>
        <v>INDODEFFLA</v>
      </c>
      <c r="C46" s="300" t="str">
        <f t="shared" si="6"/>
        <v>IODLA</v>
      </c>
      <c r="D46" s="300">
        <v>2015</v>
      </c>
      <c r="E46" s="300">
        <v>100</v>
      </c>
      <c r="I46" s="302">
        <v>1</v>
      </c>
      <c r="J46" s="302">
        <v>1</v>
      </c>
      <c r="L46" s="301"/>
      <c r="M46" s="389" t="str">
        <f t="shared" si="2"/>
        <v>INDODEFFLA</v>
      </c>
      <c r="N46" s="301" t="str">
        <f t="shared" si="3"/>
        <v>Other comm Saving Tech-Light</v>
      </c>
      <c r="O46" s="301" t="s">
        <v>450</v>
      </c>
      <c r="P46" s="301" t="s">
        <v>536</v>
      </c>
      <c r="Q46" s="301"/>
      <c r="R46" s="301"/>
      <c r="S46" s="301"/>
      <c r="U46" s="397" t="s">
        <v>742</v>
      </c>
      <c r="V46" s="396" t="str">
        <f t="shared" si="39"/>
        <v>Other comm</v>
      </c>
      <c r="W46" s="55" t="str">
        <f t="shared" ref="W46:X46" si="42">W39</f>
        <v>LA2015</v>
      </c>
      <c r="X46" s="393" t="str">
        <f t="shared" si="42"/>
        <v>Light</v>
      </c>
    </row>
    <row r="47" spans="2:24" ht="14.4">
      <c r="B47" s="300" t="str">
        <f t="shared" si="5"/>
        <v>INDODEFFEM</v>
      </c>
      <c r="C47" s="300" t="str">
        <f t="shared" si="6"/>
        <v>IODEM</v>
      </c>
      <c r="D47" s="300">
        <v>2015</v>
      </c>
      <c r="E47" s="300">
        <v>100</v>
      </c>
      <c r="I47" s="302">
        <v>1</v>
      </c>
      <c r="J47" s="302">
        <v>1</v>
      </c>
      <c r="L47" s="301"/>
      <c r="M47" s="389" t="str">
        <f t="shared" si="2"/>
        <v>INDODEFFEM</v>
      </c>
      <c r="N47" s="301" t="str">
        <f t="shared" si="3"/>
        <v>Other comm Saving Tech-Electric Motors</v>
      </c>
      <c r="O47" s="301" t="s">
        <v>450</v>
      </c>
      <c r="P47" s="301" t="s">
        <v>536</v>
      </c>
      <c r="Q47" s="301"/>
      <c r="R47" s="301"/>
      <c r="S47" s="301"/>
      <c r="U47" s="397" t="s">
        <v>742</v>
      </c>
      <c r="V47" s="396" t="str">
        <f t="shared" si="39"/>
        <v>Other comm</v>
      </c>
      <c r="W47" s="55" t="str">
        <f t="shared" ref="W47:X47" si="43">W40</f>
        <v>EM2015</v>
      </c>
      <c r="X47" s="393" t="str">
        <f t="shared" si="43"/>
        <v>Electric Motors</v>
      </c>
    </row>
    <row r="48" spans="2:24" ht="14.4">
      <c r="B48" s="300" t="str">
        <f t="shared" si="5"/>
        <v>INDODEFFTF</v>
      </c>
      <c r="C48" s="300" t="str">
        <f t="shared" si="6"/>
        <v>IODTF</v>
      </c>
      <c r="D48" s="300">
        <v>2015</v>
      </c>
      <c r="E48" s="300">
        <v>100</v>
      </c>
      <c r="I48" s="302">
        <v>1</v>
      </c>
      <c r="J48" s="302">
        <v>1</v>
      </c>
      <c r="L48" s="303"/>
      <c r="M48" s="389" t="str">
        <f t="shared" si="2"/>
        <v>INDODEFFTF</v>
      </c>
      <c r="N48" s="301" t="str">
        <f t="shared" si="3"/>
        <v>Other comm Saving Tech-Haulage Tractors, Trucks, Fishing boats</v>
      </c>
      <c r="O48" s="301" t="s">
        <v>450</v>
      </c>
      <c r="P48" s="301" t="s">
        <v>536</v>
      </c>
      <c r="Q48" s="301"/>
      <c r="R48" s="301"/>
      <c r="S48" s="301"/>
      <c r="U48" s="397" t="s">
        <v>742</v>
      </c>
      <c r="V48" s="396" t="str">
        <f t="shared" si="39"/>
        <v>Other comm</v>
      </c>
      <c r="W48" s="55" t="str">
        <f t="shared" ref="W48:X48" si="44">W41</f>
        <v>TF2015</v>
      </c>
      <c r="X48" s="393" t="str">
        <f t="shared" si="44"/>
        <v>Haulage Tractors, Trucks, Fishing boats</v>
      </c>
    </row>
    <row r="49" spans="2:24" ht="14.4">
      <c r="B49" s="300" t="str">
        <f t="shared" si="5"/>
        <v>INDODEFFFL</v>
      </c>
      <c r="C49" s="300" t="str">
        <f t="shared" si="6"/>
        <v>IODFL</v>
      </c>
      <c r="D49" s="300">
        <v>2015</v>
      </c>
      <c r="E49" s="300">
        <v>100</v>
      </c>
      <c r="I49" s="302">
        <v>1</v>
      </c>
      <c r="J49" s="302">
        <v>1</v>
      </c>
      <c r="L49" s="303"/>
      <c r="M49" s="389" t="str">
        <f t="shared" si="2"/>
        <v>INDODEFFFL</v>
      </c>
      <c r="N49" s="301" t="str">
        <f t="shared" si="3"/>
        <v>Other comm Saving Tech-Forklifts</v>
      </c>
      <c r="O49" s="301" t="s">
        <v>450</v>
      </c>
      <c r="P49" s="301" t="s">
        <v>536</v>
      </c>
      <c r="Q49" s="301"/>
      <c r="R49" s="301"/>
      <c r="S49" s="301"/>
      <c r="U49" s="397" t="s">
        <v>742</v>
      </c>
      <c r="V49" s="396" t="str">
        <f t="shared" si="39"/>
        <v>Other comm</v>
      </c>
      <c r="W49" s="55" t="str">
        <f t="shared" ref="W49:X49" si="45">W42</f>
        <v>FL2015</v>
      </c>
      <c r="X49" s="393" t="str">
        <f t="shared" si="45"/>
        <v>Forklifts</v>
      </c>
    </row>
    <row r="50" spans="2:24" ht="14.4">
      <c r="B50" s="300" t="str">
        <f t="shared" si="5"/>
        <v>INDVDEFFMT</v>
      </c>
      <c r="C50" s="300" t="str">
        <f t="shared" si="6"/>
        <v>IVDMT</v>
      </c>
      <c r="D50" s="300">
        <v>2015</v>
      </c>
      <c r="E50" s="300">
        <v>100</v>
      </c>
      <c r="I50" s="302">
        <v>1</v>
      </c>
      <c r="J50" s="302">
        <v>1</v>
      </c>
      <c r="L50" s="301"/>
      <c r="M50" s="389" t="str">
        <f t="shared" si="2"/>
        <v>INDVDEFFMT</v>
      </c>
      <c r="N50" s="301" t="str">
        <f t="shared" si="3"/>
        <v>Motor vehicles Saving Tech-Heat Medium Temp. up to 150C</v>
      </c>
      <c r="O50" s="301" t="s">
        <v>450</v>
      </c>
      <c r="P50" s="301" t="s">
        <v>536</v>
      </c>
      <c r="Q50" s="301"/>
      <c r="R50" s="301"/>
      <c r="S50" s="301"/>
      <c r="U50" s="397" t="s">
        <v>743</v>
      </c>
      <c r="V50" s="396" t="s">
        <v>540</v>
      </c>
      <c r="W50" s="55" t="str">
        <f t="shared" ref="W50:X50" si="46">W43</f>
        <v>MT2015</v>
      </c>
      <c r="X50" s="393" t="str">
        <f t="shared" si="46"/>
        <v>Heat Medium Temp. up to 150C</v>
      </c>
    </row>
    <row r="51" spans="2:24" ht="14.4">
      <c r="B51" s="300" t="str">
        <f t="shared" si="5"/>
        <v>INDVDEFFHT</v>
      </c>
      <c r="C51" s="300" t="str">
        <f t="shared" si="6"/>
        <v>IVDHT</v>
      </c>
      <c r="D51" s="300">
        <v>2015</v>
      </c>
      <c r="E51" s="300">
        <v>100</v>
      </c>
      <c r="I51" s="302">
        <v>1</v>
      </c>
      <c r="J51" s="302">
        <v>1</v>
      </c>
      <c r="L51" s="301"/>
      <c r="M51" s="389" t="str">
        <f t="shared" si="2"/>
        <v>INDVDEFFHT</v>
      </c>
      <c r="N51" s="301" t="str">
        <f t="shared" si="3"/>
        <v>Motor vehicles Saving Tech-Heat High Temp. over 150C</v>
      </c>
      <c r="O51" s="301" t="s">
        <v>450</v>
      </c>
      <c r="P51" s="301" t="s">
        <v>536</v>
      </c>
      <c r="Q51" s="301"/>
      <c r="R51" s="301"/>
      <c r="S51" s="301"/>
      <c r="U51" s="397" t="s">
        <v>743</v>
      </c>
      <c r="V51" s="396" t="str">
        <f t="shared" ref="V51:V56" si="47">V50</f>
        <v>Motor vehicles</v>
      </c>
      <c r="W51" s="55" t="str">
        <f t="shared" ref="W51:X51" si="48">W44</f>
        <v>HT2015</v>
      </c>
      <c r="X51" s="393" t="str">
        <f t="shared" si="48"/>
        <v>Heat High Temp. over 150C</v>
      </c>
    </row>
    <row r="52" spans="2:24" ht="14.4">
      <c r="B52" s="300" t="str">
        <f t="shared" si="5"/>
        <v>INDVDEFFRH</v>
      </c>
      <c r="C52" s="300" t="str">
        <f t="shared" si="6"/>
        <v>IVDRH</v>
      </c>
      <c r="D52" s="300">
        <v>2015</v>
      </c>
      <c r="E52" s="300">
        <v>100</v>
      </c>
      <c r="I52" s="302">
        <v>1</v>
      </c>
      <c r="J52" s="302">
        <v>1</v>
      </c>
      <c r="L52" s="301"/>
      <c r="M52" s="389" t="str">
        <f t="shared" si="2"/>
        <v>INDVDEFFRH</v>
      </c>
      <c r="N52" s="301" t="str">
        <f t="shared" si="3"/>
        <v>Motor vehicles Saving Tech-Heat Room Heat</v>
      </c>
      <c r="O52" s="301" t="s">
        <v>450</v>
      </c>
      <c r="P52" s="301" t="s">
        <v>536</v>
      </c>
      <c r="Q52" s="301"/>
      <c r="R52" s="301"/>
      <c r="S52" s="301"/>
      <c r="U52" s="397" t="s">
        <v>743</v>
      </c>
      <c r="V52" s="396" t="str">
        <f t="shared" si="47"/>
        <v>Motor vehicles</v>
      </c>
      <c r="W52" s="55" t="str">
        <f t="shared" ref="W52:X52" si="49">W45</f>
        <v>RH2015</v>
      </c>
      <c r="X52" s="393" t="str">
        <f t="shared" si="49"/>
        <v>Heat Room Heat</v>
      </c>
    </row>
    <row r="53" spans="2:24" ht="14.4">
      <c r="B53" s="300" t="str">
        <f t="shared" si="5"/>
        <v>INDVDEFFLA</v>
      </c>
      <c r="C53" s="300" t="str">
        <f t="shared" si="6"/>
        <v>IVDLA</v>
      </c>
      <c r="D53" s="300">
        <v>2015</v>
      </c>
      <c r="E53" s="300">
        <v>100</v>
      </c>
      <c r="I53" s="302">
        <v>1</v>
      </c>
      <c r="J53" s="302">
        <v>1</v>
      </c>
      <c r="L53" s="301"/>
      <c r="M53" s="389" t="str">
        <f t="shared" si="2"/>
        <v>INDVDEFFLA</v>
      </c>
      <c r="N53" s="301" t="str">
        <f t="shared" si="3"/>
        <v>Motor vehicles Saving Tech-Light</v>
      </c>
      <c r="O53" s="301" t="s">
        <v>450</v>
      </c>
      <c r="P53" s="301" t="s">
        <v>536</v>
      </c>
      <c r="Q53" s="301"/>
      <c r="R53" s="301"/>
      <c r="S53" s="301"/>
      <c r="U53" s="397" t="s">
        <v>743</v>
      </c>
      <c r="V53" s="396" t="str">
        <f t="shared" si="47"/>
        <v>Motor vehicles</v>
      </c>
      <c r="W53" s="55" t="str">
        <f t="shared" ref="W53:X53" si="50">W46</f>
        <v>LA2015</v>
      </c>
      <c r="X53" s="393" t="str">
        <f t="shared" si="50"/>
        <v>Light</v>
      </c>
    </row>
    <row r="54" spans="2:24" ht="14.4">
      <c r="B54" s="300" t="str">
        <f t="shared" si="5"/>
        <v>INDVDEFFEM</v>
      </c>
      <c r="C54" s="300" t="str">
        <f t="shared" si="6"/>
        <v>IVDEM</v>
      </c>
      <c r="D54" s="300">
        <v>2015</v>
      </c>
      <c r="E54" s="300">
        <v>100</v>
      </c>
      <c r="I54" s="302">
        <v>1</v>
      </c>
      <c r="J54" s="302">
        <v>1</v>
      </c>
      <c r="L54" s="301"/>
      <c r="M54" s="389" t="str">
        <f t="shared" si="2"/>
        <v>INDVDEFFEM</v>
      </c>
      <c r="N54" s="301" t="str">
        <f t="shared" si="3"/>
        <v>Motor vehicles Saving Tech-Electric Motors</v>
      </c>
      <c r="O54" s="301" t="s">
        <v>450</v>
      </c>
      <c r="P54" s="301" t="s">
        <v>536</v>
      </c>
      <c r="Q54" s="301"/>
      <c r="R54" s="301"/>
      <c r="S54" s="301"/>
      <c r="U54" s="397" t="s">
        <v>743</v>
      </c>
      <c r="V54" s="396" t="str">
        <f t="shared" si="47"/>
        <v>Motor vehicles</v>
      </c>
      <c r="W54" s="55" t="str">
        <f t="shared" ref="W54:X54" si="51">W47</f>
        <v>EM2015</v>
      </c>
      <c r="X54" s="393" t="str">
        <f t="shared" si="51"/>
        <v>Electric Motors</v>
      </c>
    </row>
    <row r="55" spans="2:24" ht="14.4">
      <c r="B55" s="300" t="str">
        <f t="shared" si="5"/>
        <v>INDVDEFFTF</v>
      </c>
      <c r="C55" s="300" t="str">
        <f t="shared" si="6"/>
        <v>IVDTF</v>
      </c>
      <c r="D55" s="300">
        <v>2015</v>
      </c>
      <c r="E55" s="300">
        <v>100</v>
      </c>
      <c r="I55" s="302">
        <v>1</v>
      </c>
      <c r="J55" s="302">
        <v>1</v>
      </c>
      <c r="L55" s="303"/>
      <c r="M55" s="389" t="str">
        <f t="shared" si="2"/>
        <v>INDVDEFFTF</v>
      </c>
      <c r="N55" s="301" t="str">
        <f t="shared" si="3"/>
        <v>Motor vehicles Saving Tech-Haulage Tractors, Trucks, Fishing boats</v>
      </c>
      <c r="O55" s="301" t="s">
        <v>450</v>
      </c>
      <c r="P55" s="301" t="s">
        <v>536</v>
      </c>
      <c r="Q55" s="303"/>
      <c r="R55" s="303"/>
      <c r="S55" s="303"/>
      <c r="U55" s="397" t="s">
        <v>743</v>
      </c>
      <c r="V55" s="396" t="str">
        <f t="shared" si="47"/>
        <v>Motor vehicles</v>
      </c>
      <c r="W55" s="55" t="str">
        <f t="shared" ref="W55:X55" si="52">W48</f>
        <v>TF2015</v>
      </c>
      <c r="X55" s="393" t="str">
        <f t="shared" si="52"/>
        <v>Haulage Tractors, Trucks, Fishing boats</v>
      </c>
    </row>
    <row r="56" spans="2:24" ht="14.4">
      <c r="B56" s="300" t="str">
        <f t="shared" si="5"/>
        <v>INDVDEFFFL</v>
      </c>
      <c r="C56" s="300" t="str">
        <f t="shared" si="6"/>
        <v>IVDFL</v>
      </c>
      <c r="D56" s="300">
        <v>2015</v>
      </c>
      <c r="E56" s="300">
        <v>100</v>
      </c>
      <c r="I56" s="302">
        <v>1</v>
      </c>
      <c r="J56" s="302">
        <v>1</v>
      </c>
      <c r="L56" s="303"/>
      <c r="M56" s="389" t="str">
        <f t="shared" si="2"/>
        <v>INDVDEFFFL</v>
      </c>
      <c r="N56" s="301" t="str">
        <f t="shared" si="3"/>
        <v>Motor vehicles Saving Tech-Forklifts</v>
      </c>
      <c r="O56" s="301" t="s">
        <v>450</v>
      </c>
      <c r="P56" s="301" t="s">
        <v>536</v>
      </c>
      <c r="Q56" s="303"/>
      <c r="R56" s="303"/>
      <c r="S56" s="303"/>
      <c r="U56" s="397" t="s">
        <v>743</v>
      </c>
      <c r="V56" s="396" t="str">
        <f t="shared" si="47"/>
        <v>Motor vehicles</v>
      </c>
      <c r="W56" s="55" t="str">
        <f t="shared" ref="W56:X56" si="53">W49</f>
        <v>FL2015</v>
      </c>
      <c r="X56" s="393" t="str">
        <f t="shared" si="53"/>
        <v>Forklifts</v>
      </c>
    </row>
    <row r="57" spans="2:24" ht="14.4">
      <c r="B57" s="300" t="str">
        <f t="shared" ref="B57:B70" si="54">"IND"&amp;RIGHT(U57,2)&amp;"EFF"&amp;LEFT(W57,2)</f>
        <v>INDLDEFFMT</v>
      </c>
      <c r="C57" s="300" t="str">
        <f t="shared" ref="C57:C70" si="55">U57&amp;LEFT(W57,2)</f>
        <v>ILDMT</v>
      </c>
      <c r="D57" s="300">
        <v>2015</v>
      </c>
      <c r="E57" s="300">
        <v>100</v>
      </c>
      <c r="I57" s="302">
        <v>1</v>
      </c>
      <c r="J57" s="302">
        <v>1</v>
      </c>
      <c r="L57" s="303"/>
      <c r="M57" s="389" t="str">
        <f t="shared" ref="M57:M70" si="56">B57</f>
        <v>INDLDEFFMT</v>
      </c>
      <c r="N57" s="301" t="str">
        <f t="shared" ref="N57:N70" si="57">V57&amp;" Saving Tech"&amp;"-"&amp;X57</f>
        <v>Other utilities Saving Tech-Heat Medium Temp. up to 150C</v>
      </c>
      <c r="O57" s="301" t="s">
        <v>450</v>
      </c>
      <c r="P57" s="301" t="s">
        <v>536</v>
      </c>
      <c r="Q57" s="303"/>
      <c r="R57" s="303"/>
      <c r="S57" s="303"/>
      <c r="U57" s="397" t="s">
        <v>747</v>
      </c>
      <c r="V57" s="394" t="s">
        <v>748</v>
      </c>
      <c r="W57" s="55" t="str">
        <f t="shared" ref="W57:X57" si="58">W36</f>
        <v>MT2015</v>
      </c>
      <c r="X57" s="393" t="str">
        <f t="shared" si="58"/>
        <v>Heat Medium Temp. up to 150C</v>
      </c>
    </row>
    <row r="58" spans="2:24" ht="14.4">
      <c r="B58" s="300" t="str">
        <f t="shared" si="54"/>
        <v>INDLDEFFHT</v>
      </c>
      <c r="C58" s="300" t="str">
        <f t="shared" si="55"/>
        <v>ILDHT</v>
      </c>
      <c r="D58" s="300">
        <v>2015</v>
      </c>
      <c r="E58" s="300">
        <v>100</v>
      </c>
      <c r="I58" s="302">
        <v>1</v>
      </c>
      <c r="J58" s="302">
        <v>1</v>
      </c>
      <c r="L58" s="303"/>
      <c r="M58" s="389" t="str">
        <f t="shared" si="56"/>
        <v>INDLDEFFHT</v>
      </c>
      <c r="N58" s="301" t="str">
        <f t="shared" si="57"/>
        <v>Other utilities Saving Tech-Heat High Temp. over 150C</v>
      </c>
      <c r="O58" s="301" t="s">
        <v>450</v>
      </c>
      <c r="P58" s="301" t="s">
        <v>536</v>
      </c>
      <c r="Q58" s="303"/>
      <c r="R58" s="303"/>
      <c r="S58" s="303"/>
      <c r="U58" s="397" t="s">
        <v>747</v>
      </c>
      <c r="V58" s="394" t="s">
        <v>748</v>
      </c>
      <c r="W58" s="55" t="str">
        <f t="shared" ref="W58:X58" si="59">W37</f>
        <v>HT2015</v>
      </c>
      <c r="X58" s="393" t="str">
        <f t="shared" si="59"/>
        <v>Heat High Temp. over 150C</v>
      </c>
    </row>
    <row r="59" spans="2:24" ht="14.4">
      <c r="B59" s="300" t="str">
        <f t="shared" si="54"/>
        <v>INDLDEFFRH</v>
      </c>
      <c r="C59" s="300" t="str">
        <f t="shared" si="55"/>
        <v>ILDRH</v>
      </c>
      <c r="D59" s="300">
        <v>2015</v>
      </c>
      <c r="E59" s="300">
        <v>100</v>
      </c>
      <c r="I59" s="302">
        <v>1</v>
      </c>
      <c r="J59" s="302">
        <v>1</v>
      </c>
      <c r="L59" s="303"/>
      <c r="M59" s="389" t="str">
        <f t="shared" si="56"/>
        <v>INDLDEFFRH</v>
      </c>
      <c r="N59" s="301" t="str">
        <f t="shared" si="57"/>
        <v>Other utilities Saving Tech-Heat Room Heat</v>
      </c>
      <c r="O59" s="301" t="s">
        <v>450</v>
      </c>
      <c r="P59" s="301" t="s">
        <v>536</v>
      </c>
      <c r="Q59" s="303"/>
      <c r="R59" s="303"/>
      <c r="S59" s="303"/>
      <c r="U59" s="397" t="s">
        <v>747</v>
      </c>
      <c r="V59" s="394" t="s">
        <v>748</v>
      </c>
      <c r="W59" s="55" t="str">
        <f t="shared" ref="W59:X59" si="60">W38</f>
        <v>RH2015</v>
      </c>
      <c r="X59" s="393" t="str">
        <f t="shared" si="60"/>
        <v>Heat Room Heat</v>
      </c>
    </row>
    <row r="60" spans="2:24" ht="14.4">
      <c r="B60" s="300" t="str">
        <f t="shared" si="54"/>
        <v>INDLDEFFLA</v>
      </c>
      <c r="C60" s="300" t="str">
        <f t="shared" si="55"/>
        <v>ILDLA</v>
      </c>
      <c r="D60" s="300">
        <v>2015</v>
      </c>
      <c r="E60" s="300">
        <v>100</v>
      </c>
      <c r="I60" s="302">
        <v>1</v>
      </c>
      <c r="J60" s="302">
        <v>1</v>
      </c>
      <c r="L60" s="303"/>
      <c r="M60" s="389" t="str">
        <f t="shared" si="56"/>
        <v>INDLDEFFLA</v>
      </c>
      <c r="N60" s="301" t="str">
        <f t="shared" si="57"/>
        <v>Other utilities Saving Tech-Light</v>
      </c>
      <c r="O60" s="301" t="s">
        <v>450</v>
      </c>
      <c r="P60" s="301" t="s">
        <v>536</v>
      </c>
      <c r="Q60" s="303"/>
      <c r="R60" s="303"/>
      <c r="S60" s="303"/>
      <c r="U60" s="397" t="s">
        <v>747</v>
      </c>
      <c r="V60" s="394" t="s">
        <v>748</v>
      </c>
      <c r="W60" s="55" t="str">
        <f t="shared" ref="W60:X60" si="61">W39</f>
        <v>LA2015</v>
      </c>
      <c r="X60" s="393" t="str">
        <f t="shared" si="61"/>
        <v>Light</v>
      </c>
    </row>
    <row r="61" spans="2:24" ht="14.4">
      <c r="B61" s="300" t="str">
        <f t="shared" si="54"/>
        <v>INDLDEFFEM</v>
      </c>
      <c r="C61" s="300" t="str">
        <f t="shared" si="55"/>
        <v>ILDEM</v>
      </c>
      <c r="D61" s="300">
        <v>2015</v>
      </c>
      <c r="E61" s="300">
        <v>100</v>
      </c>
      <c r="I61" s="302">
        <v>1</v>
      </c>
      <c r="J61" s="302">
        <v>1</v>
      </c>
      <c r="L61" s="303"/>
      <c r="M61" s="389" t="str">
        <f t="shared" si="56"/>
        <v>INDLDEFFEM</v>
      </c>
      <c r="N61" s="301" t="str">
        <f t="shared" si="57"/>
        <v>Other utilities Saving Tech-Electric Motors</v>
      </c>
      <c r="O61" s="301" t="s">
        <v>450</v>
      </c>
      <c r="P61" s="301" t="s">
        <v>536</v>
      </c>
      <c r="Q61" s="303"/>
      <c r="R61" s="303"/>
      <c r="S61" s="303"/>
      <c r="U61" s="397" t="s">
        <v>747</v>
      </c>
      <c r="V61" s="394" t="s">
        <v>748</v>
      </c>
      <c r="W61" s="55" t="str">
        <f t="shared" ref="W61:X61" si="62">W40</f>
        <v>EM2015</v>
      </c>
      <c r="X61" s="393" t="str">
        <f t="shared" si="62"/>
        <v>Electric Motors</v>
      </c>
    </row>
    <row r="62" spans="2:24" ht="14.4">
      <c r="B62" s="300" t="str">
        <f t="shared" si="54"/>
        <v>INDLDEFFTF</v>
      </c>
      <c r="C62" s="300" t="str">
        <f t="shared" si="55"/>
        <v>ILDTF</v>
      </c>
      <c r="D62" s="300">
        <v>2015</v>
      </c>
      <c r="E62" s="300">
        <v>100</v>
      </c>
      <c r="I62" s="302">
        <v>1</v>
      </c>
      <c r="J62" s="302">
        <v>1</v>
      </c>
      <c r="L62" s="303"/>
      <c r="M62" s="389" t="str">
        <f t="shared" si="56"/>
        <v>INDLDEFFTF</v>
      </c>
      <c r="N62" s="301" t="str">
        <f t="shared" si="57"/>
        <v>Other utilities Saving Tech-Haulage Tractors, Trucks, Fishing boats</v>
      </c>
      <c r="O62" s="301" t="s">
        <v>450</v>
      </c>
      <c r="P62" s="301" t="s">
        <v>536</v>
      </c>
      <c r="Q62" s="303"/>
      <c r="R62" s="303"/>
      <c r="S62" s="303"/>
      <c r="U62" s="397" t="s">
        <v>747</v>
      </c>
      <c r="V62" s="394" t="s">
        <v>748</v>
      </c>
      <c r="W62" s="55" t="str">
        <f t="shared" ref="W62:X62" si="63">W41</f>
        <v>TF2015</v>
      </c>
      <c r="X62" s="393" t="str">
        <f t="shared" si="63"/>
        <v>Haulage Tractors, Trucks, Fishing boats</v>
      </c>
    </row>
    <row r="63" spans="2:24" ht="14.4">
      <c r="B63" s="300" t="str">
        <f t="shared" si="54"/>
        <v>INDLDEFFFL</v>
      </c>
      <c r="C63" s="300" t="str">
        <f t="shared" si="55"/>
        <v>ILDFL</v>
      </c>
      <c r="D63" s="300">
        <v>2015</v>
      </c>
      <c r="E63" s="300">
        <v>100</v>
      </c>
      <c r="I63" s="302">
        <v>1</v>
      </c>
      <c r="J63" s="302">
        <v>1</v>
      </c>
      <c r="L63" s="303"/>
      <c r="M63" s="389" t="str">
        <f t="shared" si="56"/>
        <v>INDLDEFFFL</v>
      </c>
      <c r="N63" s="301" t="str">
        <f t="shared" si="57"/>
        <v>Other utilities Saving Tech-Forklifts</v>
      </c>
      <c r="O63" s="301" t="s">
        <v>450</v>
      </c>
      <c r="P63" s="301" t="s">
        <v>536</v>
      </c>
      <c r="Q63" s="303"/>
      <c r="R63" s="303"/>
      <c r="S63" s="303"/>
      <c r="U63" s="397" t="s">
        <v>747</v>
      </c>
      <c r="V63" s="394" t="s">
        <v>748</v>
      </c>
      <c r="W63" s="55" t="str">
        <f t="shared" ref="W63:X63" si="64">W42</f>
        <v>FL2015</v>
      </c>
      <c r="X63" s="393" t="str">
        <f t="shared" si="64"/>
        <v>Forklifts</v>
      </c>
    </row>
    <row r="64" spans="2:24" ht="14.4">
      <c r="B64" s="300" t="str">
        <f t="shared" si="54"/>
        <v>INDNDEFFMT</v>
      </c>
      <c r="C64" s="300" t="str">
        <f t="shared" si="55"/>
        <v>INDMT</v>
      </c>
      <c r="D64" s="300">
        <v>2015</v>
      </c>
      <c r="E64" s="300">
        <v>100</v>
      </c>
      <c r="I64" s="302">
        <v>1</v>
      </c>
      <c r="J64" s="302">
        <v>1</v>
      </c>
      <c r="L64" s="303"/>
      <c r="M64" s="389" t="str">
        <f t="shared" si="56"/>
        <v>INDNDEFFMT</v>
      </c>
      <c r="N64" s="301" t="str">
        <f t="shared" si="57"/>
        <v>Construction Saving Tech-Heat Medium Temp. up to 150C</v>
      </c>
      <c r="O64" s="301" t="s">
        <v>450</v>
      </c>
      <c r="P64" s="301" t="s">
        <v>536</v>
      </c>
      <c r="Q64" s="303"/>
      <c r="R64" s="303"/>
      <c r="S64" s="303"/>
      <c r="U64" s="397" t="s">
        <v>586</v>
      </c>
      <c r="V64" s="394" t="s">
        <v>568</v>
      </c>
      <c r="W64" s="55" t="str">
        <f t="shared" ref="W64:X64" si="65">W43</f>
        <v>MT2015</v>
      </c>
      <c r="X64" s="393" t="str">
        <f t="shared" si="65"/>
        <v>Heat Medium Temp. up to 150C</v>
      </c>
    </row>
    <row r="65" spans="2:24" ht="14.4">
      <c r="B65" s="300" t="str">
        <f t="shared" si="54"/>
        <v>INDNDEFFHT</v>
      </c>
      <c r="C65" s="300" t="str">
        <f t="shared" si="55"/>
        <v>INDHT</v>
      </c>
      <c r="D65" s="300">
        <v>2015</v>
      </c>
      <c r="E65" s="300">
        <v>100</v>
      </c>
      <c r="I65" s="302">
        <v>1</v>
      </c>
      <c r="J65" s="302">
        <v>1</v>
      </c>
      <c r="L65" s="303"/>
      <c r="M65" s="389" t="str">
        <f t="shared" si="56"/>
        <v>INDNDEFFHT</v>
      </c>
      <c r="N65" s="301" t="str">
        <f t="shared" si="57"/>
        <v>Construction Saving Tech-Heat High Temp. over 150C</v>
      </c>
      <c r="O65" s="301" t="s">
        <v>450</v>
      </c>
      <c r="P65" s="301" t="s">
        <v>536</v>
      </c>
      <c r="Q65" s="303"/>
      <c r="R65" s="303"/>
      <c r="S65" s="303"/>
      <c r="U65" s="397" t="s">
        <v>586</v>
      </c>
      <c r="V65" s="394" t="s">
        <v>568</v>
      </c>
      <c r="W65" s="55" t="str">
        <f t="shared" ref="W65:X65" si="66">W44</f>
        <v>HT2015</v>
      </c>
      <c r="X65" s="393" t="str">
        <f t="shared" si="66"/>
        <v>Heat High Temp. over 150C</v>
      </c>
    </row>
    <row r="66" spans="2:24" ht="14.4">
      <c r="B66" s="300" t="str">
        <f t="shared" si="54"/>
        <v>INDNDEFFRH</v>
      </c>
      <c r="C66" s="300" t="str">
        <f t="shared" si="55"/>
        <v>INDRH</v>
      </c>
      <c r="D66" s="300">
        <v>2015</v>
      </c>
      <c r="E66" s="300">
        <v>100</v>
      </c>
      <c r="I66" s="302">
        <v>1</v>
      </c>
      <c r="J66" s="302">
        <v>1</v>
      </c>
      <c r="L66" s="303"/>
      <c r="M66" s="389" t="str">
        <f t="shared" si="56"/>
        <v>INDNDEFFRH</v>
      </c>
      <c r="N66" s="301" t="str">
        <f t="shared" si="57"/>
        <v>Construction Saving Tech-Heat Room Heat</v>
      </c>
      <c r="O66" s="301" t="s">
        <v>450</v>
      </c>
      <c r="P66" s="301" t="s">
        <v>536</v>
      </c>
      <c r="Q66" s="303"/>
      <c r="R66" s="303"/>
      <c r="S66" s="303"/>
      <c r="U66" s="397" t="s">
        <v>586</v>
      </c>
      <c r="V66" s="394" t="s">
        <v>568</v>
      </c>
      <c r="W66" s="55" t="str">
        <f t="shared" ref="W66:X66" si="67">W45</f>
        <v>RH2015</v>
      </c>
      <c r="X66" s="393" t="str">
        <f t="shared" si="67"/>
        <v>Heat Room Heat</v>
      </c>
    </row>
    <row r="67" spans="2:24" ht="14.4">
      <c r="B67" s="300" t="str">
        <f t="shared" si="54"/>
        <v>INDNDEFFLA</v>
      </c>
      <c r="C67" s="300" t="str">
        <f t="shared" si="55"/>
        <v>INDLA</v>
      </c>
      <c r="D67" s="300">
        <v>2015</v>
      </c>
      <c r="E67" s="300">
        <v>100</v>
      </c>
      <c r="I67" s="302">
        <v>1</v>
      </c>
      <c r="J67" s="302">
        <v>1</v>
      </c>
      <c r="L67" s="303"/>
      <c r="M67" s="389" t="str">
        <f t="shared" si="56"/>
        <v>INDNDEFFLA</v>
      </c>
      <c r="N67" s="301" t="str">
        <f t="shared" si="57"/>
        <v>Construction Saving Tech-Light</v>
      </c>
      <c r="O67" s="301" t="s">
        <v>450</v>
      </c>
      <c r="P67" s="301" t="s">
        <v>536</v>
      </c>
      <c r="Q67" s="303"/>
      <c r="R67" s="303"/>
      <c r="S67" s="303"/>
      <c r="U67" s="397" t="s">
        <v>586</v>
      </c>
      <c r="V67" s="394" t="s">
        <v>568</v>
      </c>
      <c r="W67" s="55" t="str">
        <f t="shared" ref="W67:X67" si="68">W46</f>
        <v>LA2015</v>
      </c>
      <c r="X67" s="393" t="str">
        <f t="shared" si="68"/>
        <v>Light</v>
      </c>
    </row>
    <row r="68" spans="2:24" ht="14.4">
      <c r="B68" s="300" t="str">
        <f t="shared" si="54"/>
        <v>INDNDEFFEM</v>
      </c>
      <c r="C68" s="300" t="str">
        <f t="shared" si="55"/>
        <v>INDEM</v>
      </c>
      <c r="D68" s="300">
        <v>2015</v>
      </c>
      <c r="E68" s="300">
        <v>100</v>
      </c>
      <c r="I68" s="302">
        <v>1</v>
      </c>
      <c r="J68" s="302">
        <v>1</v>
      </c>
      <c r="L68" s="303"/>
      <c r="M68" s="389" t="str">
        <f t="shared" si="56"/>
        <v>INDNDEFFEM</v>
      </c>
      <c r="N68" s="301" t="str">
        <f t="shared" si="57"/>
        <v>Construction Saving Tech-Electric Motors</v>
      </c>
      <c r="O68" s="301" t="s">
        <v>450</v>
      </c>
      <c r="P68" s="301" t="s">
        <v>536</v>
      </c>
      <c r="Q68" s="303"/>
      <c r="R68" s="303"/>
      <c r="S68" s="303"/>
      <c r="U68" s="397" t="s">
        <v>586</v>
      </c>
      <c r="V68" s="394" t="s">
        <v>568</v>
      </c>
      <c r="W68" s="55" t="str">
        <f t="shared" ref="W68:X68" si="69">W47</f>
        <v>EM2015</v>
      </c>
      <c r="X68" s="393" t="str">
        <f t="shared" si="69"/>
        <v>Electric Motors</v>
      </c>
    </row>
    <row r="69" spans="2:24" ht="14.4">
      <c r="B69" s="300" t="str">
        <f t="shared" si="54"/>
        <v>INDNDEFFTF</v>
      </c>
      <c r="C69" s="300" t="str">
        <f t="shared" si="55"/>
        <v>INDTF</v>
      </c>
      <c r="D69" s="300">
        <v>2015</v>
      </c>
      <c r="E69" s="300">
        <v>100</v>
      </c>
      <c r="I69" s="302">
        <v>1</v>
      </c>
      <c r="J69" s="302">
        <v>1</v>
      </c>
      <c r="L69" s="303"/>
      <c r="M69" s="389" t="str">
        <f t="shared" si="56"/>
        <v>INDNDEFFTF</v>
      </c>
      <c r="N69" s="301" t="str">
        <f t="shared" si="57"/>
        <v>Construction Saving Tech-Haulage Tractors, Trucks, Fishing boats</v>
      </c>
      <c r="O69" s="301" t="s">
        <v>450</v>
      </c>
      <c r="P69" s="301" t="s">
        <v>536</v>
      </c>
      <c r="Q69" s="303"/>
      <c r="R69" s="303"/>
      <c r="S69" s="303"/>
      <c r="U69" s="397" t="s">
        <v>586</v>
      </c>
      <c r="V69" s="394" t="s">
        <v>568</v>
      </c>
      <c r="W69" s="55" t="str">
        <f t="shared" ref="W69:X69" si="70">W48</f>
        <v>TF2015</v>
      </c>
      <c r="X69" s="393" t="str">
        <f t="shared" si="70"/>
        <v>Haulage Tractors, Trucks, Fishing boats</v>
      </c>
    </row>
    <row r="70" spans="2:24" ht="14.4">
      <c r="B70" s="300" t="str">
        <f t="shared" si="54"/>
        <v>INDNDEFFFL</v>
      </c>
      <c r="C70" s="300" t="str">
        <f t="shared" si="55"/>
        <v>INDFL</v>
      </c>
      <c r="D70" s="300">
        <v>2015</v>
      </c>
      <c r="E70" s="300">
        <v>100</v>
      </c>
      <c r="I70" s="302">
        <v>1</v>
      </c>
      <c r="J70" s="302">
        <v>1</v>
      </c>
      <c r="L70" s="303"/>
      <c r="M70" s="389" t="str">
        <f t="shared" si="56"/>
        <v>INDNDEFFFL</v>
      </c>
      <c r="N70" s="301" t="str">
        <f t="shared" si="57"/>
        <v>Construction Saving Tech-Forklifts</v>
      </c>
      <c r="O70" s="301" t="s">
        <v>450</v>
      </c>
      <c r="P70" s="301" t="s">
        <v>536</v>
      </c>
      <c r="Q70" s="303"/>
      <c r="R70" s="303"/>
      <c r="S70" s="303"/>
      <c r="U70" s="397" t="s">
        <v>586</v>
      </c>
      <c r="V70" s="394" t="s">
        <v>568</v>
      </c>
      <c r="W70" s="55" t="str">
        <f t="shared" ref="W70:X70" si="71">W49</f>
        <v>FL2015</v>
      </c>
      <c r="X70" s="393" t="str">
        <f t="shared" si="71"/>
        <v>Forklifts</v>
      </c>
    </row>
    <row r="71" spans="2:24" ht="14.4">
      <c r="B71" s="300" t="str">
        <f t="shared" si="5"/>
        <v>INDTDEFFMT</v>
      </c>
      <c r="C71" s="300" t="str">
        <f t="shared" si="6"/>
        <v>ITDMT</v>
      </c>
      <c r="D71" s="300">
        <v>2015</v>
      </c>
      <c r="E71" s="300">
        <v>100</v>
      </c>
      <c r="I71" s="302">
        <v>1</v>
      </c>
      <c r="J71" s="302">
        <v>1</v>
      </c>
      <c r="L71" s="301"/>
      <c r="M71" s="389" t="str">
        <f t="shared" si="2"/>
        <v>INDTDEFFMT</v>
      </c>
      <c r="N71" s="301" t="str">
        <f t="shared" si="3"/>
        <v>Wholesale and retail Saving Tech-Heat Medium Temp. up to 150C</v>
      </c>
      <c r="O71" s="301" t="s">
        <v>450</v>
      </c>
      <c r="P71" s="301" t="s">
        <v>536</v>
      </c>
      <c r="Q71" s="301"/>
      <c r="R71" s="301"/>
      <c r="S71" s="301"/>
      <c r="U71" s="397" t="s">
        <v>744</v>
      </c>
      <c r="V71" s="396" t="s">
        <v>539</v>
      </c>
      <c r="W71" s="55" t="str">
        <f t="shared" ref="W71:X71" si="72">W50</f>
        <v>MT2015</v>
      </c>
      <c r="X71" s="393" t="str">
        <f t="shared" si="72"/>
        <v>Heat Medium Temp. up to 150C</v>
      </c>
    </row>
    <row r="72" spans="2:24" ht="14.4">
      <c r="B72" s="300" t="str">
        <f t="shared" si="5"/>
        <v>INDTDEFFHT</v>
      </c>
      <c r="C72" s="300" t="str">
        <f t="shared" si="6"/>
        <v>ITDHT</v>
      </c>
      <c r="D72" s="300">
        <v>2015</v>
      </c>
      <c r="E72" s="300">
        <v>100</v>
      </c>
      <c r="I72" s="302">
        <v>1</v>
      </c>
      <c r="J72" s="302">
        <v>1</v>
      </c>
      <c r="L72" s="301"/>
      <c r="M72" s="389" t="str">
        <f t="shared" si="2"/>
        <v>INDTDEFFHT</v>
      </c>
      <c r="N72" s="301" t="str">
        <f t="shared" si="3"/>
        <v>Wholesale and retail Saving Tech-Heat High Temp. over 150C</v>
      </c>
      <c r="O72" s="301" t="s">
        <v>450</v>
      </c>
      <c r="P72" s="301" t="s">
        <v>536</v>
      </c>
      <c r="Q72" s="301"/>
      <c r="R72" s="301"/>
      <c r="S72" s="301"/>
      <c r="U72" s="397" t="s">
        <v>744</v>
      </c>
      <c r="V72" s="396" t="str">
        <f t="shared" ref="V72:V77" si="73">V71</f>
        <v>Wholesale and retail</v>
      </c>
      <c r="W72" s="55" t="str">
        <f t="shared" ref="W72:X72" si="74">W51</f>
        <v>HT2015</v>
      </c>
      <c r="X72" s="393" t="str">
        <f t="shared" si="74"/>
        <v>Heat High Temp. over 150C</v>
      </c>
    </row>
    <row r="73" spans="2:24" ht="14.4">
      <c r="B73" s="300" t="str">
        <f t="shared" si="5"/>
        <v>INDTDEFFRH</v>
      </c>
      <c r="C73" s="300" t="str">
        <f t="shared" si="6"/>
        <v>ITDRH</v>
      </c>
      <c r="D73" s="300">
        <v>2015</v>
      </c>
      <c r="E73" s="300">
        <v>100</v>
      </c>
      <c r="I73" s="302">
        <v>1</v>
      </c>
      <c r="J73" s="302">
        <v>1</v>
      </c>
      <c r="L73" s="301"/>
      <c r="M73" s="389" t="str">
        <f t="shared" si="2"/>
        <v>INDTDEFFRH</v>
      </c>
      <c r="N73" s="301" t="str">
        <f t="shared" si="3"/>
        <v>Wholesale and retail Saving Tech-Heat Room Heat</v>
      </c>
      <c r="O73" s="301" t="s">
        <v>450</v>
      </c>
      <c r="P73" s="301" t="s">
        <v>536</v>
      </c>
      <c r="Q73" s="301"/>
      <c r="R73" s="301"/>
      <c r="S73" s="301"/>
      <c r="U73" s="397" t="s">
        <v>744</v>
      </c>
      <c r="V73" s="396" t="str">
        <f t="shared" si="73"/>
        <v>Wholesale and retail</v>
      </c>
      <c r="W73" s="55" t="str">
        <f t="shared" ref="W73:X73" si="75">W52</f>
        <v>RH2015</v>
      </c>
      <c r="X73" s="393" t="str">
        <f t="shared" si="75"/>
        <v>Heat Room Heat</v>
      </c>
    </row>
    <row r="74" spans="2:24" ht="14.4">
      <c r="B74" s="300" t="str">
        <f t="shared" si="5"/>
        <v>INDTDEFFLA</v>
      </c>
      <c r="C74" s="300" t="str">
        <f t="shared" si="6"/>
        <v>ITDLA</v>
      </c>
      <c r="D74" s="300">
        <v>2015</v>
      </c>
      <c r="E74" s="300">
        <v>100</v>
      </c>
      <c r="I74" s="302">
        <v>1</v>
      </c>
      <c r="J74" s="302">
        <v>1</v>
      </c>
      <c r="L74" s="301"/>
      <c r="M74" s="389" t="str">
        <f t="shared" si="2"/>
        <v>INDTDEFFLA</v>
      </c>
      <c r="N74" s="301" t="str">
        <f t="shared" si="3"/>
        <v>Wholesale and retail Saving Tech-Light</v>
      </c>
      <c r="O74" s="301" t="s">
        <v>450</v>
      </c>
      <c r="P74" s="301" t="s">
        <v>536</v>
      </c>
      <c r="Q74" s="301"/>
      <c r="R74" s="301"/>
      <c r="S74" s="301"/>
      <c r="U74" s="397" t="s">
        <v>744</v>
      </c>
      <c r="V74" s="396" t="str">
        <f t="shared" si="73"/>
        <v>Wholesale and retail</v>
      </c>
      <c r="W74" s="55" t="str">
        <f t="shared" ref="W74:X74" si="76">W53</f>
        <v>LA2015</v>
      </c>
      <c r="X74" s="393" t="str">
        <f t="shared" si="76"/>
        <v>Light</v>
      </c>
    </row>
    <row r="75" spans="2:24" ht="14.4">
      <c r="B75" s="300" t="str">
        <f t="shared" si="5"/>
        <v>INDTDEFFEM</v>
      </c>
      <c r="C75" s="300" t="str">
        <f t="shared" si="6"/>
        <v>ITDEM</v>
      </c>
      <c r="D75" s="300">
        <v>2015</v>
      </c>
      <c r="E75" s="300">
        <v>100</v>
      </c>
      <c r="I75" s="302">
        <v>1</v>
      </c>
      <c r="J75" s="302">
        <v>1</v>
      </c>
      <c r="L75" s="301"/>
      <c r="M75" s="389" t="str">
        <f t="shared" si="2"/>
        <v>INDTDEFFEM</v>
      </c>
      <c r="N75" s="301" t="str">
        <f t="shared" si="3"/>
        <v>Wholesale and retail Saving Tech-Electric Motors</v>
      </c>
      <c r="O75" s="301" t="s">
        <v>450</v>
      </c>
      <c r="P75" s="301" t="s">
        <v>536</v>
      </c>
      <c r="Q75" s="303"/>
      <c r="R75" s="303"/>
      <c r="S75" s="303"/>
      <c r="U75" s="397" t="s">
        <v>744</v>
      </c>
      <c r="V75" s="396" t="str">
        <f t="shared" si="73"/>
        <v>Wholesale and retail</v>
      </c>
      <c r="W75" s="55" t="str">
        <f t="shared" ref="W75:X75" si="77">W54</f>
        <v>EM2015</v>
      </c>
      <c r="X75" s="393" t="str">
        <f t="shared" si="77"/>
        <v>Electric Motors</v>
      </c>
    </row>
    <row r="76" spans="2:24" ht="14.4">
      <c r="B76" s="300" t="str">
        <f t="shared" si="5"/>
        <v>INDTDEFFTF</v>
      </c>
      <c r="C76" s="300" t="str">
        <f t="shared" si="6"/>
        <v>ITDTF</v>
      </c>
      <c r="D76" s="300">
        <v>2015</v>
      </c>
      <c r="E76" s="300">
        <v>100</v>
      </c>
      <c r="I76" s="302">
        <v>1</v>
      </c>
      <c r="J76" s="302">
        <v>1</v>
      </c>
      <c r="L76" s="303"/>
      <c r="M76" s="389" t="str">
        <f t="shared" si="2"/>
        <v>INDTDEFFTF</v>
      </c>
      <c r="N76" s="301" t="str">
        <f t="shared" si="3"/>
        <v>Wholesale and retail Saving Tech-Haulage Tractors, Trucks, Fishing boats</v>
      </c>
      <c r="O76" s="301" t="s">
        <v>450</v>
      </c>
      <c r="P76" s="301" t="s">
        <v>536</v>
      </c>
      <c r="Q76" s="301"/>
      <c r="R76" s="301"/>
      <c r="S76" s="301"/>
      <c r="U76" s="397" t="s">
        <v>744</v>
      </c>
      <c r="V76" s="396" t="str">
        <f t="shared" si="73"/>
        <v>Wholesale and retail</v>
      </c>
      <c r="W76" s="55" t="str">
        <f t="shared" ref="W76:X76" si="78">W55</f>
        <v>TF2015</v>
      </c>
      <c r="X76" s="393" t="str">
        <f t="shared" si="78"/>
        <v>Haulage Tractors, Trucks, Fishing boats</v>
      </c>
    </row>
    <row r="77" spans="2:24" ht="14.4">
      <c r="B77" s="300" t="str">
        <f t="shared" si="5"/>
        <v>INDTDEFFFL</v>
      </c>
      <c r="C77" s="300" t="str">
        <f t="shared" si="6"/>
        <v>ITDFL</v>
      </c>
      <c r="D77" s="300">
        <v>2015</v>
      </c>
      <c r="E77" s="300">
        <v>100</v>
      </c>
      <c r="I77" s="302">
        <v>1</v>
      </c>
      <c r="J77" s="302">
        <v>1</v>
      </c>
      <c r="L77" s="303"/>
      <c r="M77" s="389" t="str">
        <f t="shared" si="2"/>
        <v>INDTDEFFFL</v>
      </c>
      <c r="N77" s="301" t="str">
        <f t="shared" si="3"/>
        <v>Wholesale and retail Saving Tech-Forklifts</v>
      </c>
      <c r="O77" s="301" t="s">
        <v>450</v>
      </c>
      <c r="P77" s="301" t="s">
        <v>536</v>
      </c>
      <c r="Q77" s="301"/>
      <c r="R77" s="301"/>
      <c r="S77" s="301"/>
      <c r="U77" s="397" t="s">
        <v>744</v>
      </c>
      <c r="V77" s="396" t="str">
        <f t="shared" si="73"/>
        <v>Wholesale and retail</v>
      </c>
      <c r="W77" s="55" t="str">
        <f t="shared" ref="W77:X77" si="79">W56</f>
        <v>FL2015</v>
      </c>
      <c r="X77" s="393" t="str">
        <f t="shared" si="79"/>
        <v>Forklifts</v>
      </c>
    </row>
    <row r="78" spans="2:24" ht="14.4">
      <c r="B78" s="300" t="str">
        <f t="shared" si="5"/>
        <v>INDPDEFFMT</v>
      </c>
      <c r="C78" s="300" t="str">
        <f t="shared" si="6"/>
        <v>IPDMT</v>
      </c>
      <c r="D78" s="300">
        <v>2015</v>
      </c>
      <c r="E78" s="300">
        <v>100</v>
      </c>
      <c r="I78" s="302">
        <v>1</v>
      </c>
      <c r="J78" s="302">
        <v>1</v>
      </c>
      <c r="L78" s="301"/>
      <c r="M78" s="389" t="str">
        <f t="shared" si="2"/>
        <v>INDPDEFFMT</v>
      </c>
      <c r="N78" s="301" t="str">
        <f t="shared" si="3"/>
        <v>Private service Saving Tech-Heat Medium Temp. up to 150C</v>
      </c>
      <c r="O78" s="301" t="s">
        <v>450</v>
      </c>
      <c r="P78" s="301" t="s">
        <v>536</v>
      </c>
      <c r="Q78" s="301"/>
      <c r="R78" s="301"/>
      <c r="S78" s="301"/>
      <c r="U78" s="397" t="s">
        <v>745</v>
      </c>
      <c r="V78" s="396" t="s">
        <v>538</v>
      </c>
      <c r="W78" s="55" t="str">
        <f t="shared" ref="W78:X78" si="80">W71</f>
        <v>MT2015</v>
      </c>
      <c r="X78" s="393" t="str">
        <f t="shared" si="80"/>
        <v>Heat Medium Temp. up to 150C</v>
      </c>
    </row>
    <row r="79" spans="2:24" ht="14.4">
      <c r="B79" s="300" t="str">
        <f t="shared" si="5"/>
        <v>INDPDEFFHT</v>
      </c>
      <c r="C79" s="300" t="str">
        <f t="shared" si="6"/>
        <v>IPDHT</v>
      </c>
      <c r="D79" s="300">
        <v>2015</v>
      </c>
      <c r="E79" s="300">
        <v>100</v>
      </c>
      <c r="I79" s="302">
        <v>1</v>
      </c>
      <c r="J79" s="302">
        <v>1</v>
      </c>
      <c r="L79" s="301"/>
      <c r="M79" s="389" t="str">
        <f t="shared" si="2"/>
        <v>INDPDEFFHT</v>
      </c>
      <c r="N79" s="301" t="str">
        <f t="shared" si="3"/>
        <v>Private service Saving Tech-Heat High Temp. over 150C</v>
      </c>
      <c r="O79" s="301" t="s">
        <v>450</v>
      </c>
      <c r="P79" s="301" t="s">
        <v>536</v>
      </c>
      <c r="Q79" s="301"/>
      <c r="R79" s="301"/>
      <c r="S79" s="301"/>
      <c r="U79" s="397" t="s">
        <v>745</v>
      </c>
      <c r="V79" s="396" t="str">
        <f t="shared" ref="V79:V84" si="81">V78</f>
        <v>Private service</v>
      </c>
      <c r="W79" s="55" t="str">
        <f t="shared" ref="W79:X79" si="82">W72</f>
        <v>HT2015</v>
      </c>
      <c r="X79" s="393" t="str">
        <f t="shared" si="82"/>
        <v>Heat High Temp. over 150C</v>
      </c>
    </row>
    <row r="80" spans="2:24" ht="14.4">
      <c r="B80" s="300" t="str">
        <f t="shared" si="5"/>
        <v>INDPDEFFRH</v>
      </c>
      <c r="C80" s="300" t="str">
        <f t="shared" si="6"/>
        <v>IPDRH</v>
      </c>
      <c r="D80" s="300">
        <v>2015</v>
      </c>
      <c r="E80" s="300">
        <v>100</v>
      </c>
      <c r="I80" s="302">
        <v>1</v>
      </c>
      <c r="J80" s="302">
        <v>1</v>
      </c>
      <c r="L80" s="301"/>
      <c r="M80" s="389" t="str">
        <f t="shared" si="2"/>
        <v>INDPDEFFRH</v>
      </c>
      <c r="N80" s="301" t="str">
        <f t="shared" si="3"/>
        <v>Private service Saving Tech-Heat Room Heat</v>
      </c>
      <c r="O80" s="301" t="s">
        <v>450</v>
      </c>
      <c r="P80" s="301" t="s">
        <v>536</v>
      </c>
      <c r="Q80" s="301"/>
      <c r="R80" s="301"/>
      <c r="S80" s="301"/>
      <c r="U80" s="397" t="s">
        <v>745</v>
      </c>
      <c r="V80" s="396" t="str">
        <f t="shared" si="81"/>
        <v>Private service</v>
      </c>
      <c r="W80" s="55" t="str">
        <f t="shared" ref="W80:X80" si="83">W73</f>
        <v>RH2015</v>
      </c>
      <c r="X80" s="393" t="str">
        <f t="shared" si="83"/>
        <v>Heat Room Heat</v>
      </c>
    </row>
    <row r="81" spans="2:30" ht="14.4">
      <c r="B81" s="300" t="str">
        <f t="shared" si="5"/>
        <v>INDPDEFFLA</v>
      </c>
      <c r="C81" s="300" t="str">
        <f t="shared" si="6"/>
        <v>IPDLA</v>
      </c>
      <c r="D81" s="300">
        <v>2015</v>
      </c>
      <c r="E81" s="300">
        <v>100</v>
      </c>
      <c r="I81" s="302">
        <v>1</v>
      </c>
      <c r="J81" s="302">
        <v>1</v>
      </c>
      <c r="L81" s="301"/>
      <c r="M81" s="389" t="str">
        <f t="shared" si="2"/>
        <v>INDPDEFFLA</v>
      </c>
      <c r="N81" s="301" t="str">
        <f t="shared" si="3"/>
        <v>Private service Saving Tech-Light</v>
      </c>
      <c r="O81" s="301" t="s">
        <v>450</v>
      </c>
      <c r="P81" s="301" t="s">
        <v>536</v>
      </c>
      <c r="Q81" s="303"/>
      <c r="R81" s="303"/>
      <c r="S81" s="303"/>
      <c r="U81" s="397" t="s">
        <v>745</v>
      </c>
      <c r="V81" s="396" t="str">
        <f t="shared" si="81"/>
        <v>Private service</v>
      </c>
      <c r="W81" s="55" t="str">
        <f t="shared" ref="W81:X81" si="84">W74</f>
        <v>LA2015</v>
      </c>
      <c r="X81" s="393" t="str">
        <f t="shared" si="84"/>
        <v>Light</v>
      </c>
    </row>
    <row r="82" spans="2:30" ht="14.4">
      <c r="B82" s="300" t="str">
        <f t="shared" si="5"/>
        <v>INDPDEFFEM</v>
      </c>
      <c r="C82" s="300" t="str">
        <f t="shared" si="6"/>
        <v>IPDEM</v>
      </c>
      <c r="D82" s="300">
        <v>2015</v>
      </c>
      <c r="E82" s="300">
        <v>100</v>
      </c>
      <c r="I82" s="302">
        <v>1</v>
      </c>
      <c r="J82" s="302">
        <v>1</v>
      </c>
      <c r="L82" s="301"/>
      <c r="M82" s="389" t="str">
        <f t="shared" si="2"/>
        <v>INDPDEFFEM</v>
      </c>
      <c r="N82" s="301" t="str">
        <f t="shared" si="3"/>
        <v>Private service Saving Tech-Electric Motors</v>
      </c>
      <c r="O82" s="301" t="s">
        <v>450</v>
      </c>
      <c r="P82" s="301" t="s">
        <v>536</v>
      </c>
      <c r="U82" s="397" t="s">
        <v>745</v>
      </c>
      <c r="V82" s="396" t="str">
        <f t="shared" si="81"/>
        <v>Private service</v>
      </c>
      <c r="W82" s="55" t="str">
        <f t="shared" ref="W82:X82" si="85">W75</f>
        <v>EM2015</v>
      </c>
      <c r="X82" s="393" t="str">
        <f t="shared" si="85"/>
        <v>Electric Motors</v>
      </c>
    </row>
    <row r="83" spans="2:30" ht="14.4">
      <c r="B83" s="300" t="str">
        <f t="shared" si="5"/>
        <v>INDPDEFFTF</v>
      </c>
      <c r="C83" s="300" t="str">
        <f t="shared" si="6"/>
        <v>IPDTF</v>
      </c>
      <c r="D83" s="300">
        <v>2015</v>
      </c>
      <c r="E83" s="300">
        <v>100</v>
      </c>
      <c r="I83" s="302">
        <v>1</v>
      </c>
      <c r="J83" s="302">
        <v>1</v>
      </c>
      <c r="L83" s="303"/>
      <c r="M83" s="389" t="str">
        <f t="shared" si="2"/>
        <v>INDPDEFFTF</v>
      </c>
      <c r="N83" s="301" t="str">
        <f t="shared" si="3"/>
        <v>Private service Saving Tech-Haulage Tractors, Trucks, Fishing boats</v>
      </c>
      <c r="O83" s="301" t="s">
        <v>450</v>
      </c>
      <c r="P83" s="301" t="s">
        <v>536</v>
      </c>
      <c r="U83" s="397" t="s">
        <v>745</v>
      </c>
      <c r="V83" s="396" t="str">
        <f t="shared" si="81"/>
        <v>Private service</v>
      </c>
      <c r="W83" s="55" t="str">
        <f t="shared" ref="W83:X83" si="86">W76</f>
        <v>TF2015</v>
      </c>
      <c r="X83" s="393" t="str">
        <f t="shared" si="86"/>
        <v>Haulage Tractors, Trucks, Fishing boats</v>
      </c>
    </row>
    <row r="84" spans="2:30" ht="14.4">
      <c r="B84" s="300" t="str">
        <f t="shared" si="5"/>
        <v>INDPDEFFFL</v>
      </c>
      <c r="C84" s="300" t="str">
        <f t="shared" si="6"/>
        <v>IPDFL</v>
      </c>
      <c r="D84" s="300">
        <v>2015</v>
      </c>
      <c r="E84" s="300">
        <v>100</v>
      </c>
      <c r="I84" s="302">
        <v>1</v>
      </c>
      <c r="J84" s="302">
        <v>1</v>
      </c>
      <c r="L84" s="303"/>
      <c r="M84" s="389" t="str">
        <f t="shared" si="2"/>
        <v>INDPDEFFFL</v>
      </c>
      <c r="N84" s="301" t="str">
        <f t="shared" si="3"/>
        <v>Private service Saving Tech-Forklifts</v>
      </c>
      <c r="O84" s="301" t="s">
        <v>450</v>
      </c>
      <c r="P84" s="301" t="s">
        <v>536</v>
      </c>
      <c r="U84" s="397" t="s">
        <v>745</v>
      </c>
      <c r="V84" s="396" t="str">
        <f t="shared" si="81"/>
        <v>Private service</v>
      </c>
      <c r="W84" s="55" t="str">
        <f t="shared" ref="W84:X84" si="87">W77</f>
        <v>FL2015</v>
      </c>
      <c r="X84" s="393" t="str">
        <f t="shared" si="87"/>
        <v>Forklifts</v>
      </c>
    </row>
    <row r="85" spans="2:30" ht="14.4">
      <c r="B85" s="300" t="str">
        <f t="shared" si="5"/>
        <v>INDUDEFFMT</v>
      </c>
      <c r="C85" s="300" t="str">
        <f t="shared" si="6"/>
        <v>IUDMT</v>
      </c>
      <c r="D85" s="300">
        <v>2015</v>
      </c>
      <c r="E85" s="300">
        <v>100</v>
      </c>
      <c r="I85" s="302">
        <v>1</v>
      </c>
      <c r="J85" s="302">
        <v>1</v>
      </c>
      <c r="L85" s="301"/>
      <c r="M85" s="389" t="str">
        <f t="shared" si="2"/>
        <v>INDUDEFFMT</v>
      </c>
      <c r="N85" s="301" t="str">
        <f t="shared" si="3"/>
        <v>Public service Saving Tech-Heat Medium Temp. up to 150C</v>
      </c>
      <c r="O85" s="301" t="s">
        <v>450</v>
      </c>
      <c r="P85" s="301" t="s">
        <v>536</v>
      </c>
      <c r="U85" s="397" t="s">
        <v>746</v>
      </c>
      <c r="V85" s="396" t="s">
        <v>537</v>
      </c>
      <c r="W85" s="55" t="str">
        <f t="shared" ref="W85:X85" si="88">W78</f>
        <v>MT2015</v>
      </c>
      <c r="X85" s="393" t="str">
        <f t="shared" si="88"/>
        <v>Heat Medium Temp. up to 150C</v>
      </c>
    </row>
    <row r="86" spans="2:30" ht="14.4">
      <c r="B86" s="300" t="str">
        <f t="shared" si="5"/>
        <v>INDUDEFFHT</v>
      </c>
      <c r="C86" s="300" t="str">
        <f t="shared" si="6"/>
        <v>IUDHT</v>
      </c>
      <c r="D86" s="300">
        <v>2015</v>
      </c>
      <c r="E86" s="300">
        <v>100</v>
      </c>
      <c r="I86" s="302">
        <v>1</v>
      </c>
      <c r="J86" s="302">
        <v>1</v>
      </c>
      <c r="L86" s="301"/>
      <c r="M86" s="389" t="str">
        <f t="shared" si="2"/>
        <v>INDUDEFFHT</v>
      </c>
      <c r="N86" s="301" t="str">
        <f t="shared" si="3"/>
        <v>Public service Saving Tech-Heat High Temp. over 150C</v>
      </c>
      <c r="O86" s="301" t="s">
        <v>450</v>
      </c>
      <c r="P86" s="301" t="s">
        <v>536</v>
      </c>
      <c r="U86" s="397" t="s">
        <v>746</v>
      </c>
      <c r="V86" s="396" t="str">
        <f t="shared" ref="V86:V91" si="89">V85</f>
        <v>Public service</v>
      </c>
      <c r="W86" s="55" t="str">
        <f t="shared" ref="W86:X86" si="90">W79</f>
        <v>HT2015</v>
      </c>
      <c r="X86" s="393" t="str">
        <f t="shared" si="90"/>
        <v>Heat High Temp. over 150C</v>
      </c>
    </row>
    <row r="87" spans="2:30" ht="14.4">
      <c r="B87" s="300" t="str">
        <f t="shared" si="5"/>
        <v>INDUDEFFRH</v>
      </c>
      <c r="C87" s="300" t="str">
        <f t="shared" si="6"/>
        <v>IUDRH</v>
      </c>
      <c r="D87" s="300">
        <v>2015</v>
      </c>
      <c r="E87" s="300">
        <v>100</v>
      </c>
      <c r="I87" s="302">
        <v>1</v>
      </c>
      <c r="J87" s="302">
        <v>1</v>
      </c>
      <c r="L87" s="301"/>
      <c r="M87" s="389" t="str">
        <f t="shared" ref="M87:M91" si="91">B87</f>
        <v>INDUDEFFRH</v>
      </c>
      <c r="N87" s="301" t="str">
        <f t="shared" ref="N87:N91" si="92">V87&amp;" Saving Tech"&amp;"-"&amp;X87</f>
        <v>Public service Saving Tech-Heat Room Heat</v>
      </c>
      <c r="O87" s="301" t="s">
        <v>450</v>
      </c>
      <c r="P87" s="301" t="s">
        <v>536</v>
      </c>
      <c r="U87" s="397" t="s">
        <v>746</v>
      </c>
      <c r="V87" s="396" t="str">
        <f t="shared" si="89"/>
        <v>Public service</v>
      </c>
      <c r="W87" s="55" t="str">
        <f t="shared" ref="W87:X87" si="93">W80</f>
        <v>RH2015</v>
      </c>
      <c r="X87" s="393" t="str">
        <f t="shared" si="93"/>
        <v>Heat Room Heat</v>
      </c>
    </row>
    <row r="88" spans="2:30" ht="14.4">
      <c r="B88" s="300" t="str">
        <f t="shared" si="5"/>
        <v>INDUDEFFLA</v>
      </c>
      <c r="C88" s="300" t="str">
        <f t="shared" si="6"/>
        <v>IUDLA</v>
      </c>
      <c r="D88" s="300">
        <v>2015</v>
      </c>
      <c r="E88" s="300">
        <v>100</v>
      </c>
      <c r="I88" s="302">
        <v>1</v>
      </c>
      <c r="J88" s="302">
        <v>1</v>
      </c>
      <c r="L88" s="301"/>
      <c r="M88" s="389" t="str">
        <f t="shared" si="91"/>
        <v>INDUDEFFLA</v>
      </c>
      <c r="N88" s="301" t="str">
        <f t="shared" si="92"/>
        <v>Public service Saving Tech-Light</v>
      </c>
      <c r="O88" s="301" t="s">
        <v>450</v>
      </c>
      <c r="P88" s="301" t="s">
        <v>536</v>
      </c>
      <c r="Q88" s="301"/>
      <c r="R88" s="301"/>
      <c r="S88" s="301"/>
      <c r="U88" s="397" t="s">
        <v>746</v>
      </c>
      <c r="V88" s="396" t="str">
        <f t="shared" si="89"/>
        <v>Public service</v>
      </c>
      <c r="W88" s="55" t="str">
        <f t="shared" ref="W88:X88" si="94">W81</f>
        <v>LA2015</v>
      </c>
      <c r="X88" s="393" t="str">
        <f t="shared" si="94"/>
        <v>Light</v>
      </c>
    </row>
    <row r="89" spans="2:30" ht="14.4">
      <c r="B89" s="300" t="str">
        <f t="shared" si="5"/>
        <v>INDUDEFFEM</v>
      </c>
      <c r="C89" s="300" t="str">
        <f t="shared" si="6"/>
        <v>IUDEM</v>
      </c>
      <c r="D89" s="300">
        <v>2015</v>
      </c>
      <c r="E89" s="300">
        <v>100</v>
      </c>
      <c r="I89" s="302">
        <v>1</v>
      </c>
      <c r="J89" s="302">
        <v>1</v>
      </c>
      <c r="L89" s="301"/>
      <c r="M89" s="389" t="str">
        <f t="shared" si="91"/>
        <v>INDUDEFFEM</v>
      </c>
      <c r="N89" s="301" t="str">
        <f t="shared" si="92"/>
        <v>Public service Saving Tech-Electric Motors</v>
      </c>
      <c r="O89" s="301" t="s">
        <v>450</v>
      </c>
      <c r="P89" s="301" t="s">
        <v>536</v>
      </c>
      <c r="Q89" s="301"/>
      <c r="R89" s="301"/>
      <c r="S89" s="301"/>
      <c r="U89" s="397" t="s">
        <v>746</v>
      </c>
      <c r="V89" s="396" t="str">
        <f t="shared" si="89"/>
        <v>Public service</v>
      </c>
      <c r="W89" s="55" t="str">
        <f t="shared" ref="W89:X89" si="95">W82</f>
        <v>EM2015</v>
      </c>
      <c r="X89" s="393" t="str">
        <f t="shared" si="95"/>
        <v>Electric Motors</v>
      </c>
    </row>
    <row r="90" spans="2:30" ht="14.4">
      <c r="B90" s="300" t="str">
        <f t="shared" si="5"/>
        <v>INDUDEFFTF</v>
      </c>
      <c r="C90" s="300" t="str">
        <f t="shared" si="6"/>
        <v>IUDTF</v>
      </c>
      <c r="D90" s="300">
        <v>2015</v>
      </c>
      <c r="E90" s="300">
        <v>100</v>
      </c>
      <c r="I90" s="302">
        <v>1</v>
      </c>
      <c r="J90" s="302">
        <v>1</v>
      </c>
      <c r="L90" s="303"/>
      <c r="M90" s="389" t="str">
        <f t="shared" si="91"/>
        <v>INDUDEFFTF</v>
      </c>
      <c r="N90" s="301" t="str">
        <f t="shared" si="92"/>
        <v>Public service Saving Tech-Haulage Tractors, Trucks, Fishing boats</v>
      </c>
      <c r="O90" s="301" t="s">
        <v>450</v>
      </c>
      <c r="P90" s="301" t="s">
        <v>536</v>
      </c>
      <c r="Q90" s="301"/>
      <c r="R90" s="301"/>
      <c r="S90" s="301"/>
      <c r="U90" s="397" t="s">
        <v>746</v>
      </c>
      <c r="V90" s="396" t="str">
        <f t="shared" si="89"/>
        <v>Public service</v>
      </c>
      <c r="W90" s="55" t="str">
        <f t="shared" ref="W90:X90" si="96">W83</f>
        <v>TF2015</v>
      </c>
      <c r="X90" s="393" t="str">
        <f t="shared" si="96"/>
        <v>Haulage Tractors, Trucks, Fishing boats</v>
      </c>
      <c r="AD90" s="402" t="s">
        <v>747</v>
      </c>
    </row>
    <row r="91" spans="2:30" ht="14.4">
      <c r="B91" s="300" t="str">
        <f t="shared" si="5"/>
        <v>INDUDEFFFL</v>
      </c>
      <c r="C91" s="300" t="str">
        <f t="shared" si="6"/>
        <v>IUDFL</v>
      </c>
      <c r="D91" s="300">
        <v>2015</v>
      </c>
      <c r="E91" s="300">
        <v>100</v>
      </c>
      <c r="I91" s="302">
        <v>1</v>
      </c>
      <c r="J91" s="302">
        <v>1</v>
      </c>
      <c r="L91" s="303"/>
      <c r="M91" s="389" t="str">
        <f t="shared" si="91"/>
        <v>INDUDEFFFL</v>
      </c>
      <c r="N91" s="301" t="str">
        <f t="shared" si="92"/>
        <v>Public service Saving Tech-Forklifts</v>
      </c>
      <c r="O91" s="301" t="s">
        <v>450</v>
      </c>
      <c r="P91" s="301" t="s">
        <v>536</v>
      </c>
      <c r="Q91" s="301"/>
      <c r="R91" s="301"/>
      <c r="S91" s="301"/>
      <c r="U91" s="392" t="s">
        <v>746</v>
      </c>
      <c r="V91" s="391" t="str">
        <f t="shared" si="89"/>
        <v>Public service</v>
      </c>
      <c r="W91" s="211" t="str">
        <f t="shared" ref="W91:X91" si="97">W84</f>
        <v>FL2015</v>
      </c>
      <c r="X91" s="390" t="str">
        <f t="shared" si="97"/>
        <v>Forklifts</v>
      </c>
    </row>
    <row r="92" spans="2:30" ht="13.8">
      <c r="B92" s="405" t="str">
        <f t="shared" ref="B92:B121" si="98">M92</f>
        <v>INDXDEFFMT</v>
      </c>
      <c r="C92" s="406" t="str">
        <f>"I"&amp;U92&amp;"DMT"</f>
        <v>IXDMT</v>
      </c>
      <c r="D92" s="407">
        <v>2015</v>
      </c>
      <c r="E92" s="407">
        <v>100</v>
      </c>
      <c r="F92" s="407"/>
      <c r="G92" s="407"/>
      <c r="H92" s="407"/>
      <c r="I92" s="408">
        <v>1</v>
      </c>
      <c r="J92" s="408">
        <v>1</v>
      </c>
      <c r="K92" s="403"/>
      <c r="L92" s="405"/>
      <c r="M92" s="409" t="str">
        <f>"IND"&amp;U92&amp;"DEFFMT"</f>
        <v>INDXDEFFMT</v>
      </c>
      <c r="N92" s="404" t="str">
        <f>V92&amp;" Saving Tech"&amp;"-"&amp;$X$92</f>
        <v>Aluminium Saving Tech-Heat Medium Temp. up to 150C</v>
      </c>
      <c r="O92" s="409" t="s">
        <v>450</v>
      </c>
      <c r="P92" s="409" t="s">
        <v>536</v>
      </c>
      <c r="Q92" s="405"/>
      <c r="R92" s="405"/>
      <c r="S92" s="405"/>
      <c r="T92" s="403"/>
      <c r="U92" s="403" t="s">
        <v>749</v>
      </c>
      <c r="V92" s="410" t="s">
        <v>750</v>
      </c>
      <c r="W92" s="403" t="s">
        <v>556</v>
      </c>
      <c r="X92" s="403" t="s">
        <v>555</v>
      </c>
      <c r="Y92" s="403"/>
      <c r="Z92" s="403"/>
      <c r="AD92" s="402" t="s">
        <v>586</v>
      </c>
    </row>
    <row r="93" spans="2:30" ht="13.8">
      <c r="B93" s="405" t="str">
        <f t="shared" si="98"/>
        <v>INDXDEFFHT</v>
      </c>
      <c r="C93" s="406" t="str">
        <f>"I"&amp;U93&amp;"DHT"</f>
        <v>IXDHT</v>
      </c>
      <c r="D93" s="407">
        <v>2015</v>
      </c>
      <c r="E93" s="407">
        <v>100</v>
      </c>
      <c r="F93" s="407"/>
      <c r="G93" s="407"/>
      <c r="H93" s="407"/>
      <c r="I93" s="408">
        <v>1</v>
      </c>
      <c r="J93" s="408">
        <v>1</v>
      </c>
      <c r="K93" s="403"/>
      <c r="L93" s="405"/>
      <c r="M93" s="409" t="str">
        <f>"IND"&amp;U93&amp;"DEFFHT"</f>
        <v>INDXDEFFHT</v>
      </c>
      <c r="N93" s="404" t="str">
        <f>V93&amp;" Saving Tech"&amp;"-"&amp;$X$93</f>
        <v>Aluminium Saving Tech-Heat High Temp. over 150C</v>
      </c>
      <c r="O93" s="409" t="s">
        <v>450</v>
      </c>
      <c r="P93" s="409" t="s">
        <v>536</v>
      </c>
      <c r="Q93" s="405"/>
      <c r="R93" s="405"/>
      <c r="S93" s="405"/>
      <c r="T93" s="403"/>
      <c r="U93" s="403" t="s">
        <v>749</v>
      </c>
      <c r="V93" s="410" t="s">
        <v>750</v>
      </c>
      <c r="W93" s="403" t="s">
        <v>554</v>
      </c>
      <c r="X93" s="403" t="s">
        <v>553</v>
      </c>
      <c r="Y93" s="403"/>
      <c r="Z93" s="403"/>
    </row>
    <row r="94" spans="2:30" ht="13.8">
      <c r="B94" s="405" t="str">
        <f t="shared" si="98"/>
        <v>INDXDEFFRH</v>
      </c>
      <c r="C94" s="406" t="str">
        <f>"I"&amp;U94&amp;"DRH"</f>
        <v>IXDRH</v>
      </c>
      <c r="D94" s="407">
        <v>2015</v>
      </c>
      <c r="E94" s="407">
        <v>100</v>
      </c>
      <c r="F94" s="407"/>
      <c r="G94" s="407"/>
      <c r="H94" s="407"/>
      <c r="I94" s="408">
        <v>1</v>
      </c>
      <c r="J94" s="408">
        <v>1</v>
      </c>
      <c r="K94" s="403"/>
      <c r="L94" s="405"/>
      <c r="M94" s="409" t="str">
        <f>"IND"&amp;U94&amp;"DEFFRH"</f>
        <v>INDXDEFFRH</v>
      </c>
      <c r="N94" s="404" t="str">
        <f>V94&amp;" Saving Tech"&amp;"-"&amp;$X$94</f>
        <v>Aluminium Saving Tech-Heat Room Heat</v>
      </c>
      <c r="O94" s="409" t="s">
        <v>450</v>
      </c>
      <c r="P94" s="409" t="s">
        <v>536</v>
      </c>
      <c r="Q94" s="405"/>
      <c r="R94" s="405"/>
      <c r="S94" s="405"/>
      <c r="T94" s="403"/>
      <c r="U94" s="403" t="s">
        <v>749</v>
      </c>
      <c r="V94" s="410" t="s">
        <v>750</v>
      </c>
      <c r="W94" s="403" t="s">
        <v>552</v>
      </c>
      <c r="X94" s="403" t="s">
        <v>551</v>
      </c>
      <c r="Y94" s="403"/>
      <c r="Z94" s="403"/>
    </row>
    <row r="95" spans="2:30" ht="13.8">
      <c r="B95" s="405" t="str">
        <f t="shared" si="98"/>
        <v>INDXDEFFLA</v>
      </c>
      <c r="C95" s="406" t="str">
        <f>"I"&amp;U95&amp;"DLA"</f>
        <v>IXDLA</v>
      </c>
      <c r="D95" s="407">
        <v>2015</v>
      </c>
      <c r="E95" s="407">
        <v>100</v>
      </c>
      <c r="F95" s="407"/>
      <c r="G95" s="407"/>
      <c r="H95" s="407"/>
      <c r="I95" s="408">
        <v>1</v>
      </c>
      <c r="J95" s="408">
        <v>1</v>
      </c>
      <c r="K95" s="403"/>
      <c r="L95" s="405"/>
      <c r="M95" s="409" t="str">
        <f>"IND"&amp;U95&amp;"DEFFLA"</f>
        <v>INDXDEFFLA</v>
      </c>
      <c r="N95" s="404" t="str">
        <f>V95&amp;" Saving Tech"&amp;"-"&amp;$X$95</f>
        <v>Aluminium Saving Tech-Light</v>
      </c>
      <c r="O95" s="409" t="s">
        <v>450</v>
      </c>
      <c r="P95" s="409" t="s">
        <v>536</v>
      </c>
      <c r="Q95" s="405"/>
      <c r="R95" s="405"/>
      <c r="S95" s="405"/>
      <c r="T95" s="403"/>
      <c r="U95" s="403" t="s">
        <v>749</v>
      </c>
      <c r="V95" s="410" t="s">
        <v>750</v>
      </c>
      <c r="W95" s="403" t="s">
        <v>550</v>
      </c>
      <c r="X95" s="403" t="s">
        <v>549</v>
      </c>
      <c r="Y95" s="403"/>
      <c r="Z95" s="403"/>
    </row>
    <row r="96" spans="2:30" ht="13.8">
      <c r="B96" s="405" t="str">
        <f t="shared" si="98"/>
        <v>INDXDEFFEM</v>
      </c>
      <c r="C96" s="406" t="str">
        <f>"I"&amp;U96&amp;"DEM"</f>
        <v>IXDEM</v>
      </c>
      <c r="D96" s="407">
        <v>2015</v>
      </c>
      <c r="E96" s="407">
        <v>100</v>
      </c>
      <c r="F96" s="407"/>
      <c r="G96" s="407"/>
      <c r="H96" s="407"/>
      <c r="I96" s="408">
        <v>1</v>
      </c>
      <c r="J96" s="408">
        <v>1</v>
      </c>
      <c r="K96" s="403"/>
      <c r="L96" s="405"/>
      <c r="M96" s="409" t="str">
        <f>"IND"&amp;U95&amp;"DEFFEM"</f>
        <v>INDXDEFFEM</v>
      </c>
      <c r="N96" s="404" t="str">
        <f>V96&amp;" Saving Tech"&amp;"-"&amp;$X$96</f>
        <v>Aluminium Saving Tech-Electric Motors</v>
      </c>
      <c r="O96" s="409" t="s">
        <v>450</v>
      </c>
      <c r="P96" s="409" t="s">
        <v>536</v>
      </c>
      <c r="Q96" s="405"/>
      <c r="R96" s="405"/>
      <c r="S96" s="405"/>
      <c r="T96" s="403"/>
      <c r="U96" s="403" t="s">
        <v>749</v>
      </c>
      <c r="V96" s="410" t="s">
        <v>750</v>
      </c>
      <c r="W96" s="403" t="s">
        <v>548</v>
      </c>
      <c r="X96" s="403" t="s">
        <v>547</v>
      </c>
      <c r="Y96" s="403"/>
      <c r="Z96" s="403"/>
    </row>
    <row r="97" spans="2:26" ht="13.8">
      <c r="B97" s="405" t="str">
        <f t="shared" si="98"/>
        <v>INDXDEFFTF</v>
      </c>
      <c r="C97" s="406" t="str">
        <f>"I"&amp;U97&amp;"DTF"</f>
        <v>IXDTF</v>
      </c>
      <c r="D97" s="407">
        <v>2015</v>
      </c>
      <c r="E97" s="407">
        <v>100</v>
      </c>
      <c r="F97" s="407"/>
      <c r="G97" s="407"/>
      <c r="H97" s="407"/>
      <c r="I97" s="408">
        <v>1</v>
      </c>
      <c r="J97" s="408">
        <v>1</v>
      </c>
      <c r="K97" s="403"/>
      <c r="L97" s="405"/>
      <c r="M97" s="409" t="str">
        <f>"IND"&amp;U97&amp;"DEFFTF"</f>
        <v>INDXDEFFTF</v>
      </c>
      <c r="N97" s="404" t="str">
        <f>V97&amp;" Saving Tech"&amp;"-"&amp;$X$97</f>
        <v>Aluminium Saving Tech-Haulage Tractors, Trucks, Fishing boats</v>
      </c>
      <c r="O97" s="409" t="s">
        <v>450</v>
      </c>
      <c r="P97" s="409" t="s">
        <v>536</v>
      </c>
      <c r="Q97" s="405"/>
      <c r="R97" s="405"/>
      <c r="S97" s="405"/>
      <c r="T97" s="403"/>
      <c r="U97" s="403" t="s">
        <v>749</v>
      </c>
      <c r="V97" s="410" t="s">
        <v>750</v>
      </c>
      <c r="W97" s="403" t="s">
        <v>546</v>
      </c>
      <c r="X97" s="403" t="s">
        <v>545</v>
      </c>
      <c r="Y97" s="403"/>
      <c r="Z97" s="403"/>
    </row>
    <row r="98" spans="2:26" ht="13.8">
      <c r="B98" s="405" t="str">
        <f t="shared" si="98"/>
        <v>INDRDEFFMT</v>
      </c>
      <c r="C98" s="406" t="str">
        <f>"I"&amp;U98&amp;"DMT"</f>
        <v>IRDMT</v>
      </c>
      <c r="D98" s="407">
        <v>2015</v>
      </c>
      <c r="E98" s="407">
        <v>100</v>
      </c>
      <c r="F98" s="407"/>
      <c r="G98" s="407"/>
      <c r="H98" s="407"/>
      <c r="I98" s="408">
        <v>1</v>
      </c>
      <c r="J98" s="408">
        <v>1</v>
      </c>
      <c r="K98" s="403"/>
      <c r="L98" s="405"/>
      <c r="M98" s="409" t="str">
        <f>"IND"&amp;U98&amp;"DEFFMT"</f>
        <v>INDRDEFFMT</v>
      </c>
      <c r="N98" s="404" t="str">
        <f>V98&amp;" Saving Tech"&amp;"-"&amp;$X$92</f>
        <v>Paper &amp; Pulp Saving Tech-Heat Medium Temp. up to 150C</v>
      </c>
      <c r="O98" s="409" t="s">
        <v>450</v>
      </c>
      <c r="P98" s="409" t="s">
        <v>536</v>
      </c>
      <c r="Q98" s="405"/>
      <c r="R98" s="405"/>
      <c r="S98" s="405"/>
      <c r="T98" s="403"/>
      <c r="U98" s="403" t="s">
        <v>751</v>
      </c>
      <c r="V98" s="411" t="s">
        <v>752</v>
      </c>
      <c r="W98" s="403"/>
      <c r="X98" s="403"/>
      <c r="Y98" s="403"/>
      <c r="Z98" s="403"/>
    </row>
    <row r="99" spans="2:26" ht="13.8">
      <c r="B99" s="405" t="str">
        <f t="shared" si="98"/>
        <v>INDRDEFFHT</v>
      </c>
      <c r="C99" s="406" t="str">
        <f>"I"&amp;U99&amp;"DHT"</f>
        <v>IRDHT</v>
      </c>
      <c r="D99" s="407">
        <v>2015</v>
      </c>
      <c r="E99" s="407">
        <v>100</v>
      </c>
      <c r="F99" s="407"/>
      <c r="G99" s="407"/>
      <c r="H99" s="407"/>
      <c r="I99" s="408">
        <v>1</v>
      </c>
      <c r="J99" s="408">
        <v>1</v>
      </c>
      <c r="K99" s="403"/>
      <c r="L99" s="405"/>
      <c r="M99" s="409" t="str">
        <f>"IND"&amp;U99&amp;"DEFFHT"</f>
        <v>INDRDEFFHT</v>
      </c>
      <c r="N99" s="404" t="str">
        <f>V99&amp;" Saving Tech"&amp;"-"&amp;$X$93</f>
        <v>Paper &amp; Pulp Saving Tech-Heat High Temp. over 150C</v>
      </c>
      <c r="O99" s="409" t="s">
        <v>450</v>
      </c>
      <c r="P99" s="409" t="s">
        <v>536</v>
      </c>
      <c r="Q99" s="405"/>
      <c r="R99" s="405"/>
      <c r="S99" s="405"/>
      <c r="T99" s="403"/>
      <c r="U99" s="403" t="s">
        <v>751</v>
      </c>
      <c r="V99" s="411" t="s">
        <v>752</v>
      </c>
      <c r="W99" s="403"/>
      <c r="X99" s="403"/>
      <c r="Y99" s="403"/>
      <c r="Z99" s="403"/>
    </row>
    <row r="100" spans="2:26" ht="13.8">
      <c r="B100" s="405" t="str">
        <f t="shared" si="98"/>
        <v>INDRDEFFRH</v>
      </c>
      <c r="C100" s="406" t="str">
        <f>"I"&amp;U100&amp;"DRH"</f>
        <v>IRDRH</v>
      </c>
      <c r="D100" s="407">
        <v>2015</v>
      </c>
      <c r="E100" s="407">
        <v>100</v>
      </c>
      <c r="F100" s="407"/>
      <c r="G100" s="407"/>
      <c r="H100" s="407"/>
      <c r="I100" s="408">
        <v>1</v>
      </c>
      <c r="J100" s="408">
        <v>1</v>
      </c>
      <c r="K100" s="403"/>
      <c r="L100" s="405"/>
      <c r="M100" s="409" t="str">
        <f>"IND"&amp;U100&amp;"DEFFRH"</f>
        <v>INDRDEFFRH</v>
      </c>
      <c r="N100" s="404" t="str">
        <f>V100&amp;" Saving Tech"&amp;"-"&amp;$X$94</f>
        <v>Paper &amp; Pulp Saving Tech-Heat Room Heat</v>
      </c>
      <c r="O100" s="409" t="s">
        <v>450</v>
      </c>
      <c r="P100" s="409" t="s">
        <v>536</v>
      </c>
      <c r="Q100" s="405"/>
      <c r="R100" s="405"/>
      <c r="S100" s="405"/>
      <c r="T100" s="403"/>
      <c r="U100" s="403" t="s">
        <v>751</v>
      </c>
      <c r="V100" s="411" t="s">
        <v>752</v>
      </c>
      <c r="W100" s="403"/>
      <c r="X100" s="403"/>
      <c r="Y100" s="403"/>
      <c r="Z100" s="403"/>
    </row>
    <row r="101" spans="2:26" ht="13.8">
      <c r="B101" s="405" t="str">
        <f t="shared" si="98"/>
        <v>INDRDEFFLA</v>
      </c>
      <c r="C101" s="406" t="str">
        <f>"I"&amp;U101&amp;"DLA"</f>
        <v>IRDLA</v>
      </c>
      <c r="D101" s="407">
        <v>2015</v>
      </c>
      <c r="E101" s="407">
        <v>100</v>
      </c>
      <c r="F101" s="407"/>
      <c r="G101" s="407"/>
      <c r="H101" s="407"/>
      <c r="I101" s="408">
        <v>1</v>
      </c>
      <c r="J101" s="408">
        <v>1</v>
      </c>
      <c r="K101" s="403"/>
      <c r="L101" s="405"/>
      <c r="M101" s="409" t="str">
        <f>"IND"&amp;U101&amp;"DEFFLA"</f>
        <v>INDRDEFFLA</v>
      </c>
      <c r="N101" s="404" t="str">
        <f>V101&amp;" Saving Tech"&amp;"-"&amp;$X$95</f>
        <v>Paper &amp; Pulp Saving Tech-Light</v>
      </c>
      <c r="O101" s="409" t="s">
        <v>450</v>
      </c>
      <c r="P101" s="409" t="s">
        <v>536</v>
      </c>
      <c r="Q101" s="405"/>
      <c r="R101" s="405"/>
      <c r="S101" s="405"/>
      <c r="T101" s="403"/>
      <c r="U101" s="403" t="s">
        <v>751</v>
      </c>
      <c r="V101" s="411" t="s">
        <v>752</v>
      </c>
      <c r="W101" s="403"/>
      <c r="X101" s="403"/>
      <c r="Y101" s="403"/>
      <c r="Z101" s="403"/>
    </row>
    <row r="102" spans="2:26" ht="13.8">
      <c r="B102" s="405" t="str">
        <f t="shared" si="98"/>
        <v>INDRDEFFEM</v>
      </c>
      <c r="C102" s="406" t="str">
        <f>"I"&amp;U102&amp;"DEM"</f>
        <v>IRDEM</v>
      </c>
      <c r="D102" s="407">
        <v>2015</v>
      </c>
      <c r="E102" s="407">
        <v>100</v>
      </c>
      <c r="F102" s="407"/>
      <c r="G102" s="407"/>
      <c r="H102" s="407"/>
      <c r="I102" s="408">
        <v>1</v>
      </c>
      <c r="J102" s="408">
        <v>1</v>
      </c>
      <c r="K102" s="403"/>
      <c r="L102" s="405"/>
      <c r="M102" s="409" t="str">
        <f>"IND"&amp;U101&amp;"DEFFEM"</f>
        <v>INDRDEFFEM</v>
      </c>
      <c r="N102" s="404" t="str">
        <f>V102&amp;" Saving Tech"&amp;"-"&amp;$X$96</f>
        <v>Paper &amp; Pulp Saving Tech-Electric Motors</v>
      </c>
      <c r="O102" s="409" t="s">
        <v>450</v>
      </c>
      <c r="P102" s="409" t="s">
        <v>536</v>
      </c>
      <c r="Q102" s="405"/>
      <c r="R102" s="405"/>
      <c r="S102" s="405"/>
      <c r="T102" s="403"/>
      <c r="U102" s="403" t="s">
        <v>751</v>
      </c>
      <c r="V102" s="411" t="s">
        <v>752</v>
      </c>
      <c r="W102" s="403"/>
      <c r="X102" s="403"/>
      <c r="Y102" s="403"/>
      <c r="Z102" s="403"/>
    </row>
    <row r="103" spans="2:26" ht="13.8">
      <c r="B103" s="405" t="str">
        <f t="shared" si="98"/>
        <v>INDRDEFFTF</v>
      </c>
      <c r="C103" s="406" t="str">
        <f>"I"&amp;U103&amp;"DTF"</f>
        <v>IRDTF</v>
      </c>
      <c r="D103" s="407">
        <v>2015</v>
      </c>
      <c r="E103" s="407">
        <v>100</v>
      </c>
      <c r="F103" s="407"/>
      <c r="G103" s="407"/>
      <c r="H103" s="407"/>
      <c r="I103" s="408">
        <v>1</v>
      </c>
      <c r="J103" s="408">
        <v>1</v>
      </c>
      <c r="K103" s="403"/>
      <c r="L103" s="405"/>
      <c r="M103" s="409" t="str">
        <f>"IND"&amp;U103&amp;"DEFFTF"</f>
        <v>INDRDEFFTF</v>
      </c>
      <c r="N103" s="404" t="str">
        <f>V103&amp;" Saving Tech"&amp;"-"&amp;$X$97</f>
        <v>Paper &amp; Pulp Saving Tech-Haulage Tractors, Trucks, Fishing boats</v>
      </c>
      <c r="O103" s="409" t="s">
        <v>450</v>
      </c>
      <c r="P103" s="409" t="s">
        <v>536</v>
      </c>
      <c r="Q103" s="405"/>
      <c r="R103" s="405"/>
      <c r="S103" s="405"/>
      <c r="T103" s="403"/>
      <c r="U103" s="403" t="s">
        <v>751</v>
      </c>
      <c r="V103" s="411" t="s">
        <v>752</v>
      </c>
      <c r="W103" s="403"/>
      <c r="X103" s="403"/>
      <c r="Y103" s="403"/>
      <c r="Z103" s="403"/>
    </row>
    <row r="104" spans="2:26" ht="13.8">
      <c r="B104" s="405" t="str">
        <f t="shared" si="98"/>
        <v>INDSDEFFMT</v>
      </c>
      <c r="C104" s="406" t="str">
        <f>"I"&amp;U104&amp;"DMT"</f>
        <v>ISDMT</v>
      </c>
      <c r="D104" s="407">
        <v>2015</v>
      </c>
      <c r="E104" s="407">
        <v>100</v>
      </c>
      <c r="F104" s="407"/>
      <c r="G104" s="407"/>
      <c r="H104" s="407"/>
      <c r="I104" s="408">
        <v>1</v>
      </c>
      <c r="J104" s="408">
        <v>1</v>
      </c>
      <c r="K104" s="403"/>
      <c r="L104" s="405"/>
      <c r="M104" s="409" t="str">
        <f>"IND"&amp;U104&amp;"DEFFMT"</f>
        <v>INDSDEFFMT</v>
      </c>
      <c r="N104" s="404" t="str">
        <f>V104&amp;" Saving Tech"&amp;"-"&amp;$X$92</f>
        <v>Iron &amp; Steel  Saving Tech-Heat Medium Temp. up to 150C</v>
      </c>
      <c r="O104" s="409" t="s">
        <v>450</v>
      </c>
      <c r="P104" s="409" t="s">
        <v>536</v>
      </c>
      <c r="Q104" s="405"/>
      <c r="R104" s="405"/>
      <c r="S104" s="405"/>
      <c r="T104" s="403"/>
      <c r="U104" s="403" t="s">
        <v>753</v>
      </c>
      <c r="V104" s="410" t="s">
        <v>754</v>
      </c>
      <c r="W104" s="403"/>
      <c r="X104" s="403"/>
      <c r="Y104" s="403"/>
      <c r="Z104" s="403"/>
    </row>
    <row r="105" spans="2:26" ht="13.8">
      <c r="B105" s="405" t="str">
        <f t="shared" si="98"/>
        <v>INDSDEFFHT</v>
      </c>
      <c r="C105" s="406" t="str">
        <f>"I"&amp;U105&amp;"DHT"</f>
        <v>ISDHT</v>
      </c>
      <c r="D105" s="407">
        <v>2015</v>
      </c>
      <c r="E105" s="407">
        <v>100</v>
      </c>
      <c r="F105" s="407"/>
      <c r="G105" s="407"/>
      <c r="H105" s="407"/>
      <c r="I105" s="408">
        <v>1</v>
      </c>
      <c r="J105" s="408">
        <v>1</v>
      </c>
      <c r="K105" s="403"/>
      <c r="L105" s="405"/>
      <c r="M105" s="409" t="str">
        <f>"IND"&amp;U105&amp;"DEFFHT"</f>
        <v>INDSDEFFHT</v>
      </c>
      <c r="N105" s="404" t="str">
        <f>V105&amp;" Saving Tech"&amp;"-"&amp;$X$93</f>
        <v>Iron &amp; Steel  Saving Tech-Heat High Temp. over 150C</v>
      </c>
      <c r="O105" s="409" t="s">
        <v>450</v>
      </c>
      <c r="P105" s="409" t="s">
        <v>536</v>
      </c>
      <c r="Q105" s="405"/>
      <c r="R105" s="405"/>
      <c r="S105" s="405"/>
      <c r="T105" s="403"/>
      <c r="U105" s="403" t="s">
        <v>753</v>
      </c>
      <c r="V105" s="410" t="s">
        <v>754</v>
      </c>
      <c r="W105" s="403"/>
      <c r="X105" s="403"/>
      <c r="Y105" s="403"/>
      <c r="Z105" s="403"/>
    </row>
    <row r="106" spans="2:26" ht="13.8">
      <c r="B106" s="405" t="str">
        <f t="shared" si="98"/>
        <v>INDSDEFFRH</v>
      </c>
      <c r="C106" s="406" t="str">
        <f>"I"&amp;U106&amp;"DRH"</f>
        <v>ISDRH</v>
      </c>
      <c r="D106" s="407">
        <v>2015</v>
      </c>
      <c r="E106" s="407">
        <v>100</v>
      </c>
      <c r="F106" s="407"/>
      <c r="G106" s="407"/>
      <c r="H106" s="407"/>
      <c r="I106" s="408">
        <v>1</v>
      </c>
      <c r="J106" s="408">
        <v>1</v>
      </c>
      <c r="K106" s="403"/>
      <c r="L106" s="405"/>
      <c r="M106" s="409" t="str">
        <f>"IND"&amp;U106&amp;"DEFFRH"</f>
        <v>INDSDEFFRH</v>
      </c>
      <c r="N106" s="404" t="str">
        <f>V106&amp;" Saving Tech"&amp;"-"&amp;$X$94</f>
        <v>Iron &amp; Steel  Saving Tech-Heat Room Heat</v>
      </c>
      <c r="O106" s="409" t="s">
        <v>450</v>
      </c>
      <c r="P106" s="409" t="s">
        <v>536</v>
      </c>
      <c r="Q106" s="405"/>
      <c r="R106" s="405"/>
      <c r="S106" s="405"/>
      <c r="T106" s="403"/>
      <c r="U106" s="403" t="s">
        <v>753</v>
      </c>
      <c r="V106" s="410" t="s">
        <v>754</v>
      </c>
      <c r="W106" s="403"/>
      <c r="X106" s="403"/>
      <c r="Y106" s="403"/>
      <c r="Z106" s="403"/>
    </row>
    <row r="107" spans="2:26" ht="13.8">
      <c r="B107" s="405" t="str">
        <f t="shared" si="98"/>
        <v>INDSDEFFLA</v>
      </c>
      <c r="C107" s="406" t="str">
        <f>"I"&amp;U107&amp;"DLA"</f>
        <v>ISDLA</v>
      </c>
      <c r="D107" s="407">
        <v>2015</v>
      </c>
      <c r="E107" s="407">
        <v>100</v>
      </c>
      <c r="F107" s="407"/>
      <c r="G107" s="407"/>
      <c r="H107" s="407"/>
      <c r="I107" s="408">
        <v>1</v>
      </c>
      <c r="J107" s="408">
        <v>1</v>
      </c>
      <c r="K107" s="403"/>
      <c r="L107" s="405"/>
      <c r="M107" s="409" t="str">
        <f>"IND"&amp;U107&amp;"DEFFLA"</f>
        <v>INDSDEFFLA</v>
      </c>
      <c r="N107" s="404" t="str">
        <f>V107&amp;" Saving Tech"&amp;"-"&amp;$X$95</f>
        <v>Iron &amp; Steel  Saving Tech-Light</v>
      </c>
      <c r="O107" s="409" t="s">
        <v>450</v>
      </c>
      <c r="P107" s="409" t="s">
        <v>536</v>
      </c>
      <c r="Q107" s="405"/>
      <c r="R107" s="405"/>
      <c r="S107" s="405"/>
      <c r="T107" s="403"/>
      <c r="U107" s="403" t="s">
        <v>753</v>
      </c>
      <c r="V107" s="410" t="s">
        <v>754</v>
      </c>
      <c r="W107" s="403"/>
      <c r="X107" s="403"/>
      <c r="Y107" s="403"/>
      <c r="Z107" s="403"/>
    </row>
    <row r="108" spans="2:26" ht="13.8">
      <c r="B108" s="405" t="str">
        <f t="shared" si="98"/>
        <v>INDSDEFFEM</v>
      </c>
      <c r="C108" s="406" t="str">
        <f>"I"&amp;U108&amp;"DEM"</f>
        <v>ISDEM</v>
      </c>
      <c r="D108" s="407">
        <v>2015</v>
      </c>
      <c r="E108" s="407">
        <v>100</v>
      </c>
      <c r="F108" s="407"/>
      <c r="G108" s="407"/>
      <c r="H108" s="407"/>
      <c r="I108" s="408">
        <v>1</v>
      </c>
      <c r="J108" s="408">
        <v>1</v>
      </c>
      <c r="K108" s="403"/>
      <c r="L108" s="405"/>
      <c r="M108" s="409" t="str">
        <f>"IND"&amp;U107&amp;"DEFFEM"</f>
        <v>INDSDEFFEM</v>
      </c>
      <c r="N108" s="404" t="str">
        <f>V108&amp;" Saving Tech"&amp;"-"&amp;$X$96</f>
        <v>Iron &amp; Steel  Saving Tech-Electric Motors</v>
      </c>
      <c r="O108" s="409" t="s">
        <v>450</v>
      </c>
      <c r="P108" s="409" t="s">
        <v>536</v>
      </c>
      <c r="Q108" s="405"/>
      <c r="R108" s="405"/>
      <c r="S108" s="405"/>
      <c r="T108" s="403"/>
      <c r="U108" s="403" t="s">
        <v>753</v>
      </c>
      <c r="V108" s="410" t="s">
        <v>754</v>
      </c>
      <c r="W108" s="403"/>
      <c r="X108" s="403"/>
      <c r="Y108" s="403"/>
      <c r="Z108" s="403"/>
    </row>
    <row r="109" spans="2:26" ht="13.8">
      <c r="B109" s="405" t="str">
        <f t="shared" si="98"/>
        <v>INDSDEFFTF</v>
      </c>
      <c r="C109" s="406" t="str">
        <f>"I"&amp;U109&amp;"DTF"</f>
        <v>ISDTF</v>
      </c>
      <c r="D109" s="407">
        <v>2015</v>
      </c>
      <c r="E109" s="407">
        <v>100</v>
      </c>
      <c r="F109" s="407"/>
      <c r="G109" s="407"/>
      <c r="H109" s="407"/>
      <c r="I109" s="408">
        <v>1</v>
      </c>
      <c r="J109" s="408">
        <v>1</v>
      </c>
      <c r="K109" s="403"/>
      <c r="L109" s="405"/>
      <c r="M109" s="409" t="str">
        <f>"IND"&amp;U109&amp;"DEFFTF"</f>
        <v>INDSDEFFTF</v>
      </c>
      <c r="N109" s="404" t="str">
        <f>V109&amp;" Saving Tech"&amp;"-"&amp;$X$97</f>
        <v>Iron &amp; Steel  Saving Tech-Haulage Tractors, Trucks, Fishing boats</v>
      </c>
      <c r="O109" s="409" t="s">
        <v>450</v>
      </c>
      <c r="P109" s="409" t="s">
        <v>536</v>
      </c>
      <c r="Q109" s="405"/>
      <c r="R109" s="405"/>
      <c r="S109" s="405"/>
      <c r="T109" s="403"/>
      <c r="U109" s="403" t="s">
        <v>753</v>
      </c>
      <c r="V109" s="410" t="s">
        <v>754</v>
      </c>
      <c r="W109" s="403"/>
      <c r="X109" s="403"/>
      <c r="Y109" s="403"/>
      <c r="Z109" s="403"/>
    </row>
    <row r="110" spans="2:26" ht="13.8">
      <c r="B110" s="405" t="str">
        <f t="shared" si="98"/>
        <v>INDWDEFFMT</v>
      </c>
      <c r="C110" s="406" t="str">
        <f>"I"&amp;U110&amp;"DMT"</f>
        <v>IWDMT</v>
      </c>
      <c r="D110" s="407">
        <v>2015</v>
      </c>
      <c r="E110" s="407">
        <v>100</v>
      </c>
      <c r="F110" s="407"/>
      <c r="G110" s="407"/>
      <c r="H110" s="407"/>
      <c r="I110" s="408">
        <v>1</v>
      </c>
      <c r="J110" s="408">
        <v>1</v>
      </c>
      <c r="K110" s="403"/>
      <c r="L110" s="405"/>
      <c r="M110" s="409" t="str">
        <f>"IND"&amp;U110&amp;"DEFFMT"</f>
        <v>INDWDEFFMT</v>
      </c>
      <c r="N110" s="404" t="str">
        <f>V110&amp;" Saving Tech"&amp;"-"&amp;$X$92</f>
        <v>Wood products Saving Tech-Heat Medium Temp. up to 150C</v>
      </c>
      <c r="O110" s="409" t="s">
        <v>450</v>
      </c>
      <c r="P110" s="409" t="s">
        <v>536</v>
      </c>
      <c r="Q110" s="405"/>
      <c r="R110" s="405"/>
      <c r="S110" s="405"/>
      <c r="T110" s="403"/>
      <c r="U110" s="403" t="s">
        <v>755</v>
      </c>
      <c r="V110" s="411" t="s">
        <v>756</v>
      </c>
      <c r="W110" s="403"/>
      <c r="X110" s="403"/>
      <c r="Y110" s="403"/>
      <c r="Z110" s="403"/>
    </row>
    <row r="111" spans="2:26" ht="13.8">
      <c r="B111" s="405" t="str">
        <f t="shared" si="98"/>
        <v>INDWDEFFHT</v>
      </c>
      <c r="C111" s="406" t="str">
        <f>"I"&amp;U111&amp;"DHT"</f>
        <v>IWDHT</v>
      </c>
      <c r="D111" s="407">
        <v>2015</v>
      </c>
      <c r="E111" s="407">
        <v>100</v>
      </c>
      <c r="F111" s="407"/>
      <c r="G111" s="407"/>
      <c r="H111" s="407"/>
      <c r="I111" s="408">
        <v>1</v>
      </c>
      <c r="J111" s="408">
        <v>1</v>
      </c>
      <c r="K111" s="403"/>
      <c r="L111" s="405"/>
      <c r="M111" s="409" t="str">
        <f>"IND"&amp;U111&amp;"DEFFHT"</f>
        <v>INDWDEFFHT</v>
      </c>
      <c r="N111" s="404" t="str">
        <f>V111&amp;" Saving Tech"&amp;"-"&amp;$X$93</f>
        <v>Wood products Saving Tech-Heat High Temp. over 150C</v>
      </c>
      <c r="O111" s="409" t="s">
        <v>450</v>
      </c>
      <c r="P111" s="409" t="s">
        <v>536</v>
      </c>
      <c r="Q111" s="405"/>
      <c r="R111" s="405"/>
      <c r="S111" s="405"/>
      <c r="T111" s="403"/>
      <c r="U111" s="403" t="s">
        <v>755</v>
      </c>
      <c r="V111" s="411" t="s">
        <v>756</v>
      </c>
      <c r="W111" s="403"/>
      <c r="X111" s="403"/>
      <c r="Y111" s="403"/>
      <c r="Z111" s="403"/>
    </row>
    <row r="112" spans="2:26" ht="13.8">
      <c r="B112" s="405" t="str">
        <f t="shared" si="98"/>
        <v>INDWDEFFRH</v>
      </c>
      <c r="C112" s="406" t="str">
        <f>"I"&amp;U112&amp;"DRH"</f>
        <v>IWDRH</v>
      </c>
      <c r="D112" s="407">
        <v>2015</v>
      </c>
      <c r="E112" s="407">
        <v>100</v>
      </c>
      <c r="F112" s="407"/>
      <c r="G112" s="407"/>
      <c r="H112" s="407"/>
      <c r="I112" s="408">
        <v>1</v>
      </c>
      <c r="J112" s="408">
        <v>1</v>
      </c>
      <c r="K112" s="403"/>
      <c r="L112" s="405"/>
      <c r="M112" s="409" t="str">
        <f>"IND"&amp;U112&amp;"DEFFRH"</f>
        <v>INDWDEFFRH</v>
      </c>
      <c r="N112" s="404" t="str">
        <f>V112&amp;" Saving Tech"&amp;"-"&amp;$X$94</f>
        <v>Wood products Saving Tech-Heat Room Heat</v>
      </c>
      <c r="O112" s="409" t="s">
        <v>450</v>
      </c>
      <c r="P112" s="409" t="s">
        <v>536</v>
      </c>
      <c r="Q112" s="405"/>
      <c r="R112" s="405"/>
      <c r="S112" s="405"/>
      <c r="T112" s="403"/>
      <c r="U112" s="403" t="s">
        <v>755</v>
      </c>
      <c r="V112" s="411" t="s">
        <v>756</v>
      </c>
      <c r="W112" s="403"/>
      <c r="X112" s="403"/>
      <c r="Y112" s="403"/>
      <c r="Z112" s="403"/>
    </row>
    <row r="113" spans="2:26" ht="13.8">
      <c r="B113" s="405" t="str">
        <f t="shared" si="98"/>
        <v>INDWDEFFLA</v>
      </c>
      <c r="C113" s="406" t="str">
        <f>"I"&amp;U113&amp;"DLA"</f>
        <v>IWDLA</v>
      </c>
      <c r="D113" s="407">
        <v>2015</v>
      </c>
      <c r="E113" s="407">
        <v>100</v>
      </c>
      <c r="F113" s="407"/>
      <c r="G113" s="407"/>
      <c r="H113" s="407"/>
      <c r="I113" s="408">
        <v>1</v>
      </c>
      <c r="J113" s="408">
        <v>1</v>
      </c>
      <c r="K113" s="403"/>
      <c r="L113" s="405"/>
      <c r="M113" s="409" t="str">
        <f>"IND"&amp;U113&amp;"DEFFLA"</f>
        <v>INDWDEFFLA</v>
      </c>
      <c r="N113" s="404" t="str">
        <f>V113&amp;" Saving Tech"&amp;"-"&amp;$X$95</f>
        <v>Wood products Saving Tech-Light</v>
      </c>
      <c r="O113" s="409" t="s">
        <v>450</v>
      </c>
      <c r="P113" s="409" t="s">
        <v>536</v>
      </c>
      <c r="Q113" s="405"/>
      <c r="R113" s="405"/>
      <c r="S113" s="405"/>
      <c r="T113" s="403"/>
      <c r="U113" s="403" t="s">
        <v>755</v>
      </c>
      <c r="V113" s="411" t="s">
        <v>756</v>
      </c>
      <c r="W113" s="403"/>
      <c r="X113" s="403"/>
      <c r="Y113" s="403"/>
      <c r="Z113" s="403"/>
    </row>
    <row r="114" spans="2:26" ht="13.8">
      <c r="B114" s="405" t="str">
        <f t="shared" si="98"/>
        <v>INDWDEFFEM</v>
      </c>
      <c r="C114" s="406" t="str">
        <f>"I"&amp;U114&amp;"DEM"</f>
        <v>IWDEM</v>
      </c>
      <c r="D114" s="407">
        <v>2015</v>
      </c>
      <c r="E114" s="407">
        <v>100</v>
      </c>
      <c r="F114" s="407"/>
      <c r="G114" s="407"/>
      <c r="H114" s="407"/>
      <c r="I114" s="408">
        <v>1</v>
      </c>
      <c r="J114" s="408">
        <v>1</v>
      </c>
      <c r="K114" s="403"/>
      <c r="L114" s="405"/>
      <c r="M114" s="409" t="str">
        <f>"IND"&amp;U113&amp;"DEFFEM"</f>
        <v>INDWDEFFEM</v>
      </c>
      <c r="N114" s="404" t="str">
        <f>V114&amp;" Saving Tech"&amp;"-"&amp;$X$96</f>
        <v>Wood products Saving Tech-Electric Motors</v>
      </c>
      <c r="O114" s="409" t="s">
        <v>450</v>
      </c>
      <c r="P114" s="409" t="s">
        <v>536</v>
      </c>
      <c r="Q114" s="405"/>
      <c r="R114" s="405"/>
      <c r="S114" s="405"/>
      <c r="T114" s="403"/>
      <c r="U114" s="403" t="s">
        <v>755</v>
      </c>
      <c r="V114" s="411" t="s">
        <v>756</v>
      </c>
      <c r="W114" s="403"/>
      <c r="X114" s="403"/>
      <c r="Y114" s="403"/>
      <c r="Z114" s="403"/>
    </row>
    <row r="115" spans="2:26" ht="13.8">
      <c r="B115" s="405" t="str">
        <f t="shared" si="98"/>
        <v>INDWDEFFTF</v>
      </c>
      <c r="C115" s="406" t="str">
        <f>"I"&amp;U115&amp;"DTF"</f>
        <v>IWDTF</v>
      </c>
      <c r="D115" s="407">
        <v>2015</v>
      </c>
      <c r="E115" s="407">
        <v>100</v>
      </c>
      <c r="F115" s="407"/>
      <c r="G115" s="407"/>
      <c r="H115" s="407"/>
      <c r="I115" s="408">
        <v>1</v>
      </c>
      <c r="J115" s="408">
        <v>1</v>
      </c>
      <c r="K115" s="403"/>
      <c r="L115" s="405"/>
      <c r="M115" s="409" t="str">
        <f>"IND"&amp;U115&amp;"DEFFTF"</f>
        <v>INDWDEFFTF</v>
      </c>
      <c r="N115" s="404" t="str">
        <f>V115&amp;" Saving Tech"&amp;"-"&amp;$X$97</f>
        <v>Wood products Saving Tech-Haulage Tractors, Trucks, Fishing boats</v>
      </c>
      <c r="O115" s="409" t="s">
        <v>450</v>
      </c>
      <c r="P115" s="409" t="s">
        <v>536</v>
      </c>
      <c r="Q115" s="405"/>
      <c r="R115" s="405"/>
      <c r="S115" s="405"/>
      <c r="T115" s="403"/>
      <c r="U115" s="403" t="s">
        <v>755</v>
      </c>
      <c r="V115" s="411" t="s">
        <v>756</v>
      </c>
      <c r="W115" s="403"/>
      <c r="X115" s="403"/>
      <c r="Y115" s="403"/>
      <c r="Z115" s="403"/>
    </row>
    <row r="116" spans="2:26" ht="13.8">
      <c r="B116" s="405" t="str">
        <f t="shared" si="98"/>
        <v>INDIDEFFMT</v>
      </c>
      <c r="C116" s="406" t="str">
        <f>"I"&amp;U116&amp;"DMT"</f>
        <v>IIDMT</v>
      </c>
      <c r="D116" s="407">
        <v>2015</v>
      </c>
      <c r="E116" s="407">
        <v>100</v>
      </c>
      <c r="F116" s="407"/>
      <c r="G116" s="407"/>
      <c r="H116" s="407"/>
      <c r="I116" s="408">
        <v>1</v>
      </c>
      <c r="J116" s="408">
        <v>1</v>
      </c>
      <c r="K116" s="403"/>
      <c r="L116" s="405"/>
      <c r="M116" s="409" t="str">
        <f>"IND"&amp;U116&amp;"DEFFMT"</f>
        <v>INDIDEFFMT</v>
      </c>
      <c r="N116" s="404" t="str">
        <f>V116&amp;" Saving Tech"&amp;"-"&amp;$X$92</f>
        <v>Mining Saving Tech-Heat Medium Temp. up to 150C</v>
      </c>
      <c r="O116" s="409" t="s">
        <v>450</v>
      </c>
      <c r="P116" s="409" t="s">
        <v>536</v>
      </c>
      <c r="Q116" s="405"/>
      <c r="R116" s="405"/>
      <c r="S116" s="405"/>
      <c r="T116" s="403"/>
      <c r="U116" s="403" t="s">
        <v>52</v>
      </c>
      <c r="V116" s="410" t="s">
        <v>757</v>
      </c>
      <c r="W116" s="403"/>
      <c r="X116" s="403"/>
      <c r="Y116" s="403"/>
      <c r="Z116" s="403"/>
    </row>
    <row r="117" spans="2:26" ht="13.8">
      <c r="B117" s="405" t="str">
        <f t="shared" si="98"/>
        <v>INDIDEFFHT</v>
      </c>
      <c r="C117" s="406" t="str">
        <f>"I"&amp;U117&amp;"DHT"</f>
        <v>IIDHT</v>
      </c>
      <c r="D117" s="407">
        <v>2015</v>
      </c>
      <c r="E117" s="407">
        <v>100</v>
      </c>
      <c r="F117" s="407"/>
      <c r="G117" s="407"/>
      <c r="H117" s="407"/>
      <c r="I117" s="408">
        <v>1</v>
      </c>
      <c r="J117" s="408">
        <v>1</v>
      </c>
      <c r="K117" s="403"/>
      <c r="L117" s="405"/>
      <c r="M117" s="409" t="str">
        <f>"IND"&amp;U117&amp;"DEFFHT"</f>
        <v>INDIDEFFHT</v>
      </c>
      <c r="N117" s="404" t="str">
        <f>V117&amp;" Saving Tech"&amp;"-"&amp;$X$93</f>
        <v>Mining Saving Tech-Heat High Temp. over 150C</v>
      </c>
      <c r="O117" s="409" t="s">
        <v>450</v>
      </c>
      <c r="P117" s="409" t="s">
        <v>536</v>
      </c>
      <c r="Q117" s="405"/>
      <c r="R117" s="405"/>
      <c r="S117" s="405"/>
      <c r="T117" s="403"/>
      <c r="U117" s="403" t="s">
        <v>52</v>
      </c>
      <c r="V117" s="410" t="s">
        <v>757</v>
      </c>
      <c r="W117" s="403"/>
      <c r="X117" s="403"/>
      <c r="Y117" s="403"/>
      <c r="Z117" s="403"/>
    </row>
    <row r="118" spans="2:26" ht="13.8">
      <c r="B118" s="405" t="str">
        <f t="shared" si="98"/>
        <v>INDIDEFFRH</v>
      </c>
      <c r="C118" s="406" t="str">
        <f>"I"&amp;U118&amp;"DRH"</f>
        <v>IIDRH</v>
      </c>
      <c r="D118" s="407">
        <v>2015</v>
      </c>
      <c r="E118" s="407">
        <v>100</v>
      </c>
      <c r="F118" s="407"/>
      <c r="G118" s="407"/>
      <c r="H118" s="407"/>
      <c r="I118" s="408">
        <v>1</v>
      </c>
      <c r="J118" s="408">
        <v>1</v>
      </c>
      <c r="K118" s="403"/>
      <c r="L118" s="405"/>
      <c r="M118" s="409" t="str">
        <f>"IND"&amp;U118&amp;"DEFFRH"</f>
        <v>INDIDEFFRH</v>
      </c>
      <c r="N118" s="404" t="str">
        <f>V118&amp;" Saving Tech"&amp;"-"&amp;$X$94</f>
        <v>Mining Saving Tech-Heat Room Heat</v>
      </c>
      <c r="O118" s="409" t="s">
        <v>450</v>
      </c>
      <c r="P118" s="409" t="s">
        <v>536</v>
      </c>
      <c r="Q118" s="405"/>
      <c r="R118" s="405"/>
      <c r="S118" s="405"/>
      <c r="T118" s="403"/>
      <c r="U118" s="403" t="s">
        <v>52</v>
      </c>
      <c r="V118" s="410" t="s">
        <v>757</v>
      </c>
      <c r="W118" s="403"/>
      <c r="X118" s="403"/>
      <c r="Y118" s="403"/>
      <c r="Z118" s="403"/>
    </row>
    <row r="119" spans="2:26" ht="13.8">
      <c r="B119" s="405" t="str">
        <f t="shared" si="98"/>
        <v>INDIDEFFLA</v>
      </c>
      <c r="C119" s="406" t="str">
        <f>"I"&amp;U119&amp;"DLA"</f>
        <v>IIDLA</v>
      </c>
      <c r="D119" s="407">
        <v>2015</v>
      </c>
      <c r="E119" s="407">
        <v>100</v>
      </c>
      <c r="F119" s="407"/>
      <c r="G119" s="407"/>
      <c r="H119" s="407"/>
      <c r="I119" s="408">
        <v>1</v>
      </c>
      <c r="J119" s="408">
        <v>1</v>
      </c>
      <c r="K119" s="403"/>
      <c r="L119" s="405"/>
      <c r="M119" s="409" t="str">
        <f>"IND"&amp;U119&amp;"DEFFLA"</f>
        <v>INDIDEFFLA</v>
      </c>
      <c r="N119" s="404" t="str">
        <f>V119&amp;" Saving Tech"&amp;"-"&amp;$X$95</f>
        <v>Mining Saving Tech-Light</v>
      </c>
      <c r="O119" s="409" t="s">
        <v>450</v>
      </c>
      <c r="P119" s="409" t="s">
        <v>536</v>
      </c>
      <c r="Q119" s="405"/>
      <c r="R119" s="405"/>
      <c r="S119" s="405"/>
      <c r="T119" s="403"/>
      <c r="U119" s="403" t="s">
        <v>52</v>
      </c>
      <c r="V119" s="410" t="s">
        <v>757</v>
      </c>
      <c r="W119" s="403"/>
      <c r="X119" s="403"/>
      <c r="Y119" s="403"/>
      <c r="Z119" s="403"/>
    </row>
    <row r="120" spans="2:26" ht="13.8">
      <c r="B120" s="405" t="str">
        <f t="shared" si="98"/>
        <v>INDIDEFFEM</v>
      </c>
      <c r="C120" s="406" t="str">
        <f>"I"&amp;U120&amp;"DEM"</f>
        <v>IIDEM</v>
      </c>
      <c r="D120" s="407">
        <v>2015</v>
      </c>
      <c r="E120" s="407">
        <v>100</v>
      </c>
      <c r="F120" s="407"/>
      <c r="G120" s="407"/>
      <c r="H120" s="407"/>
      <c r="I120" s="408">
        <v>1</v>
      </c>
      <c r="J120" s="408">
        <v>1</v>
      </c>
      <c r="K120" s="403"/>
      <c r="L120" s="405"/>
      <c r="M120" s="409" t="str">
        <f>"IND"&amp;U119&amp;"DEFFEM"</f>
        <v>INDIDEFFEM</v>
      </c>
      <c r="N120" s="404" t="str">
        <f>V120&amp;" Saving Tech"&amp;"-"&amp;$X$96</f>
        <v>Mining Saving Tech-Electric Motors</v>
      </c>
      <c r="O120" s="409" t="s">
        <v>450</v>
      </c>
      <c r="P120" s="409" t="s">
        <v>536</v>
      </c>
      <c r="Q120" s="405"/>
      <c r="R120" s="405"/>
      <c r="S120" s="405"/>
      <c r="T120" s="403"/>
      <c r="U120" s="403" t="s">
        <v>52</v>
      </c>
      <c r="V120" s="410" t="s">
        <v>757</v>
      </c>
      <c r="W120" s="403"/>
      <c r="X120" s="403"/>
      <c r="Y120" s="403"/>
      <c r="Z120" s="403"/>
    </row>
    <row r="121" spans="2:26" ht="13.8">
      <c r="B121" s="405" t="str">
        <f t="shared" si="98"/>
        <v>INDIDEFFTF</v>
      </c>
      <c r="C121" s="406" t="str">
        <f>"I"&amp;U121&amp;"DTF"</f>
        <v>IIDTF</v>
      </c>
      <c r="D121" s="407">
        <v>2015</v>
      </c>
      <c r="E121" s="407">
        <v>100</v>
      </c>
      <c r="F121" s="407"/>
      <c r="G121" s="407"/>
      <c r="H121" s="407"/>
      <c r="I121" s="408">
        <v>1</v>
      </c>
      <c r="J121" s="408">
        <v>1</v>
      </c>
      <c r="K121" s="403"/>
      <c r="L121" s="405"/>
      <c r="M121" s="409" t="str">
        <f>"IND"&amp;U121&amp;"DEFFTF"</f>
        <v>INDIDEFFTF</v>
      </c>
      <c r="N121" s="404" t="str">
        <f>V121&amp;" Saving Tech"&amp;"-"&amp;$X$97</f>
        <v>Mining Saving Tech-Haulage Tractors, Trucks, Fishing boats</v>
      </c>
      <c r="O121" s="409" t="s">
        <v>450</v>
      </c>
      <c r="P121" s="409" t="s">
        <v>536</v>
      </c>
      <c r="Q121" s="405"/>
      <c r="R121" s="405"/>
      <c r="S121" s="405"/>
      <c r="T121" s="403"/>
      <c r="U121" s="403" t="s">
        <v>52</v>
      </c>
      <c r="V121" s="410" t="s">
        <v>757</v>
      </c>
      <c r="W121" s="403"/>
      <c r="X121" s="403"/>
      <c r="Y121" s="403"/>
      <c r="Z121" s="403"/>
    </row>
    <row r="132" spans="22:32">
      <c r="V132" s="403"/>
      <c r="W132" s="403"/>
      <c r="X132" s="403"/>
      <c r="Y132" s="403"/>
      <c r="Z132" s="403"/>
      <c r="AA132" s="403"/>
      <c r="AB132" s="403"/>
      <c r="AC132" s="403"/>
      <c r="AD132" s="403"/>
      <c r="AE132" s="403"/>
      <c r="AF132" s="403"/>
    </row>
    <row r="133" spans="22:32">
      <c r="V133" s="403"/>
      <c r="W133" s="403"/>
      <c r="X133" s="403"/>
      <c r="Y133" s="403"/>
      <c r="Z133" s="403"/>
      <c r="AA133" s="403"/>
      <c r="AB133" s="403"/>
      <c r="AC133" s="403"/>
      <c r="AD133" s="403"/>
      <c r="AE133" s="403"/>
      <c r="AF133" s="403"/>
    </row>
    <row r="134" spans="22:32" ht="13.8">
      <c r="V134" s="412">
        <v>1</v>
      </c>
      <c r="W134" s="412" t="s">
        <v>758</v>
      </c>
      <c r="X134" s="412" t="s">
        <v>759</v>
      </c>
      <c r="Y134" s="412" t="s">
        <v>760</v>
      </c>
      <c r="Z134" s="413" t="s">
        <v>521</v>
      </c>
      <c r="AA134" s="413" t="s">
        <v>761</v>
      </c>
      <c r="AB134" s="413"/>
      <c r="AC134" s="412"/>
      <c r="AD134" s="412"/>
      <c r="AE134" s="403"/>
      <c r="AF134" s="403"/>
    </row>
    <row r="135" spans="22:32" ht="13.8">
      <c r="V135" s="412">
        <v>2</v>
      </c>
      <c r="W135" s="412" t="s">
        <v>762</v>
      </c>
      <c r="X135" s="412" t="s">
        <v>738</v>
      </c>
      <c r="Y135" s="412" t="s">
        <v>763</v>
      </c>
      <c r="Z135" s="413" t="s">
        <v>764</v>
      </c>
      <c r="AA135" s="413" t="s">
        <v>765</v>
      </c>
      <c r="AB135" s="413"/>
      <c r="AC135" s="412"/>
      <c r="AD135" s="412"/>
      <c r="AE135" s="403"/>
      <c r="AF135" s="403"/>
    </row>
    <row r="136" spans="22:32" ht="13.8">
      <c r="V136" s="412">
        <v>3</v>
      </c>
      <c r="W136" s="412" t="s">
        <v>766</v>
      </c>
      <c r="X136" s="412" t="s">
        <v>767</v>
      </c>
      <c r="Y136" s="412" t="s">
        <v>768</v>
      </c>
      <c r="Z136" s="413" t="s">
        <v>769</v>
      </c>
      <c r="AA136" s="413" t="s">
        <v>770</v>
      </c>
      <c r="AB136" s="413"/>
      <c r="AC136" s="412"/>
      <c r="AD136" s="412"/>
      <c r="AE136" s="403"/>
      <c r="AF136" s="403"/>
    </row>
    <row r="137" spans="22:32" ht="13.8">
      <c r="V137" s="412">
        <v>4</v>
      </c>
      <c r="W137" s="412" t="s">
        <v>771</v>
      </c>
      <c r="X137" s="412" t="s">
        <v>772</v>
      </c>
      <c r="Y137" s="412" t="s">
        <v>773</v>
      </c>
      <c r="Z137" s="413" t="s">
        <v>542</v>
      </c>
      <c r="AA137" s="413" t="s">
        <v>774</v>
      </c>
      <c r="AB137" s="413"/>
      <c r="AC137" s="412"/>
      <c r="AD137" s="412"/>
      <c r="AE137" s="403"/>
      <c r="AF137" s="403"/>
    </row>
    <row r="138" spans="22:32" ht="13.8">
      <c r="V138" s="414">
        <v>5</v>
      </c>
      <c r="W138" s="414" t="s">
        <v>775</v>
      </c>
      <c r="X138" s="414" t="s">
        <v>776</v>
      </c>
      <c r="Y138" s="414" t="s">
        <v>777</v>
      </c>
      <c r="Z138" s="410" t="s">
        <v>778</v>
      </c>
      <c r="AA138" s="410" t="s">
        <v>779</v>
      </c>
      <c r="AB138" s="410"/>
      <c r="AC138" s="414"/>
      <c r="AD138" s="414"/>
      <c r="AE138" s="403"/>
      <c r="AF138" s="403"/>
    </row>
    <row r="139" spans="22:32" ht="13.8">
      <c r="V139" s="412">
        <v>6</v>
      </c>
      <c r="W139" s="412" t="s">
        <v>780</v>
      </c>
      <c r="X139" s="412" t="s">
        <v>781</v>
      </c>
      <c r="Y139" s="412" t="s">
        <v>782</v>
      </c>
      <c r="Z139" s="413" t="s">
        <v>524</v>
      </c>
      <c r="AA139" s="413" t="s">
        <v>783</v>
      </c>
      <c r="AB139" s="413"/>
      <c r="AC139" s="412"/>
      <c r="AD139" s="412"/>
      <c r="AE139" s="403"/>
      <c r="AF139" s="403"/>
    </row>
    <row r="140" spans="22:32" ht="13.8">
      <c r="V140" s="414">
        <v>7</v>
      </c>
      <c r="W140" s="414" t="s">
        <v>784</v>
      </c>
      <c r="X140" s="414" t="s">
        <v>785</v>
      </c>
      <c r="Y140" s="414" t="s">
        <v>786</v>
      </c>
      <c r="Z140" s="410" t="s">
        <v>787</v>
      </c>
      <c r="AA140" s="410" t="s">
        <v>788</v>
      </c>
      <c r="AB140" s="410"/>
      <c r="AC140" s="414"/>
      <c r="AD140" s="414"/>
      <c r="AE140" s="403"/>
      <c r="AF140" s="403"/>
    </row>
    <row r="141" spans="22:32" ht="13.8">
      <c r="V141" s="414">
        <v>8</v>
      </c>
      <c r="W141" s="414" t="s">
        <v>789</v>
      </c>
      <c r="X141" s="414" t="s">
        <v>790</v>
      </c>
      <c r="Y141" s="414" t="s">
        <v>791</v>
      </c>
      <c r="Z141" s="410" t="s">
        <v>754</v>
      </c>
      <c r="AA141" s="410" t="s">
        <v>792</v>
      </c>
      <c r="AB141" s="410"/>
      <c r="AC141" s="414"/>
      <c r="AD141" s="414"/>
      <c r="AE141" s="403"/>
      <c r="AF141" s="403"/>
    </row>
    <row r="142" spans="22:32" ht="13.8">
      <c r="V142" s="412">
        <v>9</v>
      </c>
      <c r="W142" s="412" t="s">
        <v>793</v>
      </c>
      <c r="X142" s="412" t="s">
        <v>794</v>
      </c>
      <c r="Y142" s="412" t="s">
        <v>795</v>
      </c>
      <c r="Z142" s="413" t="s">
        <v>796</v>
      </c>
      <c r="AA142" s="413" t="s">
        <v>797</v>
      </c>
      <c r="AB142" s="413"/>
      <c r="AC142" s="413"/>
      <c r="AD142" s="413"/>
      <c r="AE142" s="403"/>
      <c r="AF142" s="403"/>
    </row>
    <row r="143" spans="22:32" ht="13.8">
      <c r="V143" s="412">
        <v>10</v>
      </c>
      <c r="W143" s="412" t="s">
        <v>798</v>
      </c>
      <c r="X143" s="412" t="s">
        <v>799</v>
      </c>
      <c r="Y143" s="412" t="s">
        <v>800</v>
      </c>
      <c r="Z143" s="413" t="s">
        <v>801</v>
      </c>
      <c r="AA143" s="413" t="s">
        <v>802</v>
      </c>
      <c r="AB143" s="413"/>
      <c r="AC143" s="412"/>
      <c r="AD143" s="412"/>
      <c r="AE143" s="403"/>
      <c r="AF143" s="403"/>
    </row>
    <row r="144" spans="22:32" ht="13.8">
      <c r="V144" s="415">
        <v>11</v>
      </c>
      <c r="W144" s="415" t="s">
        <v>803</v>
      </c>
      <c r="X144" s="415" t="s">
        <v>804</v>
      </c>
      <c r="Y144" s="415" t="s">
        <v>805</v>
      </c>
      <c r="Z144" s="416" t="s">
        <v>568</v>
      </c>
      <c r="AA144" s="416" t="s">
        <v>806</v>
      </c>
      <c r="AB144" s="416"/>
      <c r="AC144" s="415"/>
      <c r="AD144" s="415"/>
      <c r="AE144" s="403"/>
      <c r="AF144" s="403"/>
    </row>
    <row r="145" spans="22:32" ht="13.8">
      <c r="V145" s="414">
        <v>12</v>
      </c>
      <c r="W145" s="414" t="s">
        <v>807</v>
      </c>
      <c r="X145" s="414" t="s">
        <v>808</v>
      </c>
      <c r="Y145" s="414" t="s">
        <v>809</v>
      </c>
      <c r="Z145" s="410" t="s">
        <v>810</v>
      </c>
      <c r="AA145" s="410" t="s">
        <v>811</v>
      </c>
      <c r="AB145" s="410"/>
      <c r="AC145" s="414"/>
      <c r="AD145" s="414"/>
      <c r="AE145" s="403"/>
      <c r="AF145" s="403"/>
    </row>
    <row r="146" spans="22:32" ht="13.8">
      <c r="V146" s="414">
        <v>13</v>
      </c>
      <c r="W146" s="414" t="s">
        <v>812</v>
      </c>
      <c r="X146" s="414" t="s">
        <v>813</v>
      </c>
      <c r="Y146" s="414" t="s">
        <v>814</v>
      </c>
      <c r="Z146" s="410" t="s">
        <v>757</v>
      </c>
      <c r="AA146" s="410" t="s">
        <v>815</v>
      </c>
      <c r="AB146" s="410"/>
      <c r="AC146" s="414"/>
      <c r="AD146" s="414"/>
      <c r="AE146" s="403"/>
      <c r="AF146" s="403"/>
    </row>
    <row r="147" spans="22:32">
      <c r="V147" s="403"/>
      <c r="W147" s="403"/>
      <c r="X147" s="403"/>
      <c r="Y147" s="403"/>
      <c r="Z147" s="403"/>
      <c r="AA147" s="403"/>
      <c r="AB147" s="403"/>
      <c r="AC147" s="403"/>
      <c r="AD147" s="403"/>
      <c r="AE147" s="403"/>
      <c r="AF147" s="403"/>
    </row>
    <row r="148" spans="22:32">
      <c r="V148" s="403"/>
      <c r="W148" s="403"/>
      <c r="X148" s="403"/>
      <c r="Y148" s="403"/>
      <c r="Z148" s="403"/>
      <c r="AA148" s="403"/>
      <c r="AB148" s="403"/>
      <c r="AC148" s="403"/>
      <c r="AD148" s="403"/>
      <c r="AE148" s="403"/>
      <c r="AF148" s="403"/>
    </row>
    <row r="149" spans="22:32">
      <c r="V149" s="403"/>
      <c r="W149" s="403"/>
      <c r="X149" s="403"/>
      <c r="Y149" s="403"/>
      <c r="Z149" s="403"/>
      <c r="AA149" s="403"/>
      <c r="AB149" s="403"/>
      <c r="AC149" s="403"/>
      <c r="AD149" s="403"/>
      <c r="AE149" s="403"/>
      <c r="AF149" s="403"/>
    </row>
  </sheetData>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4">
    <tabColor theme="6" tint="-0.249977111117893"/>
  </sheetPr>
  <dimension ref="A1:AD168"/>
  <sheetViews>
    <sheetView topLeftCell="A21" zoomScale="55" zoomScaleNormal="55" workbookViewId="0">
      <selection activeCell="F97" sqref="F97"/>
    </sheetView>
  </sheetViews>
  <sheetFormatPr defaultColWidth="9.33203125" defaultRowHeight="14.4"/>
  <cols>
    <col min="1" max="1" width="9.33203125" style="239"/>
    <col min="2" max="2" width="12" style="239" bestFit="1" customWidth="1"/>
    <col min="3" max="3" width="17" style="239" bestFit="1" customWidth="1"/>
    <col min="4" max="4" width="88.6640625" style="239" bestFit="1" customWidth="1"/>
    <col min="5" max="5" width="10.5546875" style="239" bestFit="1" customWidth="1"/>
    <col min="6" max="6" width="55.6640625" style="239" bestFit="1" customWidth="1"/>
    <col min="7" max="7" width="27.6640625" style="239" bestFit="1" customWidth="1"/>
    <col min="8" max="8" width="10.33203125" style="239" bestFit="1" customWidth="1"/>
    <col min="9" max="9" width="8.44140625" style="239" bestFit="1" customWidth="1"/>
    <col min="10" max="10" width="6" style="239" bestFit="1" customWidth="1"/>
    <col min="11" max="12" width="12.6640625" style="239" bestFit="1" customWidth="1"/>
    <col min="13" max="13" width="12.44140625" style="239" bestFit="1" customWidth="1"/>
    <col min="14" max="14" width="5.5546875" style="239" bestFit="1" customWidth="1"/>
    <col min="15" max="15" width="8.33203125" style="239" bestFit="1" customWidth="1"/>
    <col min="16" max="16" width="11.6640625" style="239" bestFit="1" customWidth="1"/>
    <col min="17" max="17" width="7.6640625" style="239" bestFit="1" customWidth="1"/>
    <col min="18" max="18" width="8.5546875" style="239" bestFit="1" customWidth="1"/>
    <col min="19" max="19" width="6.5546875" style="239" bestFit="1" customWidth="1"/>
    <col min="20" max="20" width="6.5546875" style="239" customWidth="1"/>
    <col min="21" max="21" width="8" style="239" customWidth="1"/>
    <col min="22" max="32" width="9.33203125" style="239"/>
    <col min="33" max="33" width="64.33203125" style="239" bestFit="1" customWidth="1"/>
    <col min="34" max="16384" width="9.33203125" style="239"/>
  </cols>
  <sheetData>
    <row r="1" spans="3:30">
      <c r="K1" s="239" t="str">
        <f>AC8</f>
        <v>ITDRH</v>
      </c>
      <c r="L1" s="239" t="str">
        <f>AC7</f>
        <v>ITDMT</v>
      </c>
      <c r="M1" s="239" t="str">
        <f>AC6</f>
        <v>ITDHT</v>
      </c>
    </row>
    <row r="2" spans="3:30">
      <c r="H2" s="175" t="s">
        <v>468</v>
      </c>
      <c r="K2" s="267">
        <v>1</v>
      </c>
      <c r="L2" s="267">
        <v>0.8</v>
      </c>
      <c r="M2" s="267">
        <v>0.7</v>
      </c>
      <c r="T2" s="315"/>
    </row>
    <row r="3" spans="3:30" ht="26.25" customHeight="1">
      <c r="C3" s="46" t="s">
        <v>425</v>
      </c>
      <c r="D3" s="46" t="s">
        <v>426</v>
      </c>
      <c r="E3" s="46" t="s">
        <v>734</v>
      </c>
      <c r="F3" s="46" t="s">
        <v>427</v>
      </c>
      <c r="G3" s="169" t="s">
        <v>428</v>
      </c>
      <c r="H3" s="46" t="s">
        <v>335</v>
      </c>
      <c r="I3" s="46" t="s">
        <v>336</v>
      </c>
      <c r="J3" s="47" t="s">
        <v>337</v>
      </c>
      <c r="K3" s="47" t="s">
        <v>339</v>
      </c>
      <c r="L3" s="48" t="s">
        <v>340</v>
      </c>
      <c r="M3" s="49" t="s">
        <v>341</v>
      </c>
      <c r="N3" s="49" t="s">
        <v>342</v>
      </c>
      <c r="O3" s="49" t="s">
        <v>343</v>
      </c>
      <c r="P3" s="49" t="s">
        <v>344</v>
      </c>
      <c r="Q3" s="316"/>
      <c r="R3" s="299" t="str">
        <f>"FEMIS~"&amp;C164</f>
        <v>FEMIS~ITDSOx</v>
      </c>
      <c r="S3" s="299" t="str">
        <f>"FEMIS~"&amp;C165</f>
        <v>FEMIS~ITDNOx</v>
      </c>
      <c r="T3" s="299" t="str">
        <f>"FEMIS~"&amp;C166</f>
        <v>FEMIS~ITDCH4</v>
      </c>
      <c r="U3" s="299" t="str">
        <f>"FEMIS~"&amp;C167</f>
        <v>FEMIS~ITDNO2</v>
      </c>
      <c r="V3" s="299" t="str">
        <f>"FEMIS~"&amp;C168</f>
        <v>FEMIS~ITDPM</v>
      </c>
      <c r="W3" s="239" t="s">
        <v>424</v>
      </c>
      <c r="Y3" s="47" t="s">
        <v>338</v>
      </c>
      <c r="Z3" s="233" t="s">
        <v>473</v>
      </c>
    </row>
    <row r="4" spans="3:30" ht="15" thickBot="1">
      <c r="C4" s="170" t="s">
        <v>429</v>
      </c>
      <c r="D4" s="50"/>
      <c r="E4" s="50"/>
      <c r="F4" s="50"/>
      <c r="G4" s="171"/>
      <c r="H4" s="50"/>
      <c r="I4" s="50"/>
      <c r="J4" s="51"/>
      <c r="K4" s="51"/>
      <c r="L4" s="52"/>
      <c r="M4" s="50"/>
      <c r="N4" s="50"/>
      <c r="O4" s="50"/>
      <c r="P4" s="50"/>
      <c r="Q4" s="317"/>
      <c r="R4" s="50"/>
      <c r="S4" s="50"/>
      <c r="T4" s="50"/>
      <c r="U4" s="50"/>
      <c r="V4" s="50"/>
      <c r="Y4" s="51"/>
      <c r="Z4" s="234"/>
      <c r="AC4" s="239" t="s">
        <v>519</v>
      </c>
      <c r="AD4" s="239" t="s">
        <v>525</v>
      </c>
    </row>
    <row r="5" spans="3:30">
      <c r="C5" s="239" t="s">
        <v>451</v>
      </c>
      <c r="H5" s="57"/>
      <c r="I5" s="57"/>
      <c r="J5" s="57"/>
      <c r="K5" s="57"/>
      <c r="L5" s="57" t="s">
        <v>470</v>
      </c>
      <c r="M5" s="57" t="s">
        <v>471</v>
      </c>
      <c r="N5" s="57" t="s">
        <v>472</v>
      </c>
      <c r="O5" s="57" t="s">
        <v>351</v>
      </c>
      <c r="P5" s="57" t="s">
        <v>351</v>
      </c>
      <c r="Q5" s="318"/>
      <c r="R5" s="57" t="s">
        <v>352</v>
      </c>
      <c r="S5" s="57" t="s">
        <v>352</v>
      </c>
      <c r="T5" s="57" t="s">
        <v>352</v>
      </c>
      <c r="U5" s="57" t="s">
        <v>352</v>
      </c>
      <c r="V5" s="57" t="s">
        <v>352</v>
      </c>
      <c r="Y5" s="57"/>
      <c r="Z5" s="232"/>
    </row>
    <row r="6" spans="3:30">
      <c r="C6" s="223" t="str">
        <f>"IND"&amp;RIGHT(G6,4)&amp;"GAS"&amp;"N"&amp;RIGHT(D6,1)</f>
        <v>INDTDHTGASN1</v>
      </c>
      <c r="D6" s="223" t="str">
        <f>"Industrial heating technology "&amp;$AD$4&amp;" "&amp;RIGHT(G6,2)&amp;" - gas boiler - new 1"</f>
        <v>Industrial heating technology Trade (Wholesale and Retail) HT - gas boiler - new 1</v>
      </c>
      <c r="E6" s="239" t="s">
        <v>1274</v>
      </c>
      <c r="F6" s="176" t="s">
        <v>527</v>
      </c>
      <c r="G6" s="177" t="str">
        <f>AC6</f>
        <v>ITDHT</v>
      </c>
      <c r="H6" s="81">
        <v>2011</v>
      </c>
      <c r="I6" s="81">
        <v>2011</v>
      </c>
      <c r="J6" s="81">
        <f>'Natural gas boiler'!$L$39*HLOOKUP(G6,$K$1:$M$2,2,FALSE)</f>
        <v>0.71399999999999997</v>
      </c>
      <c r="K6" s="81">
        <f>'Natural gas boiler'!N39</f>
        <v>25</v>
      </c>
      <c r="L6" s="37">
        <f>('Natural gas boiler'!O39)/1000</f>
        <v>0.94366666666666676</v>
      </c>
      <c r="M6" s="37">
        <f>('Natural gas boiler'!P39)/1000</f>
        <v>2.98E-2</v>
      </c>
      <c r="N6" s="84">
        <f>'Natural gas boiler'!Q39</f>
        <v>14.9</v>
      </c>
      <c r="O6" s="82">
        <v>3.1536000000000002E-2</v>
      </c>
      <c r="P6" s="290">
        <v>0.5</v>
      </c>
      <c r="Q6" s="213"/>
      <c r="R6" s="295">
        <f>'Natural gas boiler'!T39</f>
        <v>0</v>
      </c>
      <c r="S6" s="81">
        <f>'Natural gas boiler'!U39</f>
        <v>20</v>
      </c>
      <c r="T6" s="81">
        <f>'Natural gas boiler'!V39</f>
        <v>2</v>
      </c>
      <c r="U6" s="81">
        <f>'Natural gas boiler'!W39</f>
        <v>0</v>
      </c>
      <c r="V6" s="81">
        <f>'Natural gas boiler'!X39</f>
        <v>0</v>
      </c>
      <c r="Y6" s="81">
        <f>'Natural gas boiler'!M39</f>
        <v>0</v>
      </c>
      <c r="Z6" s="232"/>
      <c r="AC6" s="239" t="str">
        <f>"I"&amp;LEFT($AD$4,1)&amp;"DHT"</f>
        <v>ITDHT</v>
      </c>
      <c r="AD6" s="239" t="str">
        <f>"Industry "&amp;$AD$4&amp;" industry Demand Heat High Temp. over 150C"</f>
        <v>Industry Trade (Wholesale and Retail) industry Demand Heat High Temp. over 150C</v>
      </c>
    </row>
    <row r="7" spans="3:30">
      <c r="E7" s="239" t="s">
        <v>1274</v>
      </c>
      <c r="F7" s="176"/>
      <c r="G7" s="176"/>
      <c r="H7" s="81">
        <f>'Natural gas boiler'!J13</f>
        <v>2020</v>
      </c>
      <c r="I7" s="81"/>
      <c r="J7" s="81">
        <f>'Natural gas boiler'!$L$40*HLOOKUP(G6,$K$1:$M$2,2,FALSE)</f>
        <v>0.71399999999999997</v>
      </c>
      <c r="K7" s="81"/>
      <c r="L7" s="37">
        <f>('Natural gas boiler'!O40)/1000</f>
        <v>0.91883333333333339</v>
      </c>
      <c r="M7" s="37">
        <f>('Natural gas boiler'!P40)/1000</f>
        <v>2.98E-2</v>
      </c>
      <c r="N7" s="84">
        <f>'Natural gas boiler'!Q40</f>
        <v>14.9</v>
      </c>
      <c r="O7" s="81"/>
      <c r="P7" s="290"/>
      <c r="Q7" s="213"/>
      <c r="R7" s="295">
        <f>'Natural gas boiler'!T40</f>
        <v>0</v>
      </c>
      <c r="S7" s="81">
        <f>'Natural gas boiler'!U40</f>
        <v>10</v>
      </c>
      <c r="T7" s="81">
        <f>'Natural gas boiler'!V40</f>
        <v>1</v>
      </c>
      <c r="U7" s="81">
        <f>'Natural gas boiler'!W40</f>
        <v>0</v>
      </c>
      <c r="V7" s="81">
        <f>'Natural gas boiler'!X40</f>
        <v>0</v>
      </c>
      <c r="Y7" s="81">
        <f>'Natural gas boiler'!M40</f>
        <v>0</v>
      </c>
      <c r="Z7" s="232"/>
      <c r="AC7" s="239" t="str">
        <f>"I"&amp;LEFT($AD$4,1)&amp;"DMT"</f>
        <v>ITDMT</v>
      </c>
      <c r="AD7" s="239" t="str">
        <f>"Industry "&amp;$AD$4&amp;" industry Demand Heat Medium Temp. up to 150C"</f>
        <v>Industry Trade (Wholesale and Retail) industry Demand Heat Medium Temp. up to 150C</v>
      </c>
    </row>
    <row r="8" spans="3:30">
      <c r="E8" s="239" t="s">
        <v>1274</v>
      </c>
      <c r="F8" s="176"/>
      <c r="G8" s="176"/>
      <c r="H8" s="81">
        <f>'Natural gas boiler'!J14</f>
        <v>2030</v>
      </c>
      <c r="I8" s="81"/>
      <c r="J8" s="81">
        <f>'Natural gas boiler'!$L$41*HLOOKUP(G6,$K$1:$M$2,2,FALSE)</f>
        <v>0.71399999999999997</v>
      </c>
      <c r="K8" s="81"/>
      <c r="L8" s="37">
        <f>('Natural gas boiler'!O41)/1000</f>
        <v>0.89400000000000013</v>
      </c>
      <c r="M8" s="37">
        <f>('Natural gas boiler'!P41)/1000</f>
        <v>2.98E-2</v>
      </c>
      <c r="N8" s="84">
        <f>'Natural gas boiler'!Q41</f>
        <v>14.9</v>
      </c>
      <c r="O8" s="81"/>
      <c r="P8" s="290"/>
      <c r="Q8" s="213"/>
      <c r="R8" s="295">
        <f>'Natural gas boiler'!T41</f>
        <v>0</v>
      </c>
      <c r="S8" s="81">
        <f>'Natural gas boiler'!U41</f>
        <v>5</v>
      </c>
      <c r="T8" s="81">
        <f>'Natural gas boiler'!V41</f>
        <v>0.5</v>
      </c>
      <c r="U8" s="81">
        <f>'Natural gas boiler'!W41</f>
        <v>0</v>
      </c>
      <c r="V8" s="81">
        <f>'Natural gas boiler'!X41</f>
        <v>0</v>
      </c>
      <c r="Y8" s="81">
        <f>'Natural gas boiler'!M41</f>
        <v>0</v>
      </c>
      <c r="Z8" s="232"/>
      <c r="AC8" s="239" t="str">
        <f>"I"&amp;LEFT($AD$4,1)&amp;"DRH"</f>
        <v>ITDRH</v>
      </c>
      <c r="AD8" s="239" t="str">
        <f>"Industry "&amp;$AD$4&amp;" industry Demand Heat Room Heat"</f>
        <v>Industry Trade (Wholesale and Retail) industry Demand Heat Room Heat</v>
      </c>
    </row>
    <row r="9" spans="3:30">
      <c r="E9" s="239" t="s">
        <v>1274</v>
      </c>
      <c r="F9" s="176"/>
      <c r="G9" s="176"/>
      <c r="H9" s="81">
        <f>'Natural gas boiler'!J15</f>
        <v>2050</v>
      </c>
      <c r="I9" s="81"/>
      <c r="J9" s="81">
        <f>'Natural gas boiler'!$L$42*HLOOKUP(G6,$K$1:$M$2,2,FALSE)</f>
        <v>0.71399999999999997</v>
      </c>
      <c r="K9" s="81"/>
      <c r="L9" s="37">
        <f>('Natural gas boiler'!O42)/1000</f>
        <v>0.89400000000000013</v>
      </c>
      <c r="M9" s="37">
        <f>('Natural gas boiler'!P42)/1000</f>
        <v>2.98E-2</v>
      </c>
      <c r="N9" s="84">
        <f>'Natural gas boiler'!Q42</f>
        <v>14.9</v>
      </c>
      <c r="O9" s="81"/>
      <c r="P9" s="290"/>
      <c r="Q9" s="213"/>
      <c r="R9" s="295">
        <f>'Natural gas boiler'!T42</f>
        <v>0</v>
      </c>
      <c r="S9" s="81">
        <f>'Natural gas boiler'!U42</f>
        <v>5</v>
      </c>
      <c r="T9" s="81">
        <f>'Natural gas boiler'!V42</f>
        <v>0.5</v>
      </c>
      <c r="U9" s="81">
        <f>'Natural gas boiler'!W42</f>
        <v>0</v>
      </c>
      <c r="V9" s="81">
        <f>'Natural gas boiler'!X42</f>
        <v>0</v>
      </c>
      <c r="Y9" s="81">
        <f>'Natural gas boiler'!M42</f>
        <v>0</v>
      </c>
      <c r="Z9" s="232"/>
      <c r="AC9" s="36" t="str">
        <f>"I"&amp;LEFT($AD$4,1)&amp;"DLA"</f>
        <v>ITDLA</v>
      </c>
      <c r="AD9" s="239" t="str">
        <f>"Industry "&amp;$AD$4&amp;" industry Demand Light Appliances"</f>
        <v>Industry Trade (Wholesale and Retail) industry Demand Light Appliances</v>
      </c>
    </row>
    <row r="10" spans="3:30">
      <c r="C10" s="223" t="str">
        <f>"IND"&amp;RIGHT(G10,4)&amp;"GAS"&amp;"N"&amp;RIGHT(D10,1)</f>
        <v>INDTDMTGASN1</v>
      </c>
      <c r="D10" s="223" t="str">
        <f>"Industrial heating technology "&amp;$AD$4&amp;" "&amp;RIGHT(G10,2)&amp;" - gas boiler - new 1"</f>
        <v>Industrial heating technology Trade (Wholesale and Retail) MT - gas boiler - new 1</v>
      </c>
      <c r="E10" s="239" t="s">
        <v>1274</v>
      </c>
      <c r="F10" s="176" t="s">
        <v>527</v>
      </c>
      <c r="G10" s="239" t="str">
        <f>AC7</f>
        <v>ITDMT</v>
      </c>
      <c r="H10" s="81">
        <v>2011</v>
      </c>
      <c r="I10" s="81">
        <v>2011</v>
      </c>
      <c r="J10" s="81">
        <f>'Natural gas boiler'!$L$39*HLOOKUP(G10,$K$1:$M$2,2,FALSE)</f>
        <v>0.81600000000000006</v>
      </c>
      <c r="K10" s="81">
        <v>25</v>
      </c>
      <c r="L10" s="37">
        <v>0.94366666666666676</v>
      </c>
      <c r="M10" s="37">
        <v>2.98E-2</v>
      </c>
      <c r="N10" s="84">
        <v>14.9</v>
      </c>
      <c r="O10" s="82">
        <v>3.1536000000000002E-2</v>
      </c>
      <c r="P10" s="290">
        <v>0.5</v>
      </c>
      <c r="Q10" s="213"/>
      <c r="R10" s="295">
        <v>0</v>
      </c>
      <c r="S10" s="81">
        <v>20</v>
      </c>
      <c r="T10" s="81">
        <v>2</v>
      </c>
      <c r="U10" s="81">
        <v>0</v>
      </c>
      <c r="V10" s="81">
        <v>0</v>
      </c>
      <c r="Y10" s="81">
        <v>0</v>
      </c>
      <c r="Z10" s="232"/>
      <c r="AC10" s="239" t="str">
        <f>"I"&amp;LEFT($AD$4,1)&amp;"DEM"</f>
        <v>ITDEM</v>
      </c>
      <c r="AD10" s="239" t="str">
        <f>"Industry "&amp;$AD$4&amp;" industry Demand Electric Motors"</f>
        <v>Industry Trade (Wholesale and Retail) industry Demand Electric Motors</v>
      </c>
    </row>
    <row r="11" spans="3:30">
      <c r="E11" s="239" t="s">
        <v>1274</v>
      </c>
      <c r="H11" s="81">
        <v>2020</v>
      </c>
      <c r="I11" s="81"/>
      <c r="J11" s="81">
        <f>'Natural gas boiler'!$L$40*HLOOKUP(G10,$K$1:$M$2,2,FALSE)</f>
        <v>0.81600000000000006</v>
      </c>
      <c r="K11" s="81"/>
      <c r="L11" s="37">
        <v>0.91883333333333339</v>
      </c>
      <c r="M11" s="37">
        <v>2.98E-2</v>
      </c>
      <c r="N11" s="84">
        <v>14.9</v>
      </c>
      <c r="O11" s="81"/>
      <c r="P11" s="290"/>
      <c r="Q11" s="213"/>
      <c r="R11" s="295">
        <v>0</v>
      </c>
      <c r="S11" s="81">
        <v>10</v>
      </c>
      <c r="T11" s="81">
        <v>1</v>
      </c>
      <c r="U11" s="81">
        <v>0</v>
      </c>
      <c r="V11" s="81">
        <v>0</v>
      </c>
      <c r="Y11" s="81">
        <v>0</v>
      </c>
      <c r="Z11" s="232"/>
      <c r="AC11" s="239" t="str">
        <f>"I"&amp;LEFT($AD$4,1)&amp;"DTF"</f>
        <v>ITDTF</v>
      </c>
      <c r="AD11" s="239" t="str">
        <f>"Industry "&amp;$AD$4&amp;" industry Demand Tractors, Trucks, Fishing boats, Forest machines"</f>
        <v>Industry Trade (Wholesale and Retail) industry Demand Tractors, Trucks, Fishing boats, Forest machines</v>
      </c>
    </row>
    <row r="12" spans="3:30">
      <c r="E12" s="239" t="s">
        <v>1274</v>
      </c>
      <c r="H12" s="81">
        <v>2030</v>
      </c>
      <c r="I12" s="81"/>
      <c r="J12" s="81">
        <f>'Natural gas boiler'!$L$41*HLOOKUP(G10,$K$1:$M$2,2,FALSE)</f>
        <v>0.81600000000000006</v>
      </c>
      <c r="K12" s="81"/>
      <c r="L12" s="37">
        <v>0.89400000000000013</v>
      </c>
      <c r="M12" s="37">
        <v>2.98E-2</v>
      </c>
      <c r="N12" s="84">
        <v>14.9</v>
      </c>
      <c r="O12" s="81"/>
      <c r="P12" s="290"/>
      <c r="Q12" s="213"/>
      <c r="R12" s="295">
        <v>0</v>
      </c>
      <c r="S12" s="81">
        <v>5</v>
      </c>
      <c r="T12" s="81">
        <v>0.5</v>
      </c>
      <c r="U12" s="81">
        <v>0</v>
      </c>
      <c r="V12" s="81">
        <v>0</v>
      </c>
      <c r="Y12" s="81">
        <v>0</v>
      </c>
      <c r="Z12" s="232"/>
      <c r="AC12" s="239" t="str">
        <f>"I"&amp;LEFT($AD$4,1)&amp;"DFL"</f>
        <v>ITDFL</v>
      </c>
      <c r="AD12" s="239" t="str">
        <f>"Industry "&amp;$AD$4&amp;" industry Demand Forklifts"</f>
        <v>Industry Trade (Wholesale and Retail) industry Demand Forklifts</v>
      </c>
    </row>
    <row r="13" spans="3:30">
      <c r="E13" s="239" t="s">
        <v>1274</v>
      </c>
      <c r="H13" s="81">
        <v>2050</v>
      </c>
      <c r="I13" s="81"/>
      <c r="J13" s="81">
        <f>'Natural gas boiler'!$L$42*HLOOKUP(G10,$K$1:$M$2,2,FALSE)</f>
        <v>0.81600000000000006</v>
      </c>
      <c r="K13" s="81"/>
      <c r="L13" s="37">
        <v>0.89400000000000013</v>
      </c>
      <c r="M13" s="37">
        <v>2.98E-2</v>
      </c>
      <c r="N13" s="84">
        <v>14.9</v>
      </c>
      <c r="O13" s="81"/>
      <c r="P13" s="290"/>
      <c r="Q13" s="213"/>
      <c r="R13" s="295">
        <v>0</v>
      </c>
      <c r="S13" s="81">
        <v>5</v>
      </c>
      <c r="T13" s="81">
        <v>0.5</v>
      </c>
      <c r="U13" s="81">
        <v>0</v>
      </c>
      <c r="V13" s="81">
        <v>0</v>
      </c>
      <c r="Y13" s="81">
        <v>0</v>
      </c>
      <c r="Z13" s="232"/>
    </row>
    <row r="14" spans="3:30">
      <c r="C14" s="223" t="str">
        <f>"IND"&amp;RIGHT(G14,4)&amp;"GAS"&amp;"N"&amp;RIGHT(D14,1)</f>
        <v>INDTDRHGASN1</v>
      </c>
      <c r="D14" s="223" t="str">
        <f>"Industrial heating technology "&amp;$AD$4&amp;" "&amp;RIGHT(G14,2)&amp;" - gas boiler - new 1"</f>
        <v>Industrial heating technology Trade (Wholesale and Retail) RH - gas boiler - new 1</v>
      </c>
      <c r="E14" s="239" t="s">
        <v>1274</v>
      </c>
      <c r="F14" s="176" t="s">
        <v>527</v>
      </c>
      <c r="G14" s="239" t="str">
        <f>AC8</f>
        <v>ITDRH</v>
      </c>
      <c r="H14" s="81">
        <v>2011</v>
      </c>
      <c r="I14" s="81">
        <v>2011</v>
      </c>
      <c r="J14" s="81">
        <f>'Natural gas boiler'!$L$39*HLOOKUP(G14,$K$1:$M$2,2,FALSE)</f>
        <v>1.02</v>
      </c>
      <c r="K14" s="81">
        <v>25</v>
      </c>
      <c r="L14" s="37">
        <v>0.94366666666666676</v>
      </c>
      <c r="M14" s="37">
        <v>2.98E-2</v>
      </c>
      <c r="N14" s="84">
        <v>14.9</v>
      </c>
      <c r="O14" s="82">
        <v>3.1536000000000002E-2</v>
      </c>
      <c r="P14" s="290">
        <v>0.5</v>
      </c>
      <c r="Q14" s="213"/>
      <c r="R14" s="295">
        <v>0</v>
      </c>
      <c r="S14" s="81">
        <v>20</v>
      </c>
      <c r="T14" s="81">
        <v>2</v>
      </c>
      <c r="U14" s="81">
        <v>0</v>
      </c>
      <c r="V14" s="81">
        <v>0</v>
      </c>
      <c r="Y14" s="81">
        <v>0</v>
      </c>
      <c r="Z14" s="232"/>
    </row>
    <row r="15" spans="3:30">
      <c r="E15" s="239" t="s">
        <v>1274</v>
      </c>
      <c r="H15" s="81">
        <v>2020</v>
      </c>
      <c r="I15" s="81"/>
      <c r="J15" s="81">
        <f>'Natural gas boiler'!$L$40*HLOOKUP(G14,$K$1:$M$2,2,FALSE)</f>
        <v>1.02</v>
      </c>
      <c r="K15" s="81"/>
      <c r="L15" s="37">
        <v>0.91883333333333339</v>
      </c>
      <c r="M15" s="37">
        <v>2.98E-2</v>
      </c>
      <c r="N15" s="84">
        <v>14.9</v>
      </c>
      <c r="O15" s="81"/>
      <c r="P15" s="290"/>
      <c r="Q15" s="213"/>
      <c r="R15" s="295">
        <v>0</v>
      </c>
      <c r="S15" s="81">
        <v>10</v>
      </c>
      <c r="T15" s="81">
        <v>1</v>
      </c>
      <c r="U15" s="81">
        <v>0</v>
      </c>
      <c r="V15" s="81">
        <v>0</v>
      </c>
      <c r="Y15" s="81">
        <v>0</v>
      </c>
      <c r="Z15" s="232"/>
    </row>
    <row r="16" spans="3:30">
      <c r="E16" s="239" t="s">
        <v>1274</v>
      </c>
      <c r="H16" s="81">
        <v>2030</v>
      </c>
      <c r="I16" s="81"/>
      <c r="J16" s="81">
        <f>'Natural gas boiler'!$L$41*HLOOKUP(G14,$K$1:$M$2,2,FALSE)</f>
        <v>1.02</v>
      </c>
      <c r="K16" s="81"/>
      <c r="L16" s="37">
        <v>0.89400000000000013</v>
      </c>
      <c r="M16" s="37">
        <v>2.98E-2</v>
      </c>
      <c r="N16" s="84">
        <v>14.9</v>
      </c>
      <c r="O16" s="81"/>
      <c r="P16" s="290"/>
      <c r="Q16" s="213"/>
      <c r="R16" s="295">
        <v>0</v>
      </c>
      <c r="S16" s="81">
        <v>5</v>
      </c>
      <c r="T16" s="81">
        <v>0.5</v>
      </c>
      <c r="U16" s="81">
        <v>0</v>
      </c>
      <c r="V16" s="81">
        <v>0</v>
      </c>
      <c r="Y16" s="81">
        <v>0</v>
      </c>
      <c r="Z16" s="232"/>
    </row>
    <row r="17" spans="3:26">
      <c r="E17" s="239" t="s">
        <v>1274</v>
      </c>
      <c r="H17" s="81">
        <v>2050</v>
      </c>
      <c r="I17" s="81"/>
      <c r="J17" s="81">
        <f>'Natural gas boiler'!$L$42*HLOOKUP(G14,$K$1:$M$2,2,FALSE)</f>
        <v>1.02</v>
      </c>
      <c r="K17" s="81"/>
      <c r="L17" s="37">
        <v>0.89400000000000013</v>
      </c>
      <c r="M17" s="37">
        <v>2.98E-2</v>
      </c>
      <c r="N17" s="84">
        <v>14.9</v>
      </c>
      <c r="O17" s="81"/>
      <c r="P17" s="290"/>
      <c r="Q17" s="213"/>
      <c r="R17" s="295">
        <v>0</v>
      </c>
      <c r="S17" s="81">
        <v>5</v>
      </c>
      <c r="T17" s="81">
        <v>0.5</v>
      </c>
      <c r="U17" s="81">
        <v>0</v>
      </c>
      <c r="V17" s="81">
        <v>0</v>
      </c>
      <c r="Y17" s="81">
        <v>0</v>
      </c>
      <c r="Z17" s="232"/>
    </row>
    <row r="18" spans="3:26">
      <c r="C18" s="223" t="str">
        <f>"IND"&amp;RIGHT(G18,4)&amp;"DSL"&amp;"N"&amp;RIGHT(D18,1)</f>
        <v>INDTDRHDSLN1</v>
      </c>
      <c r="D18" s="278" t="str">
        <f>"Industrial heating technology "&amp;$AD$4&amp;" "&amp;RIGHT(G14,2)&amp;" - oil boiler - new 1"</f>
        <v>Industrial heating technology Trade (Wholesale and Retail) RH - oil boiler - new 1</v>
      </c>
      <c r="E18" s="239" t="s">
        <v>1274</v>
      </c>
      <c r="F18" s="176" t="s">
        <v>529</v>
      </c>
      <c r="G18" s="177" t="str">
        <f>AC8</f>
        <v>ITDRH</v>
      </c>
      <c r="H18" s="81">
        <v>2011</v>
      </c>
      <c r="I18" s="81">
        <v>2011</v>
      </c>
      <c r="J18" s="207">
        <f>'Oil-fired boiler'!$L$39*HLOOKUP(G18,$K$1:$M$2,2,FALSE)</f>
        <v>0.96</v>
      </c>
      <c r="K18" s="83">
        <v>20</v>
      </c>
      <c r="L18" s="37">
        <f>('Oil-fired boiler'!$O$39)/1000</f>
        <v>0.59599999999999997</v>
      </c>
      <c r="M18" s="37">
        <f>('Oil-fired boiler'!$P$39)/1000</f>
        <v>9.3124999999999996E-3</v>
      </c>
      <c r="N18" s="194">
        <f>'Oil-fired boiler'!$Q$39</f>
        <v>0</v>
      </c>
      <c r="O18" s="82">
        <v>3.1536000000000002E-2</v>
      </c>
      <c r="P18" s="290">
        <v>0.5</v>
      </c>
      <c r="Q18" s="213"/>
      <c r="R18" s="295">
        <v>0.5</v>
      </c>
      <c r="S18" s="81">
        <v>30</v>
      </c>
      <c r="T18" s="81">
        <v>0</v>
      </c>
      <c r="U18" s="81">
        <v>0</v>
      </c>
      <c r="V18" s="81">
        <v>0.03</v>
      </c>
      <c r="Y18" s="81">
        <v>0</v>
      </c>
      <c r="Z18" s="232"/>
    </row>
    <row r="19" spans="3:26">
      <c r="E19" s="239" t="s">
        <v>1274</v>
      </c>
      <c r="H19" s="83">
        <v>2020</v>
      </c>
      <c r="I19" s="83"/>
      <c r="J19" s="207">
        <f>'Oil-fired boiler'!$L$39*HLOOKUP(G18,$K$1:$M$2,2,FALSE)</f>
        <v>0.96</v>
      </c>
      <c r="K19" s="81"/>
      <c r="L19" s="37">
        <f>('Oil-fired boiler'!$O$40)/1000</f>
        <v>0.59599999999999997</v>
      </c>
      <c r="M19" s="37">
        <f>('Oil-fired boiler'!$P$40)/1000</f>
        <v>9.3124999999999996E-3</v>
      </c>
      <c r="N19" s="194">
        <f>'Oil-fired boiler'!$Q$40</f>
        <v>0</v>
      </c>
      <c r="O19" s="81"/>
      <c r="P19" s="290"/>
      <c r="Q19" s="213"/>
      <c r="R19" s="295">
        <v>0.5</v>
      </c>
      <c r="S19" s="81">
        <v>30</v>
      </c>
      <c r="T19" s="81">
        <v>0</v>
      </c>
      <c r="U19" s="81">
        <v>0</v>
      </c>
      <c r="V19" s="81">
        <v>0.03</v>
      </c>
      <c r="Y19" s="81">
        <v>0</v>
      </c>
      <c r="Z19" s="232"/>
    </row>
    <row r="20" spans="3:26">
      <c r="E20" s="239" t="s">
        <v>1274</v>
      </c>
      <c r="H20" s="83">
        <v>2030</v>
      </c>
      <c r="I20" s="83"/>
      <c r="J20" s="207">
        <f>'Oil-fired boiler'!$L$39*HLOOKUP(G18,$K$1:$M$2,2,FALSE)</f>
        <v>0.96</v>
      </c>
      <c r="K20" s="81"/>
      <c r="L20" s="37">
        <f>('Oil-fired boiler'!$O$41)/1000</f>
        <v>0.59599999999999997</v>
      </c>
      <c r="M20" s="37">
        <f>('Oil-fired boiler'!$P$41)/1000</f>
        <v>9.3124999999999996E-3</v>
      </c>
      <c r="N20" s="194">
        <f>'Oil-fired boiler'!$Q$41</f>
        <v>0</v>
      </c>
      <c r="O20" s="81"/>
      <c r="P20" s="290"/>
      <c r="Q20" s="213"/>
      <c r="R20" s="295">
        <v>0.5</v>
      </c>
      <c r="S20" s="81">
        <v>30</v>
      </c>
      <c r="T20" s="81">
        <v>0</v>
      </c>
      <c r="U20" s="81">
        <v>0</v>
      </c>
      <c r="V20" s="81">
        <v>0.03</v>
      </c>
      <c r="Y20" s="81">
        <v>0</v>
      </c>
      <c r="Z20" s="232"/>
    </row>
    <row r="21" spans="3:26">
      <c r="E21" s="239" t="s">
        <v>1274</v>
      </c>
      <c r="H21" s="83">
        <v>2050</v>
      </c>
      <c r="I21" s="83"/>
      <c r="J21" s="207">
        <f>'Oil-fired boiler'!$L$39*HLOOKUP(G18,$K$1:$M$2,2,FALSE)</f>
        <v>0.96</v>
      </c>
      <c r="K21" s="81"/>
      <c r="L21" s="37">
        <f>('Oil-fired boiler'!$O$42)/1000</f>
        <v>0.59599999999999997</v>
      </c>
      <c r="M21" s="37">
        <f>('Oil-fired boiler'!$P$42)/1000</f>
        <v>9.3124999999999996E-3</v>
      </c>
      <c r="N21" s="194">
        <f>'Oil-fired boiler'!$Q$42</f>
        <v>0</v>
      </c>
      <c r="O21" s="81"/>
      <c r="P21" s="290"/>
      <c r="Q21" s="213"/>
      <c r="R21" s="295">
        <v>0.5</v>
      </c>
      <c r="S21" s="81">
        <v>30</v>
      </c>
      <c r="T21" s="81">
        <v>0</v>
      </c>
      <c r="U21" s="81">
        <v>0</v>
      </c>
      <c r="V21" s="81">
        <v>0.03</v>
      </c>
      <c r="Y21" s="81">
        <v>0</v>
      </c>
      <c r="Z21" s="232"/>
    </row>
    <row r="22" spans="3:26">
      <c r="C22" s="223" t="str">
        <f>"IND"&amp;RIGHT(G22,4)&amp;"DSL"&amp;"N"&amp;RIGHT(D22,1)</f>
        <v>INDTDMTDSLN1</v>
      </c>
      <c r="D22" s="278" t="str">
        <f>"Industrial heating technology "&amp;$AD$4&amp;" "&amp;RIGHT(G22,2)&amp;" - oil boiler - new 1"</f>
        <v>Industrial heating technology Trade (Wholesale and Retail) MT - oil boiler - new 1</v>
      </c>
      <c r="E22" s="239" t="s">
        <v>1274</v>
      </c>
      <c r="F22" s="176" t="s">
        <v>529</v>
      </c>
      <c r="G22" s="177" t="str">
        <f>AC7</f>
        <v>ITDMT</v>
      </c>
      <c r="H22" s="81">
        <v>2011</v>
      </c>
      <c r="I22" s="81">
        <v>2011</v>
      </c>
      <c r="J22" s="207">
        <f>'Oil-fired boiler'!$L$39*HLOOKUP(G22,$K$1:$M$2,2,FALSE)</f>
        <v>0.76800000000000002</v>
      </c>
      <c r="K22" s="81">
        <v>20</v>
      </c>
      <c r="L22" s="37">
        <v>0.59599999999999997</v>
      </c>
      <c r="M22" s="37">
        <v>9.3124999999999996E-3</v>
      </c>
      <c r="N22" s="194">
        <v>0</v>
      </c>
      <c r="O22" s="81">
        <v>3.1536000000000002E-2</v>
      </c>
      <c r="P22" s="290">
        <v>0.5</v>
      </c>
      <c r="Q22" s="213"/>
      <c r="R22" s="295">
        <v>0.5</v>
      </c>
      <c r="S22" s="81">
        <v>30</v>
      </c>
      <c r="T22" s="81">
        <v>0</v>
      </c>
      <c r="U22" s="81">
        <v>0</v>
      </c>
      <c r="V22" s="81">
        <v>0.03</v>
      </c>
      <c r="Y22" s="81">
        <v>0</v>
      </c>
      <c r="Z22" s="232"/>
    </row>
    <row r="23" spans="3:26">
      <c r="E23" s="239" t="s">
        <v>1274</v>
      </c>
      <c r="H23" s="83">
        <v>2020</v>
      </c>
      <c r="I23" s="83"/>
      <c r="J23" s="207">
        <f>'Oil-fired boiler'!$L$39*HLOOKUP(G22,$K$1:$M$2,2,FALSE)</f>
        <v>0.76800000000000002</v>
      </c>
      <c r="K23" s="81"/>
      <c r="L23" s="37">
        <v>0.59599999999999997</v>
      </c>
      <c r="M23" s="37">
        <v>9.3124999999999996E-3</v>
      </c>
      <c r="N23" s="194">
        <v>0</v>
      </c>
      <c r="O23" s="81"/>
      <c r="P23" s="290"/>
      <c r="Q23" s="213"/>
      <c r="R23" s="295">
        <v>0.5</v>
      </c>
      <c r="S23" s="81">
        <v>30</v>
      </c>
      <c r="T23" s="81">
        <v>0</v>
      </c>
      <c r="U23" s="81">
        <v>0</v>
      </c>
      <c r="V23" s="81">
        <v>0.03</v>
      </c>
      <c r="Y23" s="81">
        <v>0</v>
      </c>
      <c r="Z23" s="232"/>
    </row>
    <row r="24" spans="3:26">
      <c r="E24" s="239" t="s">
        <v>1274</v>
      </c>
      <c r="H24" s="83">
        <v>2030</v>
      </c>
      <c r="I24" s="83"/>
      <c r="J24" s="207">
        <f>'Oil-fired boiler'!$L$39*HLOOKUP(G22,$K$1:$M$2,2,FALSE)</f>
        <v>0.76800000000000002</v>
      </c>
      <c r="K24" s="81"/>
      <c r="L24" s="37">
        <v>0.59599999999999997</v>
      </c>
      <c r="M24" s="37">
        <v>9.3124999999999996E-3</v>
      </c>
      <c r="N24" s="194">
        <v>0</v>
      </c>
      <c r="O24" s="81"/>
      <c r="P24" s="290"/>
      <c r="Q24" s="213"/>
      <c r="R24" s="295">
        <v>0.5</v>
      </c>
      <c r="S24" s="81">
        <v>30</v>
      </c>
      <c r="T24" s="81">
        <v>0</v>
      </c>
      <c r="U24" s="81">
        <v>0</v>
      </c>
      <c r="V24" s="81">
        <v>0.03</v>
      </c>
      <c r="Y24" s="81">
        <v>0</v>
      </c>
      <c r="Z24" s="232"/>
    </row>
    <row r="25" spans="3:26">
      <c r="E25" s="239" t="s">
        <v>1274</v>
      </c>
      <c r="H25" s="83">
        <v>2050</v>
      </c>
      <c r="I25" s="83"/>
      <c r="J25" s="207">
        <f>'Oil-fired boiler'!$L$39*HLOOKUP(G22,$K$1:$M$2,2,FALSE)</f>
        <v>0.76800000000000002</v>
      </c>
      <c r="K25" s="81"/>
      <c r="L25" s="37">
        <v>0.59599999999999997</v>
      </c>
      <c r="M25" s="37">
        <v>9.3124999999999996E-3</v>
      </c>
      <c r="N25" s="194">
        <v>0</v>
      </c>
      <c r="O25" s="81"/>
      <c r="P25" s="290"/>
      <c r="Q25" s="213"/>
      <c r="R25" s="295">
        <v>0.5</v>
      </c>
      <c r="S25" s="81">
        <v>30</v>
      </c>
      <c r="T25" s="81">
        <v>0</v>
      </c>
      <c r="U25" s="81">
        <v>0</v>
      </c>
      <c r="V25" s="81">
        <v>0.03</v>
      </c>
      <c r="Y25" s="81">
        <v>0</v>
      </c>
      <c r="Z25" s="232"/>
    </row>
    <row r="26" spans="3:26">
      <c r="C26" s="223" t="str">
        <f>"IND"&amp;RIGHT(G26,4)&amp;"DSL"&amp;"N"&amp;RIGHT(D26,1)</f>
        <v>INDTDHTDSLN1</v>
      </c>
      <c r="D26" s="278" t="str">
        <f>"Industrial heating technology "&amp;$AD$4&amp;" "&amp;RIGHT(G26,2)&amp;" - oil boiler - new 1"</f>
        <v>Industrial heating technology Trade (Wholesale and Retail) HT - oil boiler - new 1</v>
      </c>
      <c r="E26" s="239" t="s">
        <v>1274</v>
      </c>
      <c r="F26" s="176" t="s">
        <v>529</v>
      </c>
      <c r="G26" s="177" t="str">
        <f>AC6</f>
        <v>ITDHT</v>
      </c>
      <c r="H26" s="81">
        <v>2011</v>
      </c>
      <c r="I26" s="81">
        <v>2011</v>
      </c>
      <c r="J26" s="207">
        <f>'Oil-fired boiler'!$L$39*HLOOKUP(G26,$K$1:$M$2,2,FALSE)</f>
        <v>0.67199999999999993</v>
      </c>
      <c r="K26" s="81">
        <v>20</v>
      </c>
      <c r="L26" s="37">
        <v>0.59599999999999997</v>
      </c>
      <c r="M26" s="37">
        <v>9.3124999999999996E-3</v>
      </c>
      <c r="N26" s="194">
        <v>0</v>
      </c>
      <c r="O26" s="81">
        <v>3.1536000000000002E-2</v>
      </c>
      <c r="P26" s="290">
        <v>0.5</v>
      </c>
      <c r="Q26" s="213"/>
      <c r="R26" s="295">
        <v>0.5</v>
      </c>
      <c r="S26" s="81">
        <v>30</v>
      </c>
      <c r="T26" s="81">
        <v>0</v>
      </c>
      <c r="U26" s="81">
        <v>0</v>
      </c>
      <c r="V26" s="81">
        <v>0.03</v>
      </c>
      <c r="Y26" s="81"/>
      <c r="Z26" s="232"/>
    </row>
    <row r="27" spans="3:26">
      <c r="E27" s="239" t="s">
        <v>1274</v>
      </c>
      <c r="H27" s="83">
        <v>2020</v>
      </c>
      <c r="I27" s="83"/>
      <c r="J27" s="207">
        <f>'Oil-fired boiler'!$L$39*HLOOKUP(G26,$K$1:$M$2,2,FALSE)</f>
        <v>0.67199999999999993</v>
      </c>
      <c r="K27" s="81"/>
      <c r="L27" s="37">
        <v>0.59599999999999997</v>
      </c>
      <c r="M27" s="37">
        <v>9.3124999999999996E-3</v>
      </c>
      <c r="N27" s="194">
        <v>0</v>
      </c>
      <c r="O27" s="81"/>
      <c r="P27" s="290"/>
      <c r="Q27" s="213"/>
      <c r="R27" s="295">
        <v>0.5</v>
      </c>
      <c r="S27" s="81">
        <v>30</v>
      </c>
      <c r="T27" s="81">
        <v>0</v>
      </c>
      <c r="U27" s="81">
        <v>0</v>
      </c>
      <c r="V27" s="81">
        <v>0.03</v>
      </c>
      <c r="Y27" s="81"/>
      <c r="Z27" s="232"/>
    </row>
    <row r="28" spans="3:26">
      <c r="E28" s="239" t="s">
        <v>1274</v>
      </c>
      <c r="H28" s="83">
        <v>2030</v>
      </c>
      <c r="I28" s="83"/>
      <c r="J28" s="207">
        <f>'Oil-fired boiler'!$L$39*HLOOKUP(G26,$K$1:$M$2,2,FALSE)</f>
        <v>0.67199999999999993</v>
      </c>
      <c r="K28" s="81"/>
      <c r="L28" s="37">
        <v>0.59599999999999997</v>
      </c>
      <c r="M28" s="37">
        <v>9.3124999999999996E-3</v>
      </c>
      <c r="N28" s="194">
        <v>0</v>
      </c>
      <c r="O28" s="81"/>
      <c r="P28" s="290"/>
      <c r="Q28" s="213"/>
      <c r="R28" s="295">
        <v>0.5</v>
      </c>
      <c r="S28" s="81">
        <v>30</v>
      </c>
      <c r="T28" s="81">
        <v>0</v>
      </c>
      <c r="U28" s="81">
        <v>0</v>
      </c>
      <c r="V28" s="81">
        <v>0.03</v>
      </c>
      <c r="Y28" s="81"/>
      <c r="Z28" s="232"/>
    </row>
    <row r="29" spans="3:26">
      <c r="E29" s="239" t="s">
        <v>1274</v>
      </c>
      <c r="H29" s="83">
        <v>2050</v>
      </c>
      <c r="I29" s="83"/>
      <c r="J29" s="207">
        <f>'Oil-fired boiler'!$L$39*HLOOKUP(G26,$K$1:$M$2,2,FALSE)</f>
        <v>0.67199999999999993</v>
      </c>
      <c r="K29" s="81"/>
      <c r="L29" s="37">
        <v>0.59599999999999997</v>
      </c>
      <c r="M29" s="37">
        <v>9.3124999999999996E-3</v>
      </c>
      <c r="N29" s="194">
        <v>0</v>
      </c>
      <c r="O29" s="81"/>
      <c r="P29" s="290"/>
      <c r="Q29" s="213"/>
      <c r="R29" s="295">
        <v>0.5</v>
      </c>
      <c r="S29" s="81">
        <v>30</v>
      </c>
      <c r="T29" s="81">
        <v>0</v>
      </c>
      <c r="U29" s="81">
        <v>0</v>
      </c>
      <c r="V29" s="81">
        <v>0.03</v>
      </c>
      <c r="Y29" s="81"/>
      <c r="Z29" s="232"/>
    </row>
    <row r="30" spans="3:26">
      <c r="C30" s="223" t="str">
        <f>"IND"&amp;RIGHT(G30,4)&amp;RIGHT(F30,3)&amp;"N"&amp;RIGHT(D30,1)</f>
        <v>INDTDRHWPEN1</v>
      </c>
      <c r="D30" s="278" t="str">
        <f>"Industrial heating technology "&amp;$AD$4&amp;" "&amp;RIGHT(G30,2)&amp;" - biomass boiler automatic stoking, Pellets - new 1"</f>
        <v>Industrial heating technology Trade (Wholesale and Retail) RH - biomass boiler automatic stoking, Pellets - new 1</v>
      </c>
      <c r="E30" s="239" t="s">
        <v>1274</v>
      </c>
      <c r="F30" s="176" t="s">
        <v>498</v>
      </c>
      <c r="G30" s="177" t="str">
        <f>AC8</f>
        <v>ITDRH</v>
      </c>
      <c r="H30" s="81">
        <v>2020</v>
      </c>
      <c r="I30" s="81">
        <v>2011</v>
      </c>
      <c r="J30" s="81">
        <f>'Biomass boiler, automatic'!$L$39*HLOOKUP(G30,$K$1:$M$2,2,FALSE)</f>
        <v>0.85</v>
      </c>
      <c r="K30" s="81">
        <f>'Biomass boiler, automatic'!N39</f>
        <v>20</v>
      </c>
      <c r="L30" s="37">
        <f>('Biomass boiler, automatic'!O39)/1000</f>
        <v>1.4900000000000002</v>
      </c>
      <c r="M30" s="37">
        <f>('Biomass boiler, automatic'!P39)/1000</f>
        <v>4.6935000000000004E-2</v>
      </c>
      <c r="N30" s="194">
        <f>'Biomass boiler, automatic'!Q39</f>
        <v>0</v>
      </c>
      <c r="O30" s="82">
        <v>3.1536000000000002E-2</v>
      </c>
      <c r="P30" s="290">
        <v>0.5</v>
      </c>
      <c r="Q30" s="213"/>
      <c r="R30" s="295">
        <f>'Biomass boiler, automatic'!T39</f>
        <v>0</v>
      </c>
      <c r="S30" s="81">
        <f>'Biomass boiler, automatic'!U39</f>
        <v>90</v>
      </c>
      <c r="T30" s="81">
        <f>'Biomass boiler, automatic'!V39</f>
        <v>3</v>
      </c>
      <c r="U30" s="81">
        <f>'Biomass boiler, automatic'!W39</f>
        <v>0</v>
      </c>
      <c r="V30" s="81">
        <f>'Biomass boiler, automatic'!X39</f>
        <v>10</v>
      </c>
      <c r="Y30" s="81">
        <f>'Biomass boiler, automatic'!M39</f>
        <v>0</v>
      </c>
      <c r="Z30" s="232"/>
    </row>
    <row r="31" spans="3:26">
      <c r="E31" s="239" t="s">
        <v>1274</v>
      </c>
      <c r="H31" s="83">
        <v>2030</v>
      </c>
      <c r="I31" s="83"/>
      <c r="J31" s="81">
        <f>'Biomass boiler, automatic'!$L$40*HLOOKUP(G30,$K$1:$M$2,2,FALSE)</f>
        <v>0.87</v>
      </c>
      <c r="K31" s="81"/>
      <c r="L31" s="37">
        <f>('Biomass boiler, automatic'!O40)/1000</f>
        <v>1.4900000000000002</v>
      </c>
      <c r="M31" s="37">
        <f>('Biomass boiler, automatic'!P40)/1000</f>
        <v>4.6935000000000004E-2</v>
      </c>
      <c r="N31" s="194">
        <f>'Biomass boiler, automatic'!Q40</f>
        <v>0</v>
      </c>
      <c r="O31" s="81"/>
      <c r="P31" s="290"/>
      <c r="Q31" s="213"/>
      <c r="R31" s="295">
        <f>'Biomass boiler, automatic'!T40</f>
        <v>0</v>
      </c>
      <c r="S31" s="81">
        <f>'Biomass boiler, automatic'!U40</f>
        <v>70</v>
      </c>
      <c r="T31" s="81">
        <f>'Biomass boiler, automatic'!V40</f>
        <v>2</v>
      </c>
      <c r="U31" s="81">
        <f>'Biomass boiler, automatic'!W40</f>
        <v>0</v>
      </c>
      <c r="V31" s="81">
        <f>'Biomass boiler, automatic'!X40</f>
        <v>8</v>
      </c>
      <c r="Y31" s="81">
        <f>'Biomass boiler, automatic'!M40</f>
        <v>0</v>
      </c>
      <c r="Z31" s="232"/>
    </row>
    <row r="32" spans="3:26">
      <c r="E32" s="239" t="s">
        <v>1274</v>
      </c>
      <c r="H32" s="83">
        <v>2050</v>
      </c>
      <c r="I32" s="83"/>
      <c r="J32" s="81">
        <f>'Biomass boiler, automatic'!$L$41*HLOOKUP(G30,$K$1:$M$2,2,FALSE)</f>
        <v>0.91</v>
      </c>
      <c r="K32" s="81"/>
      <c r="L32" s="37">
        <f>('Biomass boiler, automatic'!O41)/1000</f>
        <v>1.4900000000000002</v>
      </c>
      <c r="M32" s="37">
        <f>('Biomass boiler, automatic'!P41)/1000</f>
        <v>5.2150000000000002E-2</v>
      </c>
      <c r="N32" s="194">
        <f>'Biomass boiler, automatic'!Q41</f>
        <v>0</v>
      </c>
      <c r="O32" s="81"/>
      <c r="P32" s="290"/>
      <c r="Q32" s="213"/>
      <c r="R32" s="295">
        <f>'Biomass boiler, automatic'!T41</f>
        <v>0</v>
      </c>
      <c r="S32" s="81">
        <f>'Biomass boiler, automatic'!U41</f>
        <v>50</v>
      </c>
      <c r="T32" s="81">
        <f>'Biomass boiler, automatic'!V41</f>
        <v>1</v>
      </c>
      <c r="U32" s="81">
        <f>'Biomass boiler, automatic'!W41</f>
        <v>0</v>
      </c>
      <c r="V32" s="81">
        <f>'Biomass boiler, automatic'!X41</f>
        <v>6</v>
      </c>
      <c r="Y32" s="81">
        <f>'Biomass boiler, automatic'!M41</f>
        <v>0</v>
      </c>
      <c r="Z32" s="232"/>
    </row>
    <row r="33" spans="3:29">
      <c r="E33" s="239" t="s">
        <v>1274</v>
      </c>
      <c r="H33" s="83">
        <f>'Biomass boiler, automatic'!J15</f>
        <v>2050</v>
      </c>
      <c r="I33" s="83"/>
      <c r="J33" s="81">
        <f>'Biomass boiler, automatic'!$L$42*HLOOKUP(G30,$K$1:$M$2,2,FALSE)</f>
        <v>0.95</v>
      </c>
      <c r="K33" s="81"/>
      <c r="L33" s="37">
        <f>('Biomass boiler, automatic'!O42)/1000</f>
        <v>1.4900000000000002</v>
      </c>
      <c r="M33" s="37">
        <f>('Biomass boiler, automatic'!P42)/1000</f>
        <v>5.96E-2</v>
      </c>
      <c r="N33" s="194">
        <f>'Biomass boiler, automatic'!Q42</f>
        <v>0</v>
      </c>
      <c r="O33" s="81"/>
      <c r="P33" s="290"/>
      <c r="Q33" s="213"/>
      <c r="R33" s="295">
        <f>'Biomass boiler, automatic'!T42</f>
        <v>0</v>
      </c>
      <c r="S33" s="81">
        <f>'Biomass boiler, automatic'!U42</f>
        <v>40</v>
      </c>
      <c r="T33" s="81">
        <f>'Biomass boiler, automatic'!V42</f>
        <v>0</v>
      </c>
      <c r="U33" s="81">
        <f>'Biomass boiler, automatic'!W42</f>
        <v>0</v>
      </c>
      <c r="V33" s="81">
        <f>'Biomass boiler, automatic'!X42</f>
        <v>4</v>
      </c>
      <c r="Y33" s="81">
        <f>'Biomass boiler, automatic'!M42</f>
        <v>0</v>
      </c>
      <c r="Z33" s="232"/>
      <c r="AC33" s="239">
        <v>1.1000000000000001</v>
      </c>
    </row>
    <row r="34" spans="3:29">
      <c r="C34" s="223" t="str">
        <f>"IND"&amp;RIGHT(G34,4)&amp;RIGHT(F34,3)&amp;"N"&amp;RIGHT(D34,1)</f>
        <v>INDTDHTWPEN1</v>
      </c>
      <c r="D34" s="278" t="str">
        <f>"Industrial heating technology "&amp;$AD$4&amp;" "&amp;RIGHT(G34,2)&amp;" - biomass boiler automatic stoking, Pellets - new 1"</f>
        <v>Industrial heating technology Trade (Wholesale and Retail) HT - biomass boiler automatic stoking, Pellets - new 1</v>
      </c>
      <c r="E34" s="239" t="s">
        <v>1274</v>
      </c>
      <c r="F34" s="176" t="s">
        <v>498</v>
      </c>
      <c r="G34" s="177" t="str">
        <f>AC6</f>
        <v>ITDHT</v>
      </c>
      <c r="H34" s="81">
        <v>2011</v>
      </c>
      <c r="I34" s="81">
        <v>2011</v>
      </c>
      <c r="J34" s="81">
        <f>'Biomass boiler, automatic'!$L$39*HLOOKUP(G34,$K$1:$M$2,2,FALSE)</f>
        <v>0.59499999999999997</v>
      </c>
      <c r="K34" s="81">
        <f>K30</f>
        <v>20</v>
      </c>
      <c r="L34" s="37">
        <f>L30</f>
        <v>1.4900000000000002</v>
      </c>
      <c r="M34" s="37">
        <f>M30</f>
        <v>4.6935000000000004E-2</v>
      </c>
      <c r="N34" s="194">
        <f>'Biomass boiler, automatic'!Q43</f>
        <v>0</v>
      </c>
      <c r="O34" s="82">
        <v>3.1536000000000002E-2</v>
      </c>
      <c r="P34" s="290">
        <v>0.5</v>
      </c>
      <c r="Q34" s="213"/>
      <c r="R34" s="295">
        <f>R30</f>
        <v>0</v>
      </c>
      <c r="S34" s="295">
        <f t="shared" ref="S34:V34" si="0">S30</f>
        <v>90</v>
      </c>
      <c r="T34" s="295">
        <f t="shared" si="0"/>
        <v>3</v>
      </c>
      <c r="U34" s="295">
        <f t="shared" si="0"/>
        <v>0</v>
      </c>
      <c r="V34" s="295">
        <f t="shared" si="0"/>
        <v>10</v>
      </c>
      <c r="Y34" s="81"/>
      <c r="Z34" s="232"/>
    </row>
    <row r="35" spans="3:29">
      <c r="E35" s="239" t="s">
        <v>1274</v>
      </c>
      <c r="H35" s="83">
        <f>H31</f>
        <v>2030</v>
      </c>
      <c r="I35" s="83"/>
      <c r="J35" s="81">
        <f>'Biomass boiler, automatic'!$L$40*HLOOKUP(G34,$K$1:$M$2,2,FALSE)</f>
        <v>0.60899999999999999</v>
      </c>
      <c r="K35" s="81"/>
      <c r="L35" s="37">
        <f t="shared" ref="L35:M37" si="1">L31</f>
        <v>1.4900000000000002</v>
      </c>
      <c r="M35" s="37">
        <f t="shared" si="1"/>
        <v>4.6935000000000004E-2</v>
      </c>
      <c r="N35" s="194">
        <f>'Biomass boiler, automatic'!Q44</f>
        <v>0</v>
      </c>
      <c r="O35" s="81"/>
      <c r="P35" s="290"/>
      <c r="Q35" s="213"/>
      <c r="R35" s="295">
        <f t="shared" ref="R35:V35" si="2">R31</f>
        <v>0</v>
      </c>
      <c r="S35" s="295">
        <f t="shared" si="2"/>
        <v>70</v>
      </c>
      <c r="T35" s="295">
        <f t="shared" si="2"/>
        <v>2</v>
      </c>
      <c r="U35" s="295">
        <f t="shared" si="2"/>
        <v>0</v>
      </c>
      <c r="V35" s="295">
        <f t="shared" si="2"/>
        <v>8</v>
      </c>
      <c r="Y35" s="81"/>
      <c r="Z35" s="232"/>
    </row>
    <row r="36" spans="3:29">
      <c r="E36" s="239" t="s">
        <v>1274</v>
      </c>
      <c r="H36" s="83">
        <f>H32</f>
        <v>2050</v>
      </c>
      <c r="I36" s="83"/>
      <c r="J36" s="81">
        <f>'Biomass boiler, automatic'!$L$41*HLOOKUP(G34,$K$1:$M$2,2,FALSE)</f>
        <v>0.63700000000000001</v>
      </c>
      <c r="K36" s="81"/>
      <c r="L36" s="37">
        <f t="shared" si="1"/>
        <v>1.4900000000000002</v>
      </c>
      <c r="M36" s="37">
        <f t="shared" si="1"/>
        <v>5.2150000000000002E-2</v>
      </c>
      <c r="N36" s="194">
        <f>'Biomass boiler, automatic'!Q45</f>
        <v>0</v>
      </c>
      <c r="O36" s="81"/>
      <c r="P36" s="290"/>
      <c r="Q36" s="213"/>
      <c r="R36" s="295">
        <f t="shared" ref="R36:V36" si="3">R32</f>
        <v>0</v>
      </c>
      <c r="S36" s="295">
        <f t="shared" si="3"/>
        <v>50</v>
      </c>
      <c r="T36" s="295">
        <f t="shared" si="3"/>
        <v>1</v>
      </c>
      <c r="U36" s="295">
        <f t="shared" si="3"/>
        <v>0</v>
      </c>
      <c r="V36" s="295">
        <f t="shared" si="3"/>
        <v>6</v>
      </c>
      <c r="Y36" s="81"/>
      <c r="Z36" s="232"/>
    </row>
    <row r="37" spans="3:29">
      <c r="E37" s="239" t="s">
        <v>1274</v>
      </c>
      <c r="H37" s="83">
        <f>H33</f>
        <v>2050</v>
      </c>
      <c r="I37" s="83"/>
      <c r="J37" s="81">
        <f>'Biomass boiler, automatic'!$L$42*HLOOKUP(G34,$K$1:$M$2,2,FALSE)</f>
        <v>0.66499999999999992</v>
      </c>
      <c r="K37" s="81"/>
      <c r="L37" s="37">
        <f t="shared" si="1"/>
        <v>1.4900000000000002</v>
      </c>
      <c r="M37" s="37">
        <f t="shared" si="1"/>
        <v>5.96E-2</v>
      </c>
      <c r="N37" s="194">
        <f>'Biomass boiler, automatic'!Q46</f>
        <v>0</v>
      </c>
      <c r="O37" s="81"/>
      <c r="P37" s="290"/>
      <c r="Q37" s="213"/>
      <c r="R37" s="295">
        <f t="shared" ref="R37:V37" si="4">R33</f>
        <v>0</v>
      </c>
      <c r="S37" s="295">
        <f t="shared" si="4"/>
        <v>40</v>
      </c>
      <c r="T37" s="295">
        <f t="shared" si="4"/>
        <v>0</v>
      </c>
      <c r="U37" s="295">
        <f t="shared" si="4"/>
        <v>0</v>
      </c>
      <c r="V37" s="295">
        <f t="shared" si="4"/>
        <v>4</v>
      </c>
      <c r="Y37" s="81"/>
      <c r="Z37" s="232"/>
    </row>
    <row r="38" spans="3:29">
      <c r="C38" s="223" t="str">
        <f>"IND"&amp;RIGHT(G38,4)&amp;RIGHT(F38,3)&amp;"N"&amp;RIGHT(D38,1)</f>
        <v>INDTDMTWPEN1</v>
      </c>
      <c r="D38" s="278" t="str">
        <f>"Industrial heating technology "&amp;$AD$4&amp;" "&amp;RIGHT(G38,2)&amp;" - biomass boiler automatic stoking, Pellets - new 1"</f>
        <v>Industrial heating technology Trade (Wholesale and Retail) MT - biomass boiler automatic stoking, Pellets - new 1</v>
      </c>
      <c r="E38" s="239" t="s">
        <v>1274</v>
      </c>
      <c r="F38" s="176" t="s">
        <v>498</v>
      </c>
      <c r="G38" s="239" t="str">
        <f>AC7</f>
        <v>ITDMT</v>
      </c>
      <c r="H38" s="81">
        <v>2011</v>
      </c>
      <c r="I38" s="81">
        <v>2011</v>
      </c>
      <c r="J38" s="81">
        <f>'Biomass boiler, automatic'!$L$39*HLOOKUP(G38,$K$1:$M$2,2,FALSE)</f>
        <v>0.68</v>
      </c>
      <c r="K38" s="81">
        <v>20</v>
      </c>
      <c r="L38" s="37">
        <v>1.4900000000000002</v>
      </c>
      <c r="M38" s="37">
        <v>4.6935000000000004E-2</v>
      </c>
      <c r="N38" s="194">
        <v>0</v>
      </c>
      <c r="O38" s="81">
        <v>3.1536000000000002E-2</v>
      </c>
      <c r="P38" s="290">
        <v>0.5</v>
      </c>
      <c r="Q38" s="213"/>
      <c r="R38" s="295">
        <v>0</v>
      </c>
      <c r="S38" s="81">
        <v>90</v>
      </c>
      <c r="T38" s="81">
        <v>3</v>
      </c>
      <c r="U38" s="81">
        <v>0</v>
      </c>
      <c r="V38" s="81">
        <v>10</v>
      </c>
      <c r="Y38" s="81">
        <v>0</v>
      </c>
      <c r="Z38" s="232"/>
    </row>
    <row r="39" spans="3:29">
      <c r="E39" s="239" t="s">
        <v>1274</v>
      </c>
      <c r="H39" s="83">
        <v>2020</v>
      </c>
      <c r="I39" s="83"/>
      <c r="J39" s="81">
        <f>'Biomass boiler, automatic'!$L$40*HLOOKUP(G38,$K$1:$M$2,2,FALSE)</f>
        <v>0.69600000000000006</v>
      </c>
      <c r="K39" s="81"/>
      <c r="L39" s="37">
        <v>1.4900000000000002</v>
      </c>
      <c r="M39" s="37">
        <v>4.6935000000000004E-2</v>
      </c>
      <c r="N39" s="194">
        <v>0</v>
      </c>
      <c r="O39" s="81"/>
      <c r="P39" s="290"/>
      <c r="Q39" s="213"/>
      <c r="R39" s="295">
        <v>0</v>
      </c>
      <c r="S39" s="81">
        <v>70</v>
      </c>
      <c r="T39" s="81">
        <v>2</v>
      </c>
      <c r="U39" s="81">
        <v>0</v>
      </c>
      <c r="V39" s="81">
        <v>8</v>
      </c>
      <c r="Y39" s="81">
        <v>0</v>
      </c>
      <c r="Z39" s="232"/>
    </row>
    <row r="40" spans="3:29">
      <c r="E40" s="239" t="s">
        <v>1274</v>
      </c>
      <c r="H40" s="83">
        <v>2030</v>
      </c>
      <c r="I40" s="83"/>
      <c r="J40" s="81">
        <f>'Biomass boiler, automatic'!$L$41*HLOOKUP(G38,$K$1:$M$2,2,FALSE)</f>
        <v>0.72800000000000009</v>
      </c>
      <c r="K40" s="81"/>
      <c r="L40" s="37">
        <v>1.4900000000000002</v>
      </c>
      <c r="M40" s="37">
        <v>5.2150000000000002E-2</v>
      </c>
      <c r="N40" s="194">
        <v>0</v>
      </c>
      <c r="O40" s="81"/>
      <c r="P40" s="290"/>
      <c r="Q40" s="213"/>
      <c r="R40" s="295">
        <v>0</v>
      </c>
      <c r="S40" s="81">
        <v>50</v>
      </c>
      <c r="T40" s="81">
        <v>1</v>
      </c>
      <c r="U40" s="81">
        <v>0</v>
      </c>
      <c r="V40" s="81">
        <v>6</v>
      </c>
      <c r="Y40" s="81">
        <v>0</v>
      </c>
      <c r="Z40" s="232"/>
    </row>
    <row r="41" spans="3:29">
      <c r="E41" s="239" t="s">
        <v>1274</v>
      </c>
      <c r="H41" s="83">
        <v>2050</v>
      </c>
      <c r="I41" s="83"/>
      <c r="J41" s="81">
        <f>'Biomass boiler, automatic'!$L$42*HLOOKUP(G38,$K$1:$M$2,2,FALSE)</f>
        <v>0.76</v>
      </c>
      <c r="K41" s="81"/>
      <c r="L41" s="37">
        <v>1.4900000000000002</v>
      </c>
      <c r="M41" s="37">
        <v>5.96E-2</v>
      </c>
      <c r="N41" s="194">
        <v>0</v>
      </c>
      <c r="O41" s="81"/>
      <c r="P41" s="290"/>
      <c r="Q41" s="213"/>
      <c r="R41" s="295">
        <v>0</v>
      </c>
      <c r="S41" s="81">
        <v>40</v>
      </c>
      <c r="T41" s="81">
        <v>0</v>
      </c>
      <c r="U41" s="81">
        <v>0</v>
      </c>
      <c r="V41" s="81">
        <v>4</v>
      </c>
      <c r="Y41" s="81">
        <v>0</v>
      </c>
      <c r="Z41" s="232"/>
    </row>
    <row r="42" spans="3:29">
      <c r="C42" s="223" t="str">
        <f>"IND"&amp;RIGHT(G42,4)&amp;RIGHT(F42,3)&amp;"N"&amp;RIGHT(D42,1)</f>
        <v>INDTDRHWCHN1</v>
      </c>
      <c r="D42" s="278" t="str">
        <f>"Industrial heating technology "&amp;$AD$4&amp;" "&amp;RIGHT(G42,2)&amp;" - Wood Chips boiler, Pellets - new 1"</f>
        <v>Industrial heating technology Trade (Wholesale and Retail) RH - Wood Chips boiler, Pellets - new 1</v>
      </c>
      <c r="E42" s="239" t="s">
        <v>1274</v>
      </c>
      <c r="F42" s="239" t="s">
        <v>499</v>
      </c>
      <c r="G42" s="177" t="str">
        <f>AC8</f>
        <v>ITDRH</v>
      </c>
      <c r="H42" s="81">
        <v>2011</v>
      </c>
      <c r="I42" s="81">
        <v>2011</v>
      </c>
      <c r="J42" s="206">
        <f>'DHB Wood-Chips'!$L$12*HLOOKUP(G42,$K$1:$M$2,2,FALSE)</f>
        <v>1.08</v>
      </c>
      <c r="K42" s="81">
        <f>'DHB Wood-Chips'!N12</f>
        <v>20</v>
      </c>
      <c r="L42" s="37">
        <f>'DHB Wood-Chips'!O12/1000</f>
        <v>5.9600000000000009</v>
      </c>
      <c r="M42" s="37">
        <f>'DHB Wood-Chips'!P12/1000</f>
        <v>5.5875000000000005E-3</v>
      </c>
      <c r="N42" s="272">
        <f>'DHB Wood-Chips'!Q12</f>
        <v>5.5875000000000004</v>
      </c>
      <c r="O42" s="82">
        <v>3.1536000000000002E-2</v>
      </c>
      <c r="P42" s="290">
        <v>0.5</v>
      </c>
      <c r="Q42" s="213"/>
      <c r="R42" s="295">
        <f>'DHB Wood-Chips'!T12</f>
        <v>1.9</v>
      </c>
      <c r="S42" s="81">
        <f>'DHB Wood-Chips'!U12</f>
        <v>81</v>
      </c>
      <c r="T42" s="81">
        <f>'DHB Wood-Chips'!V12</f>
        <v>6.1</v>
      </c>
      <c r="U42" s="81">
        <f>'DHB Wood-Chips'!W12</f>
        <v>0.8</v>
      </c>
      <c r="V42" s="81">
        <f>'DHB Wood-Chips'!X12</f>
        <v>0</v>
      </c>
      <c r="Y42" s="81"/>
      <c r="Z42" s="232"/>
    </row>
    <row r="43" spans="3:29">
      <c r="E43" s="239" t="s">
        <v>1274</v>
      </c>
      <c r="H43" s="83">
        <f>'DHB Wood-Chips'!J13</f>
        <v>2020</v>
      </c>
      <c r="I43" s="83"/>
      <c r="J43" s="206">
        <f>'DHB Wood-Chips'!$L$13*HLOOKUP(G42,$K$1:$M$2,2,FALSE)</f>
        <v>1.08</v>
      </c>
      <c r="K43" s="81"/>
      <c r="L43" s="37">
        <f>'DHB Wood-Chips'!O13/1000</f>
        <v>5.9600000000000009</v>
      </c>
      <c r="M43" s="37">
        <f>'DHB Wood-Chips'!P13/1000</f>
        <v>5.5875000000000005E-3</v>
      </c>
      <c r="N43" s="272">
        <f>'DHB Wood-Chips'!Q13</f>
        <v>5.5875000000000004</v>
      </c>
      <c r="O43" s="81"/>
      <c r="P43" s="290"/>
      <c r="Q43" s="213"/>
      <c r="R43" s="295">
        <f>'DHB Wood-Chips'!T13</f>
        <v>1.9</v>
      </c>
      <c r="S43" s="81">
        <f>'DHB Wood-Chips'!U13</f>
        <v>81</v>
      </c>
      <c r="T43" s="81">
        <f>'DHB Wood-Chips'!V13</f>
        <v>6.1</v>
      </c>
      <c r="U43" s="81">
        <f>'DHB Wood-Chips'!W13</f>
        <v>0.8</v>
      </c>
      <c r="V43" s="81">
        <f>'DHB Wood-Chips'!X13</f>
        <v>0</v>
      </c>
      <c r="Y43" s="81"/>
      <c r="Z43" s="232"/>
    </row>
    <row r="44" spans="3:29">
      <c r="E44" s="239" t="s">
        <v>1274</v>
      </c>
      <c r="H44" s="83">
        <f>'DHB Wood-Chips'!J14</f>
        <v>2030</v>
      </c>
      <c r="I44" s="83"/>
      <c r="J44" s="206">
        <f>'DHB Wood-Chips'!$L$14*HLOOKUP(G42,$K$1:$M$2,2,FALSE)</f>
        <v>1.08</v>
      </c>
      <c r="K44" s="81"/>
      <c r="L44" s="37">
        <f>'DHB Wood-Chips'!O14/1000</f>
        <v>5.9600000000000009</v>
      </c>
      <c r="M44" s="37">
        <f>'DHB Wood-Chips'!P14/1000</f>
        <v>5.5875000000000005E-3</v>
      </c>
      <c r="N44" s="272">
        <f>'DHB Wood-Chips'!Q14</f>
        <v>5.5875000000000004</v>
      </c>
      <c r="O44" s="81"/>
      <c r="P44" s="290"/>
      <c r="Q44" s="213"/>
      <c r="R44" s="295">
        <f>'DHB Wood-Chips'!T14</f>
        <v>1.9</v>
      </c>
      <c r="S44" s="81">
        <f>'DHB Wood-Chips'!U14</f>
        <v>81</v>
      </c>
      <c r="T44" s="81">
        <f>'DHB Wood-Chips'!V14</f>
        <v>6.1</v>
      </c>
      <c r="U44" s="81">
        <f>'DHB Wood-Chips'!W14</f>
        <v>0.8</v>
      </c>
      <c r="V44" s="81">
        <f>'DHB Wood-Chips'!X14</f>
        <v>0</v>
      </c>
      <c r="Y44" s="81"/>
      <c r="Z44" s="232"/>
    </row>
    <row r="45" spans="3:29">
      <c r="E45" s="239" t="s">
        <v>1274</v>
      </c>
      <c r="H45" s="83">
        <f>'DHB Wood-Chips'!J15</f>
        <v>2050</v>
      </c>
      <c r="I45" s="83"/>
      <c r="J45" s="206">
        <f>'DHB Wood-Chips'!$L$15*HLOOKUP(G42,$K$1:$M$2,2,FALSE)</f>
        <v>1.08</v>
      </c>
      <c r="K45" s="81"/>
      <c r="L45" s="37">
        <f>'DHB Wood-Chips'!O15/1000</f>
        <v>5.9600000000000009</v>
      </c>
      <c r="M45" s="37">
        <f>'DHB Wood-Chips'!P15/1000</f>
        <v>5.5875000000000005E-3</v>
      </c>
      <c r="N45" s="272">
        <f>'DHB Wood-Chips'!Q15</f>
        <v>5.5875000000000004</v>
      </c>
      <c r="O45" s="81"/>
      <c r="P45" s="290"/>
      <c r="Q45" s="213"/>
      <c r="R45" s="295">
        <f>'DHB Wood-Chips'!T15</f>
        <v>1.9</v>
      </c>
      <c r="S45" s="81">
        <f>'DHB Wood-Chips'!U15</f>
        <v>81</v>
      </c>
      <c r="T45" s="81">
        <f>'DHB Wood-Chips'!V15</f>
        <v>6.1</v>
      </c>
      <c r="U45" s="81">
        <f>'DHB Wood-Chips'!W15</f>
        <v>0.8</v>
      </c>
      <c r="V45" s="81">
        <f>'DHB Wood-Chips'!X15</f>
        <v>0</v>
      </c>
      <c r="Y45" s="81"/>
      <c r="Z45" s="232"/>
    </row>
    <row r="46" spans="3:29">
      <c r="C46" s="223" t="str">
        <f>"IND"&amp;RIGHT(G46,4)&amp;RIGHT(F46,3)&amp;"N"&amp;RIGHT(D46,1)</f>
        <v>INDTDHTWCHN1</v>
      </c>
      <c r="D46" s="278" t="str">
        <f>"Industrial heating technology "&amp;$AD$4&amp;" "&amp;RIGHT(G46,2)&amp;" - Wood Chips boiler, Pellets - new 1"</f>
        <v>Industrial heating technology Trade (Wholesale and Retail) HT - Wood Chips boiler, Pellets - new 1</v>
      </c>
      <c r="E46" s="239" t="s">
        <v>1274</v>
      </c>
      <c r="F46" s="239" t="s">
        <v>499</v>
      </c>
      <c r="G46" s="177" t="str">
        <f>AC6</f>
        <v>ITDHT</v>
      </c>
      <c r="H46" s="81">
        <v>2011</v>
      </c>
      <c r="I46" s="81">
        <v>2011</v>
      </c>
      <c r="J46" s="206">
        <f>'DHB Wood-Chips'!$L$12*HLOOKUP(G46,$K$1:$M$2,2,FALSE)</f>
        <v>0.75600000000000001</v>
      </c>
      <c r="K46" s="81">
        <f t="shared" ref="K46:P46" si="5">K42</f>
        <v>20</v>
      </c>
      <c r="L46" s="37">
        <f t="shared" si="5"/>
        <v>5.9600000000000009</v>
      </c>
      <c r="M46" s="37">
        <f t="shared" si="5"/>
        <v>5.5875000000000005E-3</v>
      </c>
      <c r="N46" s="272">
        <f t="shared" si="5"/>
        <v>5.5875000000000004</v>
      </c>
      <c r="O46" s="82">
        <f t="shared" si="5"/>
        <v>3.1536000000000002E-2</v>
      </c>
      <c r="P46" s="290">
        <f t="shared" si="5"/>
        <v>0.5</v>
      </c>
      <c r="Q46" s="213"/>
      <c r="R46" s="295">
        <f>R42</f>
        <v>1.9</v>
      </c>
      <c r="S46" s="295">
        <f t="shared" ref="S46:V46" si="6">S42</f>
        <v>81</v>
      </c>
      <c r="T46" s="295">
        <f t="shared" si="6"/>
        <v>6.1</v>
      </c>
      <c r="U46" s="295">
        <f t="shared" si="6"/>
        <v>0.8</v>
      </c>
      <c r="V46" s="295">
        <f t="shared" si="6"/>
        <v>0</v>
      </c>
      <c r="Y46" s="81"/>
      <c r="Z46" s="232"/>
    </row>
    <row r="47" spans="3:29">
      <c r="E47" s="239" t="s">
        <v>1274</v>
      </c>
      <c r="H47" s="83">
        <f t="shared" ref="H47:H49" si="7">H43</f>
        <v>2020</v>
      </c>
      <c r="I47" s="83"/>
      <c r="J47" s="206">
        <f>'DHB Wood-Chips'!$L$13*HLOOKUP(G46,$K$1:$M$2,2,FALSE)</f>
        <v>0.75600000000000001</v>
      </c>
      <c r="K47" s="81"/>
      <c r="L47" s="37">
        <f t="shared" ref="L47:N47" si="8">L43</f>
        <v>5.9600000000000009</v>
      </c>
      <c r="M47" s="37">
        <f t="shared" si="8"/>
        <v>5.5875000000000005E-3</v>
      </c>
      <c r="N47" s="272">
        <f t="shared" si="8"/>
        <v>5.5875000000000004</v>
      </c>
      <c r="O47" s="81"/>
      <c r="P47" s="290"/>
      <c r="Q47" s="213"/>
      <c r="R47" s="295">
        <f t="shared" ref="R47:V47" si="9">R43</f>
        <v>1.9</v>
      </c>
      <c r="S47" s="295">
        <f t="shared" si="9"/>
        <v>81</v>
      </c>
      <c r="T47" s="295">
        <f t="shared" si="9"/>
        <v>6.1</v>
      </c>
      <c r="U47" s="295">
        <f t="shared" si="9"/>
        <v>0.8</v>
      </c>
      <c r="V47" s="295">
        <f t="shared" si="9"/>
        <v>0</v>
      </c>
      <c r="Y47" s="81"/>
      <c r="Z47" s="232"/>
    </row>
    <row r="48" spans="3:29">
      <c r="E48" s="239" t="s">
        <v>1274</v>
      </c>
      <c r="H48" s="83">
        <f t="shared" si="7"/>
        <v>2030</v>
      </c>
      <c r="I48" s="83"/>
      <c r="J48" s="206">
        <f>'DHB Wood-Chips'!$L$14*HLOOKUP(G46,$K$1:$M$2,2,FALSE)</f>
        <v>0.75600000000000001</v>
      </c>
      <c r="K48" s="81"/>
      <c r="L48" s="37">
        <f t="shared" ref="L48:N48" si="10">L44</f>
        <v>5.9600000000000009</v>
      </c>
      <c r="M48" s="37">
        <f t="shared" si="10"/>
        <v>5.5875000000000005E-3</v>
      </c>
      <c r="N48" s="272">
        <f t="shared" si="10"/>
        <v>5.5875000000000004</v>
      </c>
      <c r="O48" s="81"/>
      <c r="P48" s="290"/>
      <c r="Q48" s="213"/>
      <c r="R48" s="295">
        <f t="shared" ref="R48:V48" si="11">R44</f>
        <v>1.9</v>
      </c>
      <c r="S48" s="295">
        <f t="shared" si="11"/>
        <v>81</v>
      </c>
      <c r="T48" s="295">
        <f t="shared" si="11"/>
        <v>6.1</v>
      </c>
      <c r="U48" s="295">
        <f t="shared" si="11"/>
        <v>0.8</v>
      </c>
      <c r="V48" s="295">
        <f t="shared" si="11"/>
        <v>0</v>
      </c>
      <c r="Y48" s="81"/>
      <c r="Z48" s="232"/>
    </row>
    <row r="49" spans="3:26">
      <c r="E49" s="239" t="s">
        <v>1274</v>
      </c>
      <c r="H49" s="83">
        <f t="shared" si="7"/>
        <v>2050</v>
      </c>
      <c r="I49" s="83"/>
      <c r="J49" s="206">
        <f>'DHB Wood-Chips'!$L$15*HLOOKUP(G46,$K$1:$M$2,2,FALSE)</f>
        <v>0.75600000000000001</v>
      </c>
      <c r="K49" s="81"/>
      <c r="L49" s="37">
        <f t="shared" ref="L49:N49" si="12">L45</f>
        <v>5.9600000000000009</v>
      </c>
      <c r="M49" s="37">
        <f t="shared" si="12"/>
        <v>5.5875000000000005E-3</v>
      </c>
      <c r="N49" s="272">
        <f t="shared" si="12"/>
        <v>5.5875000000000004</v>
      </c>
      <c r="O49" s="81"/>
      <c r="P49" s="290"/>
      <c r="Q49" s="213"/>
      <c r="R49" s="295">
        <f t="shared" ref="R49:V49" si="13">R45</f>
        <v>1.9</v>
      </c>
      <c r="S49" s="295">
        <f t="shared" si="13"/>
        <v>81</v>
      </c>
      <c r="T49" s="295">
        <f t="shared" si="13"/>
        <v>6.1</v>
      </c>
      <c r="U49" s="295">
        <f t="shared" si="13"/>
        <v>0.8</v>
      </c>
      <c r="V49" s="295">
        <f t="shared" si="13"/>
        <v>0</v>
      </c>
      <c r="Y49" s="81"/>
      <c r="Z49" s="232"/>
    </row>
    <row r="50" spans="3:26">
      <c r="C50" s="223" t="str">
        <f>"IND"&amp;RIGHT(G50,4)&amp;RIGHT(F50,3)&amp;"N"&amp;RIGHT(D50,1)</f>
        <v>INDTDMTWCHN1</v>
      </c>
      <c r="D50" s="278" t="str">
        <f>"Industrial heating technology "&amp;$AD$4&amp;" "&amp;RIGHT(G50,2)&amp;" - Wood Chips boiler, Pellets - new 1"</f>
        <v>Industrial heating technology Trade (Wholesale and Retail) MT - Wood Chips boiler, Pellets - new 1</v>
      </c>
      <c r="E50" s="239" t="s">
        <v>1274</v>
      </c>
      <c r="F50" s="239" t="s">
        <v>499</v>
      </c>
      <c r="G50" s="239" t="str">
        <f>AC7</f>
        <v>ITDMT</v>
      </c>
      <c r="H50" s="81">
        <v>2011</v>
      </c>
      <c r="I50" s="81">
        <v>2011</v>
      </c>
      <c r="J50" s="206">
        <f>'DHB Wood-Chips'!$L$12*HLOOKUP(G50,$K$1:$M$2,2,FALSE)</f>
        <v>0.8640000000000001</v>
      </c>
      <c r="K50" s="81">
        <v>20</v>
      </c>
      <c r="L50" s="37">
        <v>5.9600000000000009</v>
      </c>
      <c r="M50" s="37">
        <f>M46</f>
        <v>5.5875000000000005E-3</v>
      </c>
      <c r="N50" s="272">
        <f>N46</f>
        <v>5.5875000000000004</v>
      </c>
      <c r="O50" s="206">
        <f>O46</f>
        <v>3.1536000000000002E-2</v>
      </c>
      <c r="P50" s="290">
        <v>0.5</v>
      </c>
      <c r="Q50" s="213"/>
      <c r="R50" s="295">
        <v>1.9</v>
      </c>
      <c r="S50" s="81">
        <v>81</v>
      </c>
      <c r="T50" s="81">
        <v>6.1</v>
      </c>
      <c r="U50" s="81">
        <v>0.8</v>
      </c>
      <c r="V50" s="81">
        <v>0</v>
      </c>
      <c r="Y50" s="81"/>
      <c r="Z50" s="232"/>
    </row>
    <row r="51" spans="3:26">
      <c r="E51" s="239" t="s">
        <v>1274</v>
      </c>
      <c r="H51" s="83">
        <v>2020</v>
      </c>
      <c r="I51" s="83"/>
      <c r="J51" s="206">
        <f>'DHB Wood-Chips'!$L$13*HLOOKUP(G50,$K$1:$M$2,2,FALSE)</f>
        <v>0.8640000000000001</v>
      </c>
      <c r="K51" s="81"/>
      <c r="L51" s="37">
        <v>5.9600000000000009</v>
      </c>
      <c r="M51" s="37">
        <f t="shared" ref="M51:N53" si="14">M47</f>
        <v>5.5875000000000005E-3</v>
      </c>
      <c r="N51" s="272">
        <f t="shared" si="14"/>
        <v>5.5875000000000004</v>
      </c>
      <c r="O51" s="81"/>
      <c r="P51" s="290"/>
      <c r="Q51" s="213"/>
      <c r="R51" s="295">
        <v>1.9</v>
      </c>
      <c r="S51" s="81">
        <v>81</v>
      </c>
      <c r="T51" s="81">
        <v>6.1</v>
      </c>
      <c r="U51" s="81">
        <v>0.8</v>
      </c>
      <c r="V51" s="81">
        <v>0</v>
      </c>
      <c r="Y51" s="81"/>
      <c r="Z51" s="232"/>
    </row>
    <row r="52" spans="3:26">
      <c r="E52" s="239" t="s">
        <v>1274</v>
      </c>
      <c r="H52" s="83">
        <v>2030</v>
      </c>
      <c r="I52" s="83"/>
      <c r="J52" s="206">
        <f>'DHB Wood-Chips'!$L$14*HLOOKUP(G50,$K$1:$M$2,2,FALSE)</f>
        <v>0.8640000000000001</v>
      </c>
      <c r="K52" s="81"/>
      <c r="L52" s="37">
        <v>5.9600000000000009</v>
      </c>
      <c r="M52" s="37">
        <f t="shared" si="14"/>
        <v>5.5875000000000005E-3</v>
      </c>
      <c r="N52" s="272">
        <f t="shared" si="14"/>
        <v>5.5875000000000004</v>
      </c>
      <c r="O52" s="81"/>
      <c r="P52" s="290"/>
      <c r="Q52" s="213"/>
      <c r="R52" s="295">
        <v>1.9</v>
      </c>
      <c r="S52" s="81">
        <v>81</v>
      </c>
      <c r="T52" s="81">
        <v>6.1</v>
      </c>
      <c r="U52" s="81">
        <v>0.8</v>
      </c>
      <c r="V52" s="81">
        <v>0</v>
      </c>
      <c r="Y52" s="81"/>
      <c r="Z52" s="232"/>
    </row>
    <row r="53" spans="3:26">
      <c r="E53" s="239" t="s">
        <v>1274</v>
      </c>
      <c r="H53" s="83">
        <v>2050</v>
      </c>
      <c r="I53" s="83"/>
      <c r="J53" s="206">
        <f>'DHB Wood-Chips'!$L$15*HLOOKUP(G50,$K$1:$M$2,2,FALSE)</f>
        <v>0.8640000000000001</v>
      </c>
      <c r="K53" s="81"/>
      <c r="L53" s="37">
        <v>5.9600000000000009</v>
      </c>
      <c r="M53" s="37">
        <f t="shared" si="14"/>
        <v>5.5875000000000005E-3</v>
      </c>
      <c r="N53" s="272">
        <f t="shared" si="14"/>
        <v>5.5875000000000004</v>
      </c>
      <c r="O53" s="81"/>
      <c r="P53" s="290"/>
      <c r="Q53" s="213"/>
      <c r="R53" s="295">
        <v>1.9</v>
      </c>
      <c r="S53" s="81">
        <v>81</v>
      </c>
      <c r="T53" s="81">
        <v>6.1</v>
      </c>
      <c r="U53" s="81">
        <v>0.8</v>
      </c>
      <c r="V53" s="81">
        <v>0</v>
      </c>
      <c r="Y53" s="81"/>
      <c r="Z53" s="232"/>
    </row>
    <row r="54" spans="3:26">
      <c r="C54" s="223" t="str">
        <f>"IND"&amp;RIGHT(G54,4)&amp;RIGHT(F54,3)&amp;"N"&amp;RIGHT(D54,1)</f>
        <v>INDTDHTELCN1</v>
      </c>
      <c r="D54" s="278" t="str">
        <f>"Industrial heating technology "&amp;$AD$4&amp;" "&amp;RIGHT(G54,2)&amp;" - direct eletrical heating - new 1"</f>
        <v>Industrial heating technology Trade (Wholesale and Retail) HT - direct eletrical heating - new 1</v>
      </c>
      <c r="E54" s="239" t="s">
        <v>1274</v>
      </c>
      <c r="F54" s="176" t="s">
        <v>500</v>
      </c>
      <c r="G54" s="177" t="str">
        <f>AC6</f>
        <v>ITDHT</v>
      </c>
      <c r="H54" s="81">
        <v>2011</v>
      </c>
      <c r="I54" s="81">
        <v>2011</v>
      </c>
      <c r="J54" s="81">
        <f>'Electric heating'!$L$39*HLOOKUP(G54,$K$1:$M$2,2,FALSE)</f>
        <v>0.68599999999999994</v>
      </c>
      <c r="K54" s="81">
        <f>'Electric heating'!N39</f>
        <v>20</v>
      </c>
      <c r="L54" s="37">
        <f>('Electric heating'!O39)/1000</f>
        <v>1.125</v>
      </c>
      <c r="M54" s="37">
        <f>('Electric heating'!P39)/1000</f>
        <v>1.1000000000000001E-3</v>
      </c>
      <c r="N54" s="194">
        <f>'Electric heating'!Q39</f>
        <v>0.8</v>
      </c>
      <c r="O54" s="82">
        <v>3.1536000000000002E-2</v>
      </c>
      <c r="P54" s="290">
        <v>0.5</v>
      </c>
      <c r="Q54" s="213"/>
      <c r="R54" s="295">
        <f>'Electric heating'!T39</f>
        <v>0</v>
      </c>
      <c r="S54" s="81">
        <f>'Electric heating'!U39</f>
        <v>0</v>
      </c>
      <c r="T54" s="81">
        <f>'Electric heating'!V39</f>
        <v>0</v>
      </c>
      <c r="U54" s="81">
        <f>'Electric heating'!W39</f>
        <v>0</v>
      </c>
      <c r="V54" s="81">
        <f>'Electric heating'!X39</f>
        <v>0</v>
      </c>
      <c r="Y54" s="81">
        <f>'Electric heating'!M39</f>
        <v>0</v>
      </c>
      <c r="Z54" s="232"/>
    </row>
    <row r="55" spans="3:26">
      <c r="E55" s="239" t="s">
        <v>1274</v>
      </c>
      <c r="H55" s="83">
        <f>'Electric heating'!J13</f>
        <v>2020</v>
      </c>
      <c r="I55" s="83"/>
      <c r="J55" s="81">
        <f>'Electric heating'!$L$40*HLOOKUP(G54,$K$1:$M$2,2,FALSE)</f>
        <v>0.69299999999999995</v>
      </c>
      <c r="K55" s="81"/>
      <c r="L55" s="37">
        <f>('Electric heating'!O40)/1000</f>
        <v>1.125</v>
      </c>
      <c r="M55" s="37">
        <f>('Electric heating'!P40)/1000</f>
        <v>1.07E-3</v>
      </c>
      <c r="N55" s="194">
        <f>'Electric heating'!Q40</f>
        <v>0.9</v>
      </c>
      <c r="O55" s="81"/>
      <c r="P55" s="290"/>
      <c r="Q55" s="213"/>
      <c r="R55" s="295">
        <f>'Electric heating'!T40</f>
        <v>0</v>
      </c>
      <c r="S55" s="81">
        <f>'Electric heating'!U40</f>
        <v>0</v>
      </c>
      <c r="T55" s="81">
        <f>'Electric heating'!V40</f>
        <v>0</v>
      </c>
      <c r="U55" s="81">
        <f>'Electric heating'!W40</f>
        <v>0</v>
      </c>
      <c r="V55" s="81">
        <f>'Electric heating'!X40</f>
        <v>0</v>
      </c>
      <c r="Y55" s="81">
        <f>'Electric heating'!M40</f>
        <v>0</v>
      </c>
      <c r="Z55" s="232"/>
    </row>
    <row r="56" spans="3:26">
      <c r="E56" s="239" t="s">
        <v>1274</v>
      </c>
      <c r="H56" s="83">
        <f>'Electric heating'!J14</f>
        <v>2030</v>
      </c>
      <c r="I56" s="83"/>
      <c r="J56" s="81">
        <f>'Electric heating'!$L$41*HLOOKUP(G54,$K$1:$M$2,2,FALSE)</f>
        <v>0.69299999999999995</v>
      </c>
      <c r="K56" s="81"/>
      <c r="L56" s="37">
        <f>('Electric heating'!O41)/1000</f>
        <v>1.05</v>
      </c>
      <c r="M56" s="37">
        <f>('Electric heating'!P41)/1000</f>
        <v>1.0200000000000001E-3</v>
      </c>
      <c r="N56" s="194">
        <f>'Electric heating'!Q41</f>
        <v>1</v>
      </c>
      <c r="O56" s="81"/>
      <c r="P56" s="290"/>
      <c r="Q56" s="213"/>
      <c r="R56" s="295">
        <f>'Electric heating'!T41</f>
        <v>0</v>
      </c>
      <c r="S56" s="81">
        <f>'Electric heating'!U41</f>
        <v>0</v>
      </c>
      <c r="T56" s="81">
        <f>'Electric heating'!V41</f>
        <v>0</v>
      </c>
      <c r="U56" s="81">
        <f>'Electric heating'!W41</f>
        <v>0</v>
      </c>
      <c r="V56" s="81">
        <f>'Electric heating'!X41</f>
        <v>0</v>
      </c>
      <c r="Y56" s="81">
        <f>'Electric heating'!M41</f>
        <v>0</v>
      </c>
      <c r="Z56" s="232"/>
    </row>
    <row r="57" spans="3:26">
      <c r="E57" s="239" t="s">
        <v>1274</v>
      </c>
      <c r="H57" s="83">
        <f>'Electric heating'!J15</f>
        <v>2050</v>
      </c>
      <c r="I57" s="83"/>
      <c r="J57" s="81">
        <f>'Electric heating'!$L$42*HLOOKUP(G54,$K$1:$M$2,2,FALSE)</f>
        <v>0.69299999999999995</v>
      </c>
      <c r="K57" s="81"/>
      <c r="L57" s="37">
        <f>('Electric heating'!O42)/1000</f>
        <v>0.97499999999999998</v>
      </c>
      <c r="M57" s="37">
        <f>('Electric heating'!P42)/1000</f>
        <v>9.2000000000000003E-4</v>
      </c>
      <c r="N57" s="194">
        <f>'Electric heating'!Q42</f>
        <v>1</v>
      </c>
      <c r="O57" s="81"/>
      <c r="P57" s="290"/>
      <c r="Q57" s="213"/>
      <c r="R57" s="295">
        <f>'Electric heating'!T42</f>
        <v>0</v>
      </c>
      <c r="S57" s="81">
        <f>'Electric heating'!U42</f>
        <v>0</v>
      </c>
      <c r="T57" s="81">
        <f>'Electric heating'!V42</f>
        <v>0</v>
      </c>
      <c r="U57" s="81">
        <f>'Electric heating'!W42</f>
        <v>0</v>
      </c>
      <c r="V57" s="81">
        <f>'Electric heating'!X42</f>
        <v>0</v>
      </c>
      <c r="Y57" s="81">
        <f>'Electric heating'!M42</f>
        <v>0</v>
      </c>
      <c r="Z57" s="232"/>
    </row>
    <row r="58" spans="3:26">
      <c r="C58" s="223" t="str">
        <f>"IND"&amp;RIGHT(G58,4)&amp;RIGHT(F58,3)&amp;"N"&amp;RIGHT(D58,1)</f>
        <v>INDTDMTELCN1</v>
      </c>
      <c r="D58" s="278" t="str">
        <f>"Industrial heating technology "&amp;$AD$4&amp;" "&amp;RIGHT(G58,2)&amp;" - direct eletrical heating - new 1"</f>
        <v>Industrial heating technology Trade (Wholesale and Retail) MT - direct eletrical heating - new 1</v>
      </c>
      <c r="E58" s="239" t="s">
        <v>1274</v>
      </c>
      <c r="F58" s="176" t="s">
        <v>500</v>
      </c>
      <c r="G58" s="239" t="str">
        <f>AC7</f>
        <v>ITDMT</v>
      </c>
      <c r="H58" s="81">
        <v>2011</v>
      </c>
      <c r="I58" s="81">
        <v>2011</v>
      </c>
      <c r="J58" s="81">
        <f>'Electric heating'!$L$39*HLOOKUP(G58,$K$1:$M$2,2,FALSE)</f>
        <v>0.78400000000000003</v>
      </c>
      <c r="K58" s="81">
        <f>K54</f>
        <v>20</v>
      </c>
      <c r="L58" s="37">
        <f>L54</f>
        <v>1.125</v>
      </c>
      <c r="M58" s="37">
        <v>7.4499999999999997E-2</v>
      </c>
      <c r="N58" s="194">
        <f>N54</f>
        <v>0.8</v>
      </c>
      <c r="O58" s="81">
        <v>3.1536000000000002E-2</v>
      </c>
      <c r="P58" s="290">
        <v>0.5</v>
      </c>
      <c r="Q58" s="213"/>
      <c r="R58" s="295">
        <v>0</v>
      </c>
      <c r="S58" s="81">
        <v>0</v>
      </c>
      <c r="T58" s="81">
        <v>0</v>
      </c>
      <c r="U58" s="81">
        <v>0</v>
      </c>
      <c r="V58" s="81">
        <v>0</v>
      </c>
      <c r="Y58" s="81">
        <v>0</v>
      </c>
      <c r="Z58" s="232"/>
    </row>
    <row r="59" spans="3:26">
      <c r="E59" s="239" t="s">
        <v>1274</v>
      </c>
      <c r="H59" s="83">
        <v>2020</v>
      </c>
      <c r="I59" s="83"/>
      <c r="J59" s="81">
        <f>'Electric heating'!$L$40*HLOOKUP(G58,$K$1:$M$2,2,FALSE)</f>
        <v>0.79200000000000004</v>
      </c>
      <c r="K59" s="81"/>
      <c r="L59" s="37">
        <f t="shared" ref="L59:L65" si="15">L55</f>
        <v>1.125</v>
      </c>
      <c r="M59" s="37">
        <v>7.4499999999999997E-2</v>
      </c>
      <c r="N59" s="194">
        <f t="shared" ref="N59:N65" si="16">N55</f>
        <v>0.9</v>
      </c>
      <c r="O59" s="81"/>
      <c r="P59" s="290"/>
      <c r="Q59" s="213"/>
      <c r="R59" s="295">
        <v>0</v>
      </c>
      <c r="S59" s="81">
        <v>0</v>
      </c>
      <c r="T59" s="81">
        <v>0</v>
      </c>
      <c r="U59" s="81">
        <v>0</v>
      </c>
      <c r="V59" s="81">
        <v>0</v>
      </c>
      <c r="Y59" s="81">
        <v>0</v>
      </c>
      <c r="Z59" s="232"/>
    </row>
    <row r="60" spans="3:26">
      <c r="E60" s="239" t="s">
        <v>1274</v>
      </c>
      <c r="H60" s="83">
        <v>2030</v>
      </c>
      <c r="I60" s="83"/>
      <c r="J60" s="81">
        <f>'Electric heating'!$L$41*HLOOKUP(G58,$K$1:$M$2,2,FALSE)</f>
        <v>0.79200000000000004</v>
      </c>
      <c r="K60" s="81"/>
      <c r="L60" s="37">
        <f t="shared" si="15"/>
        <v>1.05</v>
      </c>
      <c r="M60" s="37">
        <v>7.4499999999999997E-2</v>
      </c>
      <c r="N60" s="194">
        <f t="shared" si="16"/>
        <v>1</v>
      </c>
      <c r="O60" s="81"/>
      <c r="P60" s="290"/>
      <c r="Q60" s="213"/>
      <c r="R60" s="295">
        <v>0</v>
      </c>
      <c r="S60" s="81">
        <v>0</v>
      </c>
      <c r="T60" s="81">
        <v>0</v>
      </c>
      <c r="U60" s="81">
        <v>0</v>
      </c>
      <c r="V60" s="81">
        <v>0</v>
      </c>
      <c r="Y60" s="81">
        <v>0</v>
      </c>
      <c r="Z60" s="232"/>
    </row>
    <row r="61" spans="3:26">
      <c r="E61" s="239" t="s">
        <v>1274</v>
      </c>
      <c r="H61" s="83">
        <v>2050</v>
      </c>
      <c r="I61" s="83"/>
      <c r="J61" s="81">
        <f>'Electric heating'!$L$42*HLOOKUP(G58,$K$1:$M$2,2,FALSE)</f>
        <v>0.79200000000000004</v>
      </c>
      <c r="K61" s="81"/>
      <c r="L61" s="37">
        <f t="shared" si="15"/>
        <v>0.97499999999999998</v>
      </c>
      <c r="M61" s="37">
        <v>7.4499999999999997E-2</v>
      </c>
      <c r="N61" s="194">
        <f t="shared" si="16"/>
        <v>1</v>
      </c>
      <c r="O61" s="81"/>
      <c r="P61" s="290"/>
      <c r="Q61" s="213"/>
      <c r="R61" s="295">
        <v>0</v>
      </c>
      <c r="S61" s="81">
        <v>0</v>
      </c>
      <c r="T61" s="81">
        <v>0</v>
      </c>
      <c r="U61" s="81">
        <v>0</v>
      </c>
      <c r="V61" s="81">
        <v>0</v>
      </c>
      <c r="Y61" s="81">
        <v>0</v>
      </c>
      <c r="Z61" s="232"/>
    </row>
    <row r="62" spans="3:26">
      <c r="C62" s="223" t="str">
        <f>"IND"&amp;RIGHT(G62,4)&amp;RIGHT(F62,3)&amp;"N"&amp;RIGHT(D62,1)</f>
        <v>INDTDRHELCN1</v>
      </c>
      <c r="D62" s="278" t="str">
        <f>"Industrial heating technology "&amp;$AD$4&amp;" "&amp;RIGHT(G62,2)&amp;" - direct eletrical heating - new 1"</f>
        <v>Industrial heating technology Trade (Wholesale and Retail) RH - direct eletrical heating - new 1</v>
      </c>
      <c r="E62" s="239" t="s">
        <v>1274</v>
      </c>
      <c r="F62" s="176" t="s">
        <v>500</v>
      </c>
      <c r="G62" s="239" t="str">
        <f>AC8</f>
        <v>ITDRH</v>
      </c>
      <c r="H62" s="81">
        <v>2011</v>
      </c>
      <c r="I62" s="81">
        <v>2011</v>
      </c>
      <c r="J62" s="81">
        <f>'Electric heating'!$L$39*HLOOKUP(G62,$K$1:$M$2,2,FALSE)</f>
        <v>0.98</v>
      </c>
      <c r="K62" s="81">
        <f>K54</f>
        <v>20</v>
      </c>
      <c r="L62" s="37">
        <f t="shared" si="15"/>
        <v>1.125</v>
      </c>
      <c r="M62" s="37">
        <v>7.4499999999999997E-2</v>
      </c>
      <c r="N62" s="194">
        <f t="shared" si="16"/>
        <v>0.8</v>
      </c>
      <c r="O62" s="81">
        <v>3.1536000000000002E-2</v>
      </c>
      <c r="P62" s="290">
        <v>0.5</v>
      </c>
      <c r="Q62" s="213"/>
      <c r="R62" s="295">
        <v>0</v>
      </c>
      <c r="S62" s="81">
        <v>0</v>
      </c>
      <c r="T62" s="81">
        <v>0</v>
      </c>
      <c r="U62" s="81">
        <v>0</v>
      </c>
      <c r="V62" s="81">
        <v>0</v>
      </c>
      <c r="Y62" s="81">
        <v>0</v>
      </c>
      <c r="Z62" s="232"/>
    </row>
    <row r="63" spans="3:26">
      <c r="E63" s="239" t="s">
        <v>1274</v>
      </c>
      <c r="H63" s="83">
        <v>2020</v>
      </c>
      <c r="I63" s="83"/>
      <c r="J63" s="81">
        <f>'Electric heating'!$L$40*HLOOKUP(G62,$K$1:$M$2,2,FALSE)</f>
        <v>0.99</v>
      </c>
      <c r="K63" s="81"/>
      <c r="L63" s="37">
        <f t="shared" si="15"/>
        <v>1.125</v>
      </c>
      <c r="M63" s="37">
        <v>7.4499999999999997E-2</v>
      </c>
      <c r="N63" s="194">
        <f t="shared" si="16"/>
        <v>0.9</v>
      </c>
      <c r="O63" s="81"/>
      <c r="P63" s="290"/>
      <c r="Q63" s="213"/>
      <c r="R63" s="295">
        <v>0</v>
      </c>
      <c r="S63" s="81">
        <v>0</v>
      </c>
      <c r="T63" s="81">
        <v>0</v>
      </c>
      <c r="U63" s="81">
        <v>0</v>
      </c>
      <c r="V63" s="81">
        <v>0</v>
      </c>
      <c r="Y63" s="81">
        <v>0</v>
      </c>
      <c r="Z63" s="232"/>
    </row>
    <row r="64" spans="3:26">
      <c r="E64" s="239" t="s">
        <v>1274</v>
      </c>
      <c r="H64" s="83">
        <v>2030</v>
      </c>
      <c r="I64" s="83"/>
      <c r="J64" s="81">
        <f>'Electric heating'!$L$41*HLOOKUP(G62,$K$1:$M$2,2,FALSE)</f>
        <v>0.99</v>
      </c>
      <c r="K64" s="81"/>
      <c r="L64" s="37">
        <f t="shared" si="15"/>
        <v>1.05</v>
      </c>
      <c r="M64" s="37">
        <v>7.4499999999999997E-2</v>
      </c>
      <c r="N64" s="194">
        <f t="shared" si="16"/>
        <v>1</v>
      </c>
      <c r="O64" s="81"/>
      <c r="P64" s="290"/>
      <c r="Q64" s="213"/>
      <c r="R64" s="295">
        <v>0</v>
      </c>
      <c r="S64" s="81">
        <v>0</v>
      </c>
      <c r="T64" s="81">
        <v>0</v>
      </c>
      <c r="U64" s="81">
        <v>0</v>
      </c>
      <c r="V64" s="81">
        <v>0</v>
      </c>
      <c r="Y64" s="81">
        <v>0</v>
      </c>
      <c r="Z64" s="232"/>
    </row>
    <row r="65" spans="1:26">
      <c r="E65" s="239" t="s">
        <v>1274</v>
      </c>
      <c r="H65" s="83">
        <v>2050</v>
      </c>
      <c r="I65" s="83"/>
      <c r="J65" s="81">
        <f>'Electric heating'!$L$42*HLOOKUP(G62,$K$1:$M$2,2,FALSE)</f>
        <v>0.99</v>
      </c>
      <c r="K65" s="81"/>
      <c r="L65" s="37">
        <f t="shared" si="15"/>
        <v>0.97499999999999998</v>
      </c>
      <c r="M65" s="37">
        <v>7.4499999999999997E-2</v>
      </c>
      <c r="N65" s="194">
        <f t="shared" si="16"/>
        <v>1</v>
      </c>
      <c r="O65" s="81"/>
      <c r="P65" s="290"/>
      <c r="Q65" s="213"/>
      <c r="R65" s="295">
        <v>0</v>
      </c>
      <c r="S65" s="81">
        <v>0</v>
      </c>
      <c r="T65" s="81">
        <v>0</v>
      </c>
      <c r="U65" s="81">
        <v>0</v>
      </c>
      <c r="V65" s="81">
        <v>0</v>
      </c>
      <c r="Y65" s="81">
        <v>0</v>
      </c>
      <c r="Z65" s="232"/>
    </row>
    <row r="66" spans="1:26">
      <c r="C66" s="223" t="str">
        <f>"IND"&amp;RIGHT(G66,4)&amp;RIGHT(F66,3)&amp;"N"&amp;RIGHT(D66,1)</f>
        <v>INDTDRHELCN2</v>
      </c>
      <c r="D66" s="278" t="str">
        <f>"Industrial heating technology "&amp;$AD$4&amp;" "&amp;RIGHT(G66,2)&amp;" - Heat pump, air-to-air - new 2"</f>
        <v>Industrial heating technology Trade (Wholesale and Retail) RH - Heat pump, air-to-air - new 2</v>
      </c>
      <c r="E66" s="239" t="s">
        <v>1274</v>
      </c>
      <c r="F66" s="176" t="s">
        <v>500</v>
      </c>
      <c r="G66" s="177" t="str">
        <f>AC8</f>
        <v>ITDRH</v>
      </c>
      <c r="H66" s="81">
        <v>2011</v>
      </c>
      <c r="I66" s="81">
        <v>2011</v>
      </c>
      <c r="J66" s="232"/>
      <c r="K66" s="186">
        <f>'Heat pump, air-to-air'!N12</f>
        <v>20</v>
      </c>
      <c r="L66" s="237">
        <f>(('Heat pump, air-to-air'!O12)/1000)</f>
        <v>4.0230000000000006</v>
      </c>
      <c r="M66" s="37">
        <f>('Heat pump, air-to-air'!P12)/1000</f>
        <v>6.2580000000000011E-2</v>
      </c>
      <c r="N66" s="217">
        <f>'Heat pump, air-to-air'!Q12</f>
        <v>0</v>
      </c>
      <c r="O66" s="204">
        <v>3.1536000000000002E-2</v>
      </c>
      <c r="P66" s="290">
        <v>0.5</v>
      </c>
      <c r="Q66" s="213"/>
      <c r="R66" s="296">
        <f>'Heat pump, air-to-air'!T12</f>
        <v>0</v>
      </c>
      <c r="S66" s="186">
        <f>'Heat pump, air-to-air'!U12</f>
        <v>0</v>
      </c>
      <c r="T66" s="186">
        <f>'Heat pump, air-to-air'!V12</f>
        <v>0</v>
      </c>
      <c r="U66" s="186">
        <f>'Heat pump, air-to-air'!W12</f>
        <v>0</v>
      </c>
      <c r="V66" s="186">
        <f>'Heat pump, air-to-air'!X12</f>
        <v>0</v>
      </c>
      <c r="Y66" s="167">
        <f>'Heat pump, air-to-air'!M39</f>
        <v>0</v>
      </c>
      <c r="Z66" s="235">
        <f>'Heat pump, air-to-air'!L12</f>
        <v>3</v>
      </c>
    </row>
    <row r="67" spans="1:26">
      <c r="E67" s="239" t="s">
        <v>1274</v>
      </c>
      <c r="H67" s="83">
        <f>'Heat pump, air-to-air'!J13</f>
        <v>2020</v>
      </c>
      <c r="I67" s="83"/>
      <c r="J67" s="232"/>
      <c r="K67" s="186"/>
      <c r="L67" s="237">
        <f>(('Heat pump, air-to-air'!O13)/1000)</f>
        <v>3.8740000000000001</v>
      </c>
      <c r="M67" s="37">
        <f>('Heat pump, air-to-air'!P13)/1000</f>
        <v>6.2580000000000011E-2</v>
      </c>
      <c r="N67" s="217">
        <f>'Heat pump, air-to-air'!Q13</f>
        <v>0</v>
      </c>
      <c r="O67" s="186"/>
      <c r="P67" s="290"/>
      <c r="Q67" s="213"/>
      <c r="R67" s="296">
        <f>'Heat pump, air-to-air'!T13</f>
        <v>0</v>
      </c>
      <c r="S67" s="186">
        <f>'Heat pump, air-to-air'!U13</f>
        <v>0</v>
      </c>
      <c r="T67" s="186">
        <f>'Heat pump, air-to-air'!V13</f>
        <v>0</v>
      </c>
      <c r="U67" s="186">
        <f>'Heat pump, air-to-air'!W13</f>
        <v>0</v>
      </c>
      <c r="V67" s="186">
        <f>'Heat pump, air-to-air'!X13</f>
        <v>0</v>
      </c>
      <c r="Y67" s="167">
        <f>'Heat pump, air-to-air'!M40</f>
        <v>0</v>
      </c>
      <c r="Z67" s="235">
        <f>'Heat pump, air-to-air'!L13</f>
        <v>3.2</v>
      </c>
    </row>
    <row r="68" spans="1:26">
      <c r="E68" s="239" t="s">
        <v>1274</v>
      </c>
      <c r="H68" s="83">
        <f>'Heat pump, air-to-air'!J14</f>
        <v>2030</v>
      </c>
      <c r="I68" s="83"/>
      <c r="J68" s="232"/>
      <c r="K68" s="186"/>
      <c r="L68" s="237">
        <f>(('Heat pump, air-to-air'!O14)/1000)</f>
        <v>3.5760000000000001</v>
      </c>
      <c r="M68" s="37">
        <f>('Heat pump, air-to-air'!P14)/1000</f>
        <v>6.2580000000000011E-2</v>
      </c>
      <c r="N68" s="217">
        <f>'Heat pump, air-to-air'!Q14</f>
        <v>0</v>
      </c>
      <c r="O68" s="186"/>
      <c r="P68" s="290"/>
      <c r="Q68" s="213"/>
      <c r="R68" s="296">
        <f>'Heat pump, air-to-air'!T14</f>
        <v>0</v>
      </c>
      <c r="S68" s="186">
        <f>'Heat pump, air-to-air'!U14</f>
        <v>0</v>
      </c>
      <c r="T68" s="186">
        <f>'Heat pump, air-to-air'!V14</f>
        <v>0</v>
      </c>
      <c r="U68" s="186">
        <f>'Heat pump, air-to-air'!W14</f>
        <v>0</v>
      </c>
      <c r="V68" s="186">
        <f>'Heat pump, air-to-air'!X14</f>
        <v>0</v>
      </c>
      <c r="Y68" s="167">
        <f>'Heat pump, air-to-air'!M41</f>
        <v>0</v>
      </c>
      <c r="Z68" s="235">
        <f>'Heat pump, air-to-air'!L14</f>
        <v>3.7</v>
      </c>
    </row>
    <row r="69" spans="1:26">
      <c r="E69" s="239" t="s">
        <v>1274</v>
      </c>
      <c r="H69" s="81">
        <v>2050</v>
      </c>
      <c r="I69" s="81"/>
      <c r="J69" s="232"/>
      <c r="K69" s="186"/>
      <c r="L69" s="237">
        <f>(('Heat pump, air-to-air'!O15)/1000)</f>
        <v>3.4269999999999996</v>
      </c>
      <c r="M69" s="37">
        <f>('Heat pump, air-to-air'!P15)/1000</f>
        <v>6.2580000000000011E-2</v>
      </c>
      <c r="N69" s="217">
        <f>'Heat pump, air-to-air'!Q15</f>
        <v>0</v>
      </c>
      <c r="O69" s="186"/>
      <c r="P69" s="290"/>
      <c r="Q69" s="213"/>
      <c r="R69" s="296">
        <f>'Heat pump, air-to-air'!T15</f>
        <v>0</v>
      </c>
      <c r="S69" s="186">
        <f>'Heat pump, air-to-air'!U15</f>
        <v>0</v>
      </c>
      <c r="T69" s="186">
        <f>'Heat pump, air-to-air'!V15</f>
        <v>0</v>
      </c>
      <c r="U69" s="186">
        <f>'Heat pump, air-to-air'!W15</f>
        <v>0</v>
      </c>
      <c r="V69" s="186">
        <f>'Heat pump, air-to-air'!X15</f>
        <v>0</v>
      </c>
      <c r="Y69" s="167">
        <f>'Heat pump, air-to-air'!M42</f>
        <v>0</v>
      </c>
      <c r="Z69" s="235">
        <f>'Heat pump, air-to-air'!L15</f>
        <v>4</v>
      </c>
    </row>
    <row r="70" spans="1:26">
      <c r="C70" s="223" t="str">
        <f>"IND"&amp;RIGHT(G70,4)&amp;RIGHT(F70,3)&amp;"N"&amp;RIGHT(D70,1)</f>
        <v>INDTDRHELCN3</v>
      </c>
      <c r="D70" s="278" t="str">
        <f>"Industrial heating technology "&amp;$AD$4&amp;" "&amp;RIGHT(G70,2)&amp;" - Heat pump, air-to-water - new 3"</f>
        <v>Industrial heating technology Trade (Wholesale and Retail) RH - Heat pump, air-to-water - new 3</v>
      </c>
      <c r="E70" s="239" t="s">
        <v>1274</v>
      </c>
      <c r="F70" s="176" t="s">
        <v>500</v>
      </c>
      <c r="G70" s="177" t="str">
        <f>AC8</f>
        <v>ITDRH</v>
      </c>
      <c r="H70" s="81">
        <v>2011</v>
      </c>
      <c r="I70" s="81">
        <v>2011</v>
      </c>
      <c r="J70" s="232"/>
      <c r="K70" s="81">
        <f>'Heat pump, air-to-water'!N39</f>
        <v>20</v>
      </c>
      <c r="L70" s="237">
        <f>(('Heat pump, air-to-water'!O39)/1000)</f>
        <v>7.45</v>
      </c>
      <c r="M70" s="37">
        <f>('Heat pump, air-to-water'!P39)/1000</f>
        <v>7.45E-3</v>
      </c>
      <c r="N70" s="194">
        <f>'Heat pump, air-to-water'!Q39</f>
        <v>0</v>
      </c>
      <c r="O70" s="82">
        <v>3.1536000000000002E-2</v>
      </c>
      <c r="P70" s="290">
        <v>0.5</v>
      </c>
      <c r="Q70" s="213"/>
      <c r="R70" s="295">
        <f>'Heat pump, air-to-water'!T39</f>
        <v>0</v>
      </c>
      <c r="S70" s="81">
        <f>'Heat pump, air-to-water'!U39</f>
        <v>0</v>
      </c>
      <c r="T70" s="81">
        <f>'Heat pump, air-to-water'!V39</f>
        <v>0</v>
      </c>
      <c r="U70" s="81">
        <f>'Heat pump, air-to-water'!W39</f>
        <v>0</v>
      </c>
      <c r="V70" s="81">
        <f>'Heat pump, air-to-water'!X39</f>
        <v>0</v>
      </c>
      <c r="Y70" s="81">
        <f>'Heat pump, air-to-water'!M39</f>
        <v>0</v>
      </c>
      <c r="Z70" s="235">
        <f>'Heat pump, air-to-water'!L39</f>
        <v>3</v>
      </c>
    </row>
    <row r="71" spans="1:26">
      <c r="E71" s="239" t="s">
        <v>1274</v>
      </c>
      <c r="H71" s="83">
        <f>'Heat pump, air-to-water'!J13</f>
        <v>2020</v>
      </c>
      <c r="I71" s="83"/>
      <c r="J71" s="232"/>
      <c r="K71" s="81"/>
      <c r="L71" s="237">
        <f>(('Heat pump, air-to-water'!O40)/1000)</f>
        <v>7.45</v>
      </c>
      <c r="M71" s="37">
        <f>('Heat pump, air-to-water'!P40)/1000</f>
        <v>7.45E-3</v>
      </c>
      <c r="N71" s="194">
        <f>'Heat pump, air-to-water'!Q40</f>
        <v>0</v>
      </c>
      <c r="O71" s="81"/>
      <c r="P71" s="290"/>
      <c r="Q71" s="213"/>
      <c r="R71" s="295">
        <f>'Heat pump, air-to-water'!T40</f>
        <v>0</v>
      </c>
      <c r="S71" s="81">
        <f>'Heat pump, air-to-water'!U40</f>
        <v>0</v>
      </c>
      <c r="T71" s="81">
        <f>'Heat pump, air-to-water'!V40</f>
        <v>0</v>
      </c>
      <c r="U71" s="81">
        <f>'Heat pump, air-to-water'!W40</f>
        <v>0</v>
      </c>
      <c r="V71" s="81">
        <f>'Heat pump, air-to-water'!X40</f>
        <v>0</v>
      </c>
      <c r="Y71" s="81">
        <f>'Heat pump, air-to-water'!M40</f>
        <v>0</v>
      </c>
      <c r="Z71" s="235">
        <f>'Heat pump, air-to-water'!L40</f>
        <v>3.3</v>
      </c>
    </row>
    <row r="72" spans="1:26">
      <c r="E72" s="239" t="s">
        <v>1274</v>
      </c>
      <c r="H72" s="83">
        <f>'Heat pump, air-to-water'!J14</f>
        <v>2030</v>
      </c>
      <c r="I72" s="83"/>
      <c r="J72" s="232"/>
      <c r="K72" s="81"/>
      <c r="L72" s="237">
        <f>(('Heat pump, air-to-water'!O41)/1000)</f>
        <v>6.7050000000000001</v>
      </c>
      <c r="M72" s="37">
        <f>('Heat pump, air-to-water'!P41)/1000</f>
        <v>7.45E-3</v>
      </c>
      <c r="N72" s="194">
        <f>'Heat pump, air-to-water'!Q41</f>
        <v>0</v>
      </c>
      <c r="O72" s="81"/>
      <c r="P72" s="290"/>
      <c r="Q72" s="213"/>
      <c r="R72" s="295">
        <f>'Heat pump, air-to-water'!T41</f>
        <v>0</v>
      </c>
      <c r="S72" s="81">
        <f>'Heat pump, air-to-water'!U41</f>
        <v>0</v>
      </c>
      <c r="T72" s="81">
        <f>'Heat pump, air-to-water'!V41</f>
        <v>0</v>
      </c>
      <c r="U72" s="81">
        <f>'Heat pump, air-to-water'!W41</f>
        <v>0</v>
      </c>
      <c r="V72" s="81">
        <f>'Heat pump, air-to-water'!X41</f>
        <v>0</v>
      </c>
      <c r="Y72" s="81">
        <f>'Heat pump, air-to-water'!M41</f>
        <v>0</v>
      </c>
      <c r="Z72" s="235">
        <f>'Heat pump, air-to-water'!L41</f>
        <v>3.7</v>
      </c>
    </row>
    <row r="73" spans="1:26">
      <c r="E73" s="239" t="s">
        <v>1274</v>
      </c>
      <c r="H73" s="83">
        <f>'Heat pump, air-to-water'!J15</f>
        <v>2050</v>
      </c>
      <c r="I73" s="83"/>
      <c r="J73" s="232"/>
      <c r="K73" s="81"/>
      <c r="L73" s="237">
        <f>(('Heat pump, air-to-water'!O42)/1000)</f>
        <v>6.7050000000000001</v>
      </c>
      <c r="M73" s="37">
        <f>('Heat pump, air-to-water'!P42)/1000</f>
        <v>7.45E-3</v>
      </c>
      <c r="N73" s="194">
        <f>'Heat pump, air-to-water'!Q42</f>
        <v>0</v>
      </c>
      <c r="O73" s="81"/>
      <c r="P73" s="290"/>
      <c r="Q73" s="213"/>
      <c r="R73" s="295">
        <f>'Heat pump, air-to-water'!T42</f>
        <v>0</v>
      </c>
      <c r="S73" s="81">
        <f>'Heat pump, air-to-water'!U42</f>
        <v>0</v>
      </c>
      <c r="T73" s="81">
        <f>'Heat pump, air-to-water'!V42</f>
        <v>0</v>
      </c>
      <c r="U73" s="81">
        <f>'Heat pump, air-to-water'!W42</f>
        <v>0</v>
      </c>
      <c r="V73" s="81">
        <f>'Heat pump, air-to-water'!X42</f>
        <v>0</v>
      </c>
      <c r="Y73" s="81">
        <f>'Heat pump, air-to-water'!M42</f>
        <v>0</v>
      </c>
      <c r="Z73" s="235">
        <f>'Heat pump, air-to-water'!L42</f>
        <v>4</v>
      </c>
    </row>
    <row r="74" spans="1:26">
      <c r="C74" s="223" t="str">
        <f>"IND"&amp;RIGHT(G74,4)&amp;RIGHT(F74,3)&amp;"N"&amp;RIGHT(D74,1)</f>
        <v>INDTDRHELCN4</v>
      </c>
      <c r="D74" s="278" t="str">
        <f>"Industrial heating technology "&amp;$AD$4&amp;" "&amp;RIGHT(G74,2)&amp;" - Heat pump, brine-to-water - new 4"</f>
        <v>Industrial heating technology Trade (Wholesale and Retail) RH - Heat pump, brine-to-water - new 4</v>
      </c>
      <c r="E74" s="239" t="s">
        <v>1274</v>
      </c>
      <c r="F74" s="176" t="s">
        <v>500</v>
      </c>
      <c r="G74" s="177" t="str">
        <f>AC8</f>
        <v>ITDRH</v>
      </c>
      <c r="H74" s="81">
        <v>2011</v>
      </c>
      <c r="I74" s="81">
        <v>2011</v>
      </c>
      <c r="J74" s="232"/>
      <c r="K74" s="236">
        <v>30</v>
      </c>
      <c r="L74" s="237">
        <f>(('Heat pump, ground source'!O39)/1000)</f>
        <v>8.1950000000000003</v>
      </c>
      <c r="M74" s="37">
        <f>('Heat pump, ground source'!P39)/1000</f>
        <v>7.45E-3</v>
      </c>
      <c r="N74" s="194">
        <f>'Heat pump, ground source'!Q39</f>
        <v>0</v>
      </c>
      <c r="O74" s="82">
        <v>3.1536000000000002E-2</v>
      </c>
      <c r="P74" s="290">
        <v>0.5</v>
      </c>
      <c r="Q74" s="213"/>
      <c r="R74" s="295">
        <f>'Heat pump, ground source'!T39</f>
        <v>0</v>
      </c>
      <c r="S74" s="81">
        <f>'Heat pump, ground source'!U39</f>
        <v>0</v>
      </c>
      <c r="T74" s="81">
        <f>'Heat pump, ground source'!V39</f>
        <v>0</v>
      </c>
      <c r="U74" s="81">
        <f>'Heat pump, ground source'!W39</f>
        <v>0</v>
      </c>
      <c r="V74" s="81">
        <f>'Heat pump, ground source'!X39</f>
        <v>0</v>
      </c>
      <c r="Y74" s="81">
        <f>'Heat pump, ground source'!M39</f>
        <v>0</v>
      </c>
      <c r="Z74" s="235">
        <f>'Heat pump, ground source'!L39</f>
        <v>3.3</v>
      </c>
    </row>
    <row r="75" spans="1:26">
      <c r="E75" s="239" t="s">
        <v>1274</v>
      </c>
      <c r="H75" s="83">
        <f>'Heat pump, ground source'!J13</f>
        <v>2020</v>
      </c>
      <c r="I75" s="83"/>
      <c r="J75" s="232"/>
      <c r="K75" s="81"/>
      <c r="L75" s="237">
        <f>(('Heat pump, ground source'!O40)/1000)</f>
        <v>8.1950000000000003</v>
      </c>
      <c r="M75" s="37">
        <f>('Heat pump, ground source'!P40)/1000</f>
        <v>7.45E-3</v>
      </c>
      <c r="N75" s="194">
        <f>'Heat pump, ground source'!Q40</f>
        <v>0</v>
      </c>
      <c r="O75" s="81"/>
      <c r="P75" s="290"/>
      <c r="Q75" s="213"/>
      <c r="R75" s="295">
        <f>'Heat pump, ground source'!T40</f>
        <v>0</v>
      </c>
      <c r="S75" s="81">
        <f>'Heat pump, ground source'!U40</f>
        <v>0</v>
      </c>
      <c r="T75" s="81">
        <f>'Heat pump, ground source'!V40</f>
        <v>0</v>
      </c>
      <c r="U75" s="81">
        <f>'Heat pump, ground source'!W40</f>
        <v>0</v>
      </c>
      <c r="V75" s="81">
        <f>'Heat pump, ground source'!X40</f>
        <v>0</v>
      </c>
      <c r="Y75" s="81">
        <f>'Heat pump, ground source'!M40</f>
        <v>0</v>
      </c>
      <c r="Z75" s="235">
        <f>'Heat pump, ground source'!L40</f>
        <v>3.5</v>
      </c>
    </row>
    <row r="76" spans="1:26">
      <c r="E76" s="239" t="s">
        <v>1274</v>
      </c>
      <c r="H76" s="83">
        <f>'Heat pump, ground source'!J14</f>
        <v>2030</v>
      </c>
      <c r="I76" s="83"/>
      <c r="J76" s="232"/>
      <c r="K76" s="81"/>
      <c r="L76" s="237">
        <f>(('Heat pump, ground source'!O41)/1000)</f>
        <v>7.45</v>
      </c>
      <c r="M76" s="37">
        <f>('Heat pump, ground source'!P41)/1000</f>
        <v>7.45E-3</v>
      </c>
      <c r="N76" s="194">
        <f>'Heat pump, ground source'!Q41</f>
        <v>0</v>
      </c>
      <c r="O76" s="81"/>
      <c r="P76" s="290"/>
      <c r="Q76" s="213"/>
      <c r="R76" s="295">
        <f>'Heat pump, ground source'!T41</f>
        <v>0</v>
      </c>
      <c r="S76" s="81">
        <f>'Heat pump, ground source'!U41</f>
        <v>0</v>
      </c>
      <c r="T76" s="81">
        <f>'Heat pump, ground source'!V41</f>
        <v>0</v>
      </c>
      <c r="U76" s="81">
        <f>'Heat pump, ground source'!W41</f>
        <v>0</v>
      </c>
      <c r="V76" s="81">
        <f>'Heat pump, ground source'!X41</f>
        <v>0</v>
      </c>
      <c r="Y76" s="81">
        <f>'Heat pump, ground source'!M41</f>
        <v>0</v>
      </c>
      <c r="Z76" s="235">
        <f>'Heat pump, ground source'!L41</f>
        <v>4</v>
      </c>
    </row>
    <row r="77" spans="1:26" s="241" customFormat="1">
      <c r="A77" s="239"/>
      <c r="B77" s="239"/>
      <c r="C77" s="239"/>
      <c r="D77" s="239"/>
      <c r="E77" s="239" t="s">
        <v>1274</v>
      </c>
      <c r="F77" s="239"/>
      <c r="G77" s="239"/>
      <c r="H77" s="83">
        <f>'Heat pump, ground source'!J15</f>
        <v>2050</v>
      </c>
      <c r="I77" s="83"/>
      <c r="J77" s="232"/>
      <c r="K77" s="81"/>
      <c r="L77" s="237">
        <f>(('Heat pump, ground source'!O42)/1000)</f>
        <v>6.7050000000000001</v>
      </c>
      <c r="M77" s="37">
        <f>('Heat pump, ground source'!P42)/1000</f>
        <v>7.45E-3</v>
      </c>
      <c r="N77" s="194">
        <f>'Heat pump, ground source'!Q42</f>
        <v>0</v>
      </c>
      <c r="O77" s="81"/>
      <c r="P77" s="290"/>
      <c r="Q77" s="213"/>
      <c r="R77" s="295">
        <f>'Heat pump, ground source'!T42</f>
        <v>0</v>
      </c>
      <c r="S77" s="81">
        <f>'Heat pump, ground source'!U42</f>
        <v>0</v>
      </c>
      <c r="T77" s="81">
        <f>'Heat pump, ground source'!V42</f>
        <v>0</v>
      </c>
      <c r="U77" s="81">
        <f>'Heat pump, ground source'!W42</f>
        <v>0</v>
      </c>
      <c r="V77" s="81">
        <f>'Heat pump, ground source'!X42</f>
        <v>0</v>
      </c>
      <c r="W77" s="239"/>
      <c r="X77" s="239"/>
      <c r="Y77" s="81">
        <f>'Heat pump, ground source'!M42</f>
        <v>0</v>
      </c>
      <c r="Z77" s="235">
        <f>'Heat pump, ground source'!L42</f>
        <v>4.5</v>
      </c>
    </row>
    <row r="78" spans="1:26" s="241" customFormat="1">
      <c r="A78" s="239"/>
      <c r="B78" s="239"/>
      <c r="C78" s="223" t="str">
        <f>"IND"&amp;RIGHT(G78,4)&amp;RIGHT(F78,3)&amp;"N"&amp;RIGHT(D78,1)</f>
        <v>INDTDRHSOLN1</v>
      </c>
      <c r="D78" s="278" t="str">
        <f>"Industrial heating technology "&amp;$AD$4&amp;" "&amp;RIGHT(G78,2)&amp;" - solar - new 1"</f>
        <v>Industrial heating technology Trade (Wholesale and Retail) RH - solar - new 1</v>
      </c>
      <c r="E78" s="239" t="s">
        <v>1274</v>
      </c>
      <c r="F78" s="176" t="s">
        <v>501</v>
      </c>
      <c r="G78" s="177" t="str">
        <f>AC8</f>
        <v>ITDRH</v>
      </c>
      <c r="H78" s="81">
        <v>2011</v>
      </c>
      <c r="I78" s="81">
        <v>2011</v>
      </c>
      <c r="J78" s="81">
        <f>'Solar heating'!L40</f>
        <v>1</v>
      </c>
      <c r="K78" s="182">
        <f>'Solar heating'!N40</f>
        <v>20</v>
      </c>
      <c r="L78" s="238">
        <f>('Solar heating'!O40)/1000</f>
        <v>4.5714285714285712</v>
      </c>
      <c r="M78" s="37">
        <f>('Solar heating'!P40)/1000</f>
        <v>2.0700357142857142E-2</v>
      </c>
      <c r="N78" s="84">
        <f>'Solar heating'!Q40</f>
        <v>0</v>
      </c>
      <c r="O78" s="82">
        <v>3.1536000000000002E-2</v>
      </c>
      <c r="P78" s="290">
        <v>0.09</v>
      </c>
      <c r="Q78" s="319"/>
      <c r="R78" s="295">
        <f>'Solar heating'!T40</f>
        <v>0</v>
      </c>
      <c r="S78" s="81">
        <f>'Solar heating'!U40</f>
        <v>0</v>
      </c>
      <c r="T78" s="81">
        <f>'Solar heating'!V40</f>
        <v>0</v>
      </c>
      <c r="U78" s="81">
        <f>'Solar heating'!W40</f>
        <v>0</v>
      </c>
      <c r="V78" s="81">
        <f>'Solar heating'!X40</f>
        <v>0</v>
      </c>
      <c r="W78" s="239"/>
      <c r="X78" s="239"/>
      <c r="Y78" s="81">
        <f>'Solar heating'!M40</f>
        <v>0</v>
      </c>
      <c r="Z78" s="232"/>
    </row>
    <row r="79" spans="1:26" s="241" customFormat="1">
      <c r="A79" s="239"/>
      <c r="B79" s="239"/>
      <c r="C79" s="239"/>
      <c r="D79" s="239"/>
      <c r="E79" s="239" t="s">
        <v>1274</v>
      </c>
      <c r="F79" s="239"/>
      <c r="G79" s="239"/>
      <c r="H79" s="83">
        <f>'Solar heating'!J13</f>
        <v>2020</v>
      </c>
      <c r="I79" s="83"/>
      <c r="J79" s="81"/>
      <c r="K79" s="182">
        <f>'Solar heating'!N41</f>
        <v>25</v>
      </c>
      <c r="L79" s="37">
        <f>('Solar heating'!O41)/1000</f>
        <v>4.2857142857142865</v>
      </c>
      <c r="M79" s="37">
        <f>('Solar heating'!P41)/1000</f>
        <v>2.0660433158225668E-2</v>
      </c>
      <c r="N79" s="84">
        <f>'Solar heating'!Q41</f>
        <v>0</v>
      </c>
      <c r="O79" s="81"/>
      <c r="P79" s="290"/>
      <c r="Q79" s="213"/>
      <c r="R79" s="295">
        <f>'Solar heating'!T41</f>
        <v>0</v>
      </c>
      <c r="S79" s="81">
        <f>'Solar heating'!U41</f>
        <v>0</v>
      </c>
      <c r="T79" s="81">
        <f>'Solar heating'!V41</f>
        <v>0</v>
      </c>
      <c r="U79" s="81">
        <f>'Solar heating'!W41</f>
        <v>0</v>
      </c>
      <c r="V79" s="81">
        <f>'Solar heating'!X41</f>
        <v>0</v>
      </c>
      <c r="W79" s="239"/>
      <c r="X79" s="239"/>
      <c r="Y79" s="81">
        <f>'Solar heating'!M41</f>
        <v>0</v>
      </c>
      <c r="Z79" s="232"/>
    </row>
    <row r="80" spans="1:26" s="241" customFormat="1">
      <c r="A80" s="239"/>
      <c r="B80" s="239"/>
      <c r="C80" s="239"/>
      <c r="D80" s="239"/>
      <c r="E80" s="239" t="s">
        <v>1274</v>
      </c>
      <c r="F80" s="239"/>
      <c r="G80" s="239"/>
      <c r="H80" s="83">
        <f>'Solar heating'!J14</f>
        <v>2030</v>
      </c>
      <c r="I80" s="83"/>
      <c r="J80" s="81"/>
      <c r="K80" s="182">
        <f>'Solar heating'!N42</f>
        <v>30</v>
      </c>
      <c r="L80" s="37">
        <f>('Solar heating'!O42)/1000</f>
        <v>3.9285714285714284</v>
      </c>
      <c r="M80" s="37">
        <f>('Solar heating'!P42)/1000</f>
        <v>2.328125E-2</v>
      </c>
      <c r="N80" s="84">
        <f>'Solar heating'!Q42</f>
        <v>0</v>
      </c>
      <c r="O80" s="81"/>
      <c r="P80" s="290"/>
      <c r="Q80" s="213"/>
      <c r="R80" s="295">
        <f>'Solar heating'!T42</f>
        <v>0</v>
      </c>
      <c r="S80" s="81">
        <f>'Solar heating'!U42</f>
        <v>0</v>
      </c>
      <c r="T80" s="81">
        <f>'Solar heating'!V42</f>
        <v>0</v>
      </c>
      <c r="U80" s="81">
        <f>'Solar heating'!W42</f>
        <v>0</v>
      </c>
      <c r="V80" s="81">
        <f>'Solar heating'!X42</f>
        <v>0</v>
      </c>
      <c r="W80" s="239"/>
      <c r="X80" s="239"/>
      <c r="Y80" s="81">
        <f>'Solar heating'!M42</f>
        <v>0</v>
      </c>
      <c r="Z80" s="232"/>
    </row>
    <row r="81" spans="1:26" s="241" customFormat="1">
      <c r="A81" s="239"/>
      <c r="B81" s="239"/>
      <c r="C81" s="239"/>
      <c r="D81" s="239"/>
      <c r="E81" s="239" t="s">
        <v>1274</v>
      </c>
      <c r="F81" s="239"/>
      <c r="G81" s="239"/>
      <c r="H81" s="83">
        <f>'Solar heating'!J15</f>
        <v>2050</v>
      </c>
      <c r="I81" s="83"/>
      <c r="J81" s="81"/>
      <c r="K81" s="182">
        <f>'Solar heating'!N43</f>
        <v>30</v>
      </c>
      <c r="L81" s="37">
        <f>('Solar heating'!O43)/1000</f>
        <v>3.5714285714285721</v>
      </c>
      <c r="M81" s="37">
        <f>('Solar heating'!P43)/1000</f>
        <v>2.1498571428571429E-2</v>
      </c>
      <c r="N81" s="84">
        <f>'Solar heating'!Q43</f>
        <v>0</v>
      </c>
      <c r="O81" s="81"/>
      <c r="P81" s="290"/>
      <c r="Q81" s="213"/>
      <c r="R81" s="295">
        <f>'Solar heating'!T43</f>
        <v>0</v>
      </c>
      <c r="S81" s="81">
        <f>'Solar heating'!U43</f>
        <v>0</v>
      </c>
      <c r="T81" s="81">
        <f>'Solar heating'!V43</f>
        <v>0</v>
      </c>
      <c r="U81" s="81">
        <f>'Solar heating'!W43</f>
        <v>0</v>
      </c>
      <c r="V81" s="81">
        <f>'Solar heating'!X43</f>
        <v>0</v>
      </c>
      <c r="W81" s="239"/>
      <c r="X81" s="239"/>
      <c r="Y81" s="81">
        <f>'Solar heating'!M43</f>
        <v>0</v>
      </c>
      <c r="Z81" s="232"/>
    </row>
    <row r="82" spans="1:26" s="241" customFormat="1">
      <c r="A82" s="239"/>
      <c r="B82" s="239"/>
      <c r="C82" s="223" t="str">
        <f>"IND"&amp;RIGHT(G82,4)&amp;"GAS"&amp;"N"&amp;RIGHT(D82,1)</f>
        <v>INDTDRHGASN2</v>
      </c>
      <c r="D82" s="278" t="str">
        <f>"Industrial heating technology "&amp;$AD$4&amp;" "&amp;RIGHT(G82,2)&amp;" - Heat pump,gas absorption, air-to-water - new 2"</f>
        <v>Industrial heating technology Trade (Wholesale and Retail) RH - Heat pump,gas absorption, air-to-water - new 2</v>
      </c>
      <c r="E82" s="239" t="s">
        <v>1274</v>
      </c>
      <c r="F82" s="176" t="s">
        <v>528</v>
      </c>
      <c r="G82" s="177" t="str">
        <f>AC8</f>
        <v>ITDRH</v>
      </c>
      <c r="H82" s="81">
        <v>2011</v>
      </c>
      <c r="I82" s="81">
        <v>2011</v>
      </c>
      <c r="J82" s="207">
        <f>'HP, gas absorption,air-to-water'!L39</f>
        <v>1.35</v>
      </c>
      <c r="K82" s="81">
        <f>'HP, gas absorption,air-to-water'!N39</f>
        <v>22</v>
      </c>
      <c r="L82" s="37">
        <f>('HP, gas absorption,air-to-water'!O39)/1000</f>
        <v>3.0477272727272724</v>
      </c>
      <c r="M82" s="37">
        <f>('HP, gas absorption,air-to-water'!P39)/1000</f>
        <v>2.2857954545454546E-2</v>
      </c>
      <c r="N82" s="84">
        <f>'HP, gas absorption,air-to-water'!Q39</f>
        <v>18</v>
      </c>
      <c r="O82" s="82">
        <v>3.1536000000000002E-2</v>
      </c>
      <c r="P82" s="290">
        <v>0.5</v>
      </c>
      <c r="Q82" s="213"/>
      <c r="R82" s="295">
        <f>'HP, gas absorption,air-to-water'!T39</f>
        <v>0</v>
      </c>
      <c r="S82" s="81">
        <f>'HP, gas absorption,air-to-water'!U39</f>
        <v>15</v>
      </c>
      <c r="T82" s="81">
        <f>'HP, gas absorption,air-to-water'!V39</f>
        <v>2</v>
      </c>
      <c r="U82" s="81">
        <f>'HP, gas absorption,air-to-water'!W39</f>
        <v>0</v>
      </c>
      <c r="V82" s="81">
        <f>'HP, gas absorption,air-to-water'!X39</f>
        <v>0</v>
      </c>
      <c r="W82" s="239"/>
      <c r="X82" s="239"/>
      <c r="Y82" s="81">
        <f>'HP, gas absorption,air-to-water'!M39</f>
        <v>0</v>
      </c>
      <c r="Z82" s="239"/>
    </row>
    <row r="83" spans="1:26">
      <c r="E83" s="239" t="s">
        <v>1274</v>
      </c>
      <c r="H83" s="83">
        <f>'HP, gas absorption,air-to-water'!J13</f>
        <v>2020</v>
      </c>
      <c r="I83" s="83"/>
      <c r="J83" s="207">
        <f>'HP, gas absorption,air-to-water'!L40</f>
        <v>1.45</v>
      </c>
      <c r="K83" s="81"/>
      <c r="L83" s="37">
        <f>('HP, gas absorption,air-to-water'!O40)/1000</f>
        <v>1.67625</v>
      </c>
      <c r="M83" s="37">
        <f>('HP, gas absorption,air-to-water'!P40)/1000</f>
        <v>1.2571875E-2</v>
      </c>
      <c r="N83" s="194">
        <f>'HP, gas absorption,air-to-water'!Q40</f>
        <v>18</v>
      </c>
      <c r="O83" s="81"/>
      <c r="P83" s="290"/>
      <c r="Q83" s="213"/>
      <c r="R83" s="295">
        <f>'HP, gas absorption,air-to-water'!T40</f>
        <v>0</v>
      </c>
      <c r="S83" s="81">
        <f>'HP, gas absorption,air-to-water'!U40</f>
        <v>10</v>
      </c>
      <c r="T83" s="81">
        <f>'HP, gas absorption,air-to-water'!V40</f>
        <v>1</v>
      </c>
      <c r="U83" s="81">
        <f>'HP, gas absorption,air-to-water'!W40</f>
        <v>0</v>
      </c>
      <c r="V83" s="81">
        <f>'HP, gas absorption,air-to-water'!X40</f>
        <v>0</v>
      </c>
      <c r="Y83" s="81">
        <f>'HP, gas absorption,air-to-water'!M40</f>
        <v>0</v>
      </c>
    </row>
    <row r="84" spans="1:26">
      <c r="E84" s="239" t="s">
        <v>1274</v>
      </c>
      <c r="H84" s="83">
        <f>'HP, gas absorption,air-to-water'!J14</f>
        <v>2030</v>
      </c>
      <c r="I84" s="83"/>
      <c r="J84" s="207">
        <f>'HP, gas absorption,air-to-water'!L41</f>
        <v>1.7</v>
      </c>
      <c r="K84" s="81"/>
      <c r="L84" s="37">
        <f>('HP, gas absorption,air-to-water'!O41)/1000</f>
        <v>1.5831249999999999</v>
      </c>
      <c r="M84" s="37">
        <f>('HP, gas absorption,air-to-water'!P41)/1000</f>
        <v>1.2571875E-2</v>
      </c>
      <c r="N84" s="194">
        <f>'HP, gas absorption,air-to-water'!Q41</f>
        <v>18</v>
      </c>
      <c r="O84" s="81"/>
      <c r="P84" s="290"/>
      <c r="Q84" s="213"/>
      <c r="R84" s="295">
        <f>'HP, gas absorption,air-to-water'!T41</f>
        <v>0</v>
      </c>
      <c r="S84" s="81">
        <f>'HP, gas absorption,air-to-water'!U41</f>
        <v>5</v>
      </c>
      <c r="T84" s="81">
        <f>'HP, gas absorption,air-to-water'!V41</f>
        <v>0.5</v>
      </c>
      <c r="U84" s="81">
        <f>'HP, gas absorption,air-to-water'!W41</f>
        <v>0</v>
      </c>
      <c r="V84" s="81">
        <f>'HP, gas absorption,air-to-water'!X41</f>
        <v>0</v>
      </c>
      <c r="Y84" s="81">
        <f>'HP, gas absorption,air-to-water'!M41</f>
        <v>0</v>
      </c>
    </row>
    <row r="85" spans="1:26">
      <c r="E85" s="239" t="s">
        <v>1274</v>
      </c>
      <c r="H85" s="83">
        <f>'HP, gas absorption,air-to-water'!J15</f>
        <v>2050</v>
      </c>
      <c r="I85" s="83"/>
      <c r="J85" s="207">
        <f>'HP, gas absorption,air-to-water'!L42</f>
        <v>1.7</v>
      </c>
      <c r="K85" s="81"/>
      <c r="L85" s="37">
        <f>('HP, gas absorption,air-to-water'!O42)/1000</f>
        <v>1.5831249999999999</v>
      </c>
      <c r="M85" s="37">
        <f>('HP, gas absorption,air-to-water'!P42)/1000</f>
        <v>1.2571875E-2</v>
      </c>
      <c r="N85" s="194">
        <f>'HP, gas absorption,air-to-water'!Q42</f>
        <v>18</v>
      </c>
      <c r="O85" s="81"/>
      <c r="P85" s="290"/>
      <c r="Q85" s="213"/>
      <c r="R85" s="295">
        <f>'HP, gas absorption,air-to-water'!T42</f>
        <v>0</v>
      </c>
      <c r="S85" s="81">
        <f>'HP, gas absorption,air-to-water'!U42</f>
        <v>5</v>
      </c>
      <c r="T85" s="81">
        <f>'HP, gas absorption,air-to-water'!V42</f>
        <v>0.5</v>
      </c>
      <c r="U85" s="81">
        <f>'HP, gas absorption,air-to-water'!W42</f>
        <v>0</v>
      </c>
      <c r="V85" s="81">
        <f>'HP, gas absorption,air-to-water'!X42</f>
        <v>0</v>
      </c>
      <c r="Y85" s="81">
        <f>'HP, gas absorption,air-to-water'!M42</f>
        <v>0</v>
      </c>
    </row>
    <row r="86" spans="1:26">
      <c r="C86" s="223" t="str">
        <f>"IND"&amp;RIGHT(G86,4)&amp;"GAS"&amp;"N"&amp;RIGHT(D86,1)</f>
        <v>INDTDRHGASN3</v>
      </c>
      <c r="D86" s="278" t="str">
        <f>"Industrial heating technology "&amp;$AD$4&amp;" "&amp;RIGHT(G86,2)&amp;" - Heat pump,gas absorption, brine-to-water - new 3"</f>
        <v>Industrial heating technology Trade (Wholesale and Retail) RH - Heat pump,gas absorption, brine-to-water - new 3</v>
      </c>
      <c r="E86" s="239" t="s">
        <v>1274</v>
      </c>
      <c r="F86" s="176" t="s">
        <v>528</v>
      </c>
      <c r="G86" s="177" t="str">
        <f>AC8</f>
        <v>ITDRH</v>
      </c>
      <c r="H86" s="81">
        <v>2011</v>
      </c>
      <c r="I86" s="81">
        <v>2011</v>
      </c>
      <c r="J86" s="207">
        <f>'HP, gas absorpt,brine-to-water'!L39</f>
        <v>1.35</v>
      </c>
      <c r="K86" s="81">
        <f>'HP, gas absorpt,brine-to-water'!N39</f>
        <v>22</v>
      </c>
      <c r="L86" s="37">
        <f>('HP, gas absorpt,brine-to-water'!O39)/1000</f>
        <v>5.5875000000000004</v>
      </c>
      <c r="M86" s="37">
        <f>('HP, gas absorpt,brine-to-water'!P39)/1000</f>
        <v>2.2857954545454546E-2</v>
      </c>
      <c r="N86" s="194">
        <f>'HP, gas absorpt,brine-to-water'!Q39</f>
        <v>0</v>
      </c>
      <c r="O86" s="82">
        <v>3.1536000000000002E-2</v>
      </c>
      <c r="P86" s="290">
        <v>0.5</v>
      </c>
      <c r="Q86" s="213"/>
      <c r="R86" s="295">
        <f>'HP, gas absorpt,brine-to-water'!T39</f>
        <v>0</v>
      </c>
      <c r="S86" s="81">
        <f>'HP, gas absorpt,brine-to-water'!U39</f>
        <v>15</v>
      </c>
      <c r="T86" s="81">
        <f>'HP, gas absorpt,brine-to-water'!V39</f>
        <v>2</v>
      </c>
      <c r="U86" s="81">
        <f>'HP, gas absorpt,brine-to-water'!W39</f>
        <v>0</v>
      </c>
      <c r="V86" s="81">
        <f>'HP, gas absorpt,brine-to-water'!X39</f>
        <v>0</v>
      </c>
      <c r="Y86" s="81">
        <f>'HP, gas absorpt,brine-to-water'!M39</f>
        <v>0</v>
      </c>
    </row>
    <row r="87" spans="1:26">
      <c r="E87" s="239" t="s">
        <v>1274</v>
      </c>
      <c r="H87" s="83">
        <f>'HP, gas absorpt,brine-to-water'!J13</f>
        <v>2020</v>
      </c>
      <c r="I87" s="83"/>
      <c r="J87" s="207">
        <f>'HP, gas absorpt,brine-to-water'!L40</f>
        <v>1.45</v>
      </c>
      <c r="K87" s="81"/>
      <c r="L87" s="37">
        <f>('HP, gas absorpt,brine-to-water'!O40)/1000</f>
        <v>3.0731250000000001</v>
      </c>
      <c r="M87" s="37">
        <f>('HP, gas absorpt,brine-to-water'!P40)/1000</f>
        <v>1.2571875E-2</v>
      </c>
      <c r="N87" s="194">
        <f>'HP, gas absorpt,brine-to-water'!Q40</f>
        <v>0</v>
      </c>
      <c r="O87" s="81"/>
      <c r="P87" s="290"/>
      <c r="Q87" s="213"/>
      <c r="R87" s="295">
        <f>'HP, gas absorpt,brine-to-water'!T40</f>
        <v>0</v>
      </c>
      <c r="S87" s="81">
        <f>'HP, gas absorpt,brine-to-water'!U40</f>
        <v>10</v>
      </c>
      <c r="T87" s="81">
        <f>'HP, gas absorpt,brine-to-water'!V40</f>
        <v>1</v>
      </c>
      <c r="U87" s="81">
        <f>'HP, gas absorpt,brine-to-water'!W40</f>
        <v>0</v>
      </c>
      <c r="V87" s="81">
        <f>'HP, gas absorpt,brine-to-water'!X40</f>
        <v>0</v>
      </c>
      <c r="Y87" s="81">
        <f>'HP, gas absorpt,brine-to-water'!M40</f>
        <v>0</v>
      </c>
    </row>
    <row r="88" spans="1:26">
      <c r="E88" s="239" t="s">
        <v>1274</v>
      </c>
      <c r="H88" s="83">
        <f>'HP, gas absorpt,brine-to-water'!J14</f>
        <v>2030</v>
      </c>
      <c r="I88" s="83"/>
      <c r="J88" s="207">
        <f>'HP, gas absorpt,brine-to-water'!L41</f>
        <v>1.7</v>
      </c>
      <c r="K88" s="81"/>
      <c r="L88" s="37">
        <f>('HP, gas absorpt,brine-to-water'!O41)/1000</f>
        <v>2.98</v>
      </c>
      <c r="M88" s="37">
        <f>('HP, gas absorpt,brine-to-water'!P41)/1000</f>
        <v>1.2571875E-2</v>
      </c>
      <c r="N88" s="194">
        <f>'HP, gas absorpt,brine-to-water'!Q41</f>
        <v>0</v>
      </c>
      <c r="O88" s="81"/>
      <c r="P88" s="290"/>
      <c r="Q88" s="213"/>
      <c r="R88" s="295">
        <f>'HP, gas absorpt,brine-to-water'!T41</f>
        <v>0</v>
      </c>
      <c r="S88" s="81">
        <f>'HP, gas absorpt,brine-to-water'!U41</f>
        <v>5</v>
      </c>
      <c r="T88" s="81">
        <f>'HP, gas absorpt,brine-to-water'!V41</f>
        <v>0.5</v>
      </c>
      <c r="U88" s="81">
        <f>'HP, gas absorpt,brine-to-water'!W41</f>
        <v>0</v>
      </c>
      <c r="V88" s="81">
        <f>'HP, gas absorpt,brine-to-water'!X41</f>
        <v>0</v>
      </c>
      <c r="Y88" s="81">
        <f>'HP, gas absorpt,brine-to-water'!M41</f>
        <v>0</v>
      </c>
    </row>
    <row r="89" spans="1:26">
      <c r="E89" s="239" t="s">
        <v>1274</v>
      </c>
      <c r="H89" s="83">
        <f>'HP, gas absorpt,brine-to-water'!J15</f>
        <v>2050</v>
      </c>
      <c r="I89" s="83"/>
      <c r="J89" s="207">
        <f>'HP, gas absorpt,brine-to-water'!L42</f>
        <v>1.7</v>
      </c>
      <c r="K89" s="81"/>
      <c r="L89" s="37">
        <f>('HP, gas absorpt,brine-to-water'!O42)/1000</f>
        <v>2.98</v>
      </c>
      <c r="M89" s="37">
        <f>('HP, gas absorpt,brine-to-water'!P42)/1000</f>
        <v>1.2571875E-2</v>
      </c>
      <c r="N89" s="194">
        <f>'HP, gas absorpt,brine-to-water'!Q42</f>
        <v>0</v>
      </c>
      <c r="O89" s="81"/>
      <c r="P89" s="290"/>
      <c r="Q89" s="213"/>
      <c r="R89" s="295">
        <f>'HP, gas absorpt,brine-to-water'!T42</f>
        <v>0</v>
      </c>
      <c r="S89" s="81">
        <f>'HP, gas absorpt,brine-to-water'!U42</f>
        <v>5</v>
      </c>
      <c r="T89" s="81">
        <f>'HP, gas absorpt,brine-to-water'!V42</f>
        <v>0.5</v>
      </c>
      <c r="U89" s="81">
        <f>'HP, gas absorpt,brine-to-water'!W42</f>
        <v>0</v>
      </c>
      <c r="V89" s="81">
        <f>'HP, gas absorpt,brine-to-water'!X42</f>
        <v>0</v>
      </c>
      <c r="Y89" s="81">
        <f>'HP, gas absorpt,brine-to-water'!M42</f>
        <v>0</v>
      </c>
    </row>
    <row r="90" spans="1:26">
      <c r="C90" s="223" t="str">
        <f>"IND"&amp;RIGHT(G90,4)&amp;"GAS"&amp;"N"&amp;RIGHT(D90,1)</f>
        <v>INDTDRHGASN4</v>
      </c>
      <c r="D90" s="278" t="str">
        <f>"Industrial heating technology "&amp;$AD$4&amp;" "&amp;RIGHT(G90,2)&amp;" - Heat pump,gas engine, air-to-water - new 4"</f>
        <v>Industrial heating technology Trade (Wholesale and Retail) RH - Heat pump,gas engine, air-to-water - new 4</v>
      </c>
      <c r="E90" s="239" t="s">
        <v>1274</v>
      </c>
      <c r="F90" s="176" t="s">
        <v>528</v>
      </c>
      <c r="G90" s="177" t="str">
        <f>AC8</f>
        <v>ITDRH</v>
      </c>
      <c r="H90" s="81">
        <v>2011</v>
      </c>
      <c r="I90" s="81">
        <v>2011</v>
      </c>
      <c r="J90" s="207">
        <f>'Heat pump, gas engine air-water'!L12</f>
        <v>1.5</v>
      </c>
      <c r="K90" s="186">
        <f>'Heat pump, gas engine air-water'!N12</f>
        <v>12.5</v>
      </c>
      <c r="L90" s="37">
        <f>('Heat pump, gas engine air-water'!O12)/1000</f>
        <v>0.59599999999999997</v>
      </c>
      <c r="M90" s="37">
        <f>('Heat pump, gas engine air-water'!P12)/1000</f>
        <v>2.0114999999999997E-2</v>
      </c>
      <c r="N90" s="186">
        <f>'Heat pump, gas engine air-water'!Q12</f>
        <v>14.9</v>
      </c>
      <c r="O90" s="204">
        <v>3.1536000000000002E-2</v>
      </c>
      <c r="P90" s="290">
        <v>0.5</v>
      </c>
      <c r="Q90" s="213"/>
      <c r="R90" s="296">
        <f>'Heat pump, gas engine air-water'!T12</f>
        <v>0</v>
      </c>
      <c r="S90" s="186">
        <f>'Heat pump, gas engine air-water'!U12</f>
        <v>115</v>
      </c>
      <c r="T90" s="186">
        <f>'Heat pump, gas engine air-water'!V12</f>
        <v>5</v>
      </c>
      <c r="U90" s="186">
        <f>'Heat pump, gas engine air-water'!W12</f>
        <v>0</v>
      </c>
      <c r="V90" s="186">
        <f>'Heat pump, gas engine air-water'!X12</f>
        <v>0</v>
      </c>
      <c r="Y90" s="167">
        <f>'Heat pump, gas engine Brine-wat'!M39</f>
        <v>0</v>
      </c>
    </row>
    <row r="91" spans="1:26">
      <c r="E91" s="239" t="s">
        <v>1274</v>
      </c>
      <c r="H91" s="83">
        <f>'Heat pump, gas engine air-water'!J13</f>
        <v>2020</v>
      </c>
      <c r="I91" s="83"/>
      <c r="J91" s="207">
        <f>'Heat pump, gas engine air-water'!L13</f>
        <v>1.55</v>
      </c>
      <c r="K91" s="186"/>
      <c r="L91" s="37">
        <f>('Heat pump, gas engine air-water'!O13)/1000</f>
        <v>0.59599999999999997</v>
      </c>
      <c r="M91" s="37">
        <f>('Heat pump, gas engine air-water'!P13)/1000</f>
        <v>2.0114999999999997E-2</v>
      </c>
      <c r="N91" s="186">
        <f>'Heat pump, gas engine air-water'!Q13</f>
        <v>14.9</v>
      </c>
      <c r="O91" s="186"/>
      <c r="P91" s="290"/>
      <c r="Q91" s="213"/>
      <c r="R91" s="296">
        <f>'Heat pump, gas engine air-water'!T13</f>
        <v>0</v>
      </c>
      <c r="S91" s="186">
        <f>'Heat pump, gas engine air-water'!U13</f>
        <v>85</v>
      </c>
      <c r="T91" s="186">
        <f>'Heat pump, gas engine air-water'!V13</f>
        <v>5</v>
      </c>
      <c r="U91" s="186">
        <f>'Heat pump, gas engine air-water'!W13</f>
        <v>0</v>
      </c>
      <c r="V91" s="186">
        <f>'Heat pump, gas engine air-water'!X13</f>
        <v>0</v>
      </c>
      <c r="Y91" s="167">
        <f>'Heat pump, gas engine Brine-wat'!M40</f>
        <v>0</v>
      </c>
    </row>
    <row r="92" spans="1:26">
      <c r="E92" s="239" t="s">
        <v>1274</v>
      </c>
      <c r="H92" s="83">
        <f>'Heat pump, gas engine air-water'!J14</f>
        <v>2030</v>
      </c>
      <c r="I92" s="83"/>
      <c r="J92" s="207">
        <f>'Heat pump, gas engine air-water'!L14</f>
        <v>1.55</v>
      </c>
      <c r="K92" s="186"/>
      <c r="L92" s="37">
        <f>('Heat pump, gas engine air-water'!O14)/1000</f>
        <v>0.59599999999999997</v>
      </c>
      <c r="M92" s="37">
        <f>('Heat pump, gas engine air-water'!P14)/1000</f>
        <v>2.0114999999999997E-2</v>
      </c>
      <c r="N92" s="186">
        <f>'Heat pump, gas engine air-water'!Q14</f>
        <v>14.9</v>
      </c>
      <c r="O92" s="186"/>
      <c r="P92" s="290"/>
      <c r="Q92" s="213"/>
      <c r="R92" s="296">
        <f>'Heat pump, gas engine air-water'!T14</f>
        <v>0</v>
      </c>
      <c r="S92" s="186">
        <f>'Heat pump, gas engine air-water'!U14</f>
        <v>55</v>
      </c>
      <c r="T92" s="186">
        <f>'Heat pump, gas engine air-water'!V14</f>
        <v>5</v>
      </c>
      <c r="U92" s="186">
        <f>'Heat pump, gas engine air-water'!W14</f>
        <v>0</v>
      </c>
      <c r="V92" s="186">
        <f>'Heat pump, gas engine air-water'!X14</f>
        <v>0</v>
      </c>
      <c r="Y92" s="167">
        <f>'Heat pump, gas engine Brine-wat'!M41</f>
        <v>0</v>
      </c>
    </row>
    <row r="93" spans="1:26">
      <c r="E93" s="239" t="s">
        <v>1274</v>
      </c>
      <c r="H93" s="83">
        <f>'Heat pump, gas engine air-water'!J15</f>
        <v>2050</v>
      </c>
      <c r="I93" s="83"/>
      <c r="J93" s="207">
        <f>'Heat pump, gas engine air-water'!L15</f>
        <v>1.6</v>
      </c>
      <c r="K93" s="186"/>
      <c r="L93" s="37">
        <f>('Heat pump, gas engine air-water'!O15)/1000</f>
        <v>0.59599999999999997</v>
      </c>
      <c r="M93" s="37">
        <f>('Heat pump, gas engine air-water'!P15)/1000</f>
        <v>2.0114999999999997E-2</v>
      </c>
      <c r="N93" s="186">
        <f>'Heat pump, gas engine air-water'!Q15</f>
        <v>14.9</v>
      </c>
      <c r="O93" s="186"/>
      <c r="P93" s="290"/>
      <c r="Q93" s="213"/>
      <c r="R93" s="296">
        <f>'Heat pump, gas engine air-water'!T15</f>
        <v>0</v>
      </c>
      <c r="S93" s="186">
        <f>'Heat pump, gas engine air-water'!U15</f>
        <v>55</v>
      </c>
      <c r="T93" s="186">
        <f>'Heat pump, gas engine air-water'!V15</f>
        <v>5</v>
      </c>
      <c r="U93" s="186">
        <f>'Heat pump, gas engine air-water'!W15</f>
        <v>0</v>
      </c>
      <c r="V93" s="186">
        <f>'Heat pump, gas engine air-water'!X15</f>
        <v>0</v>
      </c>
      <c r="Y93" s="167">
        <f>'Heat pump, gas engine Brine-wat'!M42</f>
        <v>0</v>
      </c>
    </row>
    <row r="94" spans="1:26">
      <c r="C94" s="223" t="str">
        <f>"IND"&amp;RIGHT(G94,4)&amp;"GAS"&amp;"N"&amp;RIGHT(D94,1)</f>
        <v>INDTDRHGASN5</v>
      </c>
      <c r="D94" s="278" t="str">
        <f>"Industrial heating technology "&amp;$AD$4&amp;" "&amp;RIGHT(G94,2)&amp;" - Heat pump,gas engine, brine-to-water - new 5"</f>
        <v>Industrial heating technology Trade (Wholesale and Retail) RH - Heat pump,gas engine, brine-to-water - new 5</v>
      </c>
      <c r="E94" s="239" t="s">
        <v>1274</v>
      </c>
      <c r="F94" s="176" t="s">
        <v>528</v>
      </c>
      <c r="G94" s="177" t="str">
        <f>AC8</f>
        <v>ITDRH</v>
      </c>
      <c r="H94" s="81">
        <v>2011</v>
      </c>
      <c r="I94" s="81">
        <v>2011</v>
      </c>
      <c r="J94" s="207">
        <f>'Heat pump, gas engine Brine-wat'!L12</f>
        <v>1.5</v>
      </c>
      <c r="K94" s="186">
        <f>'Heat pump, gas engine Brine-wat'!N12</f>
        <v>12.5</v>
      </c>
      <c r="L94" s="37">
        <f>('Heat pump, gas engine Brine-wat'!O12)/1000</f>
        <v>2.831</v>
      </c>
      <c r="M94" s="37">
        <f>('Heat pump, gas engine Brine-wat'!P12)/1000</f>
        <v>2.0114999999999997E-2</v>
      </c>
      <c r="N94" s="217">
        <f>'Heat pump, gas engine Brine-wat'!Q12</f>
        <v>14.9</v>
      </c>
      <c r="O94" s="204">
        <v>3.1536000000000002E-2</v>
      </c>
      <c r="P94" s="290">
        <v>0.5</v>
      </c>
      <c r="Q94" s="213"/>
      <c r="R94" s="296">
        <f>'Heat pump, gas engine Brine-wat'!T12</f>
        <v>0</v>
      </c>
      <c r="S94" s="186">
        <f>'Heat pump, gas engine Brine-wat'!U12</f>
        <v>115</v>
      </c>
      <c r="T94" s="186">
        <f>'Heat pump, gas engine Brine-wat'!V12</f>
        <v>5</v>
      </c>
      <c r="U94" s="186">
        <f>'Heat pump, gas engine Brine-wat'!W12</f>
        <v>0</v>
      </c>
      <c r="V94" s="186">
        <f>'Heat pump, gas engine Brine-wat'!X12</f>
        <v>0</v>
      </c>
      <c r="Y94" s="167">
        <f>'Heat pump, gas engine Brine-wat'!M39</f>
        <v>0</v>
      </c>
    </row>
    <row r="95" spans="1:26">
      <c r="E95" s="239" t="s">
        <v>1274</v>
      </c>
      <c r="H95" s="83">
        <f>'Heat pump, gas engine Brine-wat'!J13</f>
        <v>2020</v>
      </c>
      <c r="I95" s="83"/>
      <c r="J95" s="207">
        <f>'Heat pump, gas engine Brine-wat'!L13</f>
        <v>1.55</v>
      </c>
      <c r="K95" s="186"/>
      <c r="L95" s="37">
        <f>('Heat pump, gas engine Brine-wat'!O13)/1000</f>
        <v>2.831</v>
      </c>
      <c r="M95" s="37">
        <f>('Heat pump, gas engine Brine-wat'!P13)/1000</f>
        <v>2.0114999999999997E-2</v>
      </c>
      <c r="N95" s="217">
        <f>'Heat pump, gas engine Brine-wat'!Q13</f>
        <v>14.9</v>
      </c>
      <c r="O95" s="186"/>
      <c r="P95" s="291"/>
      <c r="Q95" s="213"/>
      <c r="R95" s="296">
        <f>'Heat pump, gas engine Brine-wat'!T13</f>
        <v>0</v>
      </c>
      <c r="S95" s="186">
        <f>'Heat pump, gas engine Brine-wat'!U13</f>
        <v>85</v>
      </c>
      <c r="T95" s="186">
        <f>'Heat pump, gas engine Brine-wat'!V13</f>
        <v>5</v>
      </c>
      <c r="U95" s="186">
        <f>'Heat pump, gas engine Brine-wat'!W13</f>
        <v>0</v>
      </c>
      <c r="V95" s="186">
        <f>'Heat pump, gas engine Brine-wat'!X13</f>
        <v>0</v>
      </c>
      <c r="Y95" s="167">
        <f>'Heat pump, gas engine Brine-wat'!M40</f>
        <v>0</v>
      </c>
    </row>
    <row r="96" spans="1:26">
      <c r="E96" s="239" t="s">
        <v>1274</v>
      </c>
      <c r="H96" s="83">
        <f>'Heat pump, gas engine Brine-wat'!J14</f>
        <v>2030</v>
      </c>
      <c r="I96" s="83"/>
      <c r="J96" s="207">
        <f>'Heat pump, gas engine Brine-wat'!L14</f>
        <v>1.55</v>
      </c>
      <c r="K96" s="186"/>
      <c r="L96" s="37">
        <f>('Heat pump, gas engine Brine-wat'!O14)/1000</f>
        <v>2.831</v>
      </c>
      <c r="M96" s="37">
        <f>('Heat pump, gas engine Brine-wat'!P14)/1000</f>
        <v>2.0114999999999997E-2</v>
      </c>
      <c r="N96" s="217">
        <f>'Heat pump, gas engine Brine-wat'!Q14</f>
        <v>14.9</v>
      </c>
      <c r="O96" s="186"/>
      <c r="P96" s="291"/>
      <c r="Q96" s="213"/>
      <c r="R96" s="296">
        <f>'Heat pump, gas engine Brine-wat'!T14</f>
        <v>0</v>
      </c>
      <c r="S96" s="186">
        <f>'Heat pump, gas engine Brine-wat'!U14</f>
        <v>55</v>
      </c>
      <c r="T96" s="186">
        <f>'Heat pump, gas engine Brine-wat'!V14</f>
        <v>5</v>
      </c>
      <c r="U96" s="186">
        <f>'Heat pump, gas engine Brine-wat'!W14</f>
        <v>0</v>
      </c>
      <c r="V96" s="186">
        <f>'Heat pump, gas engine Brine-wat'!X14</f>
        <v>0</v>
      </c>
      <c r="Y96" s="167">
        <f>'Heat pump, gas engine Brine-wat'!M41</f>
        <v>0</v>
      </c>
    </row>
    <row r="97" spans="1:26">
      <c r="E97" s="239" t="s">
        <v>1274</v>
      </c>
      <c r="H97" s="83">
        <f>'Heat pump, gas engine Brine-wat'!J15</f>
        <v>2050</v>
      </c>
      <c r="I97" s="83"/>
      <c r="J97" s="207">
        <f>'Heat pump, gas engine Brine-wat'!L15</f>
        <v>1.6</v>
      </c>
      <c r="K97" s="186"/>
      <c r="L97" s="37">
        <f>('Heat pump, gas engine Brine-wat'!O15)/1000</f>
        <v>2.831</v>
      </c>
      <c r="M97" s="37">
        <f>('Heat pump, gas engine Brine-wat'!P15)/1000</f>
        <v>2.0114999999999997E-2</v>
      </c>
      <c r="N97" s="217">
        <f>'Heat pump, gas engine Brine-wat'!Q15</f>
        <v>14.9</v>
      </c>
      <c r="O97" s="186"/>
      <c r="P97" s="291"/>
      <c r="Q97" s="213"/>
      <c r="R97" s="296">
        <f>'Heat pump, gas engine Brine-wat'!T15</f>
        <v>0</v>
      </c>
      <c r="S97" s="186">
        <f>'Heat pump, gas engine Brine-wat'!U15</f>
        <v>55</v>
      </c>
      <c r="T97" s="186">
        <f>'Heat pump, gas engine Brine-wat'!V15</f>
        <v>5</v>
      </c>
      <c r="U97" s="186">
        <f>'Heat pump, gas engine Brine-wat'!W15</f>
        <v>0</v>
      </c>
      <c r="V97" s="186">
        <f>'Heat pump, gas engine Brine-wat'!X15</f>
        <v>0</v>
      </c>
      <c r="Y97" s="167">
        <f>'Heat pump, gas engine Brine-wat'!M42</f>
        <v>0</v>
      </c>
    </row>
    <row r="98" spans="1:26">
      <c r="C98" s="223" t="str">
        <f>"IND"&amp;RIGHT(G98,4)&amp;"GAS"&amp;"N"&amp;RIGHT(D98,1)</f>
        <v>INDTDRHGASN6</v>
      </c>
      <c r="D98" s="239" t="str">
        <f>"Industrial heating technology "&amp;$AD$4&amp;" "&amp;RIGHT(G98,2)&amp;" - Heat pump,gas adsoption, air-to-water - new 6"</f>
        <v>Industrial heating technology Trade (Wholesale and Retail) RH - Heat pump,gas adsoption, air-to-water - new 6</v>
      </c>
      <c r="E98" s="239" t="s">
        <v>1274</v>
      </c>
      <c r="F98" s="176" t="s">
        <v>528</v>
      </c>
      <c r="G98" s="177" t="str">
        <f>AC8</f>
        <v>ITDRH</v>
      </c>
      <c r="H98" s="81">
        <v>2011</v>
      </c>
      <c r="I98" s="81">
        <v>2011</v>
      </c>
      <c r="J98" s="207">
        <f>'Heat pump, gas adsorption'!L12</f>
        <v>1.35</v>
      </c>
      <c r="K98" s="186">
        <f>'Heat pump, gas adsorption'!N12</f>
        <v>20</v>
      </c>
      <c r="L98" s="37">
        <f>('Heat pump, gas adsorption'!O12)/1000</f>
        <v>13.0375</v>
      </c>
      <c r="M98" s="37">
        <f>('Heat pump, gas adsorption'!P12)/1000</f>
        <v>0.12571874999999999</v>
      </c>
      <c r="N98" s="217">
        <f>'Heat pump, gas adsorption'!Q12</f>
        <v>93.125</v>
      </c>
      <c r="O98" s="204">
        <v>3.1536000000000002E-2</v>
      </c>
      <c r="P98" s="291">
        <v>0.5</v>
      </c>
      <c r="Q98" s="213"/>
      <c r="R98" s="296">
        <f>'Heat pump, gas adsorption'!T12</f>
        <v>0</v>
      </c>
      <c r="S98" s="186">
        <f>'Heat pump, gas adsorption'!U12</f>
        <v>20</v>
      </c>
      <c r="T98" s="186">
        <f>'Heat pump, gas adsorption'!V12</f>
        <v>2</v>
      </c>
      <c r="U98" s="186">
        <f>'Heat pump, gas adsorption'!W12</f>
        <v>0</v>
      </c>
      <c r="V98" s="186">
        <f>'Heat pump, gas adsorption'!X12</f>
        <v>0</v>
      </c>
      <c r="Y98" s="167">
        <f>'Heat pump, gas adsorption'!M39</f>
        <v>0</v>
      </c>
    </row>
    <row r="99" spans="1:26">
      <c r="E99" s="239" t="s">
        <v>1274</v>
      </c>
      <c r="H99" s="83">
        <f>'Heat pump, gas adsorption'!J13</f>
        <v>2020</v>
      </c>
      <c r="I99" s="83"/>
      <c r="J99" s="207">
        <f>'Heat pump, gas adsorption'!L13</f>
        <v>1.35</v>
      </c>
      <c r="K99" s="186"/>
      <c r="L99" s="37">
        <f>('Heat pump, gas adsorption'!O13)/1000</f>
        <v>13.0375</v>
      </c>
      <c r="M99" s="37">
        <f>('Heat pump, gas adsorption'!P13)/1000</f>
        <v>0.12571874999999999</v>
      </c>
      <c r="N99" s="217">
        <f>'Heat pump, gas adsorption'!Q13</f>
        <v>93.125</v>
      </c>
      <c r="O99" s="186"/>
      <c r="P99" s="291"/>
      <c r="Q99" s="213"/>
      <c r="R99" s="296">
        <f>'Heat pump, gas adsorption'!T13</f>
        <v>0</v>
      </c>
      <c r="S99" s="186">
        <f>'Heat pump, gas adsorption'!U13</f>
        <v>10</v>
      </c>
      <c r="T99" s="186">
        <f>'Heat pump, gas adsorption'!V13</f>
        <v>1</v>
      </c>
      <c r="U99" s="186">
        <f>'Heat pump, gas adsorption'!W13</f>
        <v>0</v>
      </c>
      <c r="V99" s="186">
        <f>'Heat pump, gas adsorption'!X13</f>
        <v>0</v>
      </c>
      <c r="Y99" s="167">
        <f>'Heat pump, gas adsorption'!M40</f>
        <v>0</v>
      </c>
    </row>
    <row r="100" spans="1:26">
      <c r="E100" s="239" t="s">
        <v>1274</v>
      </c>
      <c r="H100" s="83">
        <f>'Heat pump, gas adsorption'!J14</f>
        <v>2030</v>
      </c>
      <c r="I100" s="83"/>
      <c r="J100" s="207">
        <f>'Heat pump, gas adsorption'!L14</f>
        <v>1.35</v>
      </c>
      <c r="K100" s="186"/>
      <c r="L100" s="37">
        <f>('Heat pump, gas adsorption'!O14)/1000</f>
        <v>13.0375</v>
      </c>
      <c r="M100" s="37">
        <f>('Heat pump, gas adsorption'!P14)/1000</f>
        <v>0.12571874999999999</v>
      </c>
      <c r="N100" s="217">
        <f>'Heat pump, gas adsorption'!Q14</f>
        <v>93.125</v>
      </c>
      <c r="O100" s="186"/>
      <c r="P100" s="291"/>
      <c r="Q100" s="213"/>
      <c r="R100" s="296">
        <f>'Heat pump, gas adsorption'!T14</f>
        <v>0</v>
      </c>
      <c r="S100" s="186">
        <f>'Heat pump, gas adsorption'!U14</f>
        <v>5</v>
      </c>
      <c r="T100" s="186">
        <f>'Heat pump, gas adsorption'!V14</f>
        <v>0.5</v>
      </c>
      <c r="U100" s="186">
        <f>'Heat pump, gas adsorption'!W14</f>
        <v>0</v>
      </c>
      <c r="V100" s="186">
        <f>'Heat pump, gas adsorption'!X14</f>
        <v>0</v>
      </c>
      <c r="Y100" s="167">
        <f>'Heat pump, gas adsorption'!M41</f>
        <v>0</v>
      </c>
    </row>
    <row r="101" spans="1:26">
      <c r="C101" s="211"/>
      <c r="D101" s="211"/>
      <c r="E101" s="239" t="s">
        <v>1274</v>
      </c>
      <c r="F101" s="211"/>
      <c r="G101" s="211"/>
      <c r="H101" s="83">
        <f>'Heat pump, gas adsorption'!J15</f>
        <v>2050</v>
      </c>
      <c r="I101" s="83"/>
      <c r="J101" s="207">
        <f>'Heat pump, gas adsorption'!L15</f>
        <v>1.35</v>
      </c>
      <c r="K101" s="186"/>
      <c r="L101" s="212">
        <f>('Heat pump, gas adsorption'!O15)/1000</f>
        <v>13.0375</v>
      </c>
      <c r="M101" s="212">
        <f>('Heat pump, gas adsorption'!P15)/1000</f>
        <v>0.12571874999999999</v>
      </c>
      <c r="N101" s="217">
        <f>'Heat pump, gas adsorption'!Q15</f>
        <v>93.125</v>
      </c>
      <c r="O101" s="186"/>
      <c r="P101" s="291"/>
      <c r="Q101" s="213"/>
      <c r="R101" s="296">
        <f>'Heat pump, gas adsorption'!T15</f>
        <v>0</v>
      </c>
      <c r="S101" s="186">
        <f>'Heat pump, gas adsorption'!U15</f>
        <v>5</v>
      </c>
      <c r="T101" s="186">
        <f>'Heat pump, gas adsorption'!V15</f>
        <v>0.5</v>
      </c>
      <c r="U101" s="186">
        <f>'Heat pump, gas adsorption'!W15</f>
        <v>0</v>
      </c>
      <c r="V101" s="186">
        <f>'Heat pump, gas adsorption'!X15</f>
        <v>0</v>
      </c>
      <c r="Y101" s="167">
        <f>'Heat pump, gas adsorption'!M42</f>
        <v>0</v>
      </c>
    </row>
    <row r="102" spans="1:26">
      <c r="C102" s="36" t="s">
        <v>504</v>
      </c>
      <c r="D102" s="36"/>
      <c r="E102" s="239" t="s">
        <v>1274</v>
      </c>
      <c r="G102" s="176"/>
      <c r="H102" s="205"/>
      <c r="I102" s="205"/>
      <c r="J102" s="213"/>
      <c r="K102" s="213"/>
      <c r="L102" s="37"/>
      <c r="M102" s="37"/>
      <c r="N102" s="214"/>
      <c r="O102" s="268"/>
      <c r="P102" s="292"/>
      <c r="Q102" s="213"/>
      <c r="R102" s="213"/>
      <c r="S102" s="213"/>
      <c r="T102" s="213"/>
      <c r="U102" s="213"/>
      <c r="V102" s="213"/>
      <c r="Y102" s="215"/>
    </row>
    <row r="103" spans="1:26">
      <c r="C103" s="223" t="str">
        <f>"IND"&amp;RIGHT(G103,4)&amp;RIGHT(F103,3)&amp;"N"&amp;RIGHT(D103,1)</f>
        <v>INDTDRHHCEN1</v>
      </c>
      <c r="D103" s="239" t="str">
        <f>"Industrial heating technology "&amp;$AD$4&amp;" "&amp;RIGHT(G103,2)&amp;" - central district heating - within DH area - new 1"</f>
        <v>Industrial heating technology Trade (Wholesale and Retail) RH - central district heating - within DH area - new 1</v>
      </c>
      <c r="E103" s="239" t="s">
        <v>1274</v>
      </c>
      <c r="F103" s="240" t="s">
        <v>502</v>
      </c>
      <c r="G103" s="240" t="str">
        <f>AC8</f>
        <v>ITDRH</v>
      </c>
      <c r="H103" s="81">
        <v>2011</v>
      </c>
      <c r="I103" s="81">
        <v>2011</v>
      </c>
      <c r="J103" s="81">
        <v>0.96</v>
      </c>
      <c r="K103" s="81">
        <v>30</v>
      </c>
      <c r="L103" s="269">
        <v>1.17</v>
      </c>
      <c r="M103" s="270">
        <f>'DH network'!$M$9</f>
        <v>5.8735799999999998E-2</v>
      </c>
      <c r="N103" s="270">
        <f>N6*0.95</f>
        <v>14.154999999999999</v>
      </c>
      <c r="O103" s="209">
        <v>3.1536000000000002E-2</v>
      </c>
      <c r="P103" s="293">
        <v>0.5</v>
      </c>
      <c r="Q103" s="320"/>
      <c r="R103" s="297"/>
      <c r="S103" s="61"/>
      <c r="T103" s="61"/>
      <c r="U103" s="61"/>
      <c r="V103" s="61"/>
    </row>
    <row r="104" spans="1:26">
      <c r="C104" s="223" t="str">
        <f>"IND"&amp;RIGHT(G104,4)&amp;RIGHT(F104,3)&amp;"N"&amp;RIGHT(D104,1)</f>
        <v>INDTDMTHCEN1</v>
      </c>
      <c r="D104" s="239" t="str">
        <f>"Industrial heating technology "&amp;$AD$4&amp;" "&amp;RIGHT(G104,2)&amp;" - central district heating - within DH area - new 1"</f>
        <v>Industrial heating technology Trade (Wholesale and Retail) MT - central district heating - within DH area - new 1</v>
      </c>
      <c r="E104" s="239" t="s">
        <v>1274</v>
      </c>
      <c r="F104" s="240" t="s">
        <v>502</v>
      </c>
      <c r="G104" s="313" t="str">
        <f>AC7</f>
        <v>ITDMT</v>
      </c>
      <c r="H104" s="81">
        <v>2011</v>
      </c>
      <c r="I104" s="81">
        <v>2011</v>
      </c>
      <c r="J104" s="81">
        <v>0.96</v>
      </c>
      <c r="K104" s="81">
        <v>30</v>
      </c>
      <c r="L104" s="269">
        <v>1.17</v>
      </c>
      <c r="M104" s="270">
        <f>'DH network'!$M$9</f>
        <v>5.8735799999999998E-2</v>
      </c>
      <c r="N104" s="270">
        <f>N7*0.95</f>
        <v>14.154999999999999</v>
      </c>
      <c r="O104" s="209">
        <v>3.1536000000000002E-2</v>
      </c>
      <c r="P104" s="293">
        <v>0.5</v>
      </c>
      <c r="Q104" s="320"/>
      <c r="R104" s="297"/>
      <c r="S104" s="61"/>
      <c r="T104" s="61"/>
      <c r="U104" s="61"/>
      <c r="V104" s="61"/>
    </row>
    <row r="105" spans="1:26">
      <c r="C105" s="223" t="str">
        <f>"IND"&amp;RIGHT(G105,4)&amp;RIGHT(F105,3)&amp;"N"&amp;RIGHT(D105,1)</f>
        <v>INDTDRHHDEN1</v>
      </c>
      <c r="D105" s="239" t="str">
        <f>"Industrial heating technology "&amp;$AD$4&amp;" "&amp;RIGHT(G105,2)&amp;" - decentral district heating - within DH area - new 1"</f>
        <v>Industrial heating technology Trade (Wholesale and Retail) RH - decentral district heating - within DH area - new 1</v>
      </c>
      <c r="E105" s="239" t="s">
        <v>1274</v>
      </c>
      <c r="F105" s="276" t="s">
        <v>503</v>
      </c>
      <c r="G105" s="282" t="str">
        <f>AC8</f>
        <v>ITDRH</v>
      </c>
      <c r="H105" s="81">
        <v>2011</v>
      </c>
      <c r="I105" s="81">
        <v>2011</v>
      </c>
      <c r="J105" s="81">
        <f>J103</f>
        <v>0.96</v>
      </c>
      <c r="K105" s="81">
        <v>30</v>
      </c>
      <c r="L105" s="269">
        <v>1.25</v>
      </c>
      <c r="M105" s="270">
        <f>'DH network'!$M$9</f>
        <v>5.8735799999999998E-2</v>
      </c>
      <c r="N105" s="270">
        <f>N103</f>
        <v>14.154999999999999</v>
      </c>
      <c r="O105" s="209">
        <v>3.1536000000000002E-2</v>
      </c>
      <c r="P105" s="293">
        <v>0.5</v>
      </c>
      <c r="Q105" s="320"/>
      <c r="R105" s="297"/>
      <c r="S105" s="61"/>
      <c r="T105" s="61"/>
      <c r="U105" s="61"/>
      <c r="V105" s="61"/>
    </row>
    <row r="106" spans="1:26">
      <c r="C106" s="223" t="str">
        <f>"IND"&amp;RIGHT(G106,4)&amp;RIGHT(F106,3)&amp;"N"&amp;RIGHT(D106,1)</f>
        <v>INDTDMTHDEN1</v>
      </c>
      <c r="D106" s="239" t="str">
        <f>"Industrial heating technology "&amp;$AD$4&amp;" "&amp;RIGHT(G106,2)&amp;" - decentral district heating - within DH area - new 1"</f>
        <v>Industrial heating technology Trade (Wholesale and Retail) MT - decentral district heating - within DH area - new 1</v>
      </c>
      <c r="E106" s="239" t="s">
        <v>1274</v>
      </c>
      <c r="F106" s="276" t="s">
        <v>503</v>
      </c>
      <c r="G106" s="240" t="str">
        <f>AC7</f>
        <v>ITDMT</v>
      </c>
      <c r="H106" s="81">
        <v>2011</v>
      </c>
      <c r="I106" s="81">
        <v>2011</v>
      </c>
      <c r="J106" s="81">
        <f>J104</f>
        <v>0.96</v>
      </c>
      <c r="K106" s="81">
        <v>30</v>
      </c>
      <c r="L106" s="269">
        <v>1.25</v>
      </c>
      <c r="M106" s="270">
        <f>'DH network'!$M$9</f>
        <v>5.8735799999999998E-2</v>
      </c>
      <c r="N106" s="270">
        <f>N104</f>
        <v>14.154999999999999</v>
      </c>
      <c r="O106" s="209">
        <v>3.1536000000000002E-2</v>
      </c>
      <c r="P106" s="293">
        <v>0.5</v>
      </c>
      <c r="Q106" s="320"/>
      <c r="R106" s="297"/>
      <c r="S106" s="61"/>
      <c r="T106" s="61"/>
      <c r="U106" s="61"/>
      <c r="V106" s="61"/>
    </row>
    <row r="107" spans="1:26">
      <c r="A107" s="241"/>
      <c r="B107" s="241"/>
      <c r="C107" s="275" t="s">
        <v>497</v>
      </c>
      <c r="D107" s="275"/>
      <c r="E107" s="239" t="s">
        <v>1274</v>
      </c>
      <c r="F107" s="216"/>
      <c r="G107" s="240"/>
      <c r="H107" s="208"/>
      <c r="I107" s="208"/>
      <c r="J107" s="208"/>
      <c r="K107" s="208"/>
      <c r="L107" s="242"/>
      <c r="M107" s="242"/>
      <c r="N107" s="242"/>
      <c r="O107" s="210"/>
      <c r="P107" s="243"/>
      <c r="Q107" s="320"/>
      <c r="R107" s="241"/>
      <c r="S107" s="241"/>
      <c r="T107" s="241"/>
      <c r="U107" s="241"/>
      <c r="V107" s="241"/>
      <c r="W107" s="241"/>
      <c r="X107" s="241"/>
      <c r="Y107" s="241"/>
      <c r="Z107" s="241"/>
    </row>
    <row r="108" spans="1:26">
      <c r="A108" s="241"/>
      <c r="B108" s="241"/>
      <c r="C108" s="223" t="str">
        <f>"IND"&amp;RIGHT(G108,4)&amp;RIGHT(F108,3)&amp;"N"&amp;RIGHT(D108,1)</f>
        <v>INDTDLAELCN1</v>
      </c>
      <c r="D108" s="239" t="str">
        <f>"Industry "&amp;$AD$4&amp;" "&amp;RIGHT(G108,2)&amp;" Electricity Light Appliance - New 1"</f>
        <v>Industry Trade (Wholesale and Retail) LA Electricity Light Appliance - New 1</v>
      </c>
      <c r="E108" s="239" t="s">
        <v>1274</v>
      </c>
      <c r="F108" s="240" t="s">
        <v>500</v>
      </c>
      <c r="G108" s="240" t="str">
        <f>AC9</f>
        <v>ITDLA</v>
      </c>
      <c r="H108" s="81">
        <v>2011</v>
      </c>
      <c r="I108" s="81">
        <v>2011</v>
      </c>
      <c r="J108" s="273">
        <v>1</v>
      </c>
      <c r="K108" s="273">
        <v>10</v>
      </c>
      <c r="L108" s="270"/>
      <c r="M108" s="270"/>
      <c r="N108" s="270"/>
      <c r="O108" s="209"/>
      <c r="P108" s="293">
        <v>0.9</v>
      </c>
      <c r="Q108" s="320"/>
      <c r="R108" s="298"/>
      <c r="S108" s="271"/>
      <c r="T108" s="271"/>
      <c r="U108" s="271"/>
      <c r="V108" s="271"/>
      <c r="W108" s="241"/>
      <c r="X108" s="241"/>
      <c r="Y108" s="241"/>
      <c r="Z108" s="241"/>
    </row>
    <row r="109" spans="1:26">
      <c r="A109" s="241"/>
      <c r="B109" s="241"/>
      <c r="E109" s="239" t="s">
        <v>1274</v>
      </c>
      <c r="F109" s="240"/>
      <c r="G109" s="241"/>
      <c r="H109" s="273">
        <v>2020</v>
      </c>
      <c r="I109" s="273"/>
      <c r="J109" s="273"/>
      <c r="K109" s="273"/>
      <c r="L109" s="270"/>
      <c r="M109" s="270"/>
      <c r="N109" s="270"/>
      <c r="O109" s="209"/>
      <c r="P109" s="293"/>
      <c r="Q109" s="320"/>
      <c r="R109" s="298"/>
      <c r="S109" s="271"/>
      <c r="T109" s="271"/>
      <c r="U109" s="271"/>
      <c r="V109" s="271"/>
      <c r="W109" s="241"/>
      <c r="X109" s="241"/>
      <c r="Y109" s="241"/>
      <c r="Z109" s="241"/>
    </row>
    <row r="110" spans="1:26">
      <c r="A110" s="241"/>
      <c r="B110" s="241"/>
      <c r="E110" s="239" t="s">
        <v>1274</v>
      </c>
      <c r="F110" s="240"/>
      <c r="G110" s="240"/>
      <c r="H110" s="273">
        <v>2030</v>
      </c>
      <c r="I110" s="273"/>
      <c r="J110" s="273"/>
      <c r="K110" s="273"/>
      <c r="L110" s="270"/>
      <c r="M110" s="270"/>
      <c r="N110" s="270"/>
      <c r="O110" s="209"/>
      <c r="P110" s="293"/>
      <c r="Q110" s="320"/>
      <c r="R110" s="298"/>
      <c r="S110" s="271"/>
      <c r="T110" s="271"/>
      <c r="U110" s="271"/>
      <c r="V110" s="271"/>
      <c r="W110" s="241"/>
      <c r="X110" s="241"/>
      <c r="Y110" s="241"/>
      <c r="Z110" s="241"/>
    </row>
    <row r="111" spans="1:26">
      <c r="A111" s="241"/>
      <c r="B111" s="241"/>
      <c r="E111" s="239" t="s">
        <v>1274</v>
      </c>
      <c r="F111" s="240"/>
      <c r="G111" s="240"/>
      <c r="H111" s="273">
        <v>2050</v>
      </c>
      <c r="I111" s="273"/>
      <c r="J111" s="273"/>
      <c r="K111" s="273"/>
      <c r="L111" s="270"/>
      <c r="M111" s="270"/>
      <c r="N111" s="270"/>
      <c r="O111" s="209"/>
      <c r="P111" s="293"/>
      <c r="Q111" s="320"/>
      <c r="R111" s="298"/>
      <c r="S111" s="271"/>
      <c r="T111" s="271"/>
      <c r="U111" s="271"/>
      <c r="V111" s="271"/>
      <c r="W111" s="241"/>
      <c r="X111" s="241"/>
      <c r="Y111" s="241"/>
      <c r="Z111" s="241"/>
    </row>
    <row r="112" spans="1:26">
      <c r="A112" s="241"/>
      <c r="B112" s="241"/>
      <c r="C112" s="223" t="str">
        <f>"IND"&amp;RIGHT(G112,4)&amp;RIGHT(F112,3)&amp;"N"&amp;RIGHT(D112,1)</f>
        <v>INDTDEMELCN1</v>
      </c>
      <c r="D112" s="239" t="str">
        <f>"Industry "&amp;$AD$4&amp;" "&amp;RIGHT(G112,2)&amp;" Electricity Motors - New 1"</f>
        <v>Industry Trade (Wholesale and Retail) EM Electricity Motors - New 1</v>
      </c>
      <c r="E112" s="239" t="s">
        <v>1274</v>
      </c>
      <c r="F112" s="240" t="s">
        <v>500</v>
      </c>
      <c r="G112" s="240" t="str">
        <f>AC10</f>
        <v>ITDEM</v>
      </c>
      <c r="H112" s="81">
        <v>2011</v>
      </c>
      <c r="I112" s="81">
        <v>2011</v>
      </c>
      <c r="J112" s="273">
        <v>1</v>
      </c>
      <c r="K112" s="273">
        <v>10</v>
      </c>
      <c r="L112" s="270"/>
      <c r="M112" s="270"/>
      <c r="N112" s="270"/>
      <c r="O112" s="209"/>
      <c r="P112" s="293">
        <v>0.9</v>
      </c>
      <c r="Q112" s="320"/>
      <c r="R112" s="298"/>
      <c r="S112" s="271"/>
      <c r="T112" s="271"/>
      <c r="U112" s="271"/>
      <c r="V112" s="271"/>
      <c r="W112" s="241"/>
      <c r="X112" s="241"/>
      <c r="Y112" s="241"/>
      <c r="Z112" s="241"/>
    </row>
    <row r="113" spans="1:22">
      <c r="C113" s="173"/>
      <c r="D113" s="64"/>
      <c r="E113" s="239" t="s">
        <v>1274</v>
      </c>
      <c r="G113" s="176"/>
      <c r="H113" s="273">
        <v>2020</v>
      </c>
      <c r="I113" s="274"/>
      <c r="J113" s="274"/>
      <c r="K113" s="274"/>
      <c r="L113" s="61"/>
      <c r="M113" s="61"/>
      <c r="N113" s="61"/>
      <c r="O113" s="61"/>
      <c r="P113" s="294"/>
      <c r="Q113" s="315"/>
      <c r="R113" s="297"/>
      <c r="S113" s="61"/>
      <c r="T113" s="61"/>
      <c r="U113" s="61"/>
      <c r="V113" s="61"/>
    </row>
    <row r="114" spans="1:22">
      <c r="E114" s="239" t="s">
        <v>1274</v>
      </c>
      <c r="G114" s="176"/>
      <c r="H114" s="273">
        <v>2030</v>
      </c>
      <c r="I114" s="274"/>
      <c r="J114" s="274"/>
      <c r="K114" s="274"/>
      <c r="L114" s="61"/>
      <c r="M114" s="61"/>
      <c r="N114" s="61"/>
      <c r="O114" s="61"/>
      <c r="P114" s="294"/>
      <c r="Q114" s="315"/>
      <c r="R114" s="297"/>
      <c r="S114" s="61"/>
      <c r="T114" s="61"/>
      <c r="U114" s="61"/>
      <c r="V114" s="61"/>
    </row>
    <row r="115" spans="1:22">
      <c r="C115" s="211"/>
      <c r="D115" s="211"/>
      <c r="E115" s="239" t="s">
        <v>1274</v>
      </c>
      <c r="F115" s="211"/>
      <c r="G115" s="283"/>
      <c r="H115" s="273">
        <v>2050</v>
      </c>
      <c r="I115" s="274"/>
      <c r="J115" s="274"/>
      <c r="K115" s="274"/>
      <c r="L115" s="61"/>
      <c r="M115" s="61"/>
      <c r="N115" s="61"/>
      <c r="O115" s="61"/>
      <c r="P115" s="294"/>
      <c r="Q115" s="315"/>
      <c r="R115" s="297"/>
      <c r="S115" s="61"/>
      <c r="T115" s="61"/>
      <c r="U115" s="61"/>
      <c r="V115" s="61"/>
    </row>
    <row r="116" spans="1:22">
      <c r="A116" s="241"/>
      <c r="C116" s="223" t="str">
        <f>"IND"&amp;RIGHT(G116,4)&amp;"DSL"&amp;"N"&amp;RIGHT(D116,1)</f>
        <v>INDTDTFDSLN1</v>
      </c>
      <c r="D116" s="239" t="str">
        <f>"Industry "&amp;$AD$4&amp;" "&amp;RIGHT(G116,2)&amp;" Tractors, Trucks, Fishing boats - New 1"</f>
        <v>Industry Trade (Wholesale and Retail) TF Tractors, Trucks, Fishing boats - New 1</v>
      </c>
      <c r="E116" s="239" t="s">
        <v>1274</v>
      </c>
      <c r="F116" s="55" t="s">
        <v>569</v>
      </c>
      <c r="G116" s="177" t="str">
        <f>AC11</f>
        <v>ITDTF</v>
      </c>
      <c r="H116" s="81">
        <v>2011</v>
      </c>
      <c r="I116" s="81">
        <v>2011</v>
      </c>
      <c r="J116" s="273">
        <v>1</v>
      </c>
      <c r="K116" s="273">
        <v>10</v>
      </c>
      <c r="L116" s="270"/>
      <c r="M116" s="270"/>
      <c r="N116" s="270"/>
      <c r="O116" s="209"/>
      <c r="P116" s="293">
        <v>0.9</v>
      </c>
      <c r="Q116" s="320"/>
      <c r="R116" s="55"/>
      <c r="S116" s="55"/>
      <c r="T116" s="55"/>
      <c r="U116" s="55"/>
      <c r="V116" s="55"/>
    </row>
    <row r="117" spans="1:22">
      <c r="C117" s="55"/>
      <c r="D117" s="55"/>
      <c r="E117" s="239" t="s">
        <v>1274</v>
      </c>
      <c r="F117" s="55"/>
      <c r="G117" s="177"/>
      <c r="H117" s="273">
        <v>2020</v>
      </c>
      <c r="I117" s="273"/>
      <c r="J117" s="273"/>
      <c r="K117" s="273"/>
      <c r="L117" s="270"/>
      <c r="M117" s="270"/>
      <c r="N117" s="270"/>
      <c r="O117" s="209"/>
      <c r="P117" s="293"/>
      <c r="Q117" s="243"/>
      <c r="R117" s="55"/>
      <c r="S117" s="55"/>
      <c r="T117" s="55"/>
      <c r="U117" s="55"/>
      <c r="V117" s="55"/>
    </row>
    <row r="118" spans="1:22">
      <c r="C118" s="55"/>
      <c r="D118" s="55"/>
      <c r="E118" s="239" t="s">
        <v>1274</v>
      </c>
      <c r="F118" s="55"/>
      <c r="H118" s="273">
        <v>2030</v>
      </c>
      <c r="I118" s="273"/>
      <c r="J118" s="273"/>
      <c r="K118" s="273"/>
      <c r="L118" s="270"/>
      <c r="M118" s="270"/>
      <c r="N118" s="270"/>
      <c r="O118" s="209"/>
      <c r="P118" s="293"/>
      <c r="Q118" s="243"/>
      <c r="R118" s="55"/>
      <c r="S118" s="55"/>
      <c r="T118" s="55"/>
      <c r="U118" s="55"/>
      <c r="V118" s="55"/>
    </row>
    <row r="119" spans="1:22">
      <c r="C119" s="55"/>
      <c r="D119" s="55"/>
      <c r="E119" s="239" t="s">
        <v>1274</v>
      </c>
      <c r="F119" s="55"/>
      <c r="H119" s="273">
        <v>2050</v>
      </c>
      <c r="I119" s="273"/>
      <c r="J119" s="273"/>
      <c r="K119" s="273"/>
      <c r="L119" s="270"/>
      <c r="M119" s="270"/>
      <c r="N119" s="270"/>
      <c r="O119" s="209"/>
      <c r="P119" s="293"/>
      <c r="Q119" s="243"/>
      <c r="R119" s="55"/>
      <c r="S119" s="55"/>
      <c r="T119" s="55"/>
      <c r="U119" s="55"/>
      <c r="V119" s="55"/>
    </row>
    <row r="120" spans="1:22">
      <c r="A120" s="241"/>
      <c r="C120" s="223" t="str">
        <f>"IND"&amp;RIGHT(G120,4)&amp;"GAS"&amp;"N"&amp;RIGHT(D120,1)</f>
        <v>INDTDFLGASN1</v>
      </c>
      <c r="D120" s="239" t="str">
        <f>"Industry "&amp;$AD$4&amp;" "&amp;RIGHT(G116,2)&amp;" Forklifts - New 1"</f>
        <v>Industry Trade (Wholesale and Retail) TF Forklifts - New 1</v>
      </c>
      <c r="E120" s="239" t="s">
        <v>1274</v>
      </c>
      <c r="F120" s="55" t="s">
        <v>653</v>
      </c>
      <c r="G120" s="239" t="str">
        <f>AC12</f>
        <v>ITDFL</v>
      </c>
      <c r="H120" s="81">
        <v>2011</v>
      </c>
      <c r="I120" s="81">
        <v>2011</v>
      </c>
      <c r="J120" s="273">
        <v>1</v>
      </c>
      <c r="K120" s="273">
        <v>10</v>
      </c>
      <c r="L120" s="270"/>
      <c r="M120" s="270"/>
      <c r="N120" s="270"/>
      <c r="O120" s="209"/>
      <c r="P120" s="293">
        <v>0.9</v>
      </c>
      <c r="Q120" s="243"/>
      <c r="R120" s="55"/>
      <c r="S120" s="55"/>
      <c r="T120" s="55"/>
      <c r="U120" s="55"/>
      <c r="V120" s="55"/>
    </row>
    <row r="121" spans="1:22">
      <c r="C121" s="55"/>
      <c r="D121" s="55"/>
      <c r="E121" s="239" t="s">
        <v>1274</v>
      </c>
      <c r="F121" s="55"/>
      <c r="G121" s="177"/>
      <c r="H121" s="273">
        <v>2020</v>
      </c>
      <c r="I121" s="273"/>
      <c r="J121" s="273"/>
      <c r="K121" s="274"/>
      <c r="L121" s="61"/>
      <c r="M121" s="61"/>
      <c r="N121" s="61"/>
      <c r="O121" s="61"/>
      <c r="P121" s="294"/>
      <c r="Q121" s="55"/>
      <c r="R121" s="55"/>
      <c r="S121" s="55"/>
      <c r="T121" s="55"/>
      <c r="U121" s="55"/>
      <c r="V121" s="55"/>
    </row>
    <row r="122" spans="1:22">
      <c r="C122" s="55"/>
      <c r="D122" s="55"/>
      <c r="E122" s="239" t="s">
        <v>1274</v>
      </c>
      <c r="F122" s="55"/>
      <c r="H122" s="273">
        <v>2030</v>
      </c>
      <c r="I122" s="273"/>
      <c r="J122" s="273"/>
      <c r="K122" s="274"/>
      <c r="L122" s="61"/>
      <c r="M122" s="61"/>
      <c r="N122" s="61"/>
      <c r="O122" s="61"/>
      <c r="P122" s="294"/>
      <c r="Q122" s="55"/>
      <c r="R122" s="55"/>
      <c r="S122" s="55"/>
      <c r="T122" s="55"/>
      <c r="U122" s="55"/>
      <c r="V122" s="55"/>
    </row>
    <row r="123" spans="1:22">
      <c r="C123" s="55"/>
      <c r="D123" s="55"/>
      <c r="E123" s="239" t="s">
        <v>1274</v>
      </c>
      <c r="F123" s="55"/>
      <c r="G123" s="177"/>
      <c r="H123" s="273">
        <v>2050</v>
      </c>
      <c r="I123" s="273"/>
      <c r="J123" s="273"/>
      <c r="K123" s="274"/>
      <c r="L123" s="61"/>
      <c r="M123" s="61"/>
      <c r="N123" s="61"/>
      <c r="O123" s="61"/>
      <c r="P123" s="294"/>
      <c r="Q123" s="55"/>
      <c r="R123" s="55"/>
      <c r="S123" s="55"/>
      <c r="T123" s="55"/>
      <c r="U123" s="55"/>
      <c r="V123" s="55"/>
    </row>
    <row r="125" spans="1:22">
      <c r="A125" s="172"/>
      <c r="B125" s="218" t="s">
        <v>467</v>
      </c>
      <c r="C125" s="219"/>
      <c r="D125" s="219"/>
      <c r="E125" s="219"/>
      <c r="F125" s="219"/>
      <c r="G125" s="219"/>
      <c r="H125" s="219"/>
      <c r="I125" s="219"/>
    </row>
    <row r="126" spans="1:22">
      <c r="A126" s="172"/>
      <c r="B126" s="220" t="s">
        <v>466</v>
      </c>
      <c r="C126" s="220" t="s">
        <v>425</v>
      </c>
      <c r="D126" s="220" t="s">
        <v>465</v>
      </c>
      <c r="E126" s="220" t="s">
        <v>464</v>
      </c>
      <c r="F126" s="220" t="s">
        <v>463</v>
      </c>
      <c r="G126" s="220" t="s">
        <v>462</v>
      </c>
      <c r="H126" s="220" t="s">
        <v>461</v>
      </c>
      <c r="I126" s="220" t="s">
        <v>460</v>
      </c>
    </row>
    <row r="127" spans="1:22" ht="15" customHeight="1" thickBot="1">
      <c r="A127" s="172"/>
      <c r="B127" s="221" t="s">
        <v>459</v>
      </c>
      <c r="C127" s="221" t="s">
        <v>458</v>
      </c>
      <c r="D127" s="221" t="s">
        <v>457</v>
      </c>
      <c r="E127" s="221" t="s">
        <v>456</v>
      </c>
      <c r="F127" s="221" t="s">
        <v>455</v>
      </c>
      <c r="G127" s="221" t="s">
        <v>454</v>
      </c>
      <c r="H127" s="221" t="s">
        <v>453</v>
      </c>
      <c r="I127" s="221" t="s">
        <v>452</v>
      </c>
    </row>
    <row r="128" spans="1:22">
      <c r="A128" s="172"/>
      <c r="B128" s="222" t="s">
        <v>505</v>
      </c>
      <c r="C128" s="223" t="str">
        <f>C6</f>
        <v>INDTDHTGASN1</v>
      </c>
      <c r="D128" s="223" t="str">
        <f>D6</f>
        <v>Industrial heating technology Trade (Wholesale and Retail) HT - gas boiler - new 1</v>
      </c>
      <c r="E128" s="222" t="s">
        <v>450</v>
      </c>
      <c r="F128" s="222" t="s">
        <v>449</v>
      </c>
      <c r="G128" s="224"/>
      <c r="H128" s="219"/>
      <c r="I128" s="219" t="s">
        <v>469</v>
      </c>
    </row>
    <row r="129" spans="1:14">
      <c r="A129" s="172"/>
      <c r="B129" s="222"/>
      <c r="C129" s="223" t="str">
        <f>C10</f>
        <v>INDTDMTGASN1</v>
      </c>
      <c r="D129" s="223" t="str">
        <f>D10</f>
        <v>Industrial heating technology Trade (Wholesale and Retail) MT - gas boiler - new 1</v>
      </c>
      <c r="E129" s="279" t="s">
        <v>450</v>
      </c>
      <c r="F129" s="279" t="s">
        <v>449</v>
      </c>
      <c r="G129" s="280"/>
      <c r="H129" s="281"/>
      <c r="I129" s="281" t="s">
        <v>469</v>
      </c>
    </row>
    <row r="130" spans="1:14">
      <c r="A130" s="172"/>
      <c r="B130" s="222"/>
      <c r="C130" s="223" t="str">
        <f>C14</f>
        <v>INDTDRHGASN1</v>
      </c>
      <c r="D130" s="223" t="str">
        <f>D14</f>
        <v>Industrial heating technology Trade (Wholesale and Retail) RH - gas boiler - new 1</v>
      </c>
      <c r="E130" s="279" t="s">
        <v>450</v>
      </c>
      <c r="F130" s="279" t="s">
        <v>449</v>
      </c>
      <c r="G130" s="280"/>
      <c r="H130" s="281"/>
      <c r="I130" s="281" t="s">
        <v>469</v>
      </c>
    </row>
    <row r="131" spans="1:14">
      <c r="A131" s="172"/>
      <c r="B131" s="222"/>
      <c r="C131" s="223" t="str">
        <f>C18</f>
        <v>INDTDRHDSLN1</v>
      </c>
      <c r="D131" s="223" t="str">
        <f>D18</f>
        <v>Industrial heating technology Trade (Wholesale and Retail) RH - oil boiler - new 1</v>
      </c>
      <c r="E131" s="279" t="s">
        <v>450</v>
      </c>
      <c r="F131" s="279" t="s">
        <v>449</v>
      </c>
      <c r="G131" s="280"/>
      <c r="H131" s="281"/>
      <c r="I131" s="281" t="s">
        <v>469</v>
      </c>
    </row>
    <row r="132" spans="1:14">
      <c r="A132" s="172"/>
      <c r="B132" s="222"/>
      <c r="C132" s="223" t="str">
        <f>C22</f>
        <v>INDTDMTDSLN1</v>
      </c>
      <c r="D132" s="223" t="str">
        <f>D22</f>
        <v>Industrial heating technology Trade (Wholesale and Retail) MT - oil boiler - new 1</v>
      </c>
      <c r="E132" s="279" t="s">
        <v>450</v>
      </c>
      <c r="F132" s="279" t="s">
        <v>449</v>
      </c>
      <c r="G132" s="280"/>
      <c r="H132" s="281"/>
      <c r="I132" s="281" t="s">
        <v>469</v>
      </c>
    </row>
    <row r="133" spans="1:14">
      <c r="A133" s="172"/>
      <c r="B133" s="222"/>
      <c r="C133" s="223" t="str">
        <f>C26</f>
        <v>INDTDHTDSLN1</v>
      </c>
      <c r="D133" s="223" t="str">
        <f>D26</f>
        <v>Industrial heating technology Trade (Wholesale and Retail) HT - oil boiler - new 1</v>
      </c>
      <c r="E133" s="279" t="s">
        <v>450</v>
      </c>
      <c r="F133" s="279" t="s">
        <v>449</v>
      </c>
      <c r="G133" s="280"/>
      <c r="H133" s="281"/>
      <c r="I133" s="281" t="s">
        <v>469</v>
      </c>
    </row>
    <row r="134" spans="1:14">
      <c r="A134" s="172"/>
      <c r="B134" s="222"/>
      <c r="C134" s="223" t="str">
        <f>C30</f>
        <v>INDTDRHWPEN1</v>
      </c>
      <c r="D134" s="223" t="str">
        <f>D30</f>
        <v>Industrial heating technology Trade (Wholesale and Retail) RH - biomass boiler automatic stoking, Pellets - new 1</v>
      </c>
      <c r="E134" s="279" t="s">
        <v>450</v>
      </c>
      <c r="F134" s="279" t="s">
        <v>449</v>
      </c>
      <c r="G134" s="280"/>
      <c r="H134" s="281"/>
      <c r="I134" s="281" t="s">
        <v>469</v>
      </c>
    </row>
    <row r="135" spans="1:14">
      <c r="A135" s="172"/>
      <c r="B135" s="222"/>
      <c r="C135" s="223" t="str">
        <f>C34</f>
        <v>INDTDHTWPEN1</v>
      </c>
      <c r="D135" s="223" t="str">
        <f>D34</f>
        <v>Industrial heating technology Trade (Wholesale and Retail) HT - biomass boiler automatic stoking, Pellets - new 1</v>
      </c>
      <c r="E135" s="279" t="s">
        <v>450</v>
      </c>
      <c r="F135" s="279" t="s">
        <v>449</v>
      </c>
      <c r="G135" s="280"/>
      <c r="H135" s="281"/>
      <c r="I135" s="281" t="s">
        <v>469</v>
      </c>
    </row>
    <row r="136" spans="1:14">
      <c r="A136" s="172"/>
      <c r="B136" s="222"/>
      <c r="C136" s="223" t="str">
        <f>C38</f>
        <v>INDTDMTWPEN1</v>
      </c>
      <c r="D136" s="223" t="str">
        <f>D38</f>
        <v>Industrial heating technology Trade (Wholesale and Retail) MT - biomass boiler automatic stoking, Pellets - new 1</v>
      </c>
      <c r="E136" s="279" t="s">
        <v>450</v>
      </c>
      <c r="F136" s="279" t="s">
        <v>449</v>
      </c>
      <c r="G136" s="280"/>
      <c r="H136" s="281"/>
      <c r="I136" s="281" t="s">
        <v>469</v>
      </c>
    </row>
    <row r="137" spans="1:14">
      <c r="A137" s="172"/>
      <c r="B137" s="222"/>
      <c r="C137" s="223" t="str">
        <f>C42</f>
        <v>INDTDRHWCHN1</v>
      </c>
      <c r="D137" s="223" t="str">
        <f>D42</f>
        <v>Industrial heating technology Trade (Wholesale and Retail) RH - Wood Chips boiler, Pellets - new 1</v>
      </c>
      <c r="E137" s="279" t="s">
        <v>450</v>
      </c>
      <c r="F137" s="279" t="s">
        <v>449</v>
      </c>
      <c r="G137" s="280"/>
      <c r="H137" s="281"/>
      <c r="I137" s="281" t="s">
        <v>469</v>
      </c>
    </row>
    <row r="138" spans="1:14">
      <c r="A138" s="172"/>
      <c r="B138" s="222"/>
      <c r="C138" s="223" t="str">
        <f>C46</f>
        <v>INDTDHTWCHN1</v>
      </c>
      <c r="D138" s="223" t="str">
        <f>D46</f>
        <v>Industrial heating technology Trade (Wholesale and Retail) HT - Wood Chips boiler, Pellets - new 1</v>
      </c>
      <c r="E138" s="279" t="s">
        <v>450</v>
      </c>
      <c r="F138" s="279" t="s">
        <v>449</v>
      </c>
      <c r="G138" s="280"/>
      <c r="H138" s="281"/>
      <c r="I138" s="281" t="s">
        <v>469</v>
      </c>
    </row>
    <row r="139" spans="1:14">
      <c r="A139" s="172"/>
      <c r="B139" s="222"/>
      <c r="C139" s="223" t="str">
        <f>C50</f>
        <v>INDTDMTWCHN1</v>
      </c>
      <c r="D139" s="223" t="str">
        <f>D50</f>
        <v>Industrial heating technology Trade (Wholesale and Retail) MT - Wood Chips boiler, Pellets - new 1</v>
      </c>
      <c r="E139" s="279" t="s">
        <v>450</v>
      </c>
      <c r="F139" s="279" t="s">
        <v>449</v>
      </c>
      <c r="G139" s="280"/>
      <c r="H139" s="281"/>
      <c r="I139" s="281" t="s">
        <v>469</v>
      </c>
    </row>
    <row r="140" spans="1:14">
      <c r="A140" s="172"/>
      <c r="B140" s="222"/>
      <c r="C140" s="223" t="str">
        <f>C54</f>
        <v>INDTDHTELCN1</v>
      </c>
      <c r="D140" s="223" t="str">
        <f>D54</f>
        <v>Industrial heating technology Trade (Wholesale and Retail) HT - direct eletrical heating - new 1</v>
      </c>
      <c r="E140" s="279" t="s">
        <v>450</v>
      </c>
      <c r="F140" s="279" t="s">
        <v>449</v>
      </c>
      <c r="G140" s="280"/>
      <c r="H140" s="281"/>
      <c r="I140" s="281" t="s">
        <v>469</v>
      </c>
      <c r="N140" s="176"/>
    </row>
    <row r="141" spans="1:14">
      <c r="A141" s="172"/>
      <c r="B141" s="222"/>
      <c r="C141" s="223" t="str">
        <f>C58</f>
        <v>INDTDMTELCN1</v>
      </c>
      <c r="D141" s="223" t="str">
        <f>D58</f>
        <v>Industrial heating technology Trade (Wholesale and Retail) MT - direct eletrical heating - new 1</v>
      </c>
      <c r="E141" s="279" t="s">
        <v>450</v>
      </c>
      <c r="F141" s="279" t="s">
        <v>449</v>
      </c>
      <c r="G141" s="280"/>
      <c r="H141" s="281"/>
      <c r="I141" s="281" t="s">
        <v>469</v>
      </c>
      <c r="N141" s="176"/>
    </row>
    <row r="142" spans="1:14">
      <c r="A142" s="172"/>
      <c r="B142" s="222"/>
      <c r="C142" s="223" t="str">
        <f>C62</f>
        <v>INDTDRHELCN1</v>
      </c>
      <c r="D142" s="223" t="str">
        <f>D62</f>
        <v>Industrial heating technology Trade (Wholesale and Retail) RH - direct eletrical heating - new 1</v>
      </c>
      <c r="E142" s="279" t="s">
        <v>450</v>
      </c>
      <c r="F142" s="279" t="s">
        <v>449</v>
      </c>
      <c r="G142" s="280"/>
      <c r="H142" s="281"/>
      <c r="I142" s="281" t="s">
        <v>469</v>
      </c>
      <c r="N142" s="176"/>
    </row>
    <row r="143" spans="1:14">
      <c r="A143" s="172"/>
      <c r="B143" s="222"/>
      <c r="C143" s="223" t="str">
        <f>C66</f>
        <v>INDTDRHELCN2</v>
      </c>
      <c r="D143" s="223" t="str">
        <f>D66</f>
        <v>Industrial heating technology Trade (Wholesale and Retail) RH - Heat pump, air-to-air - new 2</v>
      </c>
      <c r="E143" s="279" t="s">
        <v>450</v>
      </c>
      <c r="F143" s="279" t="s">
        <v>449</v>
      </c>
      <c r="G143" s="280"/>
      <c r="H143" s="281"/>
      <c r="I143" s="281" t="s">
        <v>469</v>
      </c>
      <c r="N143" s="176"/>
    </row>
    <row r="144" spans="1:14">
      <c r="A144" s="172"/>
      <c r="B144" s="222"/>
      <c r="C144" s="223" t="str">
        <f>C70</f>
        <v>INDTDRHELCN3</v>
      </c>
      <c r="D144" s="223" t="str">
        <f>D70</f>
        <v>Industrial heating technology Trade (Wholesale and Retail) RH - Heat pump, air-to-water - new 3</v>
      </c>
      <c r="E144" s="279" t="s">
        <v>450</v>
      </c>
      <c r="F144" s="279" t="s">
        <v>449</v>
      </c>
      <c r="G144" s="280"/>
      <c r="H144" s="281"/>
      <c r="I144" s="281" t="s">
        <v>469</v>
      </c>
      <c r="K144" s="174"/>
      <c r="L144" s="174"/>
      <c r="N144" s="176"/>
    </row>
    <row r="145" spans="1:14">
      <c r="A145" s="172"/>
      <c r="B145" s="222"/>
      <c r="C145" s="223" t="str">
        <f>C74</f>
        <v>INDTDRHELCN4</v>
      </c>
      <c r="D145" s="223" t="str">
        <f>D74</f>
        <v>Industrial heating technology Trade (Wholesale and Retail) RH - Heat pump, brine-to-water - new 4</v>
      </c>
      <c r="E145" s="279" t="s">
        <v>450</v>
      </c>
      <c r="F145" s="279" t="s">
        <v>449</v>
      </c>
      <c r="G145" s="280"/>
      <c r="H145" s="281"/>
      <c r="I145" s="281" t="s">
        <v>469</v>
      </c>
      <c r="K145" s="174"/>
      <c r="L145" s="174"/>
      <c r="N145" s="176"/>
    </row>
    <row r="146" spans="1:14">
      <c r="A146" s="172"/>
      <c r="B146" s="222"/>
      <c r="C146" s="223" t="str">
        <f>C78</f>
        <v>INDTDRHSOLN1</v>
      </c>
      <c r="D146" s="223" t="str">
        <f>D78</f>
        <v>Industrial heating technology Trade (Wholesale and Retail) RH - solar - new 1</v>
      </c>
      <c r="E146" s="279" t="s">
        <v>450</v>
      </c>
      <c r="F146" s="279" t="s">
        <v>449</v>
      </c>
      <c r="G146" s="280" t="s">
        <v>665</v>
      </c>
      <c r="H146" s="281"/>
      <c r="I146" s="281" t="s">
        <v>469</v>
      </c>
      <c r="K146" s="174"/>
      <c r="L146" s="174"/>
      <c r="N146" s="176"/>
    </row>
    <row r="147" spans="1:14">
      <c r="A147" s="172"/>
      <c r="B147" s="223"/>
      <c r="C147" s="223" t="str">
        <f>C82</f>
        <v>INDTDRHGASN2</v>
      </c>
      <c r="D147" s="223" t="str">
        <f>D82</f>
        <v>Industrial heating technology Trade (Wholesale and Retail) RH - Heat pump,gas absorption, air-to-water - new 2</v>
      </c>
      <c r="E147" s="279" t="s">
        <v>450</v>
      </c>
      <c r="F147" s="279" t="s">
        <v>449</v>
      </c>
      <c r="G147" s="280"/>
      <c r="H147" s="281"/>
      <c r="I147" s="281" t="s">
        <v>469</v>
      </c>
    </row>
    <row r="148" spans="1:14">
      <c r="A148" s="172"/>
      <c r="B148" s="223"/>
      <c r="C148" s="223" t="str">
        <f>C86</f>
        <v>INDTDRHGASN3</v>
      </c>
      <c r="D148" s="223" t="str">
        <f>D86</f>
        <v>Industrial heating technology Trade (Wholesale and Retail) RH - Heat pump,gas absorption, brine-to-water - new 3</v>
      </c>
      <c r="E148" s="279" t="s">
        <v>450</v>
      </c>
      <c r="F148" s="279" t="s">
        <v>449</v>
      </c>
      <c r="G148" s="278"/>
      <c r="H148" s="278"/>
      <c r="I148" s="281" t="s">
        <v>469</v>
      </c>
    </row>
    <row r="149" spans="1:14">
      <c r="A149" s="172"/>
      <c r="B149" s="223"/>
      <c r="C149" s="223" t="str">
        <f>C90</f>
        <v>INDTDRHGASN4</v>
      </c>
      <c r="D149" s="223" t="str">
        <f>D90</f>
        <v>Industrial heating technology Trade (Wholesale and Retail) RH - Heat pump,gas engine, air-to-water - new 4</v>
      </c>
      <c r="E149" s="279" t="s">
        <v>450</v>
      </c>
      <c r="F149" s="279" t="s">
        <v>449</v>
      </c>
      <c r="G149" s="278"/>
      <c r="H149" s="278"/>
      <c r="I149" s="281" t="s">
        <v>469</v>
      </c>
    </row>
    <row r="150" spans="1:14">
      <c r="A150" s="172"/>
      <c r="B150" s="223"/>
      <c r="C150" s="223" t="str">
        <f>C94</f>
        <v>INDTDRHGASN5</v>
      </c>
      <c r="D150" s="223" t="str">
        <f>D94</f>
        <v>Industrial heating technology Trade (Wholesale and Retail) RH - Heat pump,gas engine, brine-to-water - new 5</v>
      </c>
      <c r="E150" s="279" t="s">
        <v>450</v>
      </c>
      <c r="F150" s="279" t="s">
        <v>449</v>
      </c>
      <c r="G150" s="278"/>
      <c r="H150" s="278"/>
      <c r="I150" s="281" t="s">
        <v>469</v>
      </c>
    </row>
    <row r="151" spans="1:14">
      <c r="A151" s="172"/>
      <c r="B151" s="223"/>
      <c r="C151" s="223" t="str">
        <f>C98</f>
        <v>INDTDRHGASN6</v>
      </c>
      <c r="D151" s="223" t="str">
        <f>D98</f>
        <v>Industrial heating technology Trade (Wholesale and Retail) RH - Heat pump,gas adsoption, air-to-water - new 6</v>
      </c>
      <c r="E151" s="279" t="s">
        <v>450</v>
      </c>
      <c r="F151" s="279" t="s">
        <v>449</v>
      </c>
      <c r="G151" s="278"/>
      <c r="H151" s="278"/>
      <c r="I151" s="281" t="s">
        <v>469</v>
      </c>
    </row>
    <row r="152" spans="1:14">
      <c r="A152" s="172"/>
      <c r="B152" s="223"/>
      <c r="C152" s="223" t="str">
        <f t="shared" ref="C152:D155" si="17">C103</f>
        <v>INDTDRHHCEN1</v>
      </c>
      <c r="D152" s="223" t="str">
        <f t="shared" si="17"/>
        <v>Industrial heating technology Trade (Wholesale and Retail) RH - central district heating - within DH area - new 1</v>
      </c>
      <c r="E152" s="279" t="s">
        <v>450</v>
      </c>
      <c r="F152" s="279" t="s">
        <v>449</v>
      </c>
      <c r="G152" s="278"/>
      <c r="H152" s="278"/>
      <c r="I152" s="281" t="s">
        <v>469</v>
      </c>
    </row>
    <row r="153" spans="1:14">
      <c r="A153" s="172"/>
      <c r="B153" s="223"/>
      <c r="C153" s="223" t="str">
        <f t="shared" si="17"/>
        <v>INDTDMTHCEN1</v>
      </c>
      <c r="D153" s="223" t="str">
        <f t="shared" si="17"/>
        <v>Industrial heating technology Trade (Wholesale and Retail) MT - central district heating - within DH area - new 1</v>
      </c>
      <c r="E153" s="279" t="s">
        <v>450</v>
      </c>
      <c r="F153" s="279" t="s">
        <v>449</v>
      </c>
      <c r="G153" s="278"/>
      <c r="H153" s="278"/>
      <c r="I153" s="281" t="s">
        <v>469</v>
      </c>
    </row>
    <row r="154" spans="1:14">
      <c r="A154" s="172"/>
      <c r="B154" s="223"/>
      <c r="C154" s="223" t="str">
        <f t="shared" si="17"/>
        <v>INDTDRHHDEN1</v>
      </c>
      <c r="D154" s="223" t="str">
        <f t="shared" si="17"/>
        <v>Industrial heating technology Trade (Wholesale and Retail) RH - decentral district heating - within DH area - new 1</v>
      </c>
      <c r="E154" s="279" t="s">
        <v>450</v>
      </c>
      <c r="F154" s="279" t="s">
        <v>449</v>
      </c>
      <c r="G154" s="278"/>
      <c r="H154" s="278"/>
      <c r="I154" s="281" t="s">
        <v>469</v>
      </c>
    </row>
    <row r="155" spans="1:14">
      <c r="A155" s="172"/>
      <c r="B155" s="223"/>
      <c r="C155" s="223" t="str">
        <f t="shared" si="17"/>
        <v>INDTDMTHDEN1</v>
      </c>
      <c r="D155" s="223" t="str">
        <f t="shared" si="17"/>
        <v>Industrial heating technology Trade (Wholesale and Retail) MT - decentral district heating - within DH area - new 1</v>
      </c>
      <c r="E155" s="279" t="s">
        <v>450</v>
      </c>
      <c r="F155" s="279" t="s">
        <v>449</v>
      </c>
      <c r="G155" s="278"/>
      <c r="H155" s="278"/>
      <c r="I155" s="281" t="s">
        <v>469</v>
      </c>
    </row>
    <row r="156" spans="1:14">
      <c r="A156" s="172"/>
      <c r="B156" s="223"/>
      <c r="C156" s="223" t="str">
        <f>C108</f>
        <v>INDTDLAELCN1</v>
      </c>
      <c r="D156" s="223" t="str">
        <f>D108</f>
        <v>Industry Trade (Wholesale and Retail) LA Electricity Light Appliance - New 1</v>
      </c>
      <c r="E156" s="279" t="s">
        <v>450</v>
      </c>
      <c r="F156" s="279" t="s">
        <v>449</v>
      </c>
      <c r="G156" s="278"/>
      <c r="H156" s="278"/>
      <c r="I156" s="281" t="s">
        <v>469</v>
      </c>
    </row>
    <row r="157" spans="1:14">
      <c r="A157" s="172"/>
      <c r="B157" s="223"/>
      <c r="C157" s="223" t="str">
        <f>C112</f>
        <v>INDTDEMELCN1</v>
      </c>
      <c r="D157" s="223" t="str">
        <f>D112</f>
        <v>Industry Trade (Wholesale and Retail) EM Electricity Motors - New 1</v>
      </c>
      <c r="E157" s="279" t="s">
        <v>450</v>
      </c>
      <c r="F157" s="279" t="s">
        <v>449</v>
      </c>
      <c r="G157" s="278"/>
      <c r="H157" s="278"/>
      <c r="I157" s="281" t="s">
        <v>469</v>
      </c>
    </row>
    <row r="158" spans="1:14">
      <c r="A158" s="172"/>
      <c r="B158" s="223"/>
      <c r="C158" s="223" t="str">
        <f>C116</f>
        <v>INDTDTFDSLN1</v>
      </c>
      <c r="D158" s="223" t="str">
        <f>D116</f>
        <v>Industry Trade (Wholesale and Retail) TF Tractors, Trucks, Fishing boats - New 1</v>
      </c>
      <c r="E158" s="279" t="s">
        <v>450</v>
      </c>
      <c r="F158" s="279" t="s">
        <v>449</v>
      </c>
      <c r="G158" s="278"/>
      <c r="H158" s="278"/>
      <c r="I158" s="281" t="s">
        <v>469</v>
      </c>
    </row>
    <row r="159" spans="1:14">
      <c r="A159" s="172"/>
      <c r="B159" s="223"/>
      <c r="C159" s="223" t="str">
        <f>C120</f>
        <v>INDTDFLGASN1</v>
      </c>
      <c r="D159" s="223" t="str">
        <f>D120</f>
        <v>Industry Trade (Wholesale and Retail) TF Forklifts - New 1</v>
      </c>
      <c r="E159" s="279" t="s">
        <v>450</v>
      </c>
      <c r="F159" s="279" t="s">
        <v>449</v>
      </c>
      <c r="G159" s="278"/>
      <c r="H159" s="278"/>
      <c r="I159" s="281" t="s">
        <v>469</v>
      </c>
    </row>
    <row r="160" spans="1:14">
      <c r="A160" s="172"/>
      <c r="C160" s="223"/>
      <c r="D160" s="223"/>
    </row>
    <row r="161" spans="1:9">
      <c r="A161" s="225" t="s">
        <v>448</v>
      </c>
      <c r="B161" s="225"/>
      <c r="C161" s="226"/>
      <c r="D161" s="226"/>
      <c r="E161" s="226"/>
      <c r="F161" s="226"/>
      <c r="G161" s="226"/>
      <c r="H161" s="226"/>
      <c r="I161" s="226"/>
    </row>
    <row r="162" spans="1:9">
      <c r="A162" s="220" t="s">
        <v>447</v>
      </c>
      <c r="B162" s="220" t="s">
        <v>446</v>
      </c>
      <c r="C162" s="220" t="s">
        <v>445</v>
      </c>
      <c r="D162" s="220" t="s">
        <v>444</v>
      </c>
      <c r="E162" s="220" t="s">
        <v>435</v>
      </c>
      <c r="F162" s="220" t="s">
        <v>443</v>
      </c>
      <c r="G162" s="220" t="s">
        <v>442</v>
      </c>
      <c r="H162" s="220" t="s">
        <v>441</v>
      </c>
      <c r="I162" s="220" t="s">
        <v>440</v>
      </c>
    </row>
    <row r="163" spans="1:9" ht="31.2" thickBot="1">
      <c r="A163" s="227" t="s">
        <v>439</v>
      </c>
      <c r="B163" s="228" t="s">
        <v>438</v>
      </c>
      <c r="C163" s="228" t="s">
        <v>437</v>
      </c>
      <c r="D163" s="228" t="s">
        <v>436</v>
      </c>
      <c r="E163" s="228" t="s">
        <v>435</v>
      </c>
      <c r="F163" s="228" t="s">
        <v>434</v>
      </c>
      <c r="G163" s="228" t="s">
        <v>433</v>
      </c>
      <c r="H163" s="228" t="s">
        <v>432</v>
      </c>
      <c r="I163" s="228" t="s">
        <v>431</v>
      </c>
    </row>
    <row r="164" spans="1:9">
      <c r="A164" s="229" t="s">
        <v>430</v>
      </c>
      <c r="B164" s="230"/>
      <c r="C164" s="277" t="str">
        <f>"I"&amp;LEFT($AD$4,1)&amp;"DSOx"</f>
        <v>ITDSOx</v>
      </c>
      <c r="D164" s="287" t="str">
        <f>"Industrial heating  heating technology "&amp;$AD$4&amp;" - SOx emission"</f>
        <v>Industrial heating  heating technology Trade (Wholesale and Retail) - SOx emission</v>
      </c>
      <c r="E164" s="231" t="s">
        <v>352</v>
      </c>
      <c r="F164" s="222"/>
      <c r="G164" s="222"/>
      <c r="H164" s="222"/>
      <c r="I164" s="222"/>
    </row>
    <row r="165" spans="1:9">
      <c r="A165" s="226"/>
      <c r="B165" s="226"/>
      <c r="C165" s="277" t="str">
        <f>"I"&amp;LEFT($AD$4,1)&amp;"DNOx"</f>
        <v>ITDNOx</v>
      </c>
      <c r="D165" s="287" t="str">
        <f>"Industrial heating  heating technology "&amp;$AD$4&amp;" - NOx emission"</f>
        <v>Industrial heating  heating technology Trade (Wholesale and Retail) - NOx emission</v>
      </c>
      <c r="E165" s="231" t="s">
        <v>352</v>
      </c>
      <c r="F165" s="222"/>
      <c r="G165" s="226"/>
      <c r="H165" s="226"/>
      <c r="I165" s="226"/>
    </row>
    <row r="166" spans="1:9">
      <c r="A166" s="226"/>
      <c r="B166" s="226"/>
      <c r="C166" s="277" t="str">
        <f>"I"&amp;LEFT($AD$4,1)&amp;"DCH4"</f>
        <v>ITDCH4</v>
      </c>
      <c r="D166" s="287" t="str">
        <f>"Industrial heating  heating technology "&amp;$AD$4&amp;" - CH4 emission"</f>
        <v>Industrial heating  heating technology Trade (Wholesale and Retail) - CH4 emission</v>
      </c>
      <c r="E166" s="231" t="s">
        <v>352</v>
      </c>
      <c r="F166" s="222"/>
      <c r="G166" s="226"/>
      <c r="H166" s="226"/>
      <c r="I166" s="226"/>
    </row>
    <row r="167" spans="1:9">
      <c r="A167" s="226"/>
      <c r="B167" s="226"/>
      <c r="C167" s="277" t="str">
        <f>"I"&amp;LEFT($AD$4,1)&amp;"DNO2"</f>
        <v>ITDNO2</v>
      </c>
      <c r="D167" s="287" t="str">
        <f>"Industrial heating  heating technology "&amp;$AD$4&amp;" - NO2 emission"</f>
        <v>Industrial heating  heating technology Trade (Wholesale and Retail) - NO2 emission</v>
      </c>
      <c r="E167" s="231" t="s">
        <v>352</v>
      </c>
      <c r="F167" s="222"/>
      <c r="G167" s="226"/>
      <c r="H167" s="226"/>
      <c r="I167" s="226"/>
    </row>
    <row r="168" spans="1:9">
      <c r="A168" s="226"/>
      <c r="B168" s="226"/>
      <c r="C168" s="277" t="str">
        <f>"I"&amp;LEFT($AD$4,1)&amp;"DPM"</f>
        <v>ITDPM</v>
      </c>
      <c r="D168" s="287" t="str">
        <f>"Industrial heating  heating technology "&amp;$AD$4&amp;" - Particle emission"</f>
        <v>Industrial heating  heating technology Trade (Wholesale and Retail) - Particle emission</v>
      </c>
      <c r="E168" s="231" t="s">
        <v>352</v>
      </c>
      <c r="F168" s="222"/>
      <c r="G168" s="226"/>
      <c r="H168" s="226"/>
      <c r="I168" s="226"/>
    </row>
  </sheetData>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5">
    <tabColor rgb="FF92D050"/>
  </sheetPr>
  <dimension ref="A1:AD168"/>
  <sheetViews>
    <sheetView topLeftCell="A29" zoomScale="55" zoomScaleNormal="55" workbookViewId="0">
      <selection activeCell="P78" sqref="P78"/>
    </sheetView>
  </sheetViews>
  <sheetFormatPr defaultColWidth="9.33203125" defaultRowHeight="14.4"/>
  <cols>
    <col min="1" max="1" width="9.33203125" style="239"/>
    <col min="2" max="2" width="12" style="239" bestFit="1" customWidth="1"/>
    <col min="3" max="3" width="17" style="239" bestFit="1" customWidth="1"/>
    <col min="4" max="4" width="88.6640625" style="239" bestFit="1" customWidth="1"/>
    <col min="5" max="5" width="10.5546875" style="239" bestFit="1" customWidth="1"/>
    <col min="6" max="6" width="55.6640625" style="239" bestFit="1" customWidth="1"/>
    <col min="7" max="7" width="27.6640625" style="239" bestFit="1" customWidth="1"/>
    <col min="8" max="8" width="10.33203125" style="239" bestFit="1" customWidth="1"/>
    <col min="9" max="9" width="8.44140625" style="239" bestFit="1" customWidth="1"/>
    <col min="10" max="10" width="6" style="239" bestFit="1" customWidth="1"/>
    <col min="11" max="12" width="12.6640625" style="239" bestFit="1" customWidth="1"/>
    <col min="13" max="13" width="12.44140625" style="239" bestFit="1" customWidth="1"/>
    <col min="14" max="14" width="5.5546875" style="239" bestFit="1" customWidth="1"/>
    <col min="15" max="15" width="8.33203125" style="239" bestFit="1" customWidth="1"/>
    <col min="16" max="16" width="11.6640625" style="239" bestFit="1" customWidth="1"/>
    <col min="17" max="17" width="7.6640625" style="239" bestFit="1" customWidth="1"/>
    <col min="18" max="18" width="8.5546875" style="239" bestFit="1" customWidth="1"/>
    <col min="19" max="19" width="6.5546875" style="239" bestFit="1" customWidth="1"/>
    <col min="20" max="20" width="6.5546875" style="239" customWidth="1"/>
    <col min="21" max="21" width="8" style="239" customWidth="1"/>
    <col min="22" max="32" width="9.33203125" style="239"/>
    <col min="33" max="33" width="64.33203125" style="239" bestFit="1" customWidth="1"/>
    <col min="34" max="16384" width="9.33203125" style="239"/>
  </cols>
  <sheetData>
    <row r="1" spans="3:30">
      <c r="K1" s="239" t="str">
        <f>AC8</f>
        <v>IPDRH</v>
      </c>
      <c r="L1" s="239" t="str">
        <f>AC7</f>
        <v>IPDMT</v>
      </c>
      <c r="M1" s="239" t="str">
        <f>AC6</f>
        <v>IPDHT</v>
      </c>
    </row>
    <row r="2" spans="3:30">
      <c r="H2" s="175" t="s">
        <v>468</v>
      </c>
      <c r="K2" s="267">
        <v>1</v>
      </c>
      <c r="L2" s="267">
        <v>0.8</v>
      </c>
      <c r="M2" s="267">
        <v>0.7</v>
      </c>
      <c r="T2" s="315"/>
    </row>
    <row r="3" spans="3:30" ht="26.25" customHeight="1">
      <c r="C3" s="46" t="s">
        <v>425</v>
      </c>
      <c r="D3" s="46" t="s">
        <v>426</v>
      </c>
      <c r="E3" s="46" t="s">
        <v>734</v>
      </c>
      <c r="F3" s="46" t="s">
        <v>427</v>
      </c>
      <c r="G3" s="169" t="s">
        <v>428</v>
      </c>
      <c r="H3" s="46" t="s">
        <v>335</v>
      </c>
      <c r="I3" s="46" t="s">
        <v>336</v>
      </c>
      <c r="J3" s="47" t="s">
        <v>337</v>
      </c>
      <c r="K3" s="47" t="s">
        <v>339</v>
      </c>
      <c r="L3" s="48" t="s">
        <v>340</v>
      </c>
      <c r="M3" s="49" t="s">
        <v>341</v>
      </c>
      <c r="N3" s="49" t="s">
        <v>342</v>
      </c>
      <c r="O3" s="49" t="s">
        <v>343</v>
      </c>
      <c r="P3" s="49" t="s">
        <v>344</v>
      </c>
      <c r="Q3" s="316"/>
      <c r="R3" s="299" t="str">
        <f>"FEMIS~"&amp;C164</f>
        <v>FEMIS~IPDSOx</v>
      </c>
      <c r="S3" s="299" t="str">
        <f>"FEMIS~"&amp;C165</f>
        <v>FEMIS~IPDNOx</v>
      </c>
      <c r="T3" s="299" t="str">
        <f>"FEMIS~"&amp;C166</f>
        <v>FEMIS~IPDCH4</v>
      </c>
      <c r="U3" s="299" t="str">
        <f>"FEMIS~"&amp;C167</f>
        <v>FEMIS~IPDNO2</v>
      </c>
      <c r="V3" s="299" t="str">
        <f>"FEMIS~"&amp;C168</f>
        <v>FEMIS~IPDPM</v>
      </c>
      <c r="W3" s="239" t="s">
        <v>424</v>
      </c>
      <c r="Y3" s="47" t="s">
        <v>338</v>
      </c>
      <c r="Z3" s="233" t="s">
        <v>473</v>
      </c>
    </row>
    <row r="4" spans="3:30" ht="15" thickBot="1">
      <c r="C4" s="170" t="s">
        <v>429</v>
      </c>
      <c r="D4" s="50"/>
      <c r="E4" s="50"/>
      <c r="F4" s="50"/>
      <c r="G4" s="171"/>
      <c r="H4" s="50"/>
      <c r="I4" s="50"/>
      <c r="J4" s="51"/>
      <c r="K4" s="51"/>
      <c r="L4" s="52"/>
      <c r="M4" s="50"/>
      <c r="N4" s="50"/>
      <c r="O4" s="50"/>
      <c r="P4" s="50"/>
      <c r="Q4" s="317"/>
      <c r="R4" s="50"/>
      <c r="S4" s="50"/>
      <c r="T4" s="50"/>
      <c r="U4" s="50"/>
      <c r="V4" s="50"/>
      <c r="Y4" s="51"/>
      <c r="Z4" s="234"/>
      <c r="AC4" s="239" t="s">
        <v>519</v>
      </c>
      <c r="AD4" s="239" t="s">
        <v>526</v>
      </c>
    </row>
    <row r="5" spans="3:30">
      <c r="C5" s="239" t="s">
        <v>451</v>
      </c>
      <c r="H5" s="57"/>
      <c r="I5" s="57"/>
      <c r="J5" s="57"/>
      <c r="K5" s="57"/>
      <c r="L5" s="57" t="s">
        <v>470</v>
      </c>
      <c r="M5" s="57" t="s">
        <v>471</v>
      </c>
      <c r="N5" s="57" t="s">
        <v>472</v>
      </c>
      <c r="O5" s="57" t="s">
        <v>351</v>
      </c>
      <c r="P5" s="57" t="s">
        <v>351</v>
      </c>
      <c r="Q5" s="318"/>
      <c r="R5" s="57" t="s">
        <v>352</v>
      </c>
      <c r="S5" s="57" t="s">
        <v>352</v>
      </c>
      <c r="T5" s="57" t="s">
        <v>352</v>
      </c>
      <c r="U5" s="57" t="s">
        <v>352</v>
      </c>
      <c r="V5" s="57" t="s">
        <v>352</v>
      </c>
      <c r="Y5" s="57"/>
      <c r="Z5" s="232"/>
    </row>
    <row r="6" spans="3:30">
      <c r="C6" s="223" t="str">
        <f>"IND"&amp;RIGHT(G6,4)&amp;"GAS"&amp;"N"&amp;RIGHT(D6,1)</f>
        <v>INDPDHTGASN1</v>
      </c>
      <c r="D6" s="223" t="str">
        <f>"Industrial heating technology "&amp;$AD$4&amp;" "&amp;RIGHT(G6,2)&amp;" - gas boiler - new 1"</f>
        <v>Industrial heating technology Private Service HT - gas boiler - new 1</v>
      </c>
      <c r="E6" s="239" t="s">
        <v>1274</v>
      </c>
      <c r="F6" s="176" t="s">
        <v>527</v>
      </c>
      <c r="G6" s="177" t="str">
        <f>AC6</f>
        <v>IPDHT</v>
      </c>
      <c r="H6" s="81">
        <v>2011</v>
      </c>
      <c r="I6" s="81">
        <v>2011</v>
      </c>
      <c r="J6" s="81">
        <f>'Natural gas boiler'!$L$39*HLOOKUP(G6,$K$1:$M$2,2,FALSE)</f>
        <v>0.71399999999999997</v>
      </c>
      <c r="K6" s="81">
        <f>'Natural gas boiler'!N39</f>
        <v>25</v>
      </c>
      <c r="L6" s="37">
        <f>('Natural gas boiler'!O39)/1000</f>
        <v>0.94366666666666676</v>
      </c>
      <c r="M6" s="37">
        <f>('Natural gas boiler'!P39)/1000</f>
        <v>2.98E-2</v>
      </c>
      <c r="N6" s="84">
        <f>'Natural gas boiler'!Q39</f>
        <v>14.9</v>
      </c>
      <c r="O6" s="82">
        <v>3.1536000000000002E-2</v>
      </c>
      <c r="P6" s="290">
        <v>0.5</v>
      </c>
      <c r="Q6" s="213"/>
      <c r="R6" s="295">
        <f>'Natural gas boiler'!T39</f>
        <v>0</v>
      </c>
      <c r="S6" s="81">
        <f>'Natural gas boiler'!U39</f>
        <v>20</v>
      </c>
      <c r="T6" s="81">
        <f>'Natural gas boiler'!V39</f>
        <v>2</v>
      </c>
      <c r="U6" s="81">
        <f>'Natural gas boiler'!W39</f>
        <v>0</v>
      </c>
      <c r="V6" s="81">
        <f>'Natural gas boiler'!X39</f>
        <v>0</v>
      </c>
      <c r="Y6" s="81">
        <f>'Natural gas boiler'!M39</f>
        <v>0</v>
      </c>
      <c r="Z6" s="232"/>
      <c r="AC6" s="239" t="str">
        <f>"I"&amp;LEFT($AD$4,1)&amp;"DHT"</f>
        <v>IPDHT</v>
      </c>
      <c r="AD6" s="239" t="str">
        <f>"Industry "&amp;$AD$4&amp;" industry Demand Heat High Temp. over 150C"</f>
        <v>Industry Private Service industry Demand Heat High Temp. over 150C</v>
      </c>
    </row>
    <row r="7" spans="3:30">
      <c r="E7" s="239" t="s">
        <v>1274</v>
      </c>
      <c r="F7" s="176"/>
      <c r="G7" s="176"/>
      <c r="H7" s="81">
        <f>'Natural gas boiler'!J13</f>
        <v>2020</v>
      </c>
      <c r="I7" s="81"/>
      <c r="J7" s="81">
        <f>'Natural gas boiler'!$L$40*HLOOKUP(G6,$K$1:$M$2,2,FALSE)</f>
        <v>0.71399999999999997</v>
      </c>
      <c r="K7" s="81"/>
      <c r="L7" s="37">
        <f>('Natural gas boiler'!O40)/1000</f>
        <v>0.91883333333333339</v>
      </c>
      <c r="M7" s="37">
        <f>('Natural gas boiler'!P40)/1000</f>
        <v>2.98E-2</v>
      </c>
      <c r="N7" s="84">
        <f>'Natural gas boiler'!Q40</f>
        <v>14.9</v>
      </c>
      <c r="O7" s="81"/>
      <c r="P7" s="290"/>
      <c r="Q7" s="213"/>
      <c r="R7" s="295">
        <f>'Natural gas boiler'!T40</f>
        <v>0</v>
      </c>
      <c r="S7" s="81">
        <f>'Natural gas boiler'!U40</f>
        <v>10</v>
      </c>
      <c r="T7" s="81">
        <f>'Natural gas boiler'!V40</f>
        <v>1</v>
      </c>
      <c r="U7" s="81">
        <f>'Natural gas boiler'!W40</f>
        <v>0</v>
      </c>
      <c r="V7" s="81">
        <f>'Natural gas boiler'!X40</f>
        <v>0</v>
      </c>
      <c r="Y7" s="81">
        <f>'Natural gas boiler'!M40</f>
        <v>0</v>
      </c>
      <c r="Z7" s="232"/>
      <c r="AC7" s="239" t="str">
        <f>"I"&amp;LEFT($AD$4,1)&amp;"DMT"</f>
        <v>IPDMT</v>
      </c>
      <c r="AD7" s="239" t="str">
        <f>"Industry "&amp;$AD$4&amp;" industry Demand Heat Medium Temp. up to 150C"</f>
        <v>Industry Private Service industry Demand Heat Medium Temp. up to 150C</v>
      </c>
    </row>
    <row r="8" spans="3:30">
      <c r="E8" s="239" t="s">
        <v>1274</v>
      </c>
      <c r="F8" s="176"/>
      <c r="G8" s="176"/>
      <c r="H8" s="81">
        <f>'Natural gas boiler'!J14</f>
        <v>2030</v>
      </c>
      <c r="I8" s="81"/>
      <c r="J8" s="81">
        <f>'Natural gas boiler'!$L$41*HLOOKUP(G6,$K$1:$M$2,2,FALSE)</f>
        <v>0.71399999999999997</v>
      </c>
      <c r="K8" s="81"/>
      <c r="L8" s="37">
        <f>('Natural gas boiler'!O41)/1000</f>
        <v>0.89400000000000013</v>
      </c>
      <c r="M8" s="37">
        <f>('Natural gas boiler'!P41)/1000</f>
        <v>2.98E-2</v>
      </c>
      <c r="N8" s="84">
        <f>'Natural gas boiler'!Q41</f>
        <v>14.9</v>
      </c>
      <c r="O8" s="81"/>
      <c r="P8" s="290"/>
      <c r="Q8" s="213"/>
      <c r="R8" s="295">
        <f>'Natural gas boiler'!T41</f>
        <v>0</v>
      </c>
      <c r="S8" s="81">
        <f>'Natural gas boiler'!U41</f>
        <v>5</v>
      </c>
      <c r="T8" s="81">
        <f>'Natural gas boiler'!V41</f>
        <v>0.5</v>
      </c>
      <c r="U8" s="81">
        <f>'Natural gas boiler'!W41</f>
        <v>0</v>
      </c>
      <c r="V8" s="81">
        <f>'Natural gas boiler'!X41</f>
        <v>0</v>
      </c>
      <c r="Y8" s="81">
        <f>'Natural gas boiler'!M41</f>
        <v>0</v>
      </c>
      <c r="Z8" s="232"/>
      <c r="AC8" s="239" t="str">
        <f>"I"&amp;LEFT($AD$4,1)&amp;"DRH"</f>
        <v>IPDRH</v>
      </c>
      <c r="AD8" s="239" t="str">
        <f>"Industry "&amp;$AD$4&amp;" industry Demand Heat Room Heat"</f>
        <v>Industry Private Service industry Demand Heat Room Heat</v>
      </c>
    </row>
    <row r="9" spans="3:30">
      <c r="E9" s="239" t="s">
        <v>1274</v>
      </c>
      <c r="F9" s="176"/>
      <c r="G9" s="176"/>
      <c r="H9" s="81">
        <f>'Natural gas boiler'!J15</f>
        <v>2050</v>
      </c>
      <c r="I9" s="81"/>
      <c r="J9" s="81">
        <f>'Natural gas boiler'!$L$42*HLOOKUP(G6,$K$1:$M$2,2,FALSE)</f>
        <v>0.71399999999999997</v>
      </c>
      <c r="K9" s="81"/>
      <c r="L9" s="37">
        <f>('Natural gas boiler'!O42)/1000</f>
        <v>0.89400000000000013</v>
      </c>
      <c r="M9" s="37">
        <f>('Natural gas boiler'!P42)/1000</f>
        <v>2.98E-2</v>
      </c>
      <c r="N9" s="84">
        <f>'Natural gas boiler'!Q42</f>
        <v>14.9</v>
      </c>
      <c r="O9" s="81"/>
      <c r="P9" s="290"/>
      <c r="Q9" s="213"/>
      <c r="R9" s="295">
        <f>'Natural gas boiler'!T42</f>
        <v>0</v>
      </c>
      <c r="S9" s="81">
        <f>'Natural gas boiler'!U42</f>
        <v>5</v>
      </c>
      <c r="T9" s="81">
        <f>'Natural gas boiler'!V42</f>
        <v>0.5</v>
      </c>
      <c r="U9" s="81">
        <f>'Natural gas boiler'!W42</f>
        <v>0</v>
      </c>
      <c r="V9" s="81">
        <f>'Natural gas boiler'!X42</f>
        <v>0</v>
      </c>
      <c r="Y9" s="81">
        <f>'Natural gas boiler'!M42</f>
        <v>0</v>
      </c>
      <c r="Z9" s="232"/>
      <c r="AC9" s="36" t="str">
        <f>"I"&amp;LEFT($AD$4,1)&amp;"DLA"</f>
        <v>IPDLA</v>
      </c>
      <c r="AD9" s="239" t="str">
        <f>"Industry "&amp;$AD$4&amp;" industry Demand Light Appliances"</f>
        <v>Industry Private Service industry Demand Light Appliances</v>
      </c>
    </row>
    <row r="10" spans="3:30">
      <c r="C10" s="223" t="str">
        <f>"IND"&amp;RIGHT(G10,4)&amp;"GAS"&amp;"N"&amp;RIGHT(D10,1)</f>
        <v>INDPDMTGASN1</v>
      </c>
      <c r="D10" s="223" t="str">
        <f>"Industrial heating technology "&amp;$AD$4&amp;" "&amp;RIGHT(G10,2)&amp;" - gas boiler - new 1"</f>
        <v>Industrial heating technology Private Service MT - gas boiler - new 1</v>
      </c>
      <c r="E10" s="239" t="s">
        <v>1274</v>
      </c>
      <c r="F10" s="176" t="s">
        <v>527</v>
      </c>
      <c r="G10" s="239" t="str">
        <f>AC7</f>
        <v>IPDMT</v>
      </c>
      <c r="H10" s="81">
        <v>2011</v>
      </c>
      <c r="I10" s="81">
        <v>2011</v>
      </c>
      <c r="J10" s="81">
        <f>'Natural gas boiler'!$L$39*HLOOKUP(G10,$K$1:$M$2,2,FALSE)</f>
        <v>0.81600000000000006</v>
      </c>
      <c r="K10" s="81">
        <v>25</v>
      </c>
      <c r="L10" s="37">
        <v>0.94366666666666676</v>
      </c>
      <c r="M10" s="37">
        <v>2.98E-2</v>
      </c>
      <c r="N10" s="84">
        <v>14.9</v>
      </c>
      <c r="O10" s="82">
        <v>3.1536000000000002E-2</v>
      </c>
      <c r="P10" s="290">
        <v>0.5</v>
      </c>
      <c r="Q10" s="213"/>
      <c r="R10" s="295">
        <v>0</v>
      </c>
      <c r="S10" s="81">
        <v>20</v>
      </c>
      <c r="T10" s="81">
        <v>2</v>
      </c>
      <c r="U10" s="81">
        <v>0</v>
      </c>
      <c r="V10" s="81">
        <v>0</v>
      </c>
      <c r="Y10" s="81">
        <v>0</v>
      </c>
      <c r="Z10" s="232"/>
      <c r="AC10" s="239" t="str">
        <f>"I"&amp;LEFT($AD$4,1)&amp;"DEM"</f>
        <v>IPDEM</v>
      </c>
      <c r="AD10" s="239" t="str">
        <f>"Industry "&amp;$AD$4&amp;" industry Demand Electric Motors"</f>
        <v>Industry Private Service industry Demand Electric Motors</v>
      </c>
    </row>
    <row r="11" spans="3:30">
      <c r="E11" s="239" t="s">
        <v>1274</v>
      </c>
      <c r="H11" s="81">
        <v>2020</v>
      </c>
      <c r="I11" s="81"/>
      <c r="J11" s="81">
        <f>'Natural gas boiler'!$L$40*HLOOKUP(G10,$K$1:$M$2,2,FALSE)</f>
        <v>0.81600000000000006</v>
      </c>
      <c r="K11" s="81"/>
      <c r="L11" s="37">
        <v>0.91883333333333339</v>
      </c>
      <c r="M11" s="37">
        <v>2.98E-2</v>
      </c>
      <c r="N11" s="84">
        <v>14.9</v>
      </c>
      <c r="O11" s="81"/>
      <c r="P11" s="290"/>
      <c r="Q11" s="213"/>
      <c r="R11" s="295">
        <v>0</v>
      </c>
      <c r="S11" s="81">
        <v>10</v>
      </c>
      <c r="T11" s="81">
        <v>1</v>
      </c>
      <c r="U11" s="81">
        <v>0</v>
      </c>
      <c r="V11" s="81">
        <v>0</v>
      </c>
      <c r="Y11" s="81">
        <v>0</v>
      </c>
      <c r="Z11" s="232"/>
      <c r="AC11" s="239" t="str">
        <f>"I"&amp;LEFT($AD$4,1)&amp;"DTF"</f>
        <v>IPDTF</v>
      </c>
      <c r="AD11" s="239" t="str">
        <f>"Industry "&amp;$AD$4&amp;" industry Demand Tractors, Trucks, Fishing boats, Forest machines"</f>
        <v>Industry Private Service industry Demand Tractors, Trucks, Fishing boats, Forest machines</v>
      </c>
    </row>
    <row r="12" spans="3:30">
      <c r="E12" s="239" t="s">
        <v>1274</v>
      </c>
      <c r="H12" s="81">
        <v>2030</v>
      </c>
      <c r="I12" s="81"/>
      <c r="J12" s="81">
        <f>'Natural gas boiler'!$L$41*HLOOKUP(G10,$K$1:$M$2,2,FALSE)</f>
        <v>0.81600000000000006</v>
      </c>
      <c r="K12" s="81"/>
      <c r="L12" s="37">
        <v>0.89400000000000013</v>
      </c>
      <c r="M12" s="37">
        <v>2.98E-2</v>
      </c>
      <c r="N12" s="84">
        <v>14.9</v>
      </c>
      <c r="O12" s="81"/>
      <c r="P12" s="290"/>
      <c r="Q12" s="213"/>
      <c r="R12" s="295">
        <v>0</v>
      </c>
      <c r="S12" s="81">
        <v>5</v>
      </c>
      <c r="T12" s="81">
        <v>0.5</v>
      </c>
      <c r="U12" s="81">
        <v>0</v>
      </c>
      <c r="V12" s="81">
        <v>0</v>
      </c>
      <c r="Y12" s="81">
        <v>0</v>
      </c>
      <c r="Z12" s="232"/>
      <c r="AC12" s="239" t="str">
        <f>"I"&amp;LEFT($AD$4,1)&amp;"DFL"</f>
        <v>IPDFL</v>
      </c>
      <c r="AD12" s="239" t="str">
        <f>"Industry "&amp;$AD$4&amp;" industry Demand Forklifts"</f>
        <v>Industry Private Service industry Demand Forklifts</v>
      </c>
    </row>
    <row r="13" spans="3:30">
      <c r="E13" s="239" t="s">
        <v>1274</v>
      </c>
      <c r="H13" s="81">
        <v>2050</v>
      </c>
      <c r="I13" s="81"/>
      <c r="J13" s="81">
        <f>'Natural gas boiler'!$L$42*HLOOKUP(G10,$K$1:$M$2,2,FALSE)</f>
        <v>0.81600000000000006</v>
      </c>
      <c r="K13" s="81"/>
      <c r="L13" s="37">
        <v>0.89400000000000013</v>
      </c>
      <c r="M13" s="37">
        <v>2.98E-2</v>
      </c>
      <c r="N13" s="84">
        <v>14.9</v>
      </c>
      <c r="O13" s="81"/>
      <c r="P13" s="290"/>
      <c r="Q13" s="213"/>
      <c r="R13" s="295">
        <v>0</v>
      </c>
      <c r="S13" s="81">
        <v>5</v>
      </c>
      <c r="T13" s="81">
        <v>0.5</v>
      </c>
      <c r="U13" s="81">
        <v>0</v>
      </c>
      <c r="V13" s="81">
        <v>0</v>
      </c>
      <c r="Y13" s="81">
        <v>0</v>
      </c>
      <c r="Z13" s="232"/>
    </row>
    <row r="14" spans="3:30">
      <c r="C14" s="223" t="str">
        <f>"IND"&amp;RIGHT(G14,4)&amp;"GAS"&amp;"N"&amp;RIGHT(D14,1)</f>
        <v>INDPDRHGASN1</v>
      </c>
      <c r="D14" s="223" t="str">
        <f>"Industrial heating technology "&amp;$AD$4&amp;" "&amp;RIGHT(G14,2)&amp;" - gas boiler - new 1"</f>
        <v>Industrial heating technology Private Service RH - gas boiler - new 1</v>
      </c>
      <c r="E14" s="239" t="s">
        <v>1274</v>
      </c>
      <c r="F14" s="176" t="s">
        <v>527</v>
      </c>
      <c r="G14" s="239" t="str">
        <f>AC8</f>
        <v>IPDRH</v>
      </c>
      <c r="H14" s="81">
        <v>2011</v>
      </c>
      <c r="I14" s="81">
        <v>2011</v>
      </c>
      <c r="J14" s="81">
        <f>'Natural gas boiler'!$L$39*HLOOKUP(G14,$K$1:$M$2,2,FALSE)</f>
        <v>1.02</v>
      </c>
      <c r="K14" s="81">
        <v>25</v>
      </c>
      <c r="L14" s="37">
        <v>0.94366666666666676</v>
      </c>
      <c r="M14" s="37">
        <v>2.98E-2</v>
      </c>
      <c r="N14" s="84">
        <v>14.9</v>
      </c>
      <c r="O14" s="82">
        <v>3.1536000000000002E-2</v>
      </c>
      <c r="P14" s="290">
        <v>0.5</v>
      </c>
      <c r="Q14" s="213"/>
      <c r="R14" s="295">
        <v>0</v>
      </c>
      <c r="S14" s="81">
        <v>20</v>
      </c>
      <c r="T14" s="81">
        <v>2</v>
      </c>
      <c r="U14" s="81">
        <v>0</v>
      </c>
      <c r="V14" s="81">
        <v>0</v>
      </c>
      <c r="Y14" s="81">
        <v>0</v>
      </c>
      <c r="Z14" s="232"/>
    </row>
    <row r="15" spans="3:30">
      <c r="E15" s="239" t="s">
        <v>1274</v>
      </c>
      <c r="H15" s="81">
        <v>2020</v>
      </c>
      <c r="I15" s="81"/>
      <c r="J15" s="81">
        <f>'Natural gas boiler'!$L$40*HLOOKUP(G14,$K$1:$M$2,2,FALSE)</f>
        <v>1.02</v>
      </c>
      <c r="K15" s="81"/>
      <c r="L15" s="37">
        <v>0.91883333333333339</v>
      </c>
      <c r="M15" s="37">
        <v>2.98E-2</v>
      </c>
      <c r="N15" s="84">
        <v>14.9</v>
      </c>
      <c r="O15" s="81"/>
      <c r="P15" s="290"/>
      <c r="Q15" s="213"/>
      <c r="R15" s="295">
        <v>0</v>
      </c>
      <c r="S15" s="81">
        <v>10</v>
      </c>
      <c r="T15" s="81">
        <v>1</v>
      </c>
      <c r="U15" s="81">
        <v>0</v>
      </c>
      <c r="V15" s="81">
        <v>0</v>
      </c>
      <c r="Y15" s="81">
        <v>0</v>
      </c>
      <c r="Z15" s="232"/>
    </row>
    <row r="16" spans="3:30">
      <c r="E16" s="239" t="s">
        <v>1274</v>
      </c>
      <c r="H16" s="81">
        <v>2030</v>
      </c>
      <c r="I16" s="81"/>
      <c r="J16" s="81">
        <f>'Natural gas boiler'!$L$41*HLOOKUP(G14,$K$1:$M$2,2,FALSE)</f>
        <v>1.02</v>
      </c>
      <c r="K16" s="81"/>
      <c r="L16" s="37">
        <v>0.89400000000000013</v>
      </c>
      <c r="M16" s="37">
        <v>2.98E-2</v>
      </c>
      <c r="N16" s="84">
        <v>14.9</v>
      </c>
      <c r="O16" s="81"/>
      <c r="P16" s="290"/>
      <c r="Q16" s="213"/>
      <c r="R16" s="295">
        <v>0</v>
      </c>
      <c r="S16" s="81">
        <v>5</v>
      </c>
      <c r="T16" s="81">
        <v>0.5</v>
      </c>
      <c r="U16" s="81">
        <v>0</v>
      </c>
      <c r="V16" s="81">
        <v>0</v>
      </c>
      <c r="Y16" s="81">
        <v>0</v>
      </c>
      <c r="Z16" s="232"/>
    </row>
    <row r="17" spans="3:26">
      <c r="E17" s="239" t="s">
        <v>1274</v>
      </c>
      <c r="H17" s="81">
        <v>2050</v>
      </c>
      <c r="I17" s="81"/>
      <c r="J17" s="81">
        <f>'Natural gas boiler'!$L$42*HLOOKUP(G14,$K$1:$M$2,2,FALSE)</f>
        <v>1.02</v>
      </c>
      <c r="K17" s="81"/>
      <c r="L17" s="37">
        <v>0.89400000000000013</v>
      </c>
      <c r="M17" s="37">
        <v>2.98E-2</v>
      </c>
      <c r="N17" s="84">
        <v>14.9</v>
      </c>
      <c r="O17" s="81"/>
      <c r="P17" s="290"/>
      <c r="Q17" s="213"/>
      <c r="R17" s="295">
        <v>0</v>
      </c>
      <c r="S17" s="81">
        <v>5</v>
      </c>
      <c r="T17" s="81">
        <v>0.5</v>
      </c>
      <c r="U17" s="81">
        <v>0</v>
      </c>
      <c r="V17" s="81">
        <v>0</v>
      </c>
      <c r="Y17" s="81">
        <v>0</v>
      </c>
      <c r="Z17" s="232"/>
    </row>
    <row r="18" spans="3:26">
      <c r="C18" s="223" t="str">
        <f>"IND"&amp;RIGHT(G18,4)&amp;"DSL"&amp;"N"&amp;RIGHT(D18,1)</f>
        <v>INDPDRHDSLN1</v>
      </c>
      <c r="D18" s="278" t="str">
        <f>"Industrial heating technology "&amp;$AD$4&amp;" "&amp;RIGHT(G14,2)&amp;" - oil boiler - new 1"</f>
        <v>Industrial heating technology Private Service RH - oil boiler - new 1</v>
      </c>
      <c r="E18" s="239" t="s">
        <v>1274</v>
      </c>
      <c r="F18" s="176" t="s">
        <v>529</v>
      </c>
      <c r="G18" s="177" t="str">
        <f>AC8</f>
        <v>IPDRH</v>
      </c>
      <c r="H18" s="81">
        <v>2011</v>
      </c>
      <c r="I18" s="81">
        <v>2011</v>
      </c>
      <c r="J18" s="207">
        <f>'Oil-fired boiler'!$L$39*HLOOKUP(G18,$K$1:$M$2,2,FALSE)</f>
        <v>0.96</v>
      </c>
      <c r="K18" s="83">
        <v>20</v>
      </c>
      <c r="L18" s="37">
        <f>('Oil-fired boiler'!$O$39)/1000</f>
        <v>0.59599999999999997</v>
      </c>
      <c r="M18" s="37">
        <f>('Oil-fired boiler'!$P$39)/1000</f>
        <v>9.3124999999999996E-3</v>
      </c>
      <c r="N18" s="194">
        <f>'Oil-fired boiler'!$Q$39</f>
        <v>0</v>
      </c>
      <c r="O18" s="82">
        <v>3.1536000000000002E-2</v>
      </c>
      <c r="P18" s="290">
        <v>0.5</v>
      </c>
      <c r="Q18" s="213"/>
      <c r="R18" s="295">
        <v>0.5</v>
      </c>
      <c r="S18" s="81">
        <v>30</v>
      </c>
      <c r="T18" s="81">
        <v>0</v>
      </c>
      <c r="U18" s="81">
        <v>0</v>
      </c>
      <c r="V18" s="81">
        <v>0.03</v>
      </c>
      <c r="Y18" s="81">
        <v>0</v>
      </c>
      <c r="Z18" s="232"/>
    </row>
    <row r="19" spans="3:26">
      <c r="E19" s="239" t="s">
        <v>1274</v>
      </c>
      <c r="H19" s="83">
        <v>2020</v>
      </c>
      <c r="I19" s="83"/>
      <c r="J19" s="207">
        <f>'Oil-fired boiler'!$L$39*HLOOKUP(G18,$K$1:$M$2,2,FALSE)</f>
        <v>0.96</v>
      </c>
      <c r="K19" s="81"/>
      <c r="L19" s="37">
        <f>('Oil-fired boiler'!$O$40)/1000</f>
        <v>0.59599999999999997</v>
      </c>
      <c r="M19" s="37">
        <f>('Oil-fired boiler'!$P$40)/1000</f>
        <v>9.3124999999999996E-3</v>
      </c>
      <c r="N19" s="194">
        <f>'Oil-fired boiler'!$Q$40</f>
        <v>0</v>
      </c>
      <c r="O19" s="81"/>
      <c r="P19" s="290"/>
      <c r="Q19" s="213"/>
      <c r="R19" s="295">
        <v>0.5</v>
      </c>
      <c r="S19" s="81">
        <v>30</v>
      </c>
      <c r="T19" s="81">
        <v>0</v>
      </c>
      <c r="U19" s="81">
        <v>0</v>
      </c>
      <c r="V19" s="81">
        <v>0.03</v>
      </c>
      <c r="Y19" s="81">
        <v>0</v>
      </c>
      <c r="Z19" s="232"/>
    </row>
    <row r="20" spans="3:26">
      <c r="E20" s="239" t="s">
        <v>1274</v>
      </c>
      <c r="H20" s="83">
        <v>2030</v>
      </c>
      <c r="I20" s="83"/>
      <c r="J20" s="207">
        <f>'Oil-fired boiler'!$L$39*HLOOKUP(G18,$K$1:$M$2,2,FALSE)</f>
        <v>0.96</v>
      </c>
      <c r="K20" s="81"/>
      <c r="L20" s="37">
        <f>('Oil-fired boiler'!$O$41)/1000</f>
        <v>0.59599999999999997</v>
      </c>
      <c r="M20" s="37">
        <f>('Oil-fired boiler'!$P$41)/1000</f>
        <v>9.3124999999999996E-3</v>
      </c>
      <c r="N20" s="194">
        <f>'Oil-fired boiler'!$Q$41</f>
        <v>0</v>
      </c>
      <c r="O20" s="81"/>
      <c r="P20" s="290"/>
      <c r="Q20" s="213"/>
      <c r="R20" s="295">
        <v>0.5</v>
      </c>
      <c r="S20" s="81">
        <v>30</v>
      </c>
      <c r="T20" s="81">
        <v>0</v>
      </c>
      <c r="U20" s="81">
        <v>0</v>
      </c>
      <c r="V20" s="81">
        <v>0.03</v>
      </c>
      <c r="Y20" s="81">
        <v>0</v>
      </c>
      <c r="Z20" s="232"/>
    </row>
    <row r="21" spans="3:26">
      <c r="E21" s="239" t="s">
        <v>1274</v>
      </c>
      <c r="H21" s="83">
        <v>2050</v>
      </c>
      <c r="I21" s="83"/>
      <c r="J21" s="207">
        <f>'Oil-fired boiler'!$L$39*HLOOKUP(G18,$K$1:$M$2,2,FALSE)</f>
        <v>0.96</v>
      </c>
      <c r="K21" s="81"/>
      <c r="L21" s="37">
        <f>('Oil-fired boiler'!$O$42)/1000</f>
        <v>0.59599999999999997</v>
      </c>
      <c r="M21" s="37">
        <f>('Oil-fired boiler'!$P$42)/1000</f>
        <v>9.3124999999999996E-3</v>
      </c>
      <c r="N21" s="194">
        <f>'Oil-fired boiler'!$Q$42</f>
        <v>0</v>
      </c>
      <c r="O21" s="81"/>
      <c r="P21" s="290"/>
      <c r="Q21" s="213"/>
      <c r="R21" s="295">
        <v>0.5</v>
      </c>
      <c r="S21" s="81">
        <v>30</v>
      </c>
      <c r="T21" s="81">
        <v>0</v>
      </c>
      <c r="U21" s="81">
        <v>0</v>
      </c>
      <c r="V21" s="81">
        <v>0.03</v>
      </c>
      <c r="Y21" s="81">
        <v>0</v>
      </c>
      <c r="Z21" s="232"/>
    </row>
    <row r="22" spans="3:26">
      <c r="C22" s="223" t="str">
        <f>"IND"&amp;RIGHT(G22,4)&amp;"DSL"&amp;"N"&amp;RIGHT(D22,1)</f>
        <v>INDPDMTDSLN1</v>
      </c>
      <c r="D22" s="278" t="str">
        <f>"Industrial heating technology "&amp;$AD$4&amp;" "&amp;RIGHT(G22,2)&amp;" - oil boiler - new 1"</f>
        <v>Industrial heating technology Private Service MT - oil boiler - new 1</v>
      </c>
      <c r="E22" s="239" t="s">
        <v>1274</v>
      </c>
      <c r="F22" s="176" t="s">
        <v>529</v>
      </c>
      <c r="G22" s="177" t="str">
        <f>AC7</f>
        <v>IPDMT</v>
      </c>
      <c r="H22" s="81">
        <v>2011</v>
      </c>
      <c r="I22" s="81">
        <v>2011</v>
      </c>
      <c r="J22" s="207">
        <f>'Oil-fired boiler'!$L$39*HLOOKUP(G22,$K$1:$M$2,2,FALSE)</f>
        <v>0.76800000000000002</v>
      </c>
      <c r="K22" s="81">
        <v>20</v>
      </c>
      <c r="L22" s="37">
        <v>0.59599999999999997</v>
      </c>
      <c r="M22" s="37">
        <v>9.3124999999999996E-3</v>
      </c>
      <c r="N22" s="194">
        <v>0</v>
      </c>
      <c r="O22" s="81">
        <v>3.1536000000000002E-2</v>
      </c>
      <c r="P22" s="290">
        <v>0.5</v>
      </c>
      <c r="Q22" s="213"/>
      <c r="R22" s="295">
        <v>0.5</v>
      </c>
      <c r="S22" s="81">
        <v>30</v>
      </c>
      <c r="T22" s="81">
        <v>0</v>
      </c>
      <c r="U22" s="81">
        <v>0</v>
      </c>
      <c r="V22" s="81">
        <v>0.03</v>
      </c>
      <c r="Y22" s="81">
        <v>0</v>
      </c>
      <c r="Z22" s="232"/>
    </row>
    <row r="23" spans="3:26">
      <c r="E23" s="239" t="s">
        <v>1274</v>
      </c>
      <c r="H23" s="83">
        <v>2020</v>
      </c>
      <c r="I23" s="83"/>
      <c r="J23" s="207">
        <f>'Oil-fired boiler'!$L$39*HLOOKUP(G22,$K$1:$M$2,2,FALSE)</f>
        <v>0.76800000000000002</v>
      </c>
      <c r="K23" s="81"/>
      <c r="L23" s="37">
        <v>0.59599999999999997</v>
      </c>
      <c r="M23" s="37">
        <v>9.3124999999999996E-3</v>
      </c>
      <c r="N23" s="194">
        <v>0</v>
      </c>
      <c r="O23" s="81"/>
      <c r="P23" s="290"/>
      <c r="Q23" s="213"/>
      <c r="R23" s="295">
        <v>0.5</v>
      </c>
      <c r="S23" s="81">
        <v>30</v>
      </c>
      <c r="T23" s="81">
        <v>0</v>
      </c>
      <c r="U23" s="81">
        <v>0</v>
      </c>
      <c r="V23" s="81">
        <v>0.03</v>
      </c>
      <c r="Y23" s="81">
        <v>0</v>
      </c>
      <c r="Z23" s="232"/>
    </row>
    <row r="24" spans="3:26">
      <c r="E24" s="239" t="s">
        <v>1274</v>
      </c>
      <c r="H24" s="83">
        <v>2030</v>
      </c>
      <c r="I24" s="83"/>
      <c r="J24" s="207">
        <f>'Oil-fired boiler'!$L$39*HLOOKUP(G22,$K$1:$M$2,2,FALSE)</f>
        <v>0.76800000000000002</v>
      </c>
      <c r="K24" s="81"/>
      <c r="L24" s="37">
        <v>0.59599999999999997</v>
      </c>
      <c r="M24" s="37">
        <v>9.3124999999999996E-3</v>
      </c>
      <c r="N24" s="194">
        <v>0</v>
      </c>
      <c r="O24" s="81"/>
      <c r="P24" s="290"/>
      <c r="Q24" s="213"/>
      <c r="R24" s="295">
        <v>0.5</v>
      </c>
      <c r="S24" s="81">
        <v>30</v>
      </c>
      <c r="T24" s="81">
        <v>0</v>
      </c>
      <c r="U24" s="81">
        <v>0</v>
      </c>
      <c r="V24" s="81">
        <v>0.03</v>
      </c>
      <c r="Y24" s="81">
        <v>0</v>
      </c>
      <c r="Z24" s="232"/>
    </row>
    <row r="25" spans="3:26">
      <c r="E25" s="239" t="s">
        <v>1274</v>
      </c>
      <c r="H25" s="83">
        <v>2050</v>
      </c>
      <c r="I25" s="83"/>
      <c r="J25" s="207">
        <f>'Oil-fired boiler'!$L$39*HLOOKUP(G22,$K$1:$M$2,2,FALSE)</f>
        <v>0.76800000000000002</v>
      </c>
      <c r="K25" s="81"/>
      <c r="L25" s="37">
        <v>0.59599999999999997</v>
      </c>
      <c r="M25" s="37">
        <v>9.3124999999999996E-3</v>
      </c>
      <c r="N25" s="194">
        <v>0</v>
      </c>
      <c r="O25" s="81"/>
      <c r="P25" s="290"/>
      <c r="Q25" s="213"/>
      <c r="R25" s="295">
        <v>0.5</v>
      </c>
      <c r="S25" s="81">
        <v>30</v>
      </c>
      <c r="T25" s="81">
        <v>0</v>
      </c>
      <c r="U25" s="81">
        <v>0</v>
      </c>
      <c r="V25" s="81">
        <v>0.03</v>
      </c>
      <c r="Y25" s="81">
        <v>0</v>
      </c>
      <c r="Z25" s="232"/>
    </row>
    <row r="26" spans="3:26">
      <c r="C26" s="223" t="str">
        <f>"IND"&amp;RIGHT(G26,4)&amp;"DSL"&amp;"N"&amp;RIGHT(D26,1)</f>
        <v>INDPDHTDSLN1</v>
      </c>
      <c r="D26" s="278" t="str">
        <f>"Industrial heating technology "&amp;$AD$4&amp;" "&amp;RIGHT(G26,2)&amp;" - oil boiler - new 1"</f>
        <v>Industrial heating technology Private Service HT - oil boiler - new 1</v>
      </c>
      <c r="E26" s="239" t="s">
        <v>1274</v>
      </c>
      <c r="F26" s="176" t="s">
        <v>529</v>
      </c>
      <c r="G26" s="177" t="str">
        <f>AC6</f>
        <v>IPDHT</v>
      </c>
      <c r="H26" s="81">
        <v>2011</v>
      </c>
      <c r="I26" s="81">
        <v>2011</v>
      </c>
      <c r="J26" s="207">
        <f>'Oil-fired boiler'!$L$39*HLOOKUP(G26,$K$1:$M$2,2,FALSE)</f>
        <v>0.67199999999999993</v>
      </c>
      <c r="K26" s="81">
        <v>20</v>
      </c>
      <c r="L26" s="37">
        <v>0.59599999999999997</v>
      </c>
      <c r="M26" s="37">
        <v>9.3124999999999996E-3</v>
      </c>
      <c r="N26" s="194">
        <v>0</v>
      </c>
      <c r="O26" s="81">
        <v>3.1536000000000002E-2</v>
      </c>
      <c r="P26" s="290">
        <v>0.5</v>
      </c>
      <c r="Q26" s="213"/>
      <c r="R26" s="295">
        <v>0.5</v>
      </c>
      <c r="S26" s="81">
        <v>30</v>
      </c>
      <c r="T26" s="81">
        <v>0</v>
      </c>
      <c r="U26" s="81">
        <v>0</v>
      </c>
      <c r="V26" s="81">
        <v>0.03</v>
      </c>
      <c r="Y26" s="81"/>
      <c r="Z26" s="232"/>
    </row>
    <row r="27" spans="3:26">
      <c r="E27" s="239" t="s">
        <v>1274</v>
      </c>
      <c r="H27" s="83">
        <v>2020</v>
      </c>
      <c r="I27" s="83"/>
      <c r="J27" s="207">
        <f>'Oil-fired boiler'!$L$39*HLOOKUP(G26,$K$1:$M$2,2,FALSE)</f>
        <v>0.67199999999999993</v>
      </c>
      <c r="K27" s="81"/>
      <c r="L27" s="37">
        <v>0.59599999999999997</v>
      </c>
      <c r="M27" s="37">
        <v>9.3124999999999996E-3</v>
      </c>
      <c r="N27" s="194">
        <v>0</v>
      </c>
      <c r="O27" s="81"/>
      <c r="P27" s="290"/>
      <c r="Q27" s="213"/>
      <c r="R27" s="295">
        <v>0.5</v>
      </c>
      <c r="S27" s="81">
        <v>30</v>
      </c>
      <c r="T27" s="81">
        <v>0</v>
      </c>
      <c r="U27" s="81">
        <v>0</v>
      </c>
      <c r="V27" s="81">
        <v>0.03</v>
      </c>
      <c r="Y27" s="81"/>
      <c r="Z27" s="232"/>
    </row>
    <row r="28" spans="3:26">
      <c r="E28" s="239" t="s">
        <v>1274</v>
      </c>
      <c r="H28" s="83">
        <v>2030</v>
      </c>
      <c r="I28" s="83"/>
      <c r="J28" s="207">
        <f>'Oil-fired boiler'!$L$39*HLOOKUP(G26,$K$1:$M$2,2,FALSE)</f>
        <v>0.67199999999999993</v>
      </c>
      <c r="K28" s="81"/>
      <c r="L28" s="37">
        <v>0.59599999999999997</v>
      </c>
      <c r="M28" s="37">
        <v>9.3124999999999996E-3</v>
      </c>
      <c r="N28" s="194">
        <v>0</v>
      </c>
      <c r="O28" s="81"/>
      <c r="P28" s="290"/>
      <c r="Q28" s="213"/>
      <c r="R28" s="295">
        <v>0.5</v>
      </c>
      <c r="S28" s="81">
        <v>30</v>
      </c>
      <c r="T28" s="81">
        <v>0</v>
      </c>
      <c r="U28" s="81">
        <v>0</v>
      </c>
      <c r="V28" s="81">
        <v>0.03</v>
      </c>
      <c r="Y28" s="81"/>
      <c r="Z28" s="232"/>
    </row>
    <row r="29" spans="3:26">
      <c r="E29" s="239" t="s">
        <v>1274</v>
      </c>
      <c r="H29" s="83">
        <v>2050</v>
      </c>
      <c r="I29" s="83"/>
      <c r="J29" s="207">
        <f>'Oil-fired boiler'!$L$39*HLOOKUP(G26,$K$1:$M$2,2,FALSE)</f>
        <v>0.67199999999999993</v>
      </c>
      <c r="K29" s="81"/>
      <c r="L29" s="37">
        <v>0.59599999999999997</v>
      </c>
      <c r="M29" s="37">
        <v>9.3124999999999996E-3</v>
      </c>
      <c r="N29" s="194">
        <v>0</v>
      </c>
      <c r="O29" s="81"/>
      <c r="P29" s="290"/>
      <c r="Q29" s="213"/>
      <c r="R29" s="295">
        <v>0.5</v>
      </c>
      <c r="S29" s="81">
        <v>30</v>
      </c>
      <c r="T29" s="81">
        <v>0</v>
      </c>
      <c r="U29" s="81">
        <v>0</v>
      </c>
      <c r="V29" s="81">
        <v>0.03</v>
      </c>
      <c r="Y29" s="81"/>
      <c r="Z29" s="232"/>
    </row>
    <row r="30" spans="3:26">
      <c r="C30" s="223" t="str">
        <f>"IND"&amp;RIGHT(G30,4)&amp;RIGHT(F30,3)&amp;"N"&amp;RIGHT(D30,1)</f>
        <v>INDPDRHWPEN1</v>
      </c>
      <c r="D30" s="278" t="str">
        <f>"Industrial heating technology "&amp;$AD$4&amp;" "&amp;RIGHT(G30,2)&amp;" - biomass boiler automatic stoking, Pellets - new 1"</f>
        <v>Industrial heating technology Private Service RH - biomass boiler automatic stoking, Pellets - new 1</v>
      </c>
      <c r="E30" s="239" t="s">
        <v>1274</v>
      </c>
      <c r="F30" s="176" t="s">
        <v>498</v>
      </c>
      <c r="G30" s="177" t="str">
        <f>AC8</f>
        <v>IPDRH</v>
      </c>
      <c r="H30" s="81">
        <v>2020</v>
      </c>
      <c r="I30" s="81">
        <v>2011</v>
      </c>
      <c r="J30" s="81">
        <f>'Biomass boiler, automatic'!$L$39*HLOOKUP(G30,$K$1:$M$2,2,FALSE)</f>
        <v>0.85</v>
      </c>
      <c r="K30" s="81">
        <f>'Biomass boiler, automatic'!N39</f>
        <v>20</v>
      </c>
      <c r="L30" s="37">
        <f>('Biomass boiler, automatic'!O39)/1000</f>
        <v>1.4900000000000002</v>
      </c>
      <c r="M30" s="37">
        <f>('Biomass boiler, automatic'!P39)/1000</f>
        <v>4.6935000000000004E-2</v>
      </c>
      <c r="N30" s="194">
        <f>'Biomass boiler, automatic'!Q39</f>
        <v>0</v>
      </c>
      <c r="O30" s="82">
        <v>3.1536000000000002E-2</v>
      </c>
      <c r="P30" s="290">
        <v>0.5</v>
      </c>
      <c r="Q30" s="213"/>
      <c r="R30" s="295">
        <f>'Biomass boiler, automatic'!T39</f>
        <v>0</v>
      </c>
      <c r="S30" s="81">
        <f>'Biomass boiler, automatic'!U39</f>
        <v>90</v>
      </c>
      <c r="T30" s="81">
        <f>'Biomass boiler, automatic'!V39</f>
        <v>3</v>
      </c>
      <c r="U30" s="81">
        <f>'Biomass boiler, automatic'!W39</f>
        <v>0</v>
      </c>
      <c r="V30" s="81">
        <f>'Biomass boiler, automatic'!X39</f>
        <v>10</v>
      </c>
      <c r="Y30" s="81">
        <f>'Biomass boiler, automatic'!M39</f>
        <v>0</v>
      </c>
      <c r="Z30" s="232"/>
    </row>
    <row r="31" spans="3:26">
      <c r="E31" s="239" t="s">
        <v>1274</v>
      </c>
      <c r="H31" s="83">
        <v>2030</v>
      </c>
      <c r="I31" s="83"/>
      <c r="J31" s="81">
        <f>'Biomass boiler, automatic'!$L$40*HLOOKUP(G30,$K$1:$M$2,2,FALSE)</f>
        <v>0.87</v>
      </c>
      <c r="K31" s="81"/>
      <c r="L31" s="37">
        <f>('Biomass boiler, automatic'!O40)/1000</f>
        <v>1.4900000000000002</v>
      </c>
      <c r="M31" s="37">
        <f>('Biomass boiler, automatic'!P40)/1000</f>
        <v>4.6935000000000004E-2</v>
      </c>
      <c r="N31" s="194">
        <f>'Biomass boiler, automatic'!Q40</f>
        <v>0</v>
      </c>
      <c r="O31" s="81"/>
      <c r="P31" s="290"/>
      <c r="Q31" s="213"/>
      <c r="R31" s="295">
        <f>'Biomass boiler, automatic'!T40</f>
        <v>0</v>
      </c>
      <c r="S31" s="81">
        <f>'Biomass boiler, automatic'!U40</f>
        <v>70</v>
      </c>
      <c r="T31" s="81">
        <f>'Biomass boiler, automatic'!V40</f>
        <v>2</v>
      </c>
      <c r="U31" s="81">
        <f>'Biomass boiler, automatic'!W40</f>
        <v>0</v>
      </c>
      <c r="V31" s="81">
        <f>'Biomass boiler, automatic'!X40</f>
        <v>8</v>
      </c>
      <c r="Y31" s="81">
        <f>'Biomass boiler, automatic'!M40</f>
        <v>0</v>
      </c>
      <c r="Z31" s="232"/>
    </row>
    <row r="32" spans="3:26">
      <c r="E32" s="239" t="s">
        <v>1274</v>
      </c>
      <c r="H32" s="83">
        <v>2050</v>
      </c>
      <c r="I32" s="83"/>
      <c r="J32" s="81">
        <f>'Biomass boiler, automatic'!$L$41*HLOOKUP(G30,$K$1:$M$2,2,FALSE)</f>
        <v>0.91</v>
      </c>
      <c r="K32" s="81"/>
      <c r="L32" s="37">
        <f>('Biomass boiler, automatic'!O41)/1000</f>
        <v>1.4900000000000002</v>
      </c>
      <c r="M32" s="37">
        <f>('Biomass boiler, automatic'!P41)/1000</f>
        <v>5.2150000000000002E-2</v>
      </c>
      <c r="N32" s="194">
        <f>'Biomass boiler, automatic'!Q41</f>
        <v>0</v>
      </c>
      <c r="O32" s="81"/>
      <c r="P32" s="290"/>
      <c r="Q32" s="213"/>
      <c r="R32" s="295">
        <f>'Biomass boiler, automatic'!T41</f>
        <v>0</v>
      </c>
      <c r="S32" s="81">
        <f>'Biomass boiler, automatic'!U41</f>
        <v>50</v>
      </c>
      <c r="T32" s="81">
        <f>'Biomass boiler, automatic'!V41</f>
        <v>1</v>
      </c>
      <c r="U32" s="81">
        <f>'Biomass boiler, automatic'!W41</f>
        <v>0</v>
      </c>
      <c r="V32" s="81">
        <f>'Biomass boiler, automatic'!X41</f>
        <v>6</v>
      </c>
      <c r="Y32" s="81">
        <f>'Biomass boiler, automatic'!M41</f>
        <v>0</v>
      </c>
      <c r="Z32" s="232"/>
    </row>
    <row r="33" spans="3:29">
      <c r="E33" s="239" t="s">
        <v>1274</v>
      </c>
      <c r="H33" s="83">
        <f>'Biomass boiler, automatic'!J15</f>
        <v>2050</v>
      </c>
      <c r="I33" s="83"/>
      <c r="J33" s="81">
        <f>'Biomass boiler, automatic'!$L$42*HLOOKUP(G30,$K$1:$M$2,2,FALSE)</f>
        <v>0.95</v>
      </c>
      <c r="K33" s="81"/>
      <c r="L33" s="37">
        <f>('Biomass boiler, automatic'!O42)/1000</f>
        <v>1.4900000000000002</v>
      </c>
      <c r="M33" s="37">
        <f>('Biomass boiler, automatic'!P42)/1000</f>
        <v>5.96E-2</v>
      </c>
      <c r="N33" s="194">
        <f>'Biomass boiler, automatic'!Q42</f>
        <v>0</v>
      </c>
      <c r="O33" s="81"/>
      <c r="P33" s="290"/>
      <c r="Q33" s="213"/>
      <c r="R33" s="295">
        <f>'Biomass boiler, automatic'!T42</f>
        <v>0</v>
      </c>
      <c r="S33" s="81">
        <f>'Biomass boiler, automatic'!U42</f>
        <v>40</v>
      </c>
      <c r="T33" s="81">
        <f>'Biomass boiler, automatic'!V42</f>
        <v>0</v>
      </c>
      <c r="U33" s="81">
        <f>'Biomass boiler, automatic'!W42</f>
        <v>0</v>
      </c>
      <c r="V33" s="81">
        <f>'Biomass boiler, automatic'!X42</f>
        <v>4</v>
      </c>
      <c r="Y33" s="81">
        <f>'Biomass boiler, automatic'!M42</f>
        <v>0</v>
      </c>
      <c r="Z33" s="232"/>
      <c r="AC33" s="239">
        <v>1.1000000000000001</v>
      </c>
    </row>
    <row r="34" spans="3:29">
      <c r="C34" s="223" t="str">
        <f>"IND"&amp;RIGHT(G34,4)&amp;RIGHT(F34,3)&amp;"N"&amp;RIGHT(D34,1)</f>
        <v>INDPDHTWPEN1</v>
      </c>
      <c r="D34" s="278" t="str">
        <f>"Industrial heating technology "&amp;$AD$4&amp;" "&amp;RIGHT(G34,2)&amp;" - biomass boiler automatic stoking, Pellets - new 1"</f>
        <v>Industrial heating technology Private Service HT - biomass boiler automatic stoking, Pellets - new 1</v>
      </c>
      <c r="E34" s="239" t="s">
        <v>1274</v>
      </c>
      <c r="F34" s="176" t="s">
        <v>498</v>
      </c>
      <c r="G34" s="177" t="str">
        <f>AC6</f>
        <v>IPDHT</v>
      </c>
      <c r="H34" s="81">
        <v>2011</v>
      </c>
      <c r="I34" s="81">
        <v>2011</v>
      </c>
      <c r="J34" s="81">
        <f>'Biomass boiler, automatic'!$L$39*HLOOKUP(G34,$K$1:$M$2,2,FALSE)</f>
        <v>0.59499999999999997</v>
      </c>
      <c r="K34" s="81">
        <f>K30</f>
        <v>20</v>
      </c>
      <c r="L34" s="37">
        <f>L30</f>
        <v>1.4900000000000002</v>
      </c>
      <c r="M34" s="37">
        <f>M30</f>
        <v>4.6935000000000004E-2</v>
      </c>
      <c r="N34" s="194">
        <f>'Biomass boiler, automatic'!Q43</f>
        <v>0</v>
      </c>
      <c r="O34" s="82">
        <v>3.1536000000000002E-2</v>
      </c>
      <c r="P34" s="290">
        <v>0.5</v>
      </c>
      <c r="Q34" s="213"/>
      <c r="R34" s="295">
        <f>R30</f>
        <v>0</v>
      </c>
      <c r="S34" s="295">
        <f t="shared" ref="S34:V34" si="0">S30</f>
        <v>90</v>
      </c>
      <c r="T34" s="295">
        <f t="shared" si="0"/>
        <v>3</v>
      </c>
      <c r="U34" s="295">
        <f t="shared" si="0"/>
        <v>0</v>
      </c>
      <c r="V34" s="295">
        <f t="shared" si="0"/>
        <v>10</v>
      </c>
      <c r="Y34" s="81"/>
      <c r="Z34" s="232"/>
    </row>
    <row r="35" spans="3:29">
      <c r="E35" s="239" t="s">
        <v>1274</v>
      </c>
      <c r="H35" s="83">
        <f>H31</f>
        <v>2030</v>
      </c>
      <c r="I35" s="83"/>
      <c r="J35" s="81">
        <f>'Biomass boiler, automatic'!$L$40*HLOOKUP(G34,$K$1:$M$2,2,FALSE)</f>
        <v>0.60899999999999999</v>
      </c>
      <c r="K35" s="81"/>
      <c r="L35" s="37">
        <f t="shared" ref="L35:M37" si="1">L31</f>
        <v>1.4900000000000002</v>
      </c>
      <c r="M35" s="37">
        <f t="shared" si="1"/>
        <v>4.6935000000000004E-2</v>
      </c>
      <c r="N35" s="194">
        <f>'Biomass boiler, automatic'!Q44</f>
        <v>0</v>
      </c>
      <c r="O35" s="81"/>
      <c r="P35" s="290"/>
      <c r="Q35" s="213"/>
      <c r="R35" s="295">
        <f t="shared" ref="R35:V35" si="2">R31</f>
        <v>0</v>
      </c>
      <c r="S35" s="295">
        <f t="shared" si="2"/>
        <v>70</v>
      </c>
      <c r="T35" s="295">
        <f t="shared" si="2"/>
        <v>2</v>
      </c>
      <c r="U35" s="295">
        <f t="shared" si="2"/>
        <v>0</v>
      </c>
      <c r="V35" s="295">
        <f t="shared" si="2"/>
        <v>8</v>
      </c>
      <c r="Y35" s="81"/>
      <c r="Z35" s="232"/>
    </row>
    <row r="36" spans="3:29">
      <c r="E36" s="239" t="s">
        <v>1274</v>
      </c>
      <c r="H36" s="83">
        <f>H32</f>
        <v>2050</v>
      </c>
      <c r="I36" s="83"/>
      <c r="J36" s="81">
        <f>'Biomass boiler, automatic'!$L$41*HLOOKUP(G34,$K$1:$M$2,2,FALSE)</f>
        <v>0.63700000000000001</v>
      </c>
      <c r="K36" s="81"/>
      <c r="L36" s="37">
        <f t="shared" si="1"/>
        <v>1.4900000000000002</v>
      </c>
      <c r="M36" s="37">
        <f t="shared" si="1"/>
        <v>5.2150000000000002E-2</v>
      </c>
      <c r="N36" s="194">
        <f>'Biomass boiler, automatic'!Q45</f>
        <v>0</v>
      </c>
      <c r="O36" s="81"/>
      <c r="P36" s="290"/>
      <c r="Q36" s="213"/>
      <c r="R36" s="295">
        <f t="shared" ref="R36:V36" si="3">R32</f>
        <v>0</v>
      </c>
      <c r="S36" s="295">
        <f t="shared" si="3"/>
        <v>50</v>
      </c>
      <c r="T36" s="295">
        <f t="shared" si="3"/>
        <v>1</v>
      </c>
      <c r="U36" s="295">
        <f t="shared" si="3"/>
        <v>0</v>
      </c>
      <c r="V36" s="295">
        <f t="shared" si="3"/>
        <v>6</v>
      </c>
      <c r="Y36" s="81"/>
      <c r="Z36" s="232"/>
    </row>
    <row r="37" spans="3:29">
      <c r="E37" s="239" t="s">
        <v>1274</v>
      </c>
      <c r="H37" s="83">
        <f>H33</f>
        <v>2050</v>
      </c>
      <c r="I37" s="83"/>
      <c r="J37" s="81">
        <f>'Biomass boiler, automatic'!$L$42*HLOOKUP(G34,$K$1:$M$2,2,FALSE)</f>
        <v>0.66499999999999992</v>
      </c>
      <c r="K37" s="81"/>
      <c r="L37" s="37">
        <f t="shared" si="1"/>
        <v>1.4900000000000002</v>
      </c>
      <c r="M37" s="37">
        <f t="shared" si="1"/>
        <v>5.96E-2</v>
      </c>
      <c r="N37" s="194">
        <f>'Biomass boiler, automatic'!Q46</f>
        <v>0</v>
      </c>
      <c r="O37" s="81"/>
      <c r="P37" s="290"/>
      <c r="Q37" s="213"/>
      <c r="R37" s="295">
        <f t="shared" ref="R37:V37" si="4">R33</f>
        <v>0</v>
      </c>
      <c r="S37" s="295">
        <f t="shared" si="4"/>
        <v>40</v>
      </c>
      <c r="T37" s="295">
        <f t="shared" si="4"/>
        <v>0</v>
      </c>
      <c r="U37" s="295">
        <f t="shared" si="4"/>
        <v>0</v>
      </c>
      <c r="V37" s="295">
        <f t="shared" si="4"/>
        <v>4</v>
      </c>
      <c r="Y37" s="81"/>
      <c r="Z37" s="232"/>
    </row>
    <row r="38" spans="3:29">
      <c r="C38" s="223" t="str">
        <f>"IND"&amp;RIGHT(G38,4)&amp;RIGHT(F38,3)&amp;"N"&amp;RIGHT(D38,1)</f>
        <v>INDPDMTWPEN1</v>
      </c>
      <c r="D38" s="278" t="str">
        <f>"Industrial heating technology "&amp;$AD$4&amp;" "&amp;RIGHT(G38,2)&amp;" - biomass boiler automatic stoking, Pellets - new 1"</f>
        <v>Industrial heating technology Private Service MT - biomass boiler automatic stoking, Pellets - new 1</v>
      </c>
      <c r="E38" s="239" t="s">
        <v>1274</v>
      </c>
      <c r="F38" s="176" t="s">
        <v>498</v>
      </c>
      <c r="G38" s="239" t="str">
        <f>AC7</f>
        <v>IPDMT</v>
      </c>
      <c r="H38" s="81">
        <v>2011</v>
      </c>
      <c r="I38" s="81">
        <v>2011</v>
      </c>
      <c r="J38" s="81">
        <f>'Biomass boiler, automatic'!$L$39*HLOOKUP(G38,$K$1:$M$2,2,FALSE)</f>
        <v>0.68</v>
      </c>
      <c r="K38" s="81">
        <v>20</v>
      </c>
      <c r="L38" s="37">
        <v>1.4900000000000002</v>
      </c>
      <c r="M38" s="37">
        <v>4.6935000000000004E-2</v>
      </c>
      <c r="N38" s="194">
        <v>0</v>
      </c>
      <c r="O38" s="81">
        <v>3.1536000000000002E-2</v>
      </c>
      <c r="P38" s="290">
        <v>0.5</v>
      </c>
      <c r="Q38" s="213"/>
      <c r="R38" s="295">
        <v>0</v>
      </c>
      <c r="S38" s="81">
        <v>90</v>
      </c>
      <c r="T38" s="81">
        <v>3</v>
      </c>
      <c r="U38" s="81">
        <v>0</v>
      </c>
      <c r="V38" s="81">
        <v>10</v>
      </c>
      <c r="Y38" s="81">
        <v>0</v>
      </c>
      <c r="Z38" s="232"/>
    </row>
    <row r="39" spans="3:29">
      <c r="E39" s="239" t="s">
        <v>1274</v>
      </c>
      <c r="H39" s="83">
        <v>2020</v>
      </c>
      <c r="I39" s="83"/>
      <c r="J39" s="81">
        <f>'Biomass boiler, automatic'!$L$40*HLOOKUP(G38,$K$1:$M$2,2,FALSE)</f>
        <v>0.69600000000000006</v>
      </c>
      <c r="K39" s="81"/>
      <c r="L39" s="37">
        <v>1.4900000000000002</v>
      </c>
      <c r="M39" s="37">
        <v>4.6935000000000004E-2</v>
      </c>
      <c r="N39" s="194">
        <v>0</v>
      </c>
      <c r="O39" s="81"/>
      <c r="P39" s="290"/>
      <c r="Q39" s="213"/>
      <c r="R39" s="295">
        <v>0</v>
      </c>
      <c r="S39" s="81">
        <v>70</v>
      </c>
      <c r="T39" s="81">
        <v>2</v>
      </c>
      <c r="U39" s="81">
        <v>0</v>
      </c>
      <c r="V39" s="81">
        <v>8</v>
      </c>
      <c r="Y39" s="81">
        <v>0</v>
      </c>
      <c r="Z39" s="232"/>
    </row>
    <row r="40" spans="3:29">
      <c r="E40" s="239" t="s">
        <v>1274</v>
      </c>
      <c r="H40" s="83">
        <v>2030</v>
      </c>
      <c r="I40" s="83"/>
      <c r="J40" s="81">
        <f>'Biomass boiler, automatic'!$L$41*HLOOKUP(G38,$K$1:$M$2,2,FALSE)</f>
        <v>0.72800000000000009</v>
      </c>
      <c r="K40" s="81"/>
      <c r="L40" s="37">
        <v>1.4900000000000002</v>
      </c>
      <c r="M40" s="37">
        <v>5.2150000000000002E-2</v>
      </c>
      <c r="N40" s="194">
        <v>0</v>
      </c>
      <c r="O40" s="81"/>
      <c r="P40" s="290"/>
      <c r="Q40" s="213"/>
      <c r="R40" s="295">
        <v>0</v>
      </c>
      <c r="S40" s="81">
        <v>50</v>
      </c>
      <c r="T40" s="81">
        <v>1</v>
      </c>
      <c r="U40" s="81">
        <v>0</v>
      </c>
      <c r="V40" s="81">
        <v>6</v>
      </c>
      <c r="Y40" s="81">
        <v>0</v>
      </c>
      <c r="Z40" s="232"/>
    </row>
    <row r="41" spans="3:29">
      <c r="E41" s="239" t="s">
        <v>1274</v>
      </c>
      <c r="H41" s="83">
        <v>2050</v>
      </c>
      <c r="I41" s="83"/>
      <c r="J41" s="81">
        <f>'Biomass boiler, automatic'!$L$42*HLOOKUP(G38,$K$1:$M$2,2,FALSE)</f>
        <v>0.76</v>
      </c>
      <c r="K41" s="81"/>
      <c r="L41" s="37">
        <v>1.4900000000000002</v>
      </c>
      <c r="M41" s="37">
        <v>5.96E-2</v>
      </c>
      <c r="N41" s="194">
        <v>0</v>
      </c>
      <c r="O41" s="81"/>
      <c r="P41" s="290"/>
      <c r="Q41" s="213"/>
      <c r="R41" s="295">
        <v>0</v>
      </c>
      <c r="S41" s="81">
        <v>40</v>
      </c>
      <c r="T41" s="81">
        <v>0</v>
      </c>
      <c r="U41" s="81">
        <v>0</v>
      </c>
      <c r="V41" s="81">
        <v>4</v>
      </c>
      <c r="Y41" s="81">
        <v>0</v>
      </c>
      <c r="Z41" s="232"/>
    </row>
    <row r="42" spans="3:29">
      <c r="C42" s="223" t="str">
        <f>"IND"&amp;RIGHT(G42,4)&amp;RIGHT(F42,3)&amp;"N"&amp;RIGHT(D42,1)</f>
        <v>INDPDRHWCHN1</v>
      </c>
      <c r="D42" s="278" t="str">
        <f>"Industrial heating technology "&amp;$AD$4&amp;" "&amp;RIGHT(G42,2)&amp;" - Wood Chips boiler, Pellets - new 1"</f>
        <v>Industrial heating technology Private Service RH - Wood Chips boiler, Pellets - new 1</v>
      </c>
      <c r="E42" s="239" t="s">
        <v>1274</v>
      </c>
      <c r="F42" s="239" t="s">
        <v>499</v>
      </c>
      <c r="G42" s="177" t="str">
        <f>AC8</f>
        <v>IPDRH</v>
      </c>
      <c r="H42" s="81">
        <v>2011</v>
      </c>
      <c r="I42" s="81">
        <v>2011</v>
      </c>
      <c r="J42" s="206">
        <f>'DHB Wood-Chips'!$L$12*HLOOKUP(G42,$K$1:$M$2,2,FALSE)</f>
        <v>1.08</v>
      </c>
      <c r="K42" s="81">
        <f>'DHB Wood-Chips'!N12</f>
        <v>20</v>
      </c>
      <c r="L42" s="37">
        <f>'DHB Wood-Chips'!O12/1000</f>
        <v>5.9600000000000009</v>
      </c>
      <c r="M42" s="37">
        <f>'DHB Wood-Chips'!P12/1000</f>
        <v>5.5875000000000005E-3</v>
      </c>
      <c r="N42" s="272">
        <f>'DHB Wood-Chips'!Q12</f>
        <v>5.5875000000000004</v>
      </c>
      <c r="O42" s="82">
        <v>3.1536000000000002E-2</v>
      </c>
      <c r="P42" s="290">
        <v>0.5</v>
      </c>
      <c r="Q42" s="213"/>
      <c r="R42" s="295">
        <f>'DHB Wood-Chips'!T12</f>
        <v>1.9</v>
      </c>
      <c r="S42" s="81">
        <f>'DHB Wood-Chips'!U12</f>
        <v>81</v>
      </c>
      <c r="T42" s="81">
        <f>'DHB Wood-Chips'!V12</f>
        <v>6.1</v>
      </c>
      <c r="U42" s="81">
        <f>'DHB Wood-Chips'!W12</f>
        <v>0.8</v>
      </c>
      <c r="V42" s="81">
        <f>'DHB Wood-Chips'!X12</f>
        <v>0</v>
      </c>
      <c r="Y42" s="81"/>
      <c r="Z42" s="232"/>
    </row>
    <row r="43" spans="3:29">
      <c r="E43" s="239" t="s">
        <v>1274</v>
      </c>
      <c r="H43" s="83">
        <f>'DHB Wood-Chips'!J13</f>
        <v>2020</v>
      </c>
      <c r="I43" s="83"/>
      <c r="J43" s="206">
        <f>'DHB Wood-Chips'!$L$13*HLOOKUP(G42,$K$1:$M$2,2,FALSE)</f>
        <v>1.08</v>
      </c>
      <c r="K43" s="81"/>
      <c r="L43" s="37">
        <f>'DHB Wood-Chips'!O13/1000</f>
        <v>5.9600000000000009</v>
      </c>
      <c r="M43" s="37">
        <f>'DHB Wood-Chips'!P13/1000</f>
        <v>5.5875000000000005E-3</v>
      </c>
      <c r="N43" s="272">
        <f>'DHB Wood-Chips'!Q13</f>
        <v>5.5875000000000004</v>
      </c>
      <c r="O43" s="81"/>
      <c r="P43" s="290"/>
      <c r="Q43" s="213"/>
      <c r="R43" s="295">
        <f>'DHB Wood-Chips'!T13</f>
        <v>1.9</v>
      </c>
      <c r="S43" s="81">
        <f>'DHB Wood-Chips'!U13</f>
        <v>81</v>
      </c>
      <c r="T43" s="81">
        <f>'DHB Wood-Chips'!V13</f>
        <v>6.1</v>
      </c>
      <c r="U43" s="81">
        <f>'DHB Wood-Chips'!W13</f>
        <v>0.8</v>
      </c>
      <c r="V43" s="81">
        <f>'DHB Wood-Chips'!X13</f>
        <v>0</v>
      </c>
      <c r="Y43" s="81"/>
      <c r="Z43" s="232"/>
    </row>
    <row r="44" spans="3:29">
      <c r="E44" s="239" t="s">
        <v>1274</v>
      </c>
      <c r="H44" s="83">
        <f>'DHB Wood-Chips'!J14</f>
        <v>2030</v>
      </c>
      <c r="I44" s="83"/>
      <c r="J44" s="206">
        <f>'DHB Wood-Chips'!$L$14*HLOOKUP(G42,$K$1:$M$2,2,FALSE)</f>
        <v>1.08</v>
      </c>
      <c r="K44" s="81"/>
      <c r="L44" s="37">
        <f>'DHB Wood-Chips'!O14/1000</f>
        <v>5.9600000000000009</v>
      </c>
      <c r="M44" s="37">
        <f>'DHB Wood-Chips'!P14/1000</f>
        <v>5.5875000000000005E-3</v>
      </c>
      <c r="N44" s="272">
        <f>'DHB Wood-Chips'!Q14</f>
        <v>5.5875000000000004</v>
      </c>
      <c r="O44" s="81"/>
      <c r="P44" s="290"/>
      <c r="Q44" s="213"/>
      <c r="R44" s="295">
        <f>'DHB Wood-Chips'!T14</f>
        <v>1.9</v>
      </c>
      <c r="S44" s="81">
        <f>'DHB Wood-Chips'!U14</f>
        <v>81</v>
      </c>
      <c r="T44" s="81">
        <f>'DHB Wood-Chips'!V14</f>
        <v>6.1</v>
      </c>
      <c r="U44" s="81">
        <f>'DHB Wood-Chips'!W14</f>
        <v>0.8</v>
      </c>
      <c r="V44" s="81">
        <f>'DHB Wood-Chips'!X14</f>
        <v>0</v>
      </c>
      <c r="Y44" s="81"/>
      <c r="Z44" s="232"/>
    </row>
    <row r="45" spans="3:29">
      <c r="E45" s="239" t="s">
        <v>1274</v>
      </c>
      <c r="H45" s="83">
        <f>'DHB Wood-Chips'!J15</f>
        <v>2050</v>
      </c>
      <c r="I45" s="83"/>
      <c r="J45" s="206">
        <f>'DHB Wood-Chips'!$L$15*HLOOKUP(G42,$K$1:$M$2,2,FALSE)</f>
        <v>1.08</v>
      </c>
      <c r="K45" s="81"/>
      <c r="L45" s="37">
        <f>'DHB Wood-Chips'!O15/1000</f>
        <v>5.9600000000000009</v>
      </c>
      <c r="M45" s="37">
        <f>'DHB Wood-Chips'!P15/1000</f>
        <v>5.5875000000000005E-3</v>
      </c>
      <c r="N45" s="272">
        <f>'DHB Wood-Chips'!Q15</f>
        <v>5.5875000000000004</v>
      </c>
      <c r="O45" s="81"/>
      <c r="P45" s="290"/>
      <c r="Q45" s="213"/>
      <c r="R45" s="295">
        <f>'DHB Wood-Chips'!T15</f>
        <v>1.9</v>
      </c>
      <c r="S45" s="81">
        <f>'DHB Wood-Chips'!U15</f>
        <v>81</v>
      </c>
      <c r="T45" s="81">
        <f>'DHB Wood-Chips'!V15</f>
        <v>6.1</v>
      </c>
      <c r="U45" s="81">
        <f>'DHB Wood-Chips'!W15</f>
        <v>0.8</v>
      </c>
      <c r="V45" s="81">
        <f>'DHB Wood-Chips'!X15</f>
        <v>0</v>
      </c>
      <c r="Y45" s="81"/>
      <c r="Z45" s="232"/>
    </row>
    <row r="46" spans="3:29">
      <c r="C46" s="223" t="str">
        <f>"IND"&amp;RIGHT(G46,4)&amp;RIGHT(F46,3)&amp;"N"&amp;RIGHT(D46,1)</f>
        <v>INDPDHTWCHN1</v>
      </c>
      <c r="D46" s="278" t="str">
        <f>"Industrial heating technology "&amp;$AD$4&amp;" "&amp;RIGHT(G46,2)&amp;" - Wood Chips boiler, Pellets - new 1"</f>
        <v>Industrial heating technology Private Service HT - Wood Chips boiler, Pellets - new 1</v>
      </c>
      <c r="E46" s="239" t="s">
        <v>1274</v>
      </c>
      <c r="F46" s="239" t="s">
        <v>499</v>
      </c>
      <c r="G46" s="177" t="str">
        <f>AC6</f>
        <v>IPDHT</v>
      </c>
      <c r="H46" s="81">
        <v>2011</v>
      </c>
      <c r="I46" s="81">
        <v>2011</v>
      </c>
      <c r="J46" s="206">
        <f>'DHB Wood-Chips'!$L$12*HLOOKUP(G46,$K$1:$M$2,2,FALSE)</f>
        <v>0.75600000000000001</v>
      </c>
      <c r="K46" s="81">
        <f t="shared" ref="K46:P46" si="5">K42</f>
        <v>20</v>
      </c>
      <c r="L46" s="37">
        <f t="shared" si="5"/>
        <v>5.9600000000000009</v>
      </c>
      <c r="M46" s="37">
        <f t="shared" si="5"/>
        <v>5.5875000000000005E-3</v>
      </c>
      <c r="N46" s="272">
        <f t="shared" si="5"/>
        <v>5.5875000000000004</v>
      </c>
      <c r="O46" s="82">
        <f t="shared" si="5"/>
        <v>3.1536000000000002E-2</v>
      </c>
      <c r="P46" s="290">
        <f t="shared" si="5"/>
        <v>0.5</v>
      </c>
      <c r="Q46" s="213"/>
      <c r="R46" s="295">
        <f>R42</f>
        <v>1.9</v>
      </c>
      <c r="S46" s="295">
        <f t="shared" ref="S46:V46" si="6">S42</f>
        <v>81</v>
      </c>
      <c r="T46" s="295">
        <f t="shared" si="6"/>
        <v>6.1</v>
      </c>
      <c r="U46" s="295">
        <f t="shared" si="6"/>
        <v>0.8</v>
      </c>
      <c r="V46" s="295">
        <f t="shared" si="6"/>
        <v>0</v>
      </c>
      <c r="Y46" s="81"/>
      <c r="Z46" s="232"/>
    </row>
    <row r="47" spans="3:29">
      <c r="E47" s="239" t="s">
        <v>1274</v>
      </c>
      <c r="H47" s="83">
        <f t="shared" ref="H47:H49" si="7">H43</f>
        <v>2020</v>
      </c>
      <c r="I47" s="83"/>
      <c r="J47" s="206">
        <f>'DHB Wood-Chips'!$L$13*HLOOKUP(G46,$K$1:$M$2,2,FALSE)</f>
        <v>0.75600000000000001</v>
      </c>
      <c r="K47" s="81"/>
      <c r="L47" s="37">
        <f t="shared" ref="L47:N47" si="8">L43</f>
        <v>5.9600000000000009</v>
      </c>
      <c r="M47" s="37">
        <f t="shared" si="8"/>
        <v>5.5875000000000005E-3</v>
      </c>
      <c r="N47" s="272">
        <f t="shared" si="8"/>
        <v>5.5875000000000004</v>
      </c>
      <c r="O47" s="81"/>
      <c r="P47" s="290"/>
      <c r="Q47" s="213"/>
      <c r="R47" s="295">
        <f t="shared" ref="R47:V47" si="9">R43</f>
        <v>1.9</v>
      </c>
      <c r="S47" s="295">
        <f t="shared" si="9"/>
        <v>81</v>
      </c>
      <c r="T47" s="295">
        <f t="shared" si="9"/>
        <v>6.1</v>
      </c>
      <c r="U47" s="295">
        <f t="shared" si="9"/>
        <v>0.8</v>
      </c>
      <c r="V47" s="295">
        <f t="shared" si="9"/>
        <v>0</v>
      </c>
      <c r="Y47" s="81"/>
      <c r="Z47" s="232"/>
    </row>
    <row r="48" spans="3:29">
      <c r="E48" s="239" t="s">
        <v>1274</v>
      </c>
      <c r="H48" s="83">
        <f t="shared" si="7"/>
        <v>2030</v>
      </c>
      <c r="I48" s="83"/>
      <c r="J48" s="206">
        <f>'DHB Wood-Chips'!$L$14*HLOOKUP(G46,$K$1:$M$2,2,FALSE)</f>
        <v>0.75600000000000001</v>
      </c>
      <c r="K48" s="81"/>
      <c r="L48" s="37">
        <f t="shared" ref="L48:N48" si="10">L44</f>
        <v>5.9600000000000009</v>
      </c>
      <c r="M48" s="37">
        <f t="shared" si="10"/>
        <v>5.5875000000000005E-3</v>
      </c>
      <c r="N48" s="272">
        <f t="shared" si="10"/>
        <v>5.5875000000000004</v>
      </c>
      <c r="O48" s="81"/>
      <c r="P48" s="290"/>
      <c r="Q48" s="213"/>
      <c r="R48" s="295">
        <f t="shared" ref="R48:V48" si="11">R44</f>
        <v>1.9</v>
      </c>
      <c r="S48" s="295">
        <f t="shared" si="11"/>
        <v>81</v>
      </c>
      <c r="T48" s="295">
        <f t="shared" si="11"/>
        <v>6.1</v>
      </c>
      <c r="U48" s="295">
        <f t="shared" si="11"/>
        <v>0.8</v>
      </c>
      <c r="V48" s="295">
        <f t="shared" si="11"/>
        <v>0</v>
      </c>
      <c r="Y48" s="81"/>
      <c r="Z48" s="232"/>
    </row>
    <row r="49" spans="3:26">
      <c r="E49" s="239" t="s">
        <v>1274</v>
      </c>
      <c r="H49" s="83">
        <f t="shared" si="7"/>
        <v>2050</v>
      </c>
      <c r="I49" s="83"/>
      <c r="J49" s="206">
        <f>'DHB Wood-Chips'!$L$15*HLOOKUP(G46,$K$1:$M$2,2,FALSE)</f>
        <v>0.75600000000000001</v>
      </c>
      <c r="K49" s="81"/>
      <c r="L49" s="37">
        <f t="shared" ref="L49:N49" si="12">L45</f>
        <v>5.9600000000000009</v>
      </c>
      <c r="M49" s="37">
        <f t="shared" si="12"/>
        <v>5.5875000000000005E-3</v>
      </c>
      <c r="N49" s="272">
        <f t="shared" si="12"/>
        <v>5.5875000000000004</v>
      </c>
      <c r="O49" s="81"/>
      <c r="P49" s="290"/>
      <c r="Q49" s="213"/>
      <c r="R49" s="295">
        <f t="shared" ref="R49:V49" si="13">R45</f>
        <v>1.9</v>
      </c>
      <c r="S49" s="295">
        <f t="shared" si="13"/>
        <v>81</v>
      </c>
      <c r="T49" s="295">
        <f t="shared" si="13"/>
        <v>6.1</v>
      </c>
      <c r="U49" s="295">
        <f t="shared" si="13"/>
        <v>0.8</v>
      </c>
      <c r="V49" s="295">
        <f t="shared" si="13"/>
        <v>0</v>
      </c>
      <c r="Y49" s="81"/>
      <c r="Z49" s="232"/>
    </row>
    <row r="50" spans="3:26">
      <c r="C50" s="223" t="str">
        <f>"IND"&amp;RIGHT(G50,4)&amp;RIGHT(F50,3)&amp;"N"&amp;RIGHT(D50,1)</f>
        <v>INDPDMTWCHN1</v>
      </c>
      <c r="D50" s="278" t="str">
        <f>"Industrial heating technology "&amp;$AD$4&amp;" "&amp;RIGHT(G50,2)&amp;" - Wood Chips boiler, Pellets - new 1"</f>
        <v>Industrial heating technology Private Service MT - Wood Chips boiler, Pellets - new 1</v>
      </c>
      <c r="E50" s="239" t="s">
        <v>1274</v>
      </c>
      <c r="F50" s="239" t="s">
        <v>499</v>
      </c>
      <c r="G50" s="239" t="str">
        <f>AC7</f>
        <v>IPDMT</v>
      </c>
      <c r="H50" s="81">
        <v>2011</v>
      </c>
      <c r="I50" s="81">
        <v>2011</v>
      </c>
      <c r="J50" s="206">
        <f>'DHB Wood-Chips'!$L$12*HLOOKUP(G50,$K$1:$M$2,2,FALSE)</f>
        <v>0.8640000000000001</v>
      </c>
      <c r="K50" s="81">
        <v>20</v>
      </c>
      <c r="L50" s="37">
        <v>5.9600000000000009</v>
      </c>
      <c r="M50" s="37">
        <f>M46</f>
        <v>5.5875000000000005E-3</v>
      </c>
      <c r="N50" s="272">
        <f>N46</f>
        <v>5.5875000000000004</v>
      </c>
      <c r="O50" s="206">
        <f>O46</f>
        <v>3.1536000000000002E-2</v>
      </c>
      <c r="P50" s="290">
        <v>0.5</v>
      </c>
      <c r="Q50" s="213"/>
      <c r="R50" s="295">
        <v>1.9</v>
      </c>
      <c r="S50" s="81">
        <v>81</v>
      </c>
      <c r="T50" s="81">
        <v>6.1</v>
      </c>
      <c r="U50" s="81">
        <v>0.8</v>
      </c>
      <c r="V50" s="81">
        <v>0</v>
      </c>
      <c r="Y50" s="81"/>
      <c r="Z50" s="232"/>
    </row>
    <row r="51" spans="3:26">
      <c r="E51" s="239" t="s">
        <v>1274</v>
      </c>
      <c r="H51" s="83">
        <v>2020</v>
      </c>
      <c r="I51" s="83"/>
      <c r="J51" s="206">
        <f>'DHB Wood-Chips'!$L$13*HLOOKUP(G50,$K$1:$M$2,2,FALSE)</f>
        <v>0.8640000000000001</v>
      </c>
      <c r="K51" s="81"/>
      <c r="L51" s="37">
        <v>5.9600000000000009</v>
      </c>
      <c r="M51" s="37">
        <f t="shared" ref="M51:N53" si="14">M47</f>
        <v>5.5875000000000005E-3</v>
      </c>
      <c r="N51" s="272">
        <f t="shared" si="14"/>
        <v>5.5875000000000004</v>
      </c>
      <c r="O51" s="81"/>
      <c r="P51" s="290"/>
      <c r="Q51" s="213"/>
      <c r="R51" s="295">
        <v>1.9</v>
      </c>
      <c r="S51" s="81">
        <v>81</v>
      </c>
      <c r="T51" s="81">
        <v>6.1</v>
      </c>
      <c r="U51" s="81">
        <v>0.8</v>
      </c>
      <c r="V51" s="81">
        <v>0</v>
      </c>
      <c r="Y51" s="81"/>
      <c r="Z51" s="232"/>
    </row>
    <row r="52" spans="3:26">
      <c r="E52" s="239" t="s">
        <v>1274</v>
      </c>
      <c r="H52" s="83">
        <v>2030</v>
      </c>
      <c r="I52" s="83"/>
      <c r="J52" s="206">
        <f>'DHB Wood-Chips'!$L$14*HLOOKUP(G50,$K$1:$M$2,2,FALSE)</f>
        <v>0.8640000000000001</v>
      </c>
      <c r="K52" s="81"/>
      <c r="L52" s="37">
        <v>5.9600000000000009</v>
      </c>
      <c r="M52" s="37">
        <f t="shared" si="14"/>
        <v>5.5875000000000005E-3</v>
      </c>
      <c r="N52" s="272">
        <f t="shared" si="14"/>
        <v>5.5875000000000004</v>
      </c>
      <c r="O52" s="81"/>
      <c r="P52" s="290"/>
      <c r="Q52" s="213"/>
      <c r="R52" s="295">
        <v>1.9</v>
      </c>
      <c r="S52" s="81">
        <v>81</v>
      </c>
      <c r="T52" s="81">
        <v>6.1</v>
      </c>
      <c r="U52" s="81">
        <v>0.8</v>
      </c>
      <c r="V52" s="81">
        <v>0</v>
      </c>
      <c r="Y52" s="81"/>
      <c r="Z52" s="232"/>
    </row>
    <row r="53" spans="3:26">
      <c r="E53" s="239" t="s">
        <v>1274</v>
      </c>
      <c r="H53" s="83">
        <v>2050</v>
      </c>
      <c r="I53" s="83"/>
      <c r="J53" s="206">
        <f>'DHB Wood-Chips'!$L$15*HLOOKUP(G50,$K$1:$M$2,2,FALSE)</f>
        <v>0.8640000000000001</v>
      </c>
      <c r="K53" s="81"/>
      <c r="L53" s="37">
        <v>5.9600000000000009</v>
      </c>
      <c r="M53" s="37">
        <f t="shared" si="14"/>
        <v>5.5875000000000005E-3</v>
      </c>
      <c r="N53" s="272">
        <f t="shared" si="14"/>
        <v>5.5875000000000004</v>
      </c>
      <c r="O53" s="81"/>
      <c r="P53" s="290"/>
      <c r="Q53" s="213"/>
      <c r="R53" s="295">
        <v>1.9</v>
      </c>
      <c r="S53" s="81">
        <v>81</v>
      </c>
      <c r="T53" s="81">
        <v>6.1</v>
      </c>
      <c r="U53" s="81">
        <v>0.8</v>
      </c>
      <c r="V53" s="81">
        <v>0</v>
      </c>
      <c r="Y53" s="81"/>
      <c r="Z53" s="232"/>
    </row>
    <row r="54" spans="3:26">
      <c r="C54" s="223" t="str">
        <f>"IND"&amp;RIGHT(G54,4)&amp;RIGHT(F54,3)&amp;"N"&amp;RIGHT(D54,1)</f>
        <v>INDPDHTELCN1</v>
      </c>
      <c r="D54" s="278" t="str">
        <f>"Industrial heating technology "&amp;$AD$4&amp;" "&amp;RIGHT(G54,2)&amp;" - direct eletrical heating - new 1"</f>
        <v>Industrial heating technology Private Service HT - direct eletrical heating - new 1</v>
      </c>
      <c r="E54" s="239" t="s">
        <v>1274</v>
      </c>
      <c r="F54" s="176" t="s">
        <v>500</v>
      </c>
      <c r="G54" s="177" t="str">
        <f>AC6</f>
        <v>IPDHT</v>
      </c>
      <c r="H54" s="81">
        <v>2011</v>
      </c>
      <c r="I54" s="81">
        <v>2011</v>
      </c>
      <c r="J54" s="81">
        <f>'Electric heating'!$L$39*HLOOKUP(G54,$K$1:$M$2,2,FALSE)</f>
        <v>0.68599999999999994</v>
      </c>
      <c r="K54" s="81">
        <f>'Electric heating'!N39</f>
        <v>20</v>
      </c>
      <c r="L54" s="37">
        <f>('Electric heating'!O39)/1000</f>
        <v>1.125</v>
      </c>
      <c r="M54" s="37">
        <f>('Electric heating'!P39)/1000</f>
        <v>1.1000000000000001E-3</v>
      </c>
      <c r="N54" s="194">
        <f>'Electric heating'!Q39</f>
        <v>0.8</v>
      </c>
      <c r="O54" s="82">
        <v>3.1536000000000002E-2</v>
      </c>
      <c r="P54" s="290">
        <v>0.5</v>
      </c>
      <c r="Q54" s="213"/>
      <c r="R54" s="295">
        <f>'Electric heating'!T39</f>
        <v>0</v>
      </c>
      <c r="S54" s="81">
        <f>'Electric heating'!U39</f>
        <v>0</v>
      </c>
      <c r="T54" s="81">
        <f>'Electric heating'!V39</f>
        <v>0</v>
      </c>
      <c r="U54" s="81">
        <f>'Electric heating'!W39</f>
        <v>0</v>
      </c>
      <c r="V54" s="81">
        <f>'Electric heating'!X39</f>
        <v>0</v>
      </c>
      <c r="Y54" s="81">
        <f>'Electric heating'!M39</f>
        <v>0</v>
      </c>
      <c r="Z54" s="232"/>
    </row>
    <row r="55" spans="3:26">
      <c r="E55" s="239" t="s">
        <v>1274</v>
      </c>
      <c r="H55" s="83">
        <f>'Electric heating'!J13</f>
        <v>2020</v>
      </c>
      <c r="I55" s="83"/>
      <c r="J55" s="81">
        <f>'Electric heating'!$L$40*HLOOKUP(G54,$K$1:$M$2,2,FALSE)</f>
        <v>0.69299999999999995</v>
      </c>
      <c r="K55" s="81"/>
      <c r="L55" s="37">
        <f>('Electric heating'!O40)/1000</f>
        <v>1.125</v>
      </c>
      <c r="M55" s="37">
        <f>('Electric heating'!P40)/1000</f>
        <v>1.07E-3</v>
      </c>
      <c r="N55" s="194">
        <f>'Electric heating'!Q40</f>
        <v>0.9</v>
      </c>
      <c r="O55" s="81"/>
      <c r="P55" s="290"/>
      <c r="Q55" s="213"/>
      <c r="R55" s="295">
        <f>'Electric heating'!T40</f>
        <v>0</v>
      </c>
      <c r="S55" s="81">
        <f>'Electric heating'!U40</f>
        <v>0</v>
      </c>
      <c r="T55" s="81">
        <f>'Electric heating'!V40</f>
        <v>0</v>
      </c>
      <c r="U55" s="81">
        <f>'Electric heating'!W40</f>
        <v>0</v>
      </c>
      <c r="V55" s="81">
        <f>'Electric heating'!X40</f>
        <v>0</v>
      </c>
      <c r="Y55" s="81">
        <f>'Electric heating'!M40</f>
        <v>0</v>
      </c>
      <c r="Z55" s="232"/>
    </row>
    <row r="56" spans="3:26">
      <c r="E56" s="239" t="s">
        <v>1274</v>
      </c>
      <c r="H56" s="83">
        <f>'Electric heating'!J14</f>
        <v>2030</v>
      </c>
      <c r="I56" s="83"/>
      <c r="J56" s="81">
        <f>'Electric heating'!$L$41*HLOOKUP(G54,$K$1:$M$2,2,FALSE)</f>
        <v>0.69299999999999995</v>
      </c>
      <c r="K56" s="81"/>
      <c r="L56" s="37">
        <f>('Electric heating'!O41)/1000</f>
        <v>1.05</v>
      </c>
      <c r="M56" s="37">
        <f>('Electric heating'!P41)/1000</f>
        <v>1.0200000000000001E-3</v>
      </c>
      <c r="N56" s="194">
        <f>'Electric heating'!Q41</f>
        <v>1</v>
      </c>
      <c r="O56" s="81"/>
      <c r="P56" s="290"/>
      <c r="Q56" s="213"/>
      <c r="R56" s="295">
        <f>'Electric heating'!T41</f>
        <v>0</v>
      </c>
      <c r="S56" s="81">
        <f>'Electric heating'!U41</f>
        <v>0</v>
      </c>
      <c r="T56" s="81">
        <f>'Electric heating'!V41</f>
        <v>0</v>
      </c>
      <c r="U56" s="81">
        <f>'Electric heating'!W41</f>
        <v>0</v>
      </c>
      <c r="V56" s="81">
        <f>'Electric heating'!X41</f>
        <v>0</v>
      </c>
      <c r="Y56" s="81">
        <f>'Electric heating'!M41</f>
        <v>0</v>
      </c>
      <c r="Z56" s="232"/>
    </row>
    <row r="57" spans="3:26">
      <c r="E57" s="239" t="s">
        <v>1274</v>
      </c>
      <c r="H57" s="83">
        <f>'Electric heating'!J15</f>
        <v>2050</v>
      </c>
      <c r="I57" s="83"/>
      <c r="J57" s="81">
        <f>'Electric heating'!$L$42*HLOOKUP(G54,$K$1:$M$2,2,FALSE)</f>
        <v>0.69299999999999995</v>
      </c>
      <c r="K57" s="81"/>
      <c r="L57" s="37">
        <f>('Electric heating'!O42)/1000</f>
        <v>0.97499999999999998</v>
      </c>
      <c r="M57" s="37">
        <f>('Electric heating'!P42)/1000</f>
        <v>9.2000000000000003E-4</v>
      </c>
      <c r="N57" s="194">
        <f>'Electric heating'!Q42</f>
        <v>1</v>
      </c>
      <c r="O57" s="81"/>
      <c r="P57" s="290"/>
      <c r="Q57" s="213"/>
      <c r="R57" s="295">
        <f>'Electric heating'!T42</f>
        <v>0</v>
      </c>
      <c r="S57" s="81">
        <f>'Electric heating'!U42</f>
        <v>0</v>
      </c>
      <c r="T57" s="81">
        <f>'Electric heating'!V42</f>
        <v>0</v>
      </c>
      <c r="U57" s="81">
        <f>'Electric heating'!W42</f>
        <v>0</v>
      </c>
      <c r="V57" s="81">
        <f>'Electric heating'!X42</f>
        <v>0</v>
      </c>
      <c r="Y57" s="81">
        <f>'Electric heating'!M42</f>
        <v>0</v>
      </c>
      <c r="Z57" s="232"/>
    </row>
    <row r="58" spans="3:26">
      <c r="C58" s="223" t="str">
        <f>"IND"&amp;RIGHT(G58,4)&amp;RIGHT(F58,3)&amp;"N"&amp;RIGHT(D58,1)</f>
        <v>INDPDMTELCN1</v>
      </c>
      <c r="D58" s="278" t="str">
        <f>"Industrial heating technology "&amp;$AD$4&amp;" "&amp;RIGHT(G58,2)&amp;" - direct eletrical heating - new 1"</f>
        <v>Industrial heating technology Private Service MT - direct eletrical heating - new 1</v>
      </c>
      <c r="E58" s="239" t="s">
        <v>1274</v>
      </c>
      <c r="F58" s="176" t="s">
        <v>500</v>
      </c>
      <c r="G58" s="239" t="str">
        <f>AC7</f>
        <v>IPDMT</v>
      </c>
      <c r="H58" s="81">
        <v>2011</v>
      </c>
      <c r="I58" s="81">
        <v>2011</v>
      </c>
      <c r="J58" s="81">
        <f>'Electric heating'!$L$39*HLOOKUP(G58,$K$1:$M$2,2,FALSE)</f>
        <v>0.78400000000000003</v>
      </c>
      <c r="K58" s="81">
        <f>K54</f>
        <v>20</v>
      </c>
      <c r="L58" s="37">
        <f>L54</f>
        <v>1.125</v>
      </c>
      <c r="M58" s="37">
        <v>7.4499999999999997E-2</v>
      </c>
      <c r="N58" s="194">
        <f>N54</f>
        <v>0.8</v>
      </c>
      <c r="O58" s="81">
        <v>3.1536000000000002E-2</v>
      </c>
      <c r="P58" s="290">
        <v>0.5</v>
      </c>
      <c r="Q58" s="213"/>
      <c r="R58" s="295">
        <v>0</v>
      </c>
      <c r="S58" s="81">
        <v>0</v>
      </c>
      <c r="T58" s="81">
        <v>0</v>
      </c>
      <c r="U58" s="81">
        <v>0</v>
      </c>
      <c r="V58" s="81">
        <v>0</v>
      </c>
      <c r="Y58" s="81">
        <v>0</v>
      </c>
      <c r="Z58" s="232"/>
    </row>
    <row r="59" spans="3:26">
      <c r="E59" s="239" t="s">
        <v>1274</v>
      </c>
      <c r="H59" s="83">
        <v>2020</v>
      </c>
      <c r="I59" s="83"/>
      <c r="J59" s="81">
        <f>'Electric heating'!$L$40*HLOOKUP(G58,$K$1:$M$2,2,FALSE)</f>
        <v>0.79200000000000004</v>
      </c>
      <c r="K59" s="81"/>
      <c r="L59" s="37">
        <f t="shared" ref="L59:L65" si="15">L55</f>
        <v>1.125</v>
      </c>
      <c r="M59" s="37">
        <v>7.4499999999999997E-2</v>
      </c>
      <c r="N59" s="194">
        <f t="shared" ref="N59:N65" si="16">N55</f>
        <v>0.9</v>
      </c>
      <c r="O59" s="81"/>
      <c r="P59" s="290"/>
      <c r="Q59" s="213"/>
      <c r="R59" s="295">
        <v>0</v>
      </c>
      <c r="S59" s="81">
        <v>0</v>
      </c>
      <c r="T59" s="81">
        <v>0</v>
      </c>
      <c r="U59" s="81">
        <v>0</v>
      </c>
      <c r="V59" s="81">
        <v>0</v>
      </c>
      <c r="Y59" s="81">
        <v>0</v>
      </c>
      <c r="Z59" s="232"/>
    </row>
    <row r="60" spans="3:26">
      <c r="E60" s="239" t="s">
        <v>1274</v>
      </c>
      <c r="H60" s="83">
        <v>2030</v>
      </c>
      <c r="I60" s="83"/>
      <c r="J60" s="81">
        <f>'Electric heating'!$L$41*HLOOKUP(G58,$K$1:$M$2,2,FALSE)</f>
        <v>0.79200000000000004</v>
      </c>
      <c r="K60" s="81"/>
      <c r="L60" s="37">
        <f t="shared" si="15"/>
        <v>1.05</v>
      </c>
      <c r="M60" s="37">
        <v>7.4499999999999997E-2</v>
      </c>
      <c r="N60" s="194">
        <f t="shared" si="16"/>
        <v>1</v>
      </c>
      <c r="O60" s="81"/>
      <c r="P60" s="290"/>
      <c r="Q60" s="213"/>
      <c r="R60" s="295">
        <v>0</v>
      </c>
      <c r="S60" s="81">
        <v>0</v>
      </c>
      <c r="T60" s="81">
        <v>0</v>
      </c>
      <c r="U60" s="81">
        <v>0</v>
      </c>
      <c r="V60" s="81">
        <v>0</v>
      </c>
      <c r="Y60" s="81">
        <v>0</v>
      </c>
      <c r="Z60" s="232"/>
    </row>
    <row r="61" spans="3:26">
      <c r="E61" s="239" t="s">
        <v>1274</v>
      </c>
      <c r="H61" s="83">
        <v>2050</v>
      </c>
      <c r="I61" s="83"/>
      <c r="J61" s="81">
        <f>'Electric heating'!$L$42*HLOOKUP(G58,$K$1:$M$2,2,FALSE)</f>
        <v>0.79200000000000004</v>
      </c>
      <c r="K61" s="81"/>
      <c r="L61" s="37">
        <f t="shared" si="15"/>
        <v>0.97499999999999998</v>
      </c>
      <c r="M61" s="37">
        <v>7.4499999999999997E-2</v>
      </c>
      <c r="N61" s="194">
        <f t="shared" si="16"/>
        <v>1</v>
      </c>
      <c r="O61" s="81"/>
      <c r="P61" s="290"/>
      <c r="Q61" s="213"/>
      <c r="R61" s="295">
        <v>0</v>
      </c>
      <c r="S61" s="81">
        <v>0</v>
      </c>
      <c r="T61" s="81">
        <v>0</v>
      </c>
      <c r="U61" s="81">
        <v>0</v>
      </c>
      <c r="V61" s="81">
        <v>0</v>
      </c>
      <c r="Y61" s="81">
        <v>0</v>
      </c>
      <c r="Z61" s="232"/>
    </row>
    <row r="62" spans="3:26">
      <c r="C62" s="223" t="str">
        <f>"IND"&amp;RIGHT(G62,4)&amp;RIGHT(F62,3)&amp;"N"&amp;RIGHT(D62,1)</f>
        <v>INDPDRHELCN1</v>
      </c>
      <c r="D62" s="278" t="str">
        <f>"Industrial heating technology "&amp;$AD$4&amp;" "&amp;RIGHT(G62,2)&amp;" - direct eletrical heating - new 1"</f>
        <v>Industrial heating technology Private Service RH - direct eletrical heating - new 1</v>
      </c>
      <c r="E62" s="239" t="s">
        <v>1274</v>
      </c>
      <c r="F62" s="176" t="s">
        <v>500</v>
      </c>
      <c r="G62" s="239" t="str">
        <f>AC8</f>
        <v>IPDRH</v>
      </c>
      <c r="H62" s="81">
        <v>2011</v>
      </c>
      <c r="I62" s="81">
        <v>2011</v>
      </c>
      <c r="J62" s="81">
        <f>'Electric heating'!$L$39*HLOOKUP(G62,$K$1:$M$2,2,FALSE)</f>
        <v>0.98</v>
      </c>
      <c r="K62" s="81">
        <f>K54</f>
        <v>20</v>
      </c>
      <c r="L62" s="37">
        <f t="shared" si="15"/>
        <v>1.125</v>
      </c>
      <c r="M62" s="37">
        <v>7.4499999999999997E-2</v>
      </c>
      <c r="N62" s="194">
        <f t="shared" si="16"/>
        <v>0.8</v>
      </c>
      <c r="O62" s="81">
        <v>3.1536000000000002E-2</v>
      </c>
      <c r="P62" s="290">
        <v>0.5</v>
      </c>
      <c r="Q62" s="213"/>
      <c r="R62" s="295">
        <v>0</v>
      </c>
      <c r="S62" s="81">
        <v>0</v>
      </c>
      <c r="T62" s="81">
        <v>0</v>
      </c>
      <c r="U62" s="81">
        <v>0</v>
      </c>
      <c r="V62" s="81">
        <v>0</v>
      </c>
      <c r="Y62" s="81">
        <v>0</v>
      </c>
      <c r="Z62" s="232"/>
    </row>
    <row r="63" spans="3:26">
      <c r="E63" s="239" t="s">
        <v>1274</v>
      </c>
      <c r="H63" s="83">
        <v>2020</v>
      </c>
      <c r="I63" s="83"/>
      <c r="J63" s="81">
        <f>'Electric heating'!$L$40*HLOOKUP(G62,$K$1:$M$2,2,FALSE)</f>
        <v>0.99</v>
      </c>
      <c r="K63" s="81"/>
      <c r="L63" s="37">
        <f t="shared" si="15"/>
        <v>1.125</v>
      </c>
      <c r="M63" s="37">
        <v>7.4499999999999997E-2</v>
      </c>
      <c r="N63" s="194">
        <f t="shared" si="16"/>
        <v>0.9</v>
      </c>
      <c r="O63" s="81"/>
      <c r="P63" s="290"/>
      <c r="Q63" s="213"/>
      <c r="R63" s="295">
        <v>0</v>
      </c>
      <c r="S63" s="81">
        <v>0</v>
      </c>
      <c r="T63" s="81">
        <v>0</v>
      </c>
      <c r="U63" s="81">
        <v>0</v>
      </c>
      <c r="V63" s="81">
        <v>0</v>
      </c>
      <c r="Y63" s="81">
        <v>0</v>
      </c>
      <c r="Z63" s="232"/>
    </row>
    <row r="64" spans="3:26">
      <c r="E64" s="239" t="s">
        <v>1274</v>
      </c>
      <c r="H64" s="83">
        <v>2030</v>
      </c>
      <c r="I64" s="83"/>
      <c r="J64" s="81">
        <f>'Electric heating'!$L$41*HLOOKUP(G62,$K$1:$M$2,2,FALSE)</f>
        <v>0.99</v>
      </c>
      <c r="K64" s="81"/>
      <c r="L64" s="37">
        <f t="shared" si="15"/>
        <v>1.05</v>
      </c>
      <c r="M64" s="37">
        <v>7.4499999999999997E-2</v>
      </c>
      <c r="N64" s="194">
        <f t="shared" si="16"/>
        <v>1</v>
      </c>
      <c r="O64" s="81"/>
      <c r="P64" s="290"/>
      <c r="Q64" s="213"/>
      <c r="R64" s="295">
        <v>0</v>
      </c>
      <c r="S64" s="81">
        <v>0</v>
      </c>
      <c r="T64" s="81">
        <v>0</v>
      </c>
      <c r="U64" s="81">
        <v>0</v>
      </c>
      <c r="V64" s="81">
        <v>0</v>
      </c>
      <c r="Y64" s="81">
        <v>0</v>
      </c>
      <c r="Z64" s="232"/>
    </row>
    <row r="65" spans="1:26">
      <c r="E65" s="239" t="s">
        <v>1274</v>
      </c>
      <c r="H65" s="83">
        <v>2050</v>
      </c>
      <c r="I65" s="83"/>
      <c r="J65" s="81">
        <f>'Electric heating'!$L$42*HLOOKUP(G62,$K$1:$M$2,2,FALSE)</f>
        <v>0.99</v>
      </c>
      <c r="K65" s="81"/>
      <c r="L65" s="37">
        <f t="shared" si="15"/>
        <v>0.97499999999999998</v>
      </c>
      <c r="M65" s="37">
        <v>7.4499999999999997E-2</v>
      </c>
      <c r="N65" s="194">
        <f t="shared" si="16"/>
        <v>1</v>
      </c>
      <c r="O65" s="81"/>
      <c r="P65" s="290"/>
      <c r="Q65" s="213"/>
      <c r="R65" s="295">
        <v>0</v>
      </c>
      <c r="S65" s="81">
        <v>0</v>
      </c>
      <c r="T65" s="81">
        <v>0</v>
      </c>
      <c r="U65" s="81">
        <v>0</v>
      </c>
      <c r="V65" s="81">
        <v>0</v>
      </c>
      <c r="Y65" s="81">
        <v>0</v>
      </c>
      <c r="Z65" s="232"/>
    </row>
    <row r="66" spans="1:26">
      <c r="C66" s="223" t="str">
        <f>"IND"&amp;RIGHT(G66,4)&amp;RIGHT(F66,3)&amp;"N"&amp;RIGHT(D66,1)</f>
        <v>INDPDRHELCN2</v>
      </c>
      <c r="D66" s="278" t="str">
        <f>"Industrial heating technology "&amp;$AD$4&amp;" "&amp;RIGHT(G66,2)&amp;" - Heat pump, air-to-air - new 2"</f>
        <v>Industrial heating technology Private Service RH - Heat pump, air-to-air - new 2</v>
      </c>
      <c r="E66" s="239" t="s">
        <v>1274</v>
      </c>
      <c r="F66" s="176" t="s">
        <v>500</v>
      </c>
      <c r="G66" s="177" t="str">
        <f>AC8</f>
        <v>IPDRH</v>
      </c>
      <c r="H66" s="81">
        <v>2011</v>
      </c>
      <c r="I66" s="81">
        <v>2011</v>
      </c>
      <c r="J66" s="232"/>
      <c r="K66" s="186">
        <f>'Heat pump, air-to-air'!N12</f>
        <v>20</v>
      </c>
      <c r="L66" s="237">
        <f>(('Heat pump, air-to-air'!O12)/1000)</f>
        <v>4.0230000000000006</v>
      </c>
      <c r="M66" s="37">
        <f>('Heat pump, air-to-air'!P12)/1000</f>
        <v>6.2580000000000011E-2</v>
      </c>
      <c r="N66" s="217">
        <f>'Heat pump, air-to-air'!Q12</f>
        <v>0</v>
      </c>
      <c r="O66" s="204">
        <v>3.1536000000000002E-2</v>
      </c>
      <c r="P66" s="290">
        <v>0.5</v>
      </c>
      <c r="Q66" s="213"/>
      <c r="R66" s="296">
        <f>'Heat pump, air-to-air'!T12</f>
        <v>0</v>
      </c>
      <c r="S66" s="186">
        <f>'Heat pump, air-to-air'!U12</f>
        <v>0</v>
      </c>
      <c r="T66" s="186">
        <f>'Heat pump, air-to-air'!V12</f>
        <v>0</v>
      </c>
      <c r="U66" s="186">
        <f>'Heat pump, air-to-air'!W12</f>
        <v>0</v>
      </c>
      <c r="V66" s="186">
        <f>'Heat pump, air-to-air'!X12</f>
        <v>0</v>
      </c>
      <c r="Y66" s="167">
        <f>'Heat pump, air-to-air'!M39</f>
        <v>0</v>
      </c>
      <c r="Z66" s="235">
        <f>'Heat pump, air-to-air'!L12</f>
        <v>3</v>
      </c>
    </row>
    <row r="67" spans="1:26">
      <c r="E67" s="239" t="s">
        <v>1274</v>
      </c>
      <c r="H67" s="83">
        <f>'Heat pump, air-to-air'!J13</f>
        <v>2020</v>
      </c>
      <c r="I67" s="83"/>
      <c r="J67" s="232"/>
      <c r="K67" s="186"/>
      <c r="L67" s="237">
        <f>(('Heat pump, air-to-air'!O13)/1000)</f>
        <v>3.8740000000000001</v>
      </c>
      <c r="M67" s="37">
        <f>('Heat pump, air-to-air'!P13)/1000</f>
        <v>6.2580000000000011E-2</v>
      </c>
      <c r="N67" s="217">
        <f>'Heat pump, air-to-air'!Q13</f>
        <v>0</v>
      </c>
      <c r="O67" s="186"/>
      <c r="P67" s="290"/>
      <c r="Q67" s="213"/>
      <c r="R67" s="296">
        <f>'Heat pump, air-to-air'!T13</f>
        <v>0</v>
      </c>
      <c r="S67" s="186">
        <f>'Heat pump, air-to-air'!U13</f>
        <v>0</v>
      </c>
      <c r="T67" s="186">
        <f>'Heat pump, air-to-air'!V13</f>
        <v>0</v>
      </c>
      <c r="U67" s="186">
        <f>'Heat pump, air-to-air'!W13</f>
        <v>0</v>
      </c>
      <c r="V67" s="186">
        <f>'Heat pump, air-to-air'!X13</f>
        <v>0</v>
      </c>
      <c r="Y67" s="167">
        <f>'Heat pump, air-to-air'!M40</f>
        <v>0</v>
      </c>
      <c r="Z67" s="235">
        <f>'Heat pump, air-to-air'!L13</f>
        <v>3.2</v>
      </c>
    </row>
    <row r="68" spans="1:26">
      <c r="E68" s="239" t="s">
        <v>1274</v>
      </c>
      <c r="H68" s="83">
        <f>'Heat pump, air-to-air'!J14</f>
        <v>2030</v>
      </c>
      <c r="I68" s="83"/>
      <c r="J68" s="232"/>
      <c r="K68" s="186"/>
      <c r="L68" s="237">
        <f>(('Heat pump, air-to-air'!O14)/1000)</f>
        <v>3.5760000000000001</v>
      </c>
      <c r="M68" s="37">
        <f>('Heat pump, air-to-air'!P14)/1000</f>
        <v>6.2580000000000011E-2</v>
      </c>
      <c r="N68" s="217">
        <f>'Heat pump, air-to-air'!Q14</f>
        <v>0</v>
      </c>
      <c r="O68" s="186"/>
      <c r="P68" s="290"/>
      <c r="Q68" s="213"/>
      <c r="R68" s="296">
        <f>'Heat pump, air-to-air'!T14</f>
        <v>0</v>
      </c>
      <c r="S68" s="186">
        <f>'Heat pump, air-to-air'!U14</f>
        <v>0</v>
      </c>
      <c r="T68" s="186">
        <f>'Heat pump, air-to-air'!V14</f>
        <v>0</v>
      </c>
      <c r="U68" s="186">
        <f>'Heat pump, air-to-air'!W14</f>
        <v>0</v>
      </c>
      <c r="V68" s="186">
        <f>'Heat pump, air-to-air'!X14</f>
        <v>0</v>
      </c>
      <c r="Y68" s="167">
        <f>'Heat pump, air-to-air'!M41</f>
        <v>0</v>
      </c>
      <c r="Z68" s="235">
        <f>'Heat pump, air-to-air'!L14</f>
        <v>3.7</v>
      </c>
    </row>
    <row r="69" spans="1:26">
      <c r="E69" s="239" t="s">
        <v>1274</v>
      </c>
      <c r="H69" s="81">
        <v>2050</v>
      </c>
      <c r="I69" s="81"/>
      <c r="J69" s="232"/>
      <c r="K69" s="186"/>
      <c r="L69" s="237">
        <f>(('Heat pump, air-to-air'!O15)/1000)</f>
        <v>3.4269999999999996</v>
      </c>
      <c r="M69" s="37">
        <f>('Heat pump, air-to-air'!P15)/1000</f>
        <v>6.2580000000000011E-2</v>
      </c>
      <c r="N69" s="217">
        <f>'Heat pump, air-to-air'!Q15</f>
        <v>0</v>
      </c>
      <c r="O69" s="186"/>
      <c r="P69" s="290"/>
      <c r="Q69" s="213"/>
      <c r="R69" s="296">
        <f>'Heat pump, air-to-air'!T15</f>
        <v>0</v>
      </c>
      <c r="S69" s="186">
        <f>'Heat pump, air-to-air'!U15</f>
        <v>0</v>
      </c>
      <c r="T69" s="186">
        <f>'Heat pump, air-to-air'!V15</f>
        <v>0</v>
      </c>
      <c r="U69" s="186">
        <f>'Heat pump, air-to-air'!W15</f>
        <v>0</v>
      </c>
      <c r="V69" s="186">
        <f>'Heat pump, air-to-air'!X15</f>
        <v>0</v>
      </c>
      <c r="Y69" s="167">
        <f>'Heat pump, air-to-air'!M42</f>
        <v>0</v>
      </c>
      <c r="Z69" s="235">
        <f>'Heat pump, air-to-air'!L15</f>
        <v>4</v>
      </c>
    </row>
    <row r="70" spans="1:26">
      <c r="C70" s="223" t="str">
        <f>"IND"&amp;RIGHT(G70,4)&amp;RIGHT(F70,3)&amp;"N"&amp;RIGHT(D70,1)</f>
        <v>INDPDRHELCN3</v>
      </c>
      <c r="D70" s="278" t="str">
        <f>"Industrial heating technology "&amp;$AD$4&amp;" "&amp;RIGHT(G70,2)&amp;" - Heat pump, air-to-water - new 3"</f>
        <v>Industrial heating technology Private Service RH - Heat pump, air-to-water - new 3</v>
      </c>
      <c r="E70" s="239" t="s">
        <v>1274</v>
      </c>
      <c r="F70" s="176" t="s">
        <v>500</v>
      </c>
      <c r="G70" s="177" t="str">
        <f>AC8</f>
        <v>IPDRH</v>
      </c>
      <c r="H70" s="81">
        <v>2011</v>
      </c>
      <c r="I70" s="81">
        <v>2011</v>
      </c>
      <c r="J70" s="232"/>
      <c r="K70" s="81">
        <f>'Heat pump, air-to-water'!N39</f>
        <v>20</v>
      </c>
      <c r="L70" s="237">
        <f>(('Heat pump, air-to-water'!O39)/1000)</f>
        <v>7.45</v>
      </c>
      <c r="M70" s="37">
        <f>('Heat pump, air-to-water'!P39)/1000</f>
        <v>7.45E-3</v>
      </c>
      <c r="N70" s="194">
        <f>'Heat pump, air-to-water'!Q39</f>
        <v>0</v>
      </c>
      <c r="O70" s="82">
        <v>3.1536000000000002E-2</v>
      </c>
      <c r="P70" s="290">
        <v>0.5</v>
      </c>
      <c r="Q70" s="213"/>
      <c r="R70" s="295">
        <f>'Heat pump, air-to-water'!T39</f>
        <v>0</v>
      </c>
      <c r="S70" s="81">
        <f>'Heat pump, air-to-water'!U39</f>
        <v>0</v>
      </c>
      <c r="T70" s="81">
        <f>'Heat pump, air-to-water'!V39</f>
        <v>0</v>
      </c>
      <c r="U70" s="81">
        <f>'Heat pump, air-to-water'!W39</f>
        <v>0</v>
      </c>
      <c r="V70" s="81">
        <f>'Heat pump, air-to-water'!X39</f>
        <v>0</v>
      </c>
      <c r="Y70" s="81">
        <f>'Heat pump, air-to-water'!M39</f>
        <v>0</v>
      </c>
      <c r="Z70" s="235">
        <f>'Heat pump, air-to-water'!L39</f>
        <v>3</v>
      </c>
    </row>
    <row r="71" spans="1:26">
      <c r="E71" s="239" t="s">
        <v>1274</v>
      </c>
      <c r="H71" s="83">
        <f>'Heat pump, air-to-water'!J13</f>
        <v>2020</v>
      </c>
      <c r="I71" s="83"/>
      <c r="J71" s="232"/>
      <c r="K71" s="81"/>
      <c r="L71" s="237">
        <f>(('Heat pump, air-to-water'!O40)/1000)</f>
        <v>7.45</v>
      </c>
      <c r="M71" s="37">
        <f>('Heat pump, air-to-water'!P40)/1000</f>
        <v>7.45E-3</v>
      </c>
      <c r="N71" s="194">
        <f>'Heat pump, air-to-water'!Q40</f>
        <v>0</v>
      </c>
      <c r="O71" s="81"/>
      <c r="P71" s="290"/>
      <c r="Q71" s="213"/>
      <c r="R71" s="295">
        <f>'Heat pump, air-to-water'!T40</f>
        <v>0</v>
      </c>
      <c r="S71" s="81">
        <f>'Heat pump, air-to-water'!U40</f>
        <v>0</v>
      </c>
      <c r="T71" s="81">
        <f>'Heat pump, air-to-water'!V40</f>
        <v>0</v>
      </c>
      <c r="U71" s="81">
        <f>'Heat pump, air-to-water'!W40</f>
        <v>0</v>
      </c>
      <c r="V71" s="81">
        <f>'Heat pump, air-to-water'!X40</f>
        <v>0</v>
      </c>
      <c r="Y71" s="81">
        <f>'Heat pump, air-to-water'!M40</f>
        <v>0</v>
      </c>
      <c r="Z71" s="235">
        <f>'Heat pump, air-to-water'!L40</f>
        <v>3.3</v>
      </c>
    </row>
    <row r="72" spans="1:26">
      <c r="E72" s="239" t="s">
        <v>1274</v>
      </c>
      <c r="H72" s="83">
        <f>'Heat pump, air-to-water'!J14</f>
        <v>2030</v>
      </c>
      <c r="I72" s="83"/>
      <c r="J72" s="232"/>
      <c r="K72" s="81"/>
      <c r="L72" s="237">
        <f>(('Heat pump, air-to-water'!O41)/1000)</f>
        <v>6.7050000000000001</v>
      </c>
      <c r="M72" s="37">
        <f>('Heat pump, air-to-water'!P41)/1000</f>
        <v>7.45E-3</v>
      </c>
      <c r="N72" s="194">
        <f>'Heat pump, air-to-water'!Q41</f>
        <v>0</v>
      </c>
      <c r="O72" s="81"/>
      <c r="P72" s="290"/>
      <c r="Q72" s="213"/>
      <c r="R72" s="295">
        <f>'Heat pump, air-to-water'!T41</f>
        <v>0</v>
      </c>
      <c r="S72" s="81">
        <f>'Heat pump, air-to-water'!U41</f>
        <v>0</v>
      </c>
      <c r="T72" s="81">
        <f>'Heat pump, air-to-water'!V41</f>
        <v>0</v>
      </c>
      <c r="U72" s="81">
        <f>'Heat pump, air-to-water'!W41</f>
        <v>0</v>
      </c>
      <c r="V72" s="81">
        <f>'Heat pump, air-to-water'!X41</f>
        <v>0</v>
      </c>
      <c r="Y72" s="81">
        <f>'Heat pump, air-to-water'!M41</f>
        <v>0</v>
      </c>
      <c r="Z72" s="235">
        <f>'Heat pump, air-to-water'!L41</f>
        <v>3.7</v>
      </c>
    </row>
    <row r="73" spans="1:26">
      <c r="E73" s="239" t="s">
        <v>1274</v>
      </c>
      <c r="H73" s="83">
        <f>'Heat pump, air-to-water'!J15</f>
        <v>2050</v>
      </c>
      <c r="I73" s="83"/>
      <c r="J73" s="232"/>
      <c r="K73" s="81"/>
      <c r="L73" s="237">
        <f>(('Heat pump, air-to-water'!O42)/1000)</f>
        <v>6.7050000000000001</v>
      </c>
      <c r="M73" s="37">
        <f>('Heat pump, air-to-water'!P42)/1000</f>
        <v>7.45E-3</v>
      </c>
      <c r="N73" s="194">
        <f>'Heat pump, air-to-water'!Q42</f>
        <v>0</v>
      </c>
      <c r="O73" s="81"/>
      <c r="P73" s="290"/>
      <c r="Q73" s="213"/>
      <c r="R73" s="295">
        <f>'Heat pump, air-to-water'!T42</f>
        <v>0</v>
      </c>
      <c r="S73" s="81">
        <f>'Heat pump, air-to-water'!U42</f>
        <v>0</v>
      </c>
      <c r="T73" s="81">
        <f>'Heat pump, air-to-water'!V42</f>
        <v>0</v>
      </c>
      <c r="U73" s="81">
        <f>'Heat pump, air-to-water'!W42</f>
        <v>0</v>
      </c>
      <c r="V73" s="81">
        <f>'Heat pump, air-to-water'!X42</f>
        <v>0</v>
      </c>
      <c r="Y73" s="81">
        <f>'Heat pump, air-to-water'!M42</f>
        <v>0</v>
      </c>
      <c r="Z73" s="235">
        <f>'Heat pump, air-to-water'!L42</f>
        <v>4</v>
      </c>
    </row>
    <row r="74" spans="1:26">
      <c r="C74" s="223" t="str">
        <f>"IND"&amp;RIGHT(G74,4)&amp;RIGHT(F74,3)&amp;"N"&amp;RIGHT(D74,1)</f>
        <v>INDPDRHELCN4</v>
      </c>
      <c r="D74" s="278" t="str">
        <f>"Industrial heating technology "&amp;$AD$4&amp;" "&amp;RIGHT(G74,2)&amp;" - Heat pump, brine-to-water - new 4"</f>
        <v>Industrial heating technology Private Service RH - Heat pump, brine-to-water - new 4</v>
      </c>
      <c r="E74" s="239" t="s">
        <v>1274</v>
      </c>
      <c r="F74" s="176" t="s">
        <v>500</v>
      </c>
      <c r="G74" s="177" t="str">
        <f>AC8</f>
        <v>IPDRH</v>
      </c>
      <c r="H74" s="81">
        <v>2011</v>
      </c>
      <c r="I74" s="81">
        <v>2011</v>
      </c>
      <c r="J74" s="232"/>
      <c r="K74" s="236">
        <v>30</v>
      </c>
      <c r="L74" s="237">
        <f>(('Heat pump, ground source'!O39)/1000)</f>
        <v>8.1950000000000003</v>
      </c>
      <c r="M74" s="37">
        <f>('Heat pump, ground source'!P39)/1000</f>
        <v>7.45E-3</v>
      </c>
      <c r="N74" s="194">
        <f>'Heat pump, ground source'!Q39</f>
        <v>0</v>
      </c>
      <c r="O74" s="82">
        <v>3.1536000000000002E-2</v>
      </c>
      <c r="P74" s="290">
        <v>0.5</v>
      </c>
      <c r="Q74" s="213"/>
      <c r="R74" s="295">
        <f>'Heat pump, ground source'!T39</f>
        <v>0</v>
      </c>
      <c r="S74" s="81">
        <f>'Heat pump, ground source'!U39</f>
        <v>0</v>
      </c>
      <c r="T74" s="81">
        <f>'Heat pump, ground source'!V39</f>
        <v>0</v>
      </c>
      <c r="U74" s="81">
        <f>'Heat pump, ground source'!W39</f>
        <v>0</v>
      </c>
      <c r="V74" s="81">
        <f>'Heat pump, ground source'!X39</f>
        <v>0</v>
      </c>
      <c r="Y74" s="81">
        <f>'Heat pump, ground source'!M39</f>
        <v>0</v>
      </c>
      <c r="Z74" s="235">
        <f>'Heat pump, ground source'!L39</f>
        <v>3.3</v>
      </c>
    </row>
    <row r="75" spans="1:26">
      <c r="E75" s="239" t="s">
        <v>1274</v>
      </c>
      <c r="H75" s="83">
        <f>'Heat pump, ground source'!J13</f>
        <v>2020</v>
      </c>
      <c r="I75" s="83"/>
      <c r="J75" s="232"/>
      <c r="K75" s="81"/>
      <c r="L75" s="237">
        <f>(('Heat pump, ground source'!O40)/1000)</f>
        <v>8.1950000000000003</v>
      </c>
      <c r="M75" s="37">
        <f>('Heat pump, ground source'!P40)/1000</f>
        <v>7.45E-3</v>
      </c>
      <c r="N75" s="194">
        <f>'Heat pump, ground source'!Q40</f>
        <v>0</v>
      </c>
      <c r="O75" s="81"/>
      <c r="P75" s="290"/>
      <c r="Q75" s="213"/>
      <c r="R75" s="295">
        <f>'Heat pump, ground source'!T40</f>
        <v>0</v>
      </c>
      <c r="S75" s="81">
        <f>'Heat pump, ground source'!U40</f>
        <v>0</v>
      </c>
      <c r="T75" s="81">
        <f>'Heat pump, ground source'!V40</f>
        <v>0</v>
      </c>
      <c r="U75" s="81">
        <f>'Heat pump, ground source'!W40</f>
        <v>0</v>
      </c>
      <c r="V75" s="81">
        <f>'Heat pump, ground source'!X40</f>
        <v>0</v>
      </c>
      <c r="Y75" s="81">
        <f>'Heat pump, ground source'!M40</f>
        <v>0</v>
      </c>
      <c r="Z75" s="235">
        <f>'Heat pump, ground source'!L40</f>
        <v>3.5</v>
      </c>
    </row>
    <row r="76" spans="1:26">
      <c r="E76" s="239" t="s">
        <v>1274</v>
      </c>
      <c r="H76" s="83">
        <f>'Heat pump, ground source'!J14</f>
        <v>2030</v>
      </c>
      <c r="I76" s="83"/>
      <c r="J76" s="232"/>
      <c r="K76" s="81"/>
      <c r="L76" s="237">
        <f>(('Heat pump, ground source'!O41)/1000)</f>
        <v>7.45</v>
      </c>
      <c r="M76" s="37">
        <f>('Heat pump, ground source'!P41)/1000</f>
        <v>7.45E-3</v>
      </c>
      <c r="N76" s="194">
        <f>'Heat pump, ground source'!Q41</f>
        <v>0</v>
      </c>
      <c r="O76" s="81"/>
      <c r="P76" s="290"/>
      <c r="Q76" s="213"/>
      <c r="R76" s="295">
        <f>'Heat pump, ground source'!T41</f>
        <v>0</v>
      </c>
      <c r="S76" s="81">
        <f>'Heat pump, ground source'!U41</f>
        <v>0</v>
      </c>
      <c r="T76" s="81">
        <f>'Heat pump, ground source'!V41</f>
        <v>0</v>
      </c>
      <c r="U76" s="81">
        <f>'Heat pump, ground source'!W41</f>
        <v>0</v>
      </c>
      <c r="V76" s="81">
        <f>'Heat pump, ground source'!X41</f>
        <v>0</v>
      </c>
      <c r="Y76" s="81">
        <f>'Heat pump, ground source'!M41</f>
        <v>0</v>
      </c>
      <c r="Z76" s="235">
        <f>'Heat pump, ground source'!L41</f>
        <v>4</v>
      </c>
    </row>
    <row r="77" spans="1:26" s="241" customFormat="1">
      <c r="A77" s="239"/>
      <c r="B77" s="239"/>
      <c r="C77" s="239"/>
      <c r="D77" s="239"/>
      <c r="E77" s="239" t="s">
        <v>1274</v>
      </c>
      <c r="F77" s="239"/>
      <c r="G77" s="239"/>
      <c r="H77" s="83">
        <f>'Heat pump, ground source'!J15</f>
        <v>2050</v>
      </c>
      <c r="I77" s="83"/>
      <c r="J77" s="232"/>
      <c r="K77" s="81"/>
      <c r="L77" s="237">
        <f>(('Heat pump, ground source'!O42)/1000)</f>
        <v>6.7050000000000001</v>
      </c>
      <c r="M77" s="37">
        <f>('Heat pump, ground source'!P42)/1000</f>
        <v>7.45E-3</v>
      </c>
      <c r="N77" s="194">
        <f>'Heat pump, ground source'!Q42</f>
        <v>0</v>
      </c>
      <c r="O77" s="81"/>
      <c r="P77" s="290"/>
      <c r="Q77" s="213"/>
      <c r="R77" s="295">
        <f>'Heat pump, ground source'!T42</f>
        <v>0</v>
      </c>
      <c r="S77" s="81">
        <f>'Heat pump, ground source'!U42</f>
        <v>0</v>
      </c>
      <c r="T77" s="81">
        <f>'Heat pump, ground source'!V42</f>
        <v>0</v>
      </c>
      <c r="U77" s="81">
        <f>'Heat pump, ground source'!W42</f>
        <v>0</v>
      </c>
      <c r="V77" s="81">
        <f>'Heat pump, ground source'!X42</f>
        <v>0</v>
      </c>
      <c r="W77" s="239"/>
      <c r="X77" s="239"/>
      <c r="Y77" s="81">
        <f>'Heat pump, ground source'!M42</f>
        <v>0</v>
      </c>
      <c r="Z77" s="235">
        <f>'Heat pump, ground source'!L42</f>
        <v>4.5</v>
      </c>
    </row>
    <row r="78" spans="1:26" s="241" customFormat="1">
      <c r="A78" s="239"/>
      <c r="B78" s="239"/>
      <c r="C78" s="223" t="str">
        <f>"IND"&amp;RIGHT(G78,4)&amp;RIGHT(F78,3)&amp;"N"&amp;RIGHT(D78,1)</f>
        <v>INDPDRHSOLN1</v>
      </c>
      <c r="D78" s="278" t="str">
        <f>"Industrial heating technology "&amp;$AD$4&amp;" "&amp;RIGHT(G78,2)&amp;" - solar - new 1"</f>
        <v>Industrial heating technology Private Service RH - solar - new 1</v>
      </c>
      <c r="E78" s="239" t="s">
        <v>1274</v>
      </c>
      <c r="F78" s="176" t="s">
        <v>501</v>
      </c>
      <c r="G78" s="177" t="str">
        <f>AC8</f>
        <v>IPDRH</v>
      </c>
      <c r="H78" s="81">
        <v>2011</v>
      </c>
      <c r="I78" s="81">
        <v>2011</v>
      </c>
      <c r="J78" s="81">
        <f>'Solar heating'!L40</f>
        <v>1</v>
      </c>
      <c r="K78" s="182">
        <f>'Solar heating'!N40</f>
        <v>20</v>
      </c>
      <c r="L78" s="238">
        <f>('Solar heating'!O40)/1000</f>
        <v>4.5714285714285712</v>
      </c>
      <c r="M78" s="37">
        <f>('Solar heating'!P40)/1000</f>
        <v>2.0700357142857142E-2</v>
      </c>
      <c r="N78" s="84">
        <f>'Solar heating'!Q40</f>
        <v>0</v>
      </c>
      <c r="O78" s="82">
        <v>3.1536000000000002E-2</v>
      </c>
      <c r="P78" s="290">
        <v>0.09</v>
      </c>
      <c r="Q78" s="319"/>
      <c r="R78" s="295">
        <f>'Solar heating'!T40</f>
        <v>0</v>
      </c>
      <c r="S78" s="81">
        <f>'Solar heating'!U40</f>
        <v>0</v>
      </c>
      <c r="T78" s="81">
        <f>'Solar heating'!V40</f>
        <v>0</v>
      </c>
      <c r="U78" s="81">
        <f>'Solar heating'!W40</f>
        <v>0</v>
      </c>
      <c r="V78" s="81">
        <f>'Solar heating'!X40</f>
        <v>0</v>
      </c>
      <c r="W78" s="239"/>
      <c r="X78" s="239"/>
      <c r="Y78" s="81">
        <f>'Solar heating'!M40</f>
        <v>0</v>
      </c>
      <c r="Z78" s="232"/>
    </row>
    <row r="79" spans="1:26" s="241" customFormat="1">
      <c r="A79" s="239"/>
      <c r="B79" s="239"/>
      <c r="C79" s="239"/>
      <c r="D79" s="239"/>
      <c r="E79" s="239" t="s">
        <v>1274</v>
      </c>
      <c r="F79" s="239"/>
      <c r="G79" s="239"/>
      <c r="H79" s="83">
        <f>'Solar heating'!J13</f>
        <v>2020</v>
      </c>
      <c r="I79" s="83"/>
      <c r="J79" s="81"/>
      <c r="K79" s="182">
        <f>'Solar heating'!N41</f>
        <v>25</v>
      </c>
      <c r="L79" s="37">
        <f>('Solar heating'!O41)/1000</f>
        <v>4.2857142857142865</v>
      </c>
      <c r="M79" s="37">
        <f>('Solar heating'!P41)/1000</f>
        <v>2.0660433158225668E-2</v>
      </c>
      <c r="N79" s="84">
        <f>'Solar heating'!Q41</f>
        <v>0</v>
      </c>
      <c r="O79" s="81"/>
      <c r="P79" s="290"/>
      <c r="Q79" s="213"/>
      <c r="R79" s="295">
        <f>'Solar heating'!T41</f>
        <v>0</v>
      </c>
      <c r="S79" s="81">
        <f>'Solar heating'!U41</f>
        <v>0</v>
      </c>
      <c r="T79" s="81">
        <f>'Solar heating'!V41</f>
        <v>0</v>
      </c>
      <c r="U79" s="81">
        <f>'Solar heating'!W41</f>
        <v>0</v>
      </c>
      <c r="V79" s="81">
        <f>'Solar heating'!X41</f>
        <v>0</v>
      </c>
      <c r="W79" s="239"/>
      <c r="X79" s="239"/>
      <c r="Y79" s="81">
        <f>'Solar heating'!M41</f>
        <v>0</v>
      </c>
      <c r="Z79" s="232"/>
    </row>
    <row r="80" spans="1:26" s="241" customFormat="1">
      <c r="A80" s="239"/>
      <c r="B80" s="239"/>
      <c r="C80" s="239"/>
      <c r="D80" s="239"/>
      <c r="E80" s="239" t="s">
        <v>1274</v>
      </c>
      <c r="F80" s="239"/>
      <c r="G80" s="239"/>
      <c r="H80" s="83">
        <f>'Solar heating'!J14</f>
        <v>2030</v>
      </c>
      <c r="I80" s="83"/>
      <c r="J80" s="81"/>
      <c r="K80" s="182">
        <f>'Solar heating'!N42</f>
        <v>30</v>
      </c>
      <c r="L80" s="37">
        <f>('Solar heating'!O42)/1000</f>
        <v>3.9285714285714284</v>
      </c>
      <c r="M80" s="37">
        <f>('Solar heating'!P42)/1000</f>
        <v>2.328125E-2</v>
      </c>
      <c r="N80" s="84">
        <f>'Solar heating'!Q42</f>
        <v>0</v>
      </c>
      <c r="O80" s="81"/>
      <c r="P80" s="290"/>
      <c r="Q80" s="213"/>
      <c r="R80" s="295">
        <f>'Solar heating'!T42</f>
        <v>0</v>
      </c>
      <c r="S80" s="81">
        <f>'Solar heating'!U42</f>
        <v>0</v>
      </c>
      <c r="T80" s="81">
        <f>'Solar heating'!V42</f>
        <v>0</v>
      </c>
      <c r="U80" s="81">
        <f>'Solar heating'!W42</f>
        <v>0</v>
      </c>
      <c r="V80" s="81">
        <f>'Solar heating'!X42</f>
        <v>0</v>
      </c>
      <c r="W80" s="239"/>
      <c r="X80" s="239"/>
      <c r="Y80" s="81">
        <f>'Solar heating'!M42</f>
        <v>0</v>
      </c>
      <c r="Z80" s="232"/>
    </row>
    <row r="81" spans="1:26" s="241" customFormat="1">
      <c r="A81" s="239"/>
      <c r="B81" s="239"/>
      <c r="C81" s="239"/>
      <c r="D81" s="239"/>
      <c r="E81" s="239" t="s">
        <v>1274</v>
      </c>
      <c r="F81" s="239"/>
      <c r="G81" s="239"/>
      <c r="H81" s="83">
        <f>'Solar heating'!J15</f>
        <v>2050</v>
      </c>
      <c r="I81" s="83"/>
      <c r="J81" s="81"/>
      <c r="K81" s="182">
        <f>'Solar heating'!N43</f>
        <v>30</v>
      </c>
      <c r="L81" s="37">
        <f>('Solar heating'!O43)/1000</f>
        <v>3.5714285714285721</v>
      </c>
      <c r="M81" s="37">
        <f>('Solar heating'!P43)/1000</f>
        <v>2.1498571428571429E-2</v>
      </c>
      <c r="N81" s="84">
        <f>'Solar heating'!Q43</f>
        <v>0</v>
      </c>
      <c r="O81" s="81"/>
      <c r="P81" s="290"/>
      <c r="Q81" s="213"/>
      <c r="R81" s="295">
        <f>'Solar heating'!T43</f>
        <v>0</v>
      </c>
      <c r="S81" s="81">
        <f>'Solar heating'!U43</f>
        <v>0</v>
      </c>
      <c r="T81" s="81">
        <f>'Solar heating'!V43</f>
        <v>0</v>
      </c>
      <c r="U81" s="81">
        <f>'Solar heating'!W43</f>
        <v>0</v>
      </c>
      <c r="V81" s="81">
        <f>'Solar heating'!X43</f>
        <v>0</v>
      </c>
      <c r="W81" s="239"/>
      <c r="X81" s="239"/>
      <c r="Y81" s="81">
        <f>'Solar heating'!M43</f>
        <v>0</v>
      </c>
      <c r="Z81" s="232"/>
    </row>
    <row r="82" spans="1:26" s="241" customFormat="1">
      <c r="A82" s="239"/>
      <c r="B82" s="239"/>
      <c r="C82" s="223" t="str">
        <f>"IND"&amp;RIGHT(G82,4)&amp;"GAS"&amp;"N"&amp;RIGHT(D82,1)</f>
        <v>INDPDRHGASN2</v>
      </c>
      <c r="D82" s="278" t="str">
        <f>"Industrial heating technology "&amp;$AD$4&amp;" "&amp;RIGHT(G82,2)&amp;" - Heat pump,gas absorption, air-to-water - new 2"</f>
        <v>Industrial heating technology Private Service RH - Heat pump,gas absorption, air-to-water - new 2</v>
      </c>
      <c r="E82" s="239" t="s">
        <v>1274</v>
      </c>
      <c r="F82" s="176" t="s">
        <v>528</v>
      </c>
      <c r="G82" s="177" t="str">
        <f>AC8</f>
        <v>IPDRH</v>
      </c>
      <c r="H82" s="81">
        <v>2011</v>
      </c>
      <c r="I82" s="81">
        <v>2011</v>
      </c>
      <c r="J82" s="207">
        <f>'HP, gas absorption,air-to-water'!L39</f>
        <v>1.35</v>
      </c>
      <c r="K82" s="81">
        <f>'HP, gas absorption,air-to-water'!N39</f>
        <v>22</v>
      </c>
      <c r="L82" s="37">
        <f>('HP, gas absorption,air-to-water'!O39)/1000</f>
        <v>3.0477272727272724</v>
      </c>
      <c r="M82" s="37">
        <f>('HP, gas absorption,air-to-water'!P39)/1000</f>
        <v>2.2857954545454546E-2</v>
      </c>
      <c r="N82" s="84">
        <f>'HP, gas absorption,air-to-water'!Q39</f>
        <v>18</v>
      </c>
      <c r="O82" s="82">
        <v>3.1536000000000002E-2</v>
      </c>
      <c r="P82" s="290">
        <v>0.5</v>
      </c>
      <c r="Q82" s="213"/>
      <c r="R82" s="295">
        <f>'HP, gas absorption,air-to-water'!T39</f>
        <v>0</v>
      </c>
      <c r="S82" s="81">
        <f>'HP, gas absorption,air-to-water'!U39</f>
        <v>15</v>
      </c>
      <c r="T82" s="81">
        <f>'HP, gas absorption,air-to-water'!V39</f>
        <v>2</v>
      </c>
      <c r="U82" s="81">
        <f>'HP, gas absorption,air-to-water'!W39</f>
        <v>0</v>
      </c>
      <c r="V82" s="81">
        <f>'HP, gas absorption,air-to-water'!X39</f>
        <v>0</v>
      </c>
      <c r="W82" s="239"/>
      <c r="X82" s="239"/>
      <c r="Y82" s="81">
        <f>'HP, gas absorption,air-to-water'!M39</f>
        <v>0</v>
      </c>
      <c r="Z82" s="239"/>
    </row>
    <row r="83" spans="1:26">
      <c r="E83" s="239" t="s">
        <v>1274</v>
      </c>
      <c r="H83" s="83">
        <f>'HP, gas absorption,air-to-water'!J13</f>
        <v>2020</v>
      </c>
      <c r="I83" s="83"/>
      <c r="J83" s="207">
        <f>'HP, gas absorption,air-to-water'!L40</f>
        <v>1.45</v>
      </c>
      <c r="K83" s="81"/>
      <c r="L83" s="37">
        <f>('HP, gas absorption,air-to-water'!O40)/1000</f>
        <v>1.67625</v>
      </c>
      <c r="M83" s="37">
        <f>('HP, gas absorption,air-to-water'!P40)/1000</f>
        <v>1.2571875E-2</v>
      </c>
      <c r="N83" s="194">
        <f>'HP, gas absorption,air-to-water'!Q40</f>
        <v>18</v>
      </c>
      <c r="O83" s="81"/>
      <c r="P83" s="290"/>
      <c r="Q83" s="213"/>
      <c r="R83" s="295">
        <f>'HP, gas absorption,air-to-water'!T40</f>
        <v>0</v>
      </c>
      <c r="S83" s="81">
        <f>'HP, gas absorption,air-to-water'!U40</f>
        <v>10</v>
      </c>
      <c r="T83" s="81">
        <f>'HP, gas absorption,air-to-water'!V40</f>
        <v>1</v>
      </c>
      <c r="U83" s="81">
        <f>'HP, gas absorption,air-to-water'!W40</f>
        <v>0</v>
      </c>
      <c r="V83" s="81">
        <f>'HP, gas absorption,air-to-water'!X40</f>
        <v>0</v>
      </c>
      <c r="Y83" s="81">
        <f>'HP, gas absorption,air-to-water'!M40</f>
        <v>0</v>
      </c>
    </row>
    <row r="84" spans="1:26">
      <c r="E84" s="239" t="s">
        <v>1274</v>
      </c>
      <c r="H84" s="83">
        <f>'HP, gas absorption,air-to-water'!J14</f>
        <v>2030</v>
      </c>
      <c r="I84" s="83"/>
      <c r="J84" s="207">
        <f>'HP, gas absorption,air-to-water'!L41</f>
        <v>1.7</v>
      </c>
      <c r="K84" s="81"/>
      <c r="L84" s="37">
        <f>('HP, gas absorption,air-to-water'!O41)/1000</f>
        <v>1.5831249999999999</v>
      </c>
      <c r="M84" s="37">
        <f>('HP, gas absorption,air-to-water'!P41)/1000</f>
        <v>1.2571875E-2</v>
      </c>
      <c r="N84" s="194">
        <f>'HP, gas absorption,air-to-water'!Q41</f>
        <v>18</v>
      </c>
      <c r="O84" s="81"/>
      <c r="P84" s="290"/>
      <c r="Q84" s="213"/>
      <c r="R84" s="295">
        <f>'HP, gas absorption,air-to-water'!T41</f>
        <v>0</v>
      </c>
      <c r="S84" s="81">
        <f>'HP, gas absorption,air-to-water'!U41</f>
        <v>5</v>
      </c>
      <c r="T84" s="81">
        <f>'HP, gas absorption,air-to-water'!V41</f>
        <v>0.5</v>
      </c>
      <c r="U84" s="81">
        <f>'HP, gas absorption,air-to-water'!W41</f>
        <v>0</v>
      </c>
      <c r="V84" s="81">
        <f>'HP, gas absorption,air-to-water'!X41</f>
        <v>0</v>
      </c>
      <c r="Y84" s="81">
        <f>'HP, gas absorption,air-to-water'!M41</f>
        <v>0</v>
      </c>
    </row>
    <row r="85" spans="1:26">
      <c r="E85" s="239" t="s">
        <v>1274</v>
      </c>
      <c r="H85" s="83">
        <f>'HP, gas absorption,air-to-water'!J15</f>
        <v>2050</v>
      </c>
      <c r="I85" s="83"/>
      <c r="J85" s="207">
        <f>'HP, gas absorption,air-to-water'!L42</f>
        <v>1.7</v>
      </c>
      <c r="K85" s="81"/>
      <c r="L85" s="37">
        <f>('HP, gas absorption,air-to-water'!O42)/1000</f>
        <v>1.5831249999999999</v>
      </c>
      <c r="M85" s="37">
        <f>('HP, gas absorption,air-to-water'!P42)/1000</f>
        <v>1.2571875E-2</v>
      </c>
      <c r="N85" s="194">
        <f>'HP, gas absorption,air-to-water'!Q42</f>
        <v>18</v>
      </c>
      <c r="O85" s="81"/>
      <c r="P85" s="290"/>
      <c r="Q85" s="213"/>
      <c r="R85" s="295">
        <f>'HP, gas absorption,air-to-water'!T42</f>
        <v>0</v>
      </c>
      <c r="S85" s="81">
        <f>'HP, gas absorption,air-to-water'!U42</f>
        <v>5</v>
      </c>
      <c r="T85" s="81">
        <f>'HP, gas absorption,air-to-water'!V42</f>
        <v>0.5</v>
      </c>
      <c r="U85" s="81">
        <f>'HP, gas absorption,air-to-water'!W42</f>
        <v>0</v>
      </c>
      <c r="V85" s="81">
        <f>'HP, gas absorption,air-to-water'!X42</f>
        <v>0</v>
      </c>
      <c r="Y85" s="81">
        <f>'HP, gas absorption,air-to-water'!M42</f>
        <v>0</v>
      </c>
    </row>
    <row r="86" spans="1:26">
      <c r="C86" s="223" t="str">
        <f>"IND"&amp;RIGHT(G86,4)&amp;"GAS"&amp;"N"&amp;RIGHT(D86,1)</f>
        <v>INDPDRHGASN3</v>
      </c>
      <c r="D86" s="278" t="str">
        <f>"Industrial heating technology "&amp;$AD$4&amp;" "&amp;RIGHT(G86,2)&amp;" - Heat pump,gas absorption, brine-to-water - new 3"</f>
        <v>Industrial heating technology Private Service RH - Heat pump,gas absorption, brine-to-water - new 3</v>
      </c>
      <c r="E86" s="239" t="s">
        <v>1274</v>
      </c>
      <c r="F86" s="176" t="s">
        <v>528</v>
      </c>
      <c r="G86" s="177" t="str">
        <f>AC8</f>
        <v>IPDRH</v>
      </c>
      <c r="H86" s="81">
        <v>2011</v>
      </c>
      <c r="I86" s="81">
        <v>2011</v>
      </c>
      <c r="J86" s="207">
        <f>'HP, gas absorpt,brine-to-water'!L39</f>
        <v>1.35</v>
      </c>
      <c r="K86" s="81">
        <f>'HP, gas absorpt,brine-to-water'!N39</f>
        <v>22</v>
      </c>
      <c r="L86" s="37">
        <f>('HP, gas absorpt,brine-to-water'!O39)/1000</f>
        <v>5.5875000000000004</v>
      </c>
      <c r="M86" s="37">
        <f>('HP, gas absorpt,brine-to-water'!P39)/1000</f>
        <v>2.2857954545454546E-2</v>
      </c>
      <c r="N86" s="194">
        <f>'HP, gas absorpt,brine-to-water'!Q39</f>
        <v>0</v>
      </c>
      <c r="O86" s="82">
        <v>3.1536000000000002E-2</v>
      </c>
      <c r="P86" s="290">
        <v>0.5</v>
      </c>
      <c r="Q86" s="213"/>
      <c r="R86" s="295">
        <f>'HP, gas absorpt,brine-to-water'!T39</f>
        <v>0</v>
      </c>
      <c r="S86" s="81">
        <f>'HP, gas absorpt,brine-to-water'!U39</f>
        <v>15</v>
      </c>
      <c r="T86" s="81">
        <f>'HP, gas absorpt,brine-to-water'!V39</f>
        <v>2</v>
      </c>
      <c r="U86" s="81">
        <f>'HP, gas absorpt,brine-to-water'!W39</f>
        <v>0</v>
      </c>
      <c r="V86" s="81">
        <f>'HP, gas absorpt,brine-to-water'!X39</f>
        <v>0</v>
      </c>
      <c r="Y86" s="81">
        <f>'HP, gas absorpt,brine-to-water'!M39</f>
        <v>0</v>
      </c>
    </row>
    <row r="87" spans="1:26">
      <c r="E87" s="239" t="s">
        <v>1274</v>
      </c>
      <c r="H87" s="83">
        <f>'HP, gas absorpt,brine-to-water'!J13</f>
        <v>2020</v>
      </c>
      <c r="I87" s="83"/>
      <c r="J87" s="207">
        <f>'HP, gas absorpt,brine-to-water'!L40</f>
        <v>1.45</v>
      </c>
      <c r="K87" s="81"/>
      <c r="L87" s="37">
        <f>('HP, gas absorpt,brine-to-water'!O40)/1000</f>
        <v>3.0731250000000001</v>
      </c>
      <c r="M87" s="37">
        <f>('HP, gas absorpt,brine-to-water'!P40)/1000</f>
        <v>1.2571875E-2</v>
      </c>
      <c r="N87" s="194">
        <f>'HP, gas absorpt,brine-to-water'!Q40</f>
        <v>0</v>
      </c>
      <c r="O87" s="81"/>
      <c r="P87" s="290"/>
      <c r="Q87" s="213"/>
      <c r="R87" s="295">
        <f>'HP, gas absorpt,brine-to-water'!T40</f>
        <v>0</v>
      </c>
      <c r="S87" s="81">
        <f>'HP, gas absorpt,brine-to-water'!U40</f>
        <v>10</v>
      </c>
      <c r="T87" s="81">
        <f>'HP, gas absorpt,brine-to-water'!V40</f>
        <v>1</v>
      </c>
      <c r="U87" s="81">
        <f>'HP, gas absorpt,brine-to-water'!W40</f>
        <v>0</v>
      </c>
      <c r="V87" s="81">
        <f>'HP, gas absorpt,brine-to-water'!X40</f>
        <v>0</v>
      </c>
      <c r="Y87" s="81">
        <f>'HP, gas absorpt,brine-to-water'!M40</f>
        <v>0</v>
      </c>
    </row>
    <row r="88" spans="1:26">
      <c r="E88" s="239" t="s">
        <v>1274</v>
      </c>
      <c r="H88" s="83">
        <f>'HP, gas absorpt,brine-to-water'!J14</f>
        <v>2030</v>
      </c>
      <c r="I88" s="83"/>
      <c r="J88" s="207">
        <f>'HP, gas absorpt,brine-to-water'!L41</f>
        <v>1.7</v>
      </c>
      <c r="K88" s="81"/>
      <c r="L88" s="37">
        <f>('HP, gas absorpt,brine-to-water'!O41)/1000</f>
        <v>2.98</v>
      </c>
      <c r="M88" s="37">
        <f>('HP, gas absorpt,brine-to-water'!P41)/1000</f>
        <v>1.2571875E-2</v>
      </c>
      <c r="N88" s="194">
        <f>'HP, gas absorpt,brine-to-water'!Q41</f>
        <v>0</v>
      </c>
      <c r="O88" s="81"/>
      <c r="P88" s="290"/>
      <c r="Q88" s="213"/>
      <c r="R88" s="295">
        <f>'HP, gas absorpt,brine-to-water'!T41</f>
        <v>0</v>
      </c>
      <c r="S88" s="81">
        <f>'HP, gas absorpt,brine-to-water'!U41</f>
        <v>5</v>
      </c>
      <c r="T88" s="81">
        <f>'HP, gas absorpt,brine-to-water'!V41</f>
        <v>0.5</v>
      </c>
      <c r="U88" s="81">
        <f>'HP, gas absorpt,brine-to-water'!W41</f>
        <v>0</v>
      </c>
      <c r="V88" s="81">
        <f>'HP, gas absorpt,brine-to-water'!X41</f>
        <v>0</v>
      </c>
      <c r="Y88" s="81">
        <f>'HP, gas absorpt,brine-to-water'!M41</f>
        <v>0</v>
      </c>
    </row>
    <row r="89" spans="1:26">
      <c r="E89" s="239" t="s">
        <v>1274</v>
      </c>
      <c r="H89" s="83">
        <f>'HP, gas absorpt,brine-to-water'!J15</f>
        <v>2050</v>
      </c>
      <c r="I89" s="83"/>
      <c r="J89" s="207">
        <f>'HP, gas absorpt,brine-to-water'!L42</f>
        <v>1.7</v>
      </c>
      <c r="K89" s="81"/>
      <c r="L89" s="37">
        <f>('HP, gas absorpt,brine-to-water'!O42)/1000</f>
        <v>2.98</v>
      </c>
      <c r="M89" s="37">
        <f>('HP, gas absorpt,brine-to-water'!P42)/1000</f>
        <v>1.2571875E-2</v>
      </c>
      <c r="N89" s="194">
        <f>'HP, gas absorpt,brine-to-water'!Q42</f>
        <v>0</v>
      </c>
      <c r="O89" s="81"/>
      <c r="P89" s="290"/>
      <c r="Q89" s="213"/>
      <c r="R89" s="295">
        <f>'HP, gas absorpt,brine-to-water'!T42</f>
        <v>0</v>
      </c>
      <c r="S89" s="81">
        <f>'HP, gas absorpt,brine-to-water'!U42</f>
        <v>5</v>
      </c>
      <c r="T89" s="81">
        <f>'HP, gas absorpt,brine-to-water'!V42</f>
        <v>0.5</v>
      </c>
      <c r="U89" s="81">
        <f>'HP, gas absorpt,brine-to-water'!W42</f>
        <v>0</v>
      </c>
      <c r="V89" s="81">
        <f>'HP, gas absorpt,brine-to-water'!X42</f>
        <v>0</v>
      </c>
      <c r="Y89" s="81">
        <f>'HP, gas absorpt,brine-to-water'!M42</f>
        <v>0</v>
      </c>
    </row>
    <row r="90" spans="1:26">
      <c r="C90" s="223" t="str">
        <f>"IND"&amp;RIGHT(G90,4)&amp;"GAS"&amp;"N"&amp;RIGHT(D90,1)</f>
        <v>INDPDRHGASN4</v>
      </c>
      <c r="D90" s="278" t="str">
        <f>"Industrial heating technology "&amp;$AD$4&amp;" "&amp;RIGHT(G90,2)&amp;" - Heat pump,gas engine, air-to-water - new 4"</f>
        <v>Industrial heating technology Private Service RH - Heat pump,gas engine, air-to-water - new 4</v>
      </c>
      <c r="E90" s="239" t="s">
        <v>1274</v>
      </c>
      <c r="F90" s="176" t="s">
        <v>528</v>
      </c>
      <c r="G90" s="177" t="str">
        <f>AC8</f>
        <v>IPDRH</v>
      </c>
      <c r="H90" s="81">
        <v>2011</v>
      </c>
      <c r="I90" s="81">
        <v>2011</v>
      </c>
      <c r="J90" s="207">
        <f>'Heat pump, gas engine air-water'!L12</f>
        <v>1.5</v>
      </c>
      <c r="K90" s="186">
        <f>'Heat pump, gas engine air-water'!N12</f>
        <v>12.5</v>
      </c>
      <c r="L90" s="37">
        <f>('Heat pump, gas engine air-water'!O12)/1000</f>
        <v>0.59599999999999997</v>
      </c>
      <c r="M90" s="37">
        <f>('Heat pump, gas engine air-water'!P12)/1000</f>
        <v>2.0114999999999997E-2</v>
      </c>
      <c r="N90" s="186">
        <f>'Heat pump, gas engine air-water'!Q12</f>
        <v>14.9</v>
      </c>
      <c r="O90" s="204">
        <v>3.1536000000000002E-2</v>
      </c>
      <c r="P90" s="290">
        <v>0.5</v>
      </c>
      <c r="Q90" s="213"/>
      <c r="R90" s="296">
        <f>'Heat pump, gas engine air-water'!T12</f>
        <v>0</v>
      </c>
      <c r="S90" s="186">
        <f>'Heat pump, gas engine air-water'!U12</f>
        <v>115</v>
      </c>
      <c r="T90" s="186">
        <f>'Heat pump, gas engine air-water'!V12</f>
        <v>5</v>
      </c>
      <c r="U90" s="186">
        <f>'Heat pump, gas engine air-water'!W12</f>
        <v>0</v>
      </c>
      <c r="V90" s="186">
        <f>'Heat pump, gas engine air-water'!X12</f>
        <v>0</v>
      </c>
      <c r="Y90" s="167">
        <f>'Heat pump, gas engine Brine-wat'!M39</f>
        <v>0</v>
      </c>
    </row>
    <row r="91" spans="1:26">
      <c r="E91" s="239" t="s">
        <v>1274</v>
      </c>
      <c r="H91" s="83">
        <f>'Heat pump, gas engine air-water'!J13</f>
        <v>2020</v>
      </c>
      <c r="I91" s="83"/>
      <c r="J91" s="207">
        <f>'Heat pump, gas engine air-water'!L13</f>
        <v>1.55</v>
      </c>
      <c r="K91" s="186"/>
      <c r="L91" s="37">
        <f>('Heat pump, gas engine air-water'!O13)/1000</f>
        <v>0.59599999999999997</v>
      </c>
      <c r="M91" s="37">
        <f>('Heat pump, gas engine air-water'!P13)/1000</f>
        <v>2.0114999999999997E-2</v>
      </c>
      <c r="N91" s="186">
        <f>'Heat pump, gas engine air-water'!Q13</f>
        <v>14.9</v>
      </c>
      <c r="O91" s="186"/>
      <c r="P91" s="290"/>
      <c r="Q91" s="213"/>
      <c r="R91" s="296">
        <f>'Heat pump, gas engine air-water'!T13</f>
        <v>0</v>
      </c>
      <c r="S91" s="186">
        <f>'Heat pump, gas engine air-water'!U13</f>
        <v>85</v>
      </c>
      <c r="T91" s="186">
        <f>'Heat pump, gas engine air-water'!V13</f>
        <v>5</v>
      </c>
      <c r="U91" s="186">
        <f>'Heat pump, gas engine air-water'!W13</f>
        <v>0</v>
      </c>
      <c r="V91" s="186">
        <f>'Heat pump, gas engine air-water'!X13</f>
        <v>0</v>
      </c>
      <c r="Y91" s="167">
        <f>'Heat pump, gas engine Brine-wat'!M40</f>
        <v>0</v>
      </c>
    </row>
    <row r="92" spans="1:26">
      <c r="E92" s="239" t="s">
        <v>1274</v>
      </c>
      <c r="H92" s="83">
        <f>'Heat pump, gas engine air-water'!J14</f>
        <v>2030</v>
      </c>
      <c r="I92" s="83"/>
      <c r="J92" s="207">
        <f>'Heat pump, gas engine air-water'!L14</f>
        <v>1.55</v>
      </c>
      <c r="K92" s="186"/>
      <c r="L92" s="37">
        <f>('Heat pump, gas engine air-water'!O14)/1000</f>
        <v>0.59599999999999997</v>
      </c>
      <c r="M92" s="37">
        <f>('Heat pump, gas engine air-water'!P14)/1000</f>
        <v>2.0114999999999997E-2</v>
      </c>
      <c r="N92" s="186">
        <f>'Heat pump, gas engine air-water'!Q14</f>
        <v>14.9</v>
      </c>
      <c r="O92" s="186"/>
      <c r="P92" s="290"/>
      <c r="Q92" s="213"/>
      <c r="R92" s="296">
        <f>'Heat pump, gas engine air-water'!T14</f>
        <v>0</v>
      </c>
      <c r="S92" s="186">
        <f>'Heat pump, gas engine air-water'!U14</f>
        <v>55</v>
      </c>
      <c r="T92" s="186">
        <f>'Heat pump, gas engine air-water'!V14</f>
        <v>5</v>
      </c>
      <c r="U92" s="186">
        <f>'Heat pump, gas engine air-water'!W14</f>
        <v>0</v>
      </c>
      <c r="V92" s="186">
        <f>'Heat pump, gas engine air-water'!X14</f>
        <v>0</v>
      </c>
      <c r="Y92" s="167">
        <f>'Heat pump, gas engine Brine-wat'!M41</f>
        <v>0</v>
      </c>
    </row>
    <row r="93" spans="1:26">
      <c r="E93" s="239" t="s">
        <v>1274</v>
      </c>
      <c r="H93" s="83">
        <f>'Heat pump, gas engine air-water'!J15</f>
        <v>2050</v>
      </c>
      <c r="I93" s="83"/>
      <c r="J93" s="207">
        <f>'Heat pump, gas engine air-water'!L15</f>
        <v>1.6</v>
      </c>
      <c r="K93" s="186"/>
      <c r="L93" s="37">
        <f>('Heat pump, gas engine air-water'!O15)/1000</f>
        <v>0.59599999999999997</v>
      </c>
      <c r="M93" s="37">
        <f>('Heat pump, gas engine air-water'!P15)/1000</f>
        <v>2.0114999999999997E-2</v>
      </c>
      <c r="N93" s="186">
        <f>'Heat pump, gas engine air-water'!Q15</f>
        <v>14.9</v>
      </c>
      <c r="O93" s="186"/>
      <c r="P93" s="290"/>
      <c r="Q93" s="213"/>
      <c r="R93" s="296">
        <f>'Heat pump, gas engine air-water'!T15</f>
        <v>0</v>
      </c>
      <c r="S93" s="186">
        <f>'Heat pump, gas engine air-water'!U15</f>
        <v>55</v>
      </c>
      <c r="T93" s="186">
        <f>'Heat pump, gas engine air-water'!V15</f>
        <v>5</v>
      </c>
      <c r="U93" s="186">
        <f>'Heat pump, gas engine air-water'!W15</f>
        <v>0</v>
      </c>
      <c r="V93" s="186">
        <f>'Heat pump, gas engine air-water'!X15</f>
        <v>0</v>
      </c>
      <c r="Y93" s="167">
        <f>'Heat pump, gas engine Brine-wat'!M42</f>
        <v>0</v>
      </c>
    </row>
    <row r="94" spans="1:26">
      <c r="C94" s="223" t="str">
        <f>"IND"&amp;RIGHT(G94,4)&amp;"GAS"&amp;"N"&amp;RIGHT(D94,1)</f>
        <v>INDPDRHGASN5</v>
      </c>
      <c r="D94" s="278" t="str">
        <f>"Industrial heating technology "&amp;$AD$4&amp;" "&amp;RIGHT(G94,2)&amp;" - Heat pump,gas engine, brine-to-water - new 5"</f>
        <v>Industrial heating technology Private Service RH - Heat pump,gas engine, brine-to-water - new 5</v>
      </c>
      <c r="E94" s="239" t="s">
        <v>1274</v>
      </c>
      <c r="F94" s="176" t="s">
        <v>528</v>
      </c>
      <c r="G94" s="177" t="str">
        <f>AC8</f>
        <v>IPDRH</v>
      </c>
      <c r="H94" s="81">
        <v>2011</v>
      </c>
      <c r="I94" s="81">
        <v>2011</v>
      </c>
      <c r="J94" s="207">
        <f>'Heat pump, gas engine Brine-wat'!L12</f>
        <v>1.5</v>
      </c>
      <c r="K94" s="186">
        <f>'Heat pump, gas engine Brine-wat'!N12</f>
        <v>12.5</v>
      </c>
      <c r="L94" s="37">
        <f>('Heat pump, gas engine Brine-wat'!O12)/1000</f>
        <v>2.831</v>
      </c>
      <c r="M94" s="37">
        <f>('Heat pump, gas engine Brine-wat'!P12)/1000</f>
        <v>2.0114999999999997E-2</v>
      </c>
      <c r="N94" s="217">
        <f>'Heat pump, gas engine Brine-wat'!Q12</f>
        <v>14.9</v>
      </c>
      <c r="O94" s="204">
        <v>3.1536000000000002E-2</v>
      </c>
      <c r="P94" s="290">
        <v>0.5</v>
      </c>
      <c r="Q94" s="213"/>
      <c r="R94" s="296">
        <f>'Heat pump, gas engine Brine-wat'!T12</f>
        <v>0</v>
      </c>
      <c r="S94" s="186">
        <f>'Heat pump, gas engine Brine-wat'!U12</f>
        <v>115</v>
      </c>
      <c r="T94" s="186">
        <f>'Heat pump, gas engine Brine-wat'!V12</f>
        <v>5</v>
      </c>
      <c r="U94" s="186">
        <f>'Heat pump, gas engine Brine-wat'!W12</f>
        <v>0</v>
      </c>
      <c r="V94" s="186">
        <f>'Heat pump, gas engine Brine-wat'!X12</f>
        <v>0</v>
      </c>
      <c r="Y94" s="167">
        <f>'Heat pump, gas engine Brine-wat'!M39</f>
        <v>0</v>
      </c>
    </row>
    <row r="95" spans="1:26">
      <c r="E95" s="239" t="s">
        <v>1274</v>
      </c>
      <c r="H95" s="83">
        <f>'Heat pump, gas engine Brine-wat'!J13</f>
        <v>2020</v>
      </c>
      <c r="I95" s="83"/>
      <c r="J95" s="207">
        <f>'Heat pump, gas engine Brine-wat'!L13</f>
        <v>1.55</v>
      </c>
      <c r="K95" s="186"/>
      <c r="L95" s="37">
        <f>('Heat pump, gas engine Brine-wat'!O13)/1000</f>
        <v>2.831</v>
      </c>
      <c r="M95" s="37">
        <f>('Heat pump, gas engine Brine-wat'!P13)/1000</f>
        <v>2.0114999999999997E-2</v>
      </c>
      <c r="N95" s="217">
        <f>'Heat pump, gas engine Brine-wat'!Q13</f>
        <v>14.9</v>
      </c>
      <c r="O95" s="186"/>
      <c r="P95" s="291"/>
      <c r="Q95" s="213"/>
      <c r="R95" s="296">
        <f>'Heat pump, gas engine Brine-wat'!T13</f>
        <v>0</v>
      </c>
      <c r="S95" s="186">
        <f>'Heat pump, gas engine Brine-wat'!U13</f>
        <v>85</v>
      </c>
      <c r="T95" s="186">
        <f>'Heat pump, gas engine Brine-wat'!V13</f>
        <v>5</v>
      </c>
      <c r="U95" s="186">
        <f>'Heat pump, gas engine Brine-wat'!W13</f>
        <v>0</v>
      </c>
      <c r="V95" s="186">
        <f>'Heat pump, gas engine Brine-wat'!X13</f>
        <v>0</v>
      </c>
      <c r="Y95" s="167">
        <f>'Heat pump, gas engine Brine-wat'!M40</f>
        <v>0</v>
      </c>
    </row>
    <row r="96" spans="1:26">
      <c r="E96" s="239" t="s">
        <v>1274</v>
      </c>
      <c r="H96" s="83">
        <f>'Heat pump, gas engine Brine-wat'!J14</f>
        <v>2030</v>
      </c>
      <c r="I96" s="83"/>
      <c r="J96" s="207">
        <f>'Heat pump, gas engine Brine-wat'!L14</f>
        <v>1.55</v>
      </c>
      <c r="K96" s="186"/>
      <c r="L96" s="37">
        <f>('Heat pump, gas engine Brine-wat'!O14)/1000</f>
        <v>2.831</v>
      </c>
      <c r="M96" s="37">
        <f>('Heat pump, gas engine Brine-wat'!P14)/1000</f>
        <v>2.0114999999999997E-2</v>
      </c>
      <c r="N96" s="217">
        <f>'Heat pump, gas engine Brine-wat'!Q14</f>
        <v>14.9</v>
      </c>
      <c r="O96" s="186"/>
      <c r="P96" s="291"/>
      <c r="Q96" s="213"/>
      <c r="R96" s="296">
        <f>'Heat pump, gas engine Brine-wat'!T14</f>
        <v>0</v>
      </c>
      <c r="S96" s="186">
        <f>'Heat pump, gas engine Brine-wat'!U14</f>
        <v>55</v>
      </c>
      <c r="T96" s="186">
        <f>'Heat pump, gas engine Brine-wat'!V14</f>
        <v>5</v>
      </c>
      <c r="U96" s="186">
        <f>'Heat pump, gas engine Brine-wat'!W14</f>
        <v>0</v>
      </c>
      <c r="V96" s="186">
        <f>'Heat pump, gas engine Brine-wat'!X14</f>
        <v>0</v>
      </c>
      <c r="Y96" s="167">
        <f>'Heat pump, gas engine Brine-wat'!M41</f>
        <v>0</v>
      </c>
    </row>
    <row r="97" spans="1:26">
      <c r="E97" s="239" t="s">
        <v>1274</v>
      </c>
      <c r="H97" s="83">
        <f>'Heat pump, gas engine Brine-wat'!J15</f>
        <v>2050</v>
      </c>
      <c r="I97" s="83"/>
      <c r="J97" s="207">
        <f>'Heat pump, gas engine Brine-wat'!L15</f>
        <v>1.6</v>
      </c>
      <c r="K97" s="186"/>
      <c r="L97" s="37">
        <f>('Heat pump, gas engine Brine-wat'!O15)/1000</f>
        <v>2.831</v>
      </c>
      <c r="M97" s="37">
        <f>('Heat pump, gas engine Brine-wat'!P15)/1000</f>
        <v>2.0114999999999997E-2</v>
      </c>
      <c r="N97" s="217">
        <f>'Heat pump, gas engine Brine-wat'!Q15</f>
        <v>14.9</v>
      </c>
      <c r="O97" s="186"/>
      <c r="P97" s="291"/>
      <c r="Q97" s="213"/>
      <c r="R97" s="296">
        <f>'Heat pump, gas engine Brine-wat'!T15</f>
        <v>0</v>
      </c>
      <c r="S97" s="186">
        <f>'Heat pump, gas engine Brine-wat'!U15</f>
        <v>55</v>
      </c>
      <c r="T97" s="186">
        <f>'Heat pump, gas engine Brine-wat'!V15</f>
        <v>5</v>
      </c>
      <c r="U97" s="186">
        <f>'Heat pump, gas engine Brine-wat'!W15</f>
        <v>0</v>
      </c>
      <c r="V97" s="186">
        <f>'Heat pump, gas engine Brine-wat'!X15</f>
        <v>0</v>
      </c>
      <c r="Y97" s="167">
        <f>'Heat pump, gas engine Brine-wat'!M42</f>
        <v>0</v>
      </c>
    </row>
    <row r="98" spans="1:26">
      <c r="C98" s="223" t="str">
        <f>"IND"&amp;RIGHT(G98,4)&amp;"GAS"&amp;"N"&amp;RIGHT(D98,1)</f>
        <v>INDPDRHGASN6</v>
      </c>
      <c r="D98" s="239" t="str">
        <f>"Industrial heating technology "&amp;$AD$4&amp;" "&amp;RIGHT(G98,2)&amp;" - Heat pump,gas adsoption, air-to-water - new 6"</f>
        <v>Industrial heating technology Private Service RH - Heat pump,gas adsoption, air-to-water - new 6</v>
      </c>
      <c r="E98" s="239" t="s">
        <v>1274</v>
      </c>
      <c r="F98" s="176" t="s">
        <v>528</v>
      </c>
      <c r="G98" s="177" t="str">
        <f>AC8</f>
        <v>IPDRH</v>
      </c>
      <c r="H98" s="81">
        <v>2011</v>
      </c>
      <c r="I98" s="81">
        <v>2011</v>
      </c>
      <c r="J98" s="207">
        <f>'Heat pump, gas adsorption'!L12</f>
        <v>1.35</v>
      </c>
      <c r="K98" s="186">
        <f>'Heat pump, gas adsorption'!N12</f>
        <v>20</v>
      </c>
      <c r="L98" s="37">
        <f>('Heat pump, gas adsorption'!O12)/1000</f>
        <v>13.0375</v>
      </c>
      <c r="M98" s="37">
        <f>('Heat pump, gas adsorption'!P12)/1000</f>
        <v>0.12571874999999999</v>
      </c>
      <c r="N98" s="217">
        <f>'Heat pump, gas adsorption'!Q12</f>
        <v>93.125</v>
      </c>
      <c r="O98" s="204">
        <v>3.1536000000000002E-2</v>
      </c>
      <c r="P98" s="291">
        <v>0.5</v>
      </c>
      <c r="Q98" s="213"/>
      <c r="R98" s="296">
        <f>'Heat pump, gas adsorption'!T12</f>
        <v>0</v>
      </c>
      <c r="S98" s="186">
        <f>'Heat pump, gas adsorption'!U12</f>
        <v>20</v>
      </c>
      <c r="T98" s="186">
        <f>'Heat pump, gas adsorption'!V12</f>
        <v>2</v>
      </c>
      <c r="U98" s="186">
        <f>'Heat pump, gas adsorption'!W12</f>
        <v>0</v>
      </c>
      <c r="V98" s="186">
        <f>'Heat pump, gas adsorption'!X12</f>
        <v>0</v>
      </c>
      <c r="Y98" s="167">
        <f>'Heat pump, gas adsorption'!M39</f>
        <v>0</v>
      </c>
    </row>
    <row r="99" spans="1:26">
      <c r="E99" s="239" t="s">
        <v>1274</v>
      </c>
      <c r="H99" s="83">
        <f>'Heat pump, gas adsorption'!J13</f>
        <v>2020</v>
      </c>
      <c r="I99" s="83"/>
      <c r="J99" s="207">
        <f>'Heat pump, gas adsorption'!L13</f>
        <v>1.35</v>
      </c>
      <c r="K99" s="186"/>
      <c r="L99" s="37">
        <f>('Heat pump, gas adsorption'!O13)/1000</f>
        <v>13.0375</v>
      </c>
      <c r="M99" s="37">
        <f>('Heat pump, gas adsorption'!P13)/1000</f>
        <v>0.12571874999999999</v>
      </c>
      <c r="N99" s="217">
        <f>'Heat pump, gas adsorption'!Q13</f>
        <v>93.125</v>
      </c>
      <c r="O99" s="186"/>
      <c r="P99" s="291"/>
      <c r="Q99" s="213"/>
      <c r="R99" s="296">
        <f>'Heat pump, gas adsorption'!T13</f>
        <v>0</v>
      </c>
      <c r="S99" s="186">
        <f>'Heat pump, gas adsorption'!U13</f>
        <v>10</v>
      </c>
      <c r="T99" s="186">
        <f>'Heat pump, gas adsorption'!V13</f>
        <v>1</v>
      </c>
      <c r="U99" s="186">
        <f>'Heat pump, gas adsorption'!W13</f>
        <v>0</v>
      </c>
      <c r="V99" s="186">
        <f>'Heat pump, gas adsorption'!X13</f>
        <v>0</v>
      </c>
      <c r="Y99" s="167">
        <f>'Heat pump, gas adsorption'!M40</f>
        <v>0</v>
      </c>
    </row>
    <row r="100" spans="1:26">
      <c r="E100" s="239" t="s">
        <v>1274</v>
      </c>
      <c r="H100" s="83">
        <f>'Heat pump, gas adsorption'!J14</f>
        <v>2030</v>
      </c>
      <c r="I100" s="83"/>
      <c r="J100" s="207">
        <f>'Heat pump, gas adsorption'!L14</f>
        <v>1.35</v>
      </c>
      <c r="K100" s="186"/>
      <c r="L100" s="37">
        <f>('Heat pump, gas adsorption'!O14)/1000</f>
        <v>13.0375</v>
      </c>
      <c r="M100" s="37">
        <f>('Heat pump, gas adsorption'!P14)/1000</f>
        <v>0.12571874999999999</v>
      </c>
      <c r="N100" s="217">
        <f>'Heat pump, gas adsorption'!Q14</f>
        <v>93.125</v>
      </c>
      <c r="O100" s="186"/>
      <c r="P100" s="291"/>
      <c r="Q100" s="213"/>
      <c r="R100" s="296">
        <f>'Heat pump, gas adsorption'!T14</f>
        <v>0</v>
      </c>
      <c r="S100" s="186">
        <f>'Heat pump, gas adsorption'!U14</f>
        <v>5</v>
      </c>
      <c r="T100" s="186">
        <f>'Heat pump, gas adsorption'!V14</f>
        <v>0.5</v>
      </c>
      <c r="U100" s="186">
        <f>'Heat pump, gas adsorption'!W14</f>
        <v>0</v>
      </c>
      <c r="V100" s="186">
        <f>'Heat pump, gas adsorption'!X14</f>
        <v>0</v>
      </c>
      <c r="Y100" s="167">
        <f>'Heat pump, gas adsorption'!M41</f>
        <v>0</v>
      </c>
    </row>
    <row r="101" spans="1:26">
      <c r="C101" s="211"/>
      <c r="D101" s="211"/>
      <c r="E101" s="239" t="s">
        <v>1274</v>
      </c>
      <c r="F101" s="211"/>
      <c r="G101" s="211"/>
      <c r="H101" s="83">
        <f>'Heat pump, gas adsorption'!J15</f>
        <v>2050</v>
      </c>
      <c r="I101" s="83"/>
      <c r="J101" s="207">
        <f>'Heat pump, gas adsorption'!L15</f>
        <v>1.35</v>
      </c>
      <c r="K101" s="186"/>
      <c r="L101" s="212">
        <f>('Heat pump, gas adsorption'!O15)/1000</f>
        <v>13.0375</v>
      </c>
      <c r="M101" s="212">
        <f>('Heat pump, gas adsorption'!P15)/1000</f>
        <v>0.12571874999999999</v>
      </c>
      <c r="N101" s="217">
        <f>'Heat pump, gas adsorption'!Q15</f>
        <v>93.125</v>
      </c>
      <c r="O101" s="186"/>
      <c r="P101" s="291"/>
      <c r="Q101" s="213"/>
      <c r="R101" s="296">
        <f>'Heat pump, gas adsorption'!T15</f>
        <v>0</v>
      </c>
      <c r="S101" s="186">
        <f>'Heat pump, gas adsorption'!U15</f>
        <v>5</v>
      </c>
      <c r="T101" s="186">
        <f>'Heat pump, gas adsorption'!V15</f>
        <v>0.5</v>
      </c>
      <c r="U101" s="186">
        <f>'Heat pump, gas adsorption'!W15</f>
        <v>0</v>
      </c>
      <c r="V101" s="186">
        <f>'Heat pump, gas adsorption'!X15</f>
        <v>0</v>
      </c>
      <c r="Y101" s="167">
        <f>'Heat pump, gas adsorption'!M42</f>
        <v>0</v>
      </c>
    </row>
    <row r="102" spans="1:26">
      <c r="C102" s="36" t="s">
        <v>504</v>
      </c>
      <c r="D102" s="36"/>
      <c r="E102" s="239" t="s">
        <v>1274</v>
      </c>
      <c r="G102" s="176"/>
      <c r="H102" s="205"/>
      <c r="I102" s="205"/>
      <c r="J102" s="213"/>
      <c r="K102" s="213"/>
      <c r="L102" s="37"/>
      <c r="M102" s="37"/>
      <c r="N102" s="214"/>
      <c r="O102" s="268"/>
      <c r="P102" s="292"/>
      <c r="Q102" s="213"/>
      <c r="R102" s="213"/>
      <c r="S102" s="213"/>
      <c r="T102" s="213"/>
      <c r="U102" s="213"/>
      <c r="V102" s="213"/>
      <c r="Y102" s="215"/>
    </row>
    <row r="103" spans="1:26">
      <c r="C103" s="223" t="str">
        <f>"IND"&amp;RIGHT(G103,4)&amp;RIGHT(F103,3)&amp;"N"&amp;RIGHT(D103,1)</f>
        <v>INDPDRHHCEN1</v>
      </c>
      <c r="D103" s="239" t="str">
        <f>"Industrial heating technology "&amp;$AD$4&amp;" "&amp;RIGHT(G103,2)&amp;" - central district heating - within DH area - new 1"</f>
        <v>Industrial heating technology Private Service RH - central district heating - within DH area - new 1</v>
      </c>
      <c r="E103" s="239" t="s">
        <v>1274</v>
      </c>
      <c r="F103" s="240" t="s">
        <v>502</v>
      </c>
      <c r="G103" s="240" t="str">
        <f>AC8</f>
        <v>IPDRH</v>
      </c>
      <c r="H103" s="81">
        <v>2011</v>
      </c>
      <c r="I103" s="81">
        <v>2011</v>
      </c>
      <c r="J103" s="81">
        <v>0.96</v>
      </c>
      <c r="K103" s="81">
        <v>30</v>
      </c>
      <c r="L103" s="269">
        <v>1.17</v>
      </c>
      <c r="M103" s="270">
        <f>'DH network'!$M$9</f>
        <v>5.8735799999999998E-2</v>
      </c>
      <c r="N103" s="270">
        <f>N6*0.95</f>
        <v>14.154999999999999</v>
      </c>
      <c r="O103" s="209">
        <v>3.1536000000000002E-2</v>
      </c>
      <c r="P103" s="293">
        <v>0.5</v>
      </c>
      <c r="Q103" s="320"/>
      <c r="R103" s="297"/>
      <c r="S103" s="61"/>
      <c r="T103" s="61"/>
      <c r="U103" s="61"/>
      <c r="V103" s="61"/>
    </row>
    <row r="104" spans="1:26">
      <c r="C104" s="223" t="str">
        <f>"IND"&amp;RIGHT(G104,4)&amp;RIGHT(F104,3)&amp;"N"&amp;RIGHT(D104,1)</f>
        <v>INDPDMTHCEN1</v>
      </c>
      <c r="D104" s="239" t="str">
        <f>"Industrial heating technology "&amp;$AD$4&amp;" "&amp;RIGHT(G104,2)&amp;" - central district heating - within DH area - new 1"</f>
        <v>Industrial heating technology Private Service MT - central district heating - within DH area - new 1</v>
      </c>
      <c r="E104" s="239" t="s">
        <v>1274</v>
      </c>
      <c r="F104" s="240" t="s">
        <v>502</v>
      </c>
      <c r="G104" s="313" t="str">
        <f>AC7</f>
        <v>IPDMT</v>
      </c>
      <c r="H104" s="81">
        <v>2011</v>
      </c>
      <c r="I104" s="81">
        <v>2011</v>
      </c>
      <c r="J104" s="81">
        <v>0.96</v>
      </c>
      <c r="K104" s="81">
        <v>30</v>
      </c>
      <c r="L104" s="269">
        <v>1.17</v>
      </c>
      <c r="M104" s="270">
        <f>'DH network'!$M$9</f>
        <v>5.8735799999999998E-2</v>
      </c>
      <c r="N104" s="270">
        <f>N7*0.95</f>
        <v>14.154999999999999</v>
      </c>
      <c r="O104" s="209">
        <v>3.1536000000000002E-2</v>
      </c>
      <c r="P104" s="293">
        <v>0.5</v>
      </c>
      <c r="Q104" s="320"/>
      <c r="R104" s="297"/>
      <c r="S104" s="61"/>
      <c r="T104" s="61"/>
      <c r="U104" s="61"/>
      <c r="V104" s="61"/>
    </row>
    <row r="105" spans="1:26">
      <c r="C105" s="223" t="str">
        <f>"IND"&amp;RIGHT(G105,4)&amp;RIGHT(F105,3)&amp;"N"&amp;RIGHT(D105,1)</f>
        <v>INDPDRHHDEN1</v>
      </c>
      <c r="D105" s="239" t="str">
        <f>"Industrial heating technology "&amp;$AD$4&amp;" "&amp;RIGHT(G105,2)&amp;" - decentral district heating - within DH area - new 1"</f>
        <v>Industrial heating technology Private Service RH - decentral district heating - within DH area - new 1</v>
      </c>
      <c r="E105" s="239" t="s">
        <v>1274</v>
      </c>
      <c r="F105" s="276" t="s">
        <v>503</v>
      </c>
      <c r="G105" s="282" t="str">
        <f>AC8</f>
        <v>IPDRH</v>
      </c>
      <c r="H105" s="81">
        <v>2011</v>
      </c>
      <c r="I105" s="81">
        <v>2011</v>
      </c>
      <c r="J105" s="81">
        <f>J103</f>
        <v>0.96</v>
      </c>
      <c r="K105" s="81">
        <v>30</v>
      </c>
      <c r="L105" s="269">
        <v>1.25</v>
      </c>
      <c r="M105" s="270">
        <f>'DH network'!$M$9</f>
        <v>5.8735799999999998E-2</v>
      </c>
      <c r="N105" s="270">
        <f>N103</f>
        <v>14.154999999999999</v>
      </c>
      <c r="O105" s="209">
        <v>3.1536000000000002E-2</v>
      </c>
      <c r="P105" s="293">
        <v>0.5</v>
      </c>
      <c r="Q105" s="320"/>
      <c r="R105" s="297"/>
      <c r="S105" s="61"/>
      <c r="T105" s="61"/>
      <c r="U105" s="61"/>
      <c r="V105" s="61"/>
    </row>
    <row r="106" spans="1:26">
      <c r="C106" s="223" t="str">
        <f>"IND"&amp;RIGHT(G106,4)&amp;RIGHT(F106,3)&amp;"N"&amp;RIGHT(D106,1)</f>
        <v>INDPDMTHDEN1</v>
      </c>
      <c r="D106" s="239" t="str">
        <f>"Industrial heating technology "&amp;$AD$4&amp;" "&amp;RIGHT(G106,2)&amp;" - decentral district heating - within DH area - new 1"</f>
        <v>Industrial heating technology Private Service MT - decentral district heating - within DH area - new 1</v>
      </c>
      <c r="E106" s="239" t="s">
        <v>1274</v>
      </c>
      <c r="F106" s="276" t="s">
        <v>503</v>
      </c>
      <c r="G106" s="240" t="str">
        <f>AC7</f>
        <v>IPDMT</v>
      </c>
      <c r="H106" s="81">
        <v>2011</v>
      </c>
      <c r="I106" s="81">
        <v>2011</v>
      </c>
      <c r="J106" s="81">
        <f>J104</f>
        <v>0.96</v>
      </c>
      <c r="K106" s="81">
        <v>30</v>
      </c>
      <c r="L106" s="269">
        <v>1.25</v>
      </c>
      <c r="M106" s="270">
        <f>'DH network'!$M$9</f>
        <v>5.8735799999999998E-2</v>
      </c>
      <c r="N106" s="270">
        <f>N104</f>
        <v>14.154999999999999</v>
      </c>
      <c r="O106" s="209">
        <v>3.1536000000000002E-2</v>
      </c>
      <c r="P106" s="293">
        <v>0.5</v>
      </c>
      <c r="Q106" s="320"/>
      <c r="R106" s="297"/>
      <c r="S106" s="61"/>
      <c r="T106" s="61"/>
      <c r="U106" s="61"/>
      <c r="V106" s="61"/>
    </row>
    <row r="107" spans="1:26">
      <c r="A107" s="241"/>
      <c r="B107" s="241"/>
      <c r="C107" s="275" t="s">
        <v>497</v>
      </c>
      <c r="D107" s="275"/>
      <c r="E107" s="239" t="s">
        <v>1274</v>
      </c>
      <c r="F107" s="216"/>
      <c r="G107" s="240"/>
      <c r="H107" s="208"/>
      <c r="I107" s="208"/>
      <c r="J107" s="208"/>
      <c r="K107" s="208"/>
      <c r="L107" s="242"/>
      <c r="M107" s="242"/>
      <c r="N107" s="242"/>
      <c r="O107" s="210"/>
      <c r="P107" s="243"/>
      <c r="Q107" s="320"/>
      <c r="R107" s="241"/>
      <c r="S107" s="241"/>
      <c r="T107" s="241"/>
      <c r="U107" s="241"/>
      <c r="V107" s="241"/>
      <c r="W107" s="241"/>
      <c r="X107" s="241"/>
      <c r="Y107" s="241"/>
      <c r="Z107" s="241"/>
    </row>
    <row r="108" spans="1:26">
      <c r="A108" s="241"/>
      <c r="B108" s="241"/>
      <c r="C108" s="223" t="str">
        <f>"IND"&amp;RIGHT(G108,4)&amp;RIGHT(F108,3)&amp;"N"&amp;RIGHT(D108,1)</f>
        <v>INDPDLAELCN1</v>
      </c>
      <c r="D108" s="239" t="str">
        <f>"Industry "&amp;$AD$4&amp;" "&amp;RIGHT(G108,2)&amp;" Electricity Light Appliance - New 1"</f>
        <v>Industry Private Service LA Electricity Light Appliance - New 1</v>
      </c>
      <c r="E108" s="239" t="s">
        <v>1274</v>
      </c>
      <c r="F108" s="240" t="s">
        <v>500</v>
      </c>
      <c r="G108" s="240" t="str">
        <f>AC9</f>
        <v>IPDLA</v>
      </c>
      <c r="H108" s="81">
        <v>2011</v>
      </c>
      <c r="I108" s="81">
        <v>2011</v>
      </c>
      <c r="J108" s="273">
        <v>1</v>
      </c>
      <c r="K108" s="273">
        <v>10</v>
      </c>
      <c r="L108" s="270"/>
      <c r="M108" s="270"/>
      <c r="N108" s="270"/>
      <c r="O108" s="209"/>
      <c r="P108" s="293">
        <v>0.9</v>
      </c>
      <c r="Q108" s="320"/>
      <c r="R108" s="298"/>
      <c r="S108" s="271"/>
      <c r="T108" s="271"/>
      <c r="U108" s="271"/>
      <c r="V108" s="271"/>
      <c r="W108" s="241"/>
      <c r="X108" s="241"/>
      <c r="Y108" s="241"/>
      <c r="Z108" s="241"/>
    </row>
    <row r="109" spans="1:26">
      <c r="A109" s="241"/>
      <c r="B109" s="241"/>
      <c r="E109" s="239" t="s">
        <v>1274</v>
      </c>
      <c r="F109" s="240"/>
      <c r="G109" s="241"/>
      <c r="H109" s="273">
        <v>2020</v>
      </c>
      <c r="I109" s="273"/>
      <c r="J109" s="273"/>
      <c r="K109" s="273"/>
      <c r="L109" s="270"/>
      <c r="M109" s="270"/>
      <c r="N109" s="270"/>
      <c r="O109" s="209"/>
      <c r="P109" s="293"/>
      <c r="Q109" s="320"/>
      <c r="R109" s="298"/>
      <c r="S109" s="271"/>
      <c r="T109" s="271"/>
      <c r="U109" s="271"/>
      <c r="V109" s="271"/>
      <c r="W109" s="241"/>
      <c r="X109" s="241"/>
      <c r="Y109" s="241"/>
      <c r="Z109" s="241"/>
    </row>
    <row r="110" spans="1:26">
      <c r="A110" s="241"/>
      <c r="B110" s="241"/>
      <c r="E110" s="239" t="s">
        <v>1274</v>
      </c>
      <c r="F110" s="240"/>
      <c r="G110" s="240"/>
      <c r="H110" s="273">
        <v>2030</v>
      </c>
      <c r="I110" s="273"/>
      <c r="J110" s="273"/>
      <c r="K110" s="273"/>
      <c r="L110" s="270"/>
      <c r="M110" s="270"/>
      <c r="N110" s="270"/>
      <c r="O110" s="209"/>
      <c r="P110" s="293"/>
      <c r="Q110" s="320"/>
      <c r="R110" s="298"/>
      <c r="S110" s="271"/>
      <c r="T110" s="271"/>
      <c r="U110" s="271"/>
      <c r="V110" s="271"/>
      <c r="W110" s="241"/>
      <c r="X110" s="241"/>
      <c r="Y110" s="241"/>
      <c r="Z110" s="241"/>
    </row>
    <row r="111" spans="1:26">
      <c r="A111" s="241"/>
      <c r="B111" s="241"/>
      <c r="E111" s="239" t="s">
        <v>1274</v>
      </c>
      <c r="F111" s="240"/>
      <c r="G111" s="240"/>
      <c r="H111" s="273">
        <v>2050</v>
      </c>
      <c r="I111" s="273"/>
      <c r="J111" s="273"/>
      <c r="K111" s="273"/>
      <c r="L111" s="270"/>
      <c r="M111" s="270"/>
      <c r="N111" s="270"/>
      <c r="O111" s="209"/>
      <c r="P111" s="293"/>
      <c r="Q111" s="320"/>
      <c r="R111" s="298"/>
      <c r="S111" s="271"/>
      <c r="T111" s="271"/>
      <c r="U111" s="271"/>
      <c r="V111" s="271"/>
      <c r="W111" s="241"/>
      <c r="X111" s="241"/>
      <c r="Y111" s="241"/>
      <c r="Z111" s="241"/>
    </row>
    <row r="112" spans="1:26">
      <c r="A112" s="241"/>
      <c r="B112" s="241"/>
      <c r="C112" s="223" t="str">
        <f>"IND"&amp;RIGHT(G112,4)&amp;RIGHT(F112,3)&amp;"N"&amp;RIGHT(D112,1)</f>
        <v>INDPDEMELCN1</v>
      </c>
      <c r="D112" s="239" t="str">
        <f>"Industry "&amp;$AD$4&amp;" "&amp;RIGHT(G112,2)&amp;" Electricity Motors - New 1"</f>
        <v>Industry Private Service EM Electricity Motors - New 1</v>
      </c>
      <c r="E112" s="239" t="s">
        <v>1274</v>
      </c>
      <c r="F112" s="240" t="s">
        <v>500</v>
      </c>
      <c r="G112" s="240" t="str">
        <f>AC10</f>
        <v>IPDEM</v>
      </c>
      <c r="H112" s="81">
        <v>2011</v>
      </c>
      <c r="I112" s="81">
        <v>2011</v>
      </c>
      <c r="J112" s="273">
        <v>1</v>
      </c>
      <c r="K112" s="273">
        <v>10</v>
      </c>
      <c r="L112" s="270"/>
      <c r="M112" s="270"/>
      <c r="N112" s="270"/>
      <c r="O112" s="209"/>
      <c r="P112" s="293">
        <v>0.9</v>
      </c>
      <c r="Q112" s="320"/>
      <c r="R112" s="298"/>
      <c r="S112" s="271"/>
      <c r="T112" s="271"/>
      <c r="U112" s="271"/>
      <c r="V112" s="271"/>
      <c r="W112" s="241"/>
      <c r="X112" s="241"/>
      <c r="Y112" s="241"/>
      <c r="Z112" s="241"/>
    </row>
    <row r="113" spans="1:22">
      <c r="C113" s="173"/>
      <c r="D113" s="64"/>
      <c r="E113" s="239" t="s">
        <v>1274</v>
      </c>
      <c r="G113" s="176"/>
      <c r="H113" s="273">
        <v>2020</v>
      </c>
      <c r="I113" s="274"/>
      <c r="J113" s="274"/>
      <c r="K113" s="274"/>
      <c r="L113" s="61"/>
      <c r="M113" s="61"/>
      <c r="N113" s="61"/>
      <c r="O113" s="61"/>
      <c r="P113" s="294"/>
      <c r="Q113" s="315"/>
      <c r="R113" s="297"/>
      <c r="S113" s="61"/>
      <c r="T113" s="61"/>
      <c r="U113" s="61"/>
      <c r="V113" s="61"/>
    </row>
    <row r="114" spans="1:22">
      <c r="E114" s="239" t="s">
        <v>1274</v>
      </c>
      <c r="G114" s="176"/>
      <c r="H114" s="273">
        <v>2030</v>
      </c>
      <c r="I114" s="274"/>
      <c r="J114" s="274"/>
      <c r="K114" s="274"/>
      <c r="L114" s="61"/>
      <c r="M114" s="61"/>
      <c r="N114" s="61"/>
      <c r="O114" s="61"/>
      <c r="P114" s="294"/>
      <c r="Q114" s="315"/>
      <c r="R114" s="297"/>
      <c r="S114" s="61"/>
      <c r="T114" s="61"/>
      <c r="U114" s="61"/>
      <c r="V114" s="61"/>
    </row>
    <row r="115" spans="1:22">
      <c r="C115" s="211"/>
      <c r="D115" s="211"/>
      <c r="E115" s="239" t="s">
        <v>1274</v>
      </c>
      <c r="F115" s="211"/>
      <c r="G115" s="283"/>
      <c r="H115" s="273">
        <v>2050</v>
      </c>
      <c r="I115" s="274"/>
      <c r="J115" s="274"/>
      <c r="K115" s="274"/>
      <c r="L115" s="61"/>
      <c r="M115" s="61"/>
      <c r="N115" s="61"/>
      <c r="O115" s="61"/>
      <c r="P115" s="294"/>
      <c r="Q115" s="315"/>
      <c r="R115" s="297"/>
      <c r="S115" s="61"/>
      <c r="T115" s="61"/>
      <c r="U115" s="61"/>
      <c r="V115" s="61"/>
    </row>
    <row r="116" spans="1:22">
      <c r="A116" s="241"/>
      <c r="C116" s="223" t="str">
        <f>"IND"&amp;RIGHT(G116,4)&amp;"DSL"&amp;"N"&amp;RIGHT(D116,1)</f>
        <v>INDPDTFDSLN1</v>
      </c>
      <c r="D116" s="239" t="str">
        <f>"Industry "&amp;$AD$4&amp;" "&amp;RIGHT(G116,2)&amp;" Tractors, Trucks, Fishing boats - New 1"</f>
        <v>Industry Private Service TF Tractors, Trucks, Fishing boats - New 1</v>
      </c>
      <c r="E116" s="239" t="s">
        <v>1274</v>
      </c>
      <c r="F116" s="55" t="s">
        <v>569</v>
      </c>
      <c r="G116" s="177" t="str">
        <f>AC11</f>
        <v>IPDTF</v>
      </c>
      <c r="H116" s="81">
        <v>2011</v>
      </c>
      <c r="I116" s="81">
        <v>2011</v>
      </c>
      <c r="J116" s="273">
        <v>1</v>
      </c>
      <c r="K116" s="273">
        <v>10</v>
      </c>
      <c r="L116" s="270"/>
      <c r="M116" s="270"/>
      <c r="N116" s="270"/>
      <c r="O116" s="209"/>
      <c r="P116" s="293">
        <v>0.9</v>
      </c>
      <c r="Q116" s="320"/>
      <c r="R116" s="55"/>
      <c r="S116" s="55"/>
      <c r="T116" s="55"/>
      <c r="U116" s="55"/>
      <c r="V116" s="55"/>
    </row>
    <row r="117" spans="1:22">
      <c r="C117" s="55"/>
      <c r="D117" s="55"/>
      <c r="E117" s="239" t="s">
        <v>1274</v>
      </c>
      <c r="F117" s="55"/>
      <c r="G117" s="177"/>
      <c r="H117" s="273">
        <v>2020</v>
      </c>
      <c r="I117" s="273"/>
      <c r="J117" s="273"/>
      <c r="K117" s="273"/>
      <c r="L117" s="270"/>
      <c r="M117" s="270"/>
      <c r="N117" s="270"/>
      <c r="O117" s="209"/>
      <c r="P117" s="293"/>
      <c r="Q117" s="243"/>
      <c r="R117" s="55"/>
      <c r="S117" s="55"/>
      <c r="T117" s="55"/>
      <c r="U117" s="55"/>
      <c r="V117" s="55"/>
    </row>
    <row r="118" spans="1:22">
      <c r="C118" s="55"/>
      <c r="D118" s="55"/>
      <c r="E118" s="239" t="s">
        <v>1274</v>
      </c>
      <c r="F118" s="55"/>
      <c r="H118" s="273">
        <v>2030</v>
      </c>
      <c r="I118" s="273"/>
      <c r="J118" s="273"/>
      <c r="K118" s="273"/>
      <c r="L118" s="270"/>
      <c r="M118" s="270"/>
      <c r="N118" s="270"/>
      <c r="O118" s="209"/>
      <c r="P118" s="293"/>
      <c r="Q118" s="243"/>
      <c r="R118" s="55"/>
      <c r="S118" s="55"/>
      <c r="T118" s="55"/>
      <c r="U118" s="55"/>
      <c r="V118" s="55"/>
    </row>
    <row r="119" spans="1:22">
      <c r="C119" s="55"/>
      <c r="D119" s="55"/>
      <c r="E119" s="239" t="s">
        <v>1274</v>
      </c>
      <c r="F119" s="55"/>
      <c r="H119" s="273">
        <v>2050</v>
      </c>
      <c r="I119" s="273"/>
      <c r="J119" s="273"/>
      <c r="K119" s="273"/>
      <c r="L119" s="270"/>
      <c r="M119" s="270"/>
      <c r="N119" s="270"/>
      <c r="O119" s="209"/>
      <c r="P119" s="293"/>
      <c r="Q119" s="243"/>
      <c r="R119" s="55"/>
      <c r="S119" s="55"/>
      <c r="T119" s="55"/>
      <c r="U119" s="55"/>
      <c r="V119" s="55"/>
    </row>
    <row r="120" spans="1:22">
      <c r="A120" s="241"/>
      <c r="C120" s="223" t="str">
        <f>"IND"&amp;RIGHT(G120,4)&amp;"GAS"&amp;"N"&amp;RIGHT(D120,1)</f>
        <v>INDPDFLGASN1</v>
      </c>
      <c r="D120" s="239" t="str">
        <f>"Industry "&amp;$AD$4&amp;" "&amp;RIGHT(G116,2)&amp;" Forklifts - New 1"</f>
        <v>Industry Private Service TF Forklifts - New 1</v>
      </c>
      <c r="E120" s="239" t="s">
        <v>1274</v>
      </c>
      <c r="F120" s="55" t="s">
        <v>653</v>
      </c>
      <c r="G120" s="239" t="str">
        <f>AC12</f>
        <v>IPDFL</v>
      </c>
      <c r="H120" s="81">
        <v>2011</v>
      </c>
      <c r="I120" s="81">
        <v>2011</v>
      </c>
      <c r="J120" s="273">
        <v>1</v>
      </c>
      <c r="K120" s="273">
        <v>10</v>
      </c>
      <c r="L120" s="270"/>
      <c r="M120" s="270"/>
      <c r="N120" s="270"/>
      <c r="O120" s="209"/>
      <c r="P120" s="293">
        <v>0.9</v>
      </c>
      <c r="Q120" s="243"/>
      <c r="R120" s="55"/>
      <c r="S120" s="55"/>
      <c r="T120" s="55"/>
      <c r="U120" s="55"/>
      <c r="V120" s="55"/>
    </row>
    <row r="121" spans="1:22">
      <c r="C121" s="55"/>
      <c r="D121" s="55"/>
      <c r="E121" s="239" t="s">
        <v>1274</v>
      </c>
      <c r="F121" s="55"/>
      <c r="G121" s="177"/>
      <c r="H121" s="273">
        <v>2020</v>
      </c>
      <c r="I121" s="273"/>
      <c r="J121" s="273"/>
      <c r="K121" s="274"/>
      <c r="L121" s="61"/>
      <c r="M121" s="61"/>
      <c r="N121" s="61"/>
      <c r="O121" s="61"/>
      <c r="P121" s="294"/>
      <c r="Q121" s="55"/>
      <c r="R121" s="55"/>
      <c r="S121" s="55"/>
      <c r="T121" s="55"/>
      <c r="U121" s="55"/>
      <c r="V121" s="55"/>
    </row>
    <row r="122" spans="1:22">
      <c r="C122" s="55"/>
      <c r="D122" s="55"/>
      <c r="E122" s="239" t="s">
        <v>1274</v>
      </c>
      <c r="F122" s="55"/>
      <c r="H122" s="273">
        <v>2030</v>
      </c>
      <c r="I122" s="273"/>
      <c r="J122" s="273"/>
      <c r="K122" s="274"/>
      <c r="L122" s="61"/>
      <c r="M122" s="61"/>
      <c r="N122" s="61"/>
      <c r="O122" s="61"/>
      <c r="P122" s="294"/>
      <c r="Q122" s="55"/>
      <c r="R122" s="55"/>
      <c r="S122" s="55"/>
      <c r="T122" s="55"/>
      <c r="U122" s="55"/>
      <c r="V122" s="55"/>
    </row>
    <row r="123" spans="1:22">
      <c r="C123" s="55"/>
      <c r="D123" s="55"/>
      <c r="E123" s="239" t="s">
        <v>1274</v>
      </c>
      <c r="F123" s="55"/>
      <c r="G123" s="177"/>
      <c r="H123" s="273">
        <v>2050</v>
      </c>
      <c r="I123" s="273"/>
      <c r="J123" s="273"/>
      <c r="K123" s="274"/>
      <c r="L123" s="61"/>
      <c r="M123" s="61"/>
      <c r="N123" s="61"/>
      <c r="O123" s="61"/>
      <c r="P123" s="294"/>
      <c r="Q123" s="55"/>
      <c r="R123" s="55"/>
      <c r="S123" s="55"/>
      <c r="T123" s="55"/>
      <c r="U123" s="55"/>
      <c r="V123" s="55"/>
    </row>
    <row r="125" spans="1:22">
      <c r="A125" s="172"/>
      <c r="B125" s="218" t="s">
        <v>467</v>
      </c>
      <c r="C125" s="219"/>
      <c r="D125" s="219"/>
      <c r="E125" s="219"/>
      <c r="F125" s="219"/>
      <c r="G125" s="219"/>
      <c r="H125" s="219"/>
      <c r="I125" s="219"/>
    </row>
    <row r="126" spans="1:22">
      <c r="A126" s="172"/>
      <c r="B126" s="220" t="s">
        <v>466</v>
      </c>
      <c r="C126" s="220" t="s">
        <v>425</v>
      </c>
      <c r="D126" s="220" t="s">
        <v>465</v>
      </c>
      <c r="E126" s="220" t="s">
        <v>464</v>
      </c>
      <c r="F126" s="220" t="s">
        <v>463</v>
      </c>
      <c r="G126" s="220" t="s">
        <v>462</v>
      </c>
      <c r="H126" s="220" t="s">
        <v>461</v>
      </c>
      <c r="I126" s="220" t="s">
        <v>460</v>
      </c>
    </row>
    <row r="127" spans="1:22" ht="15" customHeight="1" thickBot="1">
      <c r="A127" s="172"/>
      <c r="B127" s="221" t="s">
        <v>459</v>
      </c>
      <c r="C127" s="221" t="s">
        <v>458</v>
      </c>
      <c r="D127" s="221" t="s">
        <v>457</v>
      </c>
      <c r="E127" s="221" t="s">
        <v>456</v>
      </c>
      <c r="F127" s="221" t="s">
        <v>455</v>
      </c>
      <c r="G127" s="221" t="s">
        <v>454</v>
      </c>
      <c r="H127" s="221" t="s">
        <v>453</v>
      </c>
      <c r="I127" s="221" t="s">
        <v>452</v>
      </c>
    </row>
    <row r="128" spans="1:22">
      <c r="A128" s="172"/>
      <c r="B128" s="222" t="s">
        <v>505</v>
      </c>
      <c r="C128" s="223" t="str">
        <f>C6</f>
        <v>INDPDHTGASN1</v>
      </c>
      <c r="D128" s="223" t="str">
        <f>D6</f>
        <v>Industrial heating technology Private Service HT - gas boiler - new 1</v>
      </c>
      <c r="E128" s="222" t="s">
        <v>450</v>
      </c>
      <c r="F128" s="222" t="s">
        <v>449</v>
      </c>
      <c r="G128" s="224"/>
      <c r="H128" s="219"/>
      <c r="I128" s="219" t="s">
        <v>469</v>
      </c>
    </row>
    <row r="129" spans="1:14">
      <c r="A129" s="172"/>
      <c r="B129" s="222"/>
      <c r="C129" s="223" t="str">
        <f>C10</f>
        <v>INDPDMTGASN1</v>
      </c>
      <c r="D129" s="223" t="str">
        <f>D10</f>
        <v>Industrial heating technology Private Service MT - gas boiler - new 1</v>
      </c>
      <c r="E129" s="279" t="s">
        <v>450</v>
      </c>
      <c r="F129" s="279" t="s">
        <v>449</v>
      </c>
      <c r="G129" s="280"/>
      <c r="H129" s="281"/>
      <c r="I129" s="281" t="s">
        <v>469</v>
      </c>
    </row>
    <row r="130" spans="1:14">
      <c r="A130" s="172"/>
      <c r="B130" s="222"/>
      <c r="C130" s="223" t="str">
        <f>C14</f>
        <v>INDPDRHGASN1</v>
      </c>
      <c r="D130" s="223" t="str">
        <f>D14</f>
        <v>Industrial heating technology Private Service RH - gas boiler - new 1</v>
      </c>
      <c r="E130" s="279" t="s">
        <v>450</v>
      </c>
      <c r="F130" s="279" t="s">
        <v>449</v>
      </c>
      <c r="G130" s="280"/>
      <c r="H130" s="281"/>
      <c r="I130" s="281" t="s">
        <v>469</v>
      </c>
    </row>
    <row r="131" spans="1:14">
      <c r="A131" s="172"/>
      <c r="B131" s="222"/>
      <c r="C131" s="223" t="str">
        <f>C18</f>
        <v>INDPDRHDSLN1</v>
      </c>
      <c r="D131" s="223" t="str">
        <f>D18</f>
        <v>Industrial heating technology Private Service RH - oil boiler - new 1</v>
      </c>
      <c r="E131" s="279" t="s">
        <v>450</v>
      </c>
      <c r="F131" s="279" t="s">
        <v>449</v>
      </c>
      <c r="G131" s="280"/>
      <c r="H131" s="281"/>
      <c r="I131" s="281" t="s">
        <v>469</v>
      </c>
    </row>
    <row r="132" spans="1:14">
      <c r="A132" s="172"/>
      <c r="B132" s="222"/>
      <c r="C132" s="223" t="str">
        <f>C22</f>
        <v>INDPDMTDSLN1</v>
      </c>
      <c r="D132" s="223" t="str">
        <f>D22</f>
        <v>Industrial heating technology Private Service MT - oil boiler - new 1</v>
      </c>
      <c r="E132" s="279" t="s">
        <v>450</v>
      </c>
      <c r="F132" s="279" t="s">
        <v>449</v>
      </c>
      <c r="G132" s="280"/>
      <c r="H132" s="281"/>
      <c r="I132" s="281" t="s">
        <v>469</v>
      </c>
    </row>
    <row r="133" spans="1:14">
      <c r="A133" s="172"/>
      <c r="B133" s="222"/>
      <c r="C133" s="223" t="str">
        <f>C26</f>
        <v>INDPDHTDSLN1</v>
      </c>
      <c r="D133" s="223" t="str">
        <f>D26</f>
        <v>Industrial heating technology Private Service HT - oil boiler - new 1</v>
      </c>
      <c r="E133" s="279" t="s">
        <v>450</v>
      </c>
      <c r="F133" s="279" t="s">
        <v>449</v>
      </c>
      <c r="G133" s="280"/>
      <c r="H133" s="281"/>
      <c r="I133" s="281" t="s">
        <v>469</v>
      </c>
    </row>
    <row r="134" spans="1:14">
      <c r="A134" s="172"/>
      <c r="B134" s="222"/>
      <c r="C134" s="223" t="str">
        <f>C30</f>
        <v>INDPDRHWPEN1</v>
      </c>
      <c r="D134" s="223" t="str">
        <f>D30</f>
        <v>Industrial heating technology Private Service RH - biomass boiler automatic stoking, Pellets - new 1</v>
      </c>
      <c r="E134" s="279" t="s">
        <v>450</v>
      </c>
      <c r="F134" s="279" t="s">
        <v>449</v>
      </c>
      <c r="G134" s="280"/>
      <c r="H134" s="281"/>
      <c r="I134" s="281" t="s">
        <v>469</v>
      </c>
    </row>
    <row r="135" spans="1:14">
      <c r="A135" s="172"/>
      <c r="B135" s="222"/>
      <c r="C135" s="223" t="str">
        <f>C34</f>
        <v>INDPDHTWPEN1</v>
      </c>
      <c r="D135" s="223" t="str">
        <f>D34</f>
        <v>Industrial heating technology Private Service HT - biomass boiler automatic stoking, Pellets - new 1</v>
      </c>
      <c r="E135" s="279" t="s">
        <v>450</v>
      </c>
      <c r="F135" s="279" t="s">
        <v>449</v>
      </c>
      <c r="G135" s="280"/>
      <c r="H135" s="281"/>
      <c r="I135" s="281" t="s">
        <v>469</v>
      </c>
    </row>
    <row r="136" spans="1:14">
      <c r="A136" s="172"/>
      <c r="B136" s="222"/>
      <c r="C136" s="223" t="str">
        <f>C38</f>
        <v>INDPDMTWPEN1</v>
      </c>
      <c r="D136" s="223" t="str">
        <f>D38</f>
        <v>Industrial heating technology Private Service MT - biomass boiler automatic stoking, Pellets - new 1</v>
      </c>
      <c r="E136" s="279" t="s">
        <v>450</v>
      </c>
      <c r="F136" s="279" t="s">
        <v>449</v>
      </c>
      <c r="G136" s="280"/>
      <c r="H136" s="281"/>
      <c r="I136" s="281" t="s">
        <v>469</v>
      </c>
    </row>
    <row r="137" spans="1:14">
      <c r="A137" s="172"/>
      <c r="B137" s="222"/>
      <c r="C137" s="223" t="str">
        <f>C42</f>
        <v>INDPDRHWCHN1</v>
      </c>
      <c r="D137" s="223" t="str">
        <f>D42</f>
        <v>Industrial heating technology Private Service RH - Wood Chips boiler, Pellets - new 1</v>
      </c>
      <c r="E137" s="279" t="s">
        <v>450</v>
      </c>
      <c r="F137" s="279" t="s">
        <v>449</v>
      </c>
      <c r="G137" s="280"/>
      <c r="H137" s="281"/>
      <c r="I137" s="281" t="s">
        <v>469</v>
      </c>
    </row>
    <row r="138" spans="1:14">
      <c r="A138" s="172"/>
      <c r="B138" s="222"/>
      <c r="C138" s="223" t="str">
        <f>C46</f>
        <v>INDPDHTWCHN1</v>
      </c>
      <c r="D138" s="223" t="str">
        <f>D46</f>
        <v>Industrial heating technology Private Service HT - Wood Chips boiler, Pellets - new 1</v>
      </c>
      <c r="E138" s="279" t="s">
        <v>450</v>
      </c>
      <c r="F138" s="279" t="s">
        <v>449</v>
      </c>
      <c r="G138" s="280"/>
      <c r="H138" s="281"/>
      <c r="I138" s="281" t="s">
        <v>469</v>
      </c>
    </row>
    <row r="139" spans="1:14">
      <c r="A139" s="172"/>
      <c r="B139" s="222"/>
      <c r="C139" s="223" t="str">
        <f>C50</f>
        <v>INDPDMTWCHN1</v>
      </c>
      <c r="D139" s="223" t="str">
        <f>D50</f>
        <v>Industrial heating technology Private Service MT - Wood Chips boiler, Pellets - new 1</v>
      </c>
      <c r="E139" s="279" t="s">
        <v>450</v>
      </c>
      <c r="F139" s="279" t="s">
        <v>449</v>
      </c>
      <c r="G139" s="280"/>
      <c r="H139" s="281"/>
      <c r="I139" s="281" t="s">
        <v>469</v>
      </c>
    </row>
    <row r="140" spans="1:14">
      <c r="A140" s="172"/>
      <c r="B140" s="222"/>
      <c r="C140" s="223" t="str">
        <f>C54</f>
        <v>INDPDHTELCN1</v>
      </c>
      <c r="D140" s="223" t="str">
        <f>D54</f>
        <v>Industrial heating technology Private Service HT - direct eletrical heating - new 1</v>
      </c>
      <c r="E140" s="279" t="s">
        <v>450</v>
      </c>
      <c r="F140" s="279" t="s">
        <v>449</v>
      </c>
      <c r="G140" s="280"/>
      <c r="H140" s="281"/>
      <c r="I140" s="281" t="s">
        <v>469</v>
      </c>
      <c r="N140" s="176"/>
    </row>
    <row r="141" spans="1:14">
      <c r="A141" s="172"/>
      <c r="B141" s="222"/>
      <c r="C141" s="223" t="str">
        <f>C58</f>
        <v>INDPDMTELCN1</v>
      </c>
      <c r="D141" s="223" t="str">
        <f>D58</f>
        <v>Industrial heating technology Private Service MT - direct eletrical heating - new 1</v>
      </c>
      <c r="E141" s="279" t="s">
        <v>450</v>
      </c>
      <c r="F141" s="279" t="s">
        <v>449</v>
      </c>
      <c r="G141" s="280"/>
      <c r="H141" s="281"/>
      <c r="I141" s="281" t="s">
        <v>469</v>
      </c>
      <c r="N141" s="176"/>
    </row>
    <row r="142" spans="1:14">
      <c r="A142" s="172"/>
      <c r="B142" s="222"/>
      <c r="C142" s="223" t="str">
        <f>C62</f>
        <v>INDPDRHELCN1</v>
      </c>
      <c r="D142" s="223" t="str">
        <f>D62</f>
        <v>Industrial heating technology Private Service RH - direct eletrical heating - new 1</v>
      </c>
      <c r="E142" s="279" t="s">
        <v>450</v>
      </c>
      <c r="F142" s="279" t="s">
        <v>449</v>
      </c>
      <c r="G142" s="280"/>
      <c r="H142" s="281"/>
      <c r="I142" s="281" t="s">
        <v>469</v>
      </c>
      <c r="N142" s="176"/>
    </row>
    <row r="143" spans="1:14">
      <c r="A143" s="172"/>
      <c r="B143" s="222"/>
      <c r="C143" s="223" t="str">
        <f>C66</f>
        <v>INDPDRHELCN2</v>
      </c>
      <c r="D143" s="223" t="str">
        <f>D66</f>
        <v>Industrial heating technology Private Service RH - Heat pump, air-to-air - new 2</v>
      </c>
      <c r="E143" s="279" t="s">
        <v>450</v>
      </c>
      <c r="F143" s="279" t="s">
        <v>449</v>
      </c>
      <c r="G143" s="280"/>
      <c r="H143" s="281"/>
      <c r="I143" s="281" t="s">
        <v>469</v>
      </c>
      <c r="N143" s="176"/>
    </row>
    <row r="144" spans="1:14">
      <c r="A144" s="172"/>
      <c r="B144" s="222"/>
      <c r="C144" s="223" t="str">
        <f>C70</f>
        <v>INDPDRHELCN3</v>
      </c>
      <c r="D144" s="223" t="str">
        <f>D70</f>
        <v>Industrial heating technology Private Service RH - Heat pump, air-to-water - new 3</v>
      </c>
      <c r="E144" s="279" t="s">
        <v>450</v>
      </c>
      <c r="F144" s="279" t="s">
        <v>449</v>
      </c>
      <c r="G144" s="280"/>
      <c r="H144" s="281"/>
      <c r="I144" s="281" t="s">
        <v>469</v>
      </c>
      <c r="K144" s="174"/>
      <c r="L144" s="174"/>
      <c r="N144" s="176"/>
    </row>
    <row r="145" spans="1:14">
      <c r="A145" s="172"/>
      <c r="B145" s="222"/>
      <c r="C145" s="223" t="str">
        <f>C74</f>
        <v>INDPDRHELCN4</v>
      </c>
      <c r="D145" s="223" t="str">
        <f>D74</f>
        <v>Industrial heating technology Private Service RH - Heat pump, brine-to-water - new 4</v>
      </c>
      <c r="E145" s="279" t="s">
        <v>450</v>
      </c>
      <c r="F145" s="279" t="s">
        <v>449</v>
      </c>
      <c r="G145" s="280"/>
      <c r="H145" s="281"/>
      <c r="I145" s="281" t="s">
        <v>469</v>
      </c>
      <c r="K145" s="174"/>
      <c r="L145" s="174"/>
      <c r="N145" s="176"/>
    </row>
    <row r="146" spans="1:14">
      <c r="A146" s="172"/>
      <c r="B146" s="222"/>
      <c r="C146" s="223" t="str">
        <f>C78</f>
        <v>INDPDRHSOLN1</v>
      </c>
      <c r="D146" s="223" t="str">
        <f>D78</f>
        <v>Industrial heating technology Private Service RH - solar - new 1</v>
      </c>
      <c r="E146" s="279" t="s">
        <v>450</v>
      </c>
      <c r="F146" s="279" t="s">
        <v>449</v>
      </c>
      <c r="G146" s="280" t="s">
        <v>665</v>
      </c>
      <c r="H146" s="281"/>
      <c r="I146" s="281" t="s">
        <v>469</v>
      </c>
      <c r="K146" s="174"/>
      <c r="L146" s="174"/>
      <c r="N146" s="176"/>
    </row>
    <row r="147" spans="1:14">
      <c r="A147" s="172"/>
      <c r="B147" s="223"/>
      <c r="C147" s="223" t="str">
        <f>C82</f>
        <v>INDPDRHGASN2</v>
      </c>
      <c r="D147" s="223" t="str">
        <f>D82</f>
        <v>Industrial heating technology Private Service RH - Heat pump,gas absorption, air-to-water - new 2</v>
      </c>
      <c r="E147" s="279" t="s">
        <v>450</v>
      </c>
      <c r="F147" s="279" t="s">
        <v>449</v>
      </c>
      <c r="G147" s="280"/>
      <c r="H147" s="281"/>
      <c r="I147" s="281" t="s">
        <v>469</v>
      </c>
    </row>
    <row r="148" spans="1:14">
      <c r="A148" s="172"/>
      <c r="B148" s="223"/>
      <c r="C148" s="223" t="str">
        <f>C86</f>
        <v>INDPDRHGASN3</v>
      </c>
      <c r="D148" s="223" t="str">
        <f>D86</f>
        <v>Industrial heating technology Private Service RH - Heat pump,gas absorption, brine-to-water - new 3</v>
      </c>
      <c r="E148" s="279" t="s">
        <v>450</v>
      </c>
      <c r="F148" s="279" t="s">
        <v>449</v>
      </c>
      <c r="G148" s="278"/>
      <c r="H148" s="278"/>
      <c r="I148" s="281" t="s">
        <v>469</v>
      </c>
    </row>
    <row r="149" spans="1:14">
      <c r="A149" s="172"/>
      <c r="B149" s="223"/>
      <c r="C149" s="223" t="str">
        <f>C90</f>
        <v>INDPDRHGASN4</v>
      </c>
      <c r="D149" s="223" t="str">
        <f>D90</f>
        <v>Industrial heating technology Private Service RH - Heat pump,gas engine, air-to-water - new 4</v>
      </c>
      <c r="E149" s="279" t="s">
        <v>450</v>
      </c>
      <c r="F149" s="279" t="s">
        <v>449</v>
      </c>
      <c r="G149" s="278"/>
      <c r="H149" s="278"/>
      <c r="I149" s="281" t="s">
        <v>469</v>
      </c>
    </row>
    <row r="150" spans="1:14">
      <c r="A150" s="172"/>
      <c r="B150" s="223"/>
      <c r="C150" s="223" t="str">
        <f>C94</f>
        <v>INDPDRHGASN5</v>
      </c>
      <c r="D150" s="223" t="str">
        <f>D94</f>
        <v>Industrial heating technology Private Service RH - Heat pump,gas engine, brine-to-water - new 5</v>
      </c>
      <c r="E150" s="279" t="s">
        <v>450</v>
      </c>
      <c r="F150" s="279" t="s">
        <v>449</v>
      </c>
      <c r="G150" s="278"/>
      <c r="H150" s="278"/>
      <c r="I150" s="281" t="s">
        <v>469</v>
      </c>
    </row>
    <row r="151" spans="1:14">
      <c r="A151" s="172"/>
      <c r="B151" s="223"/>
      <c r="C151" s="223" t="str">
        <f>C98</f>
        <v>INDPDRHGASN6</v>
      </c>
      <c r="D151" s="223" t="str">
        <f>D98</f>
        <v>Industrial heating technology Private Service RH - Heat pump,gas adsoption, air-to-water - new 6</v>
      </c>
      <c r="E151" s="279" t="s">
        <v>450</v>
      </c>
      <c r="F151" s="279" t="s">
        <v>449</v>
      </c>
      <c r="G151" s="278"/>
      <c r="H151" s="278"/>
      <c r="I151" s="281" t="s">
        <v>469</v>
      </c>
    </row>
    <row r="152" spans="1:14">
      <c r="A152" s="172"/>
      <c r="B152" s="223"/>
      <c r="C152" s="223" t="str">
        <f t="shared" ref="C152:D155" si="17">C103</f>
        <v>INDPDRHHCEN1</v>
      </c>
      <c r="D152" s="223" t="str">
        <f t="shared" si="17"/>
        <v>Industrial heating technology Private Service RH - central district heating - within DH area - new 1</v>
      </c>
      <c r="E152" s="279" t="s">
        <v>450</v>
      </c>
      <c r="F152" s="279" t="s">
        <v>449</v>
      </c>
      <c r="G152" s="278"/>
      <c r="H152" s="278"/>
      <c r="I152" s="281" t="s">
        <v>469</v>
      </c>
    </row>
    <row r="153" spans="1:14">
      <c r="A153" s="172"/>
      <c r="B153" s="223"/>
      <c r="C153" s="223" t="str">
        <f t="shared" si="17"/>
        <v>INDPDMTHCEN1</v>
      </c>
      <c r="D153" s="223" t="str">
        <f t="shared" si="17"/>
        <v>Industrial heating technology Private Service MT - central district heating - within DH area - new 1</v>
      </c>
      <c r="E153" s="279" t="s">
        <v>450</v>
      </c>
      <c r="F153" s="279" t="s">
        <v>449</v>
      </c>
      <c r="G153" s="278"/>
      <c r="H153" s="278"/>
      <c r="I153" s="281" t="s">
        <v>469</v>
      </c>
    </row>
    <row r="154" spans="1:14">
      <c r="A154" s="172"/>
      <c r="B154" s="223"/>
      <c r="C154" s="223" t="str">
        <f t="shared" si="17"/>
        <v>INDPDRHHDEN1</v>
      </c>
      <c r="D154" s="223" t="str">
        <f t="shared" si="17"/>
        <v>Industrial heating technology Private Service RH - decentral district heating - within DH area - new 1</v>
      </c>
      <c r="E154" s="279" t="s">
        <v>450</v>
      </c>
      <c r="F154" s="279" t="s">
        <v>449</v>
      </c>
      <c r="G154" s="278"/>
      <c r="H154" s="278"/>
      <c r="I154" s="281" t="s">
        <v>469</v>
      </c>
    </row>
    <row r="155" spans="1:14">
      <c r="A155" s="172"/>
      <c r="B155" s="223"/>
      <c r="C155" s="223" t="str">
        <f t="shared" si="17"/>
        <v>INDPDMTHDEN1</v>
      </c>
      <c r="D155" s="223" t="str">
        <f t="shared" si="17"/>
        <v>Industrial heating technology Private Service MT - decentral district heating - within DH area - new 1</v>
      </c>
      <c r="E155" s="279" t="s">
        <v>450</v>
      </c>
      <c r="F155" s="279" t="s">
        <v>449</v>
      </c>
      <c r="G155" s="278"/>
      <c r="H155" s="278"/>
      <c r="I155" s="281" t="s">
        <v>469</v>
      </c>
    </row>
    <row r="156" spans="1:14">
      <c r="A156" s="172"/>
      <c r="B156" s="223"/>
      <c r="C156" s="223" t="str">
        <f>C108</f>
        <v>INDPDLAELCN1</v>
      </c>
      <c r="D156" s="223" t="str">
        <f>D108</f>
        <v>Industry Private Service LA Electricity Light Appliance - New 1</v>
      </c>
      <c r="E156" s="279" t="s">
        <v>450</v>
      </c>
      <c r="F156" s="279" t="s">
        <v>449</v>
      </c>
      <c r="G156" s="278"/>
      <c r="H156" s="278"/>
      <c r="I156" s="281" t="s">
        <v>469</v>
      </c>
    </row>
    <row r="157" spans="1:14">
      <c r="A157" s="172"/>
      <c r="B157" s="223"/>
      <c r="C157" s="223" t="str">
        <f>C112</f>
        <v>INDPDEMELCN1</v>
      </c>
      <c r="D157" s="223" t="str">
        <f>D112</f>
        <v>Industry Private Service EM Electricity Motors - New 1</v>
      </c>
      <c r="E157" s="279" t="s">
        <v>450</v>
      </c>
      <c r="F157" s="279" t="s">
        <v>449</v>
      </c>
      <c r="G157" s="278"/>
      <c r="H157" s="278"/>
      <c r="I157" s="281" t="s">
        <v>469</v>
      </c>
    </row>
    <row r="158" spans="1:14">
      <c r="A158" s="172"/>
      <c r="B158" s="223"/>
      <c r="C158" s="223" t="str">
        <f>C116</f>
        <v>INDPDTFDSLN1</v>
      </c>
      <c r="D158" s="223" t="str">
        <f>D116</f>
        <v>Industry Private Service TF Tractors, Trucks, Fishing boats - New 1</v>
      </c>
      <c r="E158" s="279" t="s">
        <v>450</v>
      </c>
      <c r="F158" s="279" t="s">
        <v>449</v>
      </c>
      <c r="G158" s="278"/>
      <c r="H158" s="278"/>
      <c r="I158" s="281" t="s">
        <v>469</v>
      </c>
    </row>
    <row r="159" spans="1:14">
      <c r="A159" s="172"/>
      <c r="B159" s="223"/>
      <c r="C159" s="223" t="str">
        <f>C120</f>
        <v>INDPDFLGASN1</v>
      </c>
      <c r="D159" s="223" t="str">
        <f>D120</f>
        <v>Industry Private Service TF Forklifts - New 1</v>
      </c>
      <c r="E159" s="279" t="s">
        <v>450</v>
      </c>
      <c r="F159" s="279" t="s">
        <v>449</v>
      </c>
      <c r="G159" s="278"/>
      <c r="H159" s="278"/>
      <c r="I159" s="281" t="s">
        <v>469</v>
      </c>
    </row>
    <row r="160" spans="1:14">
      <c r="A160" s="172"/>
      <c r="C160" s="223"/>
      <c r="D160" s="223"/>
    </row>
    <row r="161" spans="1:9">
      <c r="A161" s="225" t="s">
        <v>448</v>
      </c>
      <c r="B161" s="225"/>
      <c r="C161" s="226"/>
      <c r="D161" s="226"/>
      <c r="E161" s="226"/>
      <c r="F161" s="226"/>
      <c r="G161" s="226"/>
      <c r="H161" s="226"/>
      <c r="I161" s="226"/>
    </row>
    <row r="162" spans="1:9">
      <c r="A162" s="220" t="s">
        <v>447</v>
      </c>
      <c r="B162" s="220" t="s">
        <v>446</v>
      </c>
      <c r="C162" s="220" t="s">
        <v>445</v>
      </c>
      <c r="D162" s="220" t="s">
        <v>444</v>
      </c>
      <c r="E162" s="220" t="s">
        <v>435</v>
      </c>
      <c r="F162" s="220" t="s">
        <v>443</v>
      </c>
      <c r="G162" s="220" t="s">
        <v>442</v>
      </c>
      <c r="H162" s="220" t="s">
        <v>441</v>
      </c>
      <c r="I162" s="220" t="s">
        <v>440</v>
      </c>
    </row>
    <row r="163" spans="1:9" ht="31.2" thickBot="1">
      <c r="A163" s="227" t="s">
        <v>439</v>
      </c>
      <c r="B163" s="228" t="s">
        <v>438</v>
      </c>
      <c r="C163" s="228" t="s">
        <v>437</v>
      </c>
      <c r="D163" s="228" t="s">
        <v>436</v>
      </c>
      <c r="E163" s="228" t="s">
        <v>435</v>
      </c>
      <c r="F163" s="228" t="s">
        <v>434</v>
      </c>
      <c r="G163" s="228" t="s">
        <v>433</v>
      </c>
      <c r="H163" s="228" t="s">
        <v>432</v>
      </c>
      <c r="I163" s="228" t="s">
        <v>431</v>
      </c>
    </row>
    <row r="164" spans="1:9">
      <c r="A164" s="229" t="s">
        <v>430</v>
      </c>
      <c r="B164" s="230"/>
      <c r="C164" s="277" t="str">
        <f>"I"&amp;LEFT($AD$4,1)&amp;"DSOx"</f>
        <v>IPDSOx</v>
      </c>
      <c r="D164" s="287" t="str">
        <f>"Industrial heating  heating technology "&amp;$AD$4&amp;" - SOx emission"</f>
        <v>Industrial heating  heating technology Private Service - SOx emission</v>
      </c>
      <c r="E164" s="231" t="s">
        <v>352</v>
      </c>
      <c r="F164" s="222"/>
      <c r="G164" s="222"/>
      <c r="H164" s="222"/>
      <c r="I164" s="222"/>
    </row>
    <row r="165" spans="1:9">
      <c r="A165" s="226"/>
      <c r="B165" s="226"/>
      <c r="C165" s="277" t="str">
        <f>"I"&amp;LEFT($AD$4,1)&amp;"DNOx"</f>
        <v>IPDNOx</v>
      </c>
      <c r="D165" s="287" t="str">
        <f>"Industrial heating  heating technology "&amp;$AD$4&amp;" - NOx emission"</f>
        <v>Industrial heating  heating technology Private Service - NOx emission</v>
      </c>
      <c r="E165" s="231" t="s">
        <v>352</v>
      </c>
      <c r="F165" s="222"/>
      <c r="G165" s="226"/>
      <c r="H165" s="226"/>
      <c r="I165" s="226"/>
    </row>
    <row r="166" spans="1:9">
      <c r="A166" s="226"/>
      <c r="B166" s="226"/>
      <c r="C166" s="277" t="str">
        <f>"I"&amp;LEFT($AD$4,1)&amp;"DCH4"</f>
        <v>IPDCH4</v>
      </c>
      <c r="D166" s="287" t="str">
        <f>"Industrial heating  heating technology "&amp;$AD$4&amp;" - CH4 emission"</f>
        <v>Industrial heating  heating technology Private Service - CH4 emission</v>
      </c>
      <c r="E166" s="231" t="s">
        <v>352</v>
      </c>
      <c r="F166" s="222"/>
      <c r="G166" s="226"/>
      <c r="H166" s="226"/>
      <c r="I166" s="226"/>
    </row>
    <row r="167" spans="1:9">
      <c r="A167" s="226"/>
      <c r="B167" s="226"/>
      <c r="C167" s="277" t="str">
        <f>"I"&amp;LEFT($AD$4,1)&amp;"DNO2"</f>
        <v>IPDNO2</v>
      </c>
      <c r="D167" s="287" t="str">
        <f>"Industrial heating  heating technology "&amp;$AD$4&amp;" - NO2 emission"</f>
        <v>Industrial heating  heating technology Private Service - NO2 emission</v>
      </c>
      <c r="E167" s="231" t="s">
        <v>352</v>
      </c>
      <c r="F167" s="222"/>
      <c r="G167" s="226"/>
      <c r="H167" s="226"/>
      <c r="I167" s="226"/>
    </row>
    <row r="168" spans="1:9">
      <c r="A168" s="226"/>
      <c r="B168" s="226"/>
      <c r="C168" s="277" t="str">
        <f>"I"&amp;LEFT($AD$4,1)&amp;"DPM"</f>
        <v>IPDPM</v>
      </c>
      <c r="D168" s="287" t="str">
        <f>"Industrial heating  heating technology "&amp;$AD$4&amp;" - Particle emission"</f>
        <v>Industrial heating  heating technology Private Service - Particle emission</v>
      </c>
      <c r="E168" s="231" t="s">
        <v>352</v>
      </c>
      <c r="F168" s="222"/>
      <c r="G168" s="226"/>
      <c r="H168" s="226"/>
      <c r="I168" s="226"/>
    </row>
  </sheetData>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Ark3">
    <tabColor rgb="FF92D050"/>
  </sheetPr>
  <dimension ref="A1:AD168"/>
  <sheetViews>
    <sheetView zoomScale="55" zoomScaleNormal="55" workbookViewId="0">
      <selection activeCell="F27" sqref="F27"/>
    </sheetView>
  </sheetViews>
  <sheetFormatPr defaultColWidth="9.33203125" defaultRowHeight="14.4"/>
  <cols>
    <col min="1" max="1" width="9.33203125" style="239"/>
    <col min="2" max="2" width="12" style="239" bestFit="1" customWidth="1"/>
    <col min="3" max="3" width="17" style="239" bestFit="1" customWidth="1"/>
    <col min="4" max="4" width="88.6640625" style="239" bestFit="1" customWidth="1"/>
    <col min="5" max="5" width="10.5546875" style="239" bestFit="1" customWidth="1"/>
    <col min="6" max="6" width="55.6640625" style="239" bestFit="1" customWidth="1"/>
    <col min="7" max="7" width="27.6640625" style="239" bestFit="1" customWidth="1"/>
    <col min="8" max="8" width="10.33203125" style="239" bestFit="1" customWidth="1"/>
    <col min="9" max="9" width="8.44140625" style="239" bestFit="1" customWidth="1"/>
    <col min="10" max="10" width="5.5546875" style="239" bestFit="1" customWidth="1"/>
    <col min="11" max="12" width="12.6640625" style="239" bestFit="1" customWidth="1"/>
    <col min="13" max="13" width="12.44140625" style="239" bestFit="1" customWidth="1"/>
    <col min="14" max="14" width="5.5546875" style="239" bestFit="1" customWidth="1"/>
    <col min="15" max="15" width="8.33203125" style="239" bestFit="1" customWidth="1"/>
    <col min="16" max="16" width="11.6640625" style="239" bestFit="1" customWidth="1"/>
    <col min="17" max="17" width="7.6640625" style="239" bestFit="1" customWidth="1"/>
    <col min="18" max="18" width="8.5546875" style="239" bestFit="1" customWidth="1"/>
    <col min="19" max="19" width="6.5546875" style="239" bestFit="1" customWidth="1"/>
    <col min="20" max="20" width="6.5546875" style="239" customWidth="1"/>
    <col min="21" max="21" width="8" style="239" customWidth="1"/>
    <col min="22" max="32" width="9.33203125" style="239"/>
    <col min="33" max="33" width="64.33203125" style="239" bestFit="1" customWidth="1"/>
    <col min="34" max="16384" width="9.33203125" style="239"/>
  </cols>
  <sheetData>
    <row r="1" spans="3:30">
      <c r="K1" s="239" t="str">
        <f>AC8</f>
        <v>IUDRH</v>
      </c>
      <c r="L1" s="239" t="str">
        <f>AC7</f>
        <v>IUDMT</v>
      </c>
      <c r="M1" s="239" t="str">
        <f>AC6</f>
        <v>IUDHT</v>
      </c>
    </row>
    <row r="2" spans="3:30">
      <c r="H2" s="175" t="s">
        <v>468</v>
      </c>
      <c r="K2" s="267">
        <v>1</v>
      </c>
      <c r="L2" s="267">
        <v>0.8</v>
      </c>
      <c r="M2" s="267">
        <v>0.7</v>
      </c>
      <c r="T2" s="315"/>
    </row>
    <row r="3" spans="3:30" ht="26.25" customHeight="1">
      <c r="C3" s="46" t="s">
        <v>425</v>
      </c>
      <c r="D3" s="46" t="s">
        <v>426</v>
      </c>
      <c r="E3" s="46" t="s">
        <v>734</v>
      </c>
      <c r="F3" s="46" t="s">
        <v>427</v>
      </c>
      <c r="G3" s="169" t="s">
        <v>428</v>
      </c>
      <c r="H3" s="46" t="s">
        <v>335</v>
      </c>
      <c r="I3" s="46" t="s">
        <v>336</v>
      </c>
      <c r="J3" s="47" t="s">
        <v>337</v>
      </c>
      <c r="K3" s="47" t="s">
        <v>339</v>
      </c>
      <c r="L3" s="48" t="s">
        <v>340</v>
      </c>
      <c r="M3" s="49" t="s">
        <v>341</v>
      </c>
      <c r="N3" s="49" t="s">
        <v>342</v>
      </c>
      <c r="O3" s="49" t="s">
        <v>343</v>
      </c>
      <c r="P3" s="49" t="s">
        <v>344</v>
      </c>
      <c r="Q3" s="316"/>
      <c r="R3" s="299" t="str">
        <f>"FEMIS~"&amp;C164</f>
        <v>FEMIS~IPDSOx</v>
      </c>
      <c r="S3" s="299" t="str">
        <f>"FEMIS~"&amp;C165</f>
        <v>FEMIS~IPDNOx</v>
      </c>
      <c r="T3" s="299" t="str">
        <f>"FEMIS~"&amp;C166</f>
        <v>FEMIS~IPDCH4</v>
      </c>
      <c r="U3" s="299" t="str">
        <f>"FEMIS~"&amp;C167</f>
        <v>FEMIS~IPDNO2</v>
      </c>
      <c r="V3" s="299" t="str">
        <f>"FEMIS~"&amp;C168</f>
        <v>FEMIS~IPDPM</v>
      </c>
      <c r="W3" s="239" t="s">
        <v>424</v>
      </c>
      <c r="Y3" s="47" t="s">
        <v>338</v>
      </c>
      <c r="Z3" s="233" t="s">
        <v>473</v>
      </c>
    </row>
    <row r="4" spans="3:30" ht="15" thickBot="1">
      <c r="C4" s="170" t="s">
        <v>429</v>
      </c>
      <c r="D4" s="50"/>
      <c r="E4" s="50"/>
      <c r="F4" s="50"/>
      <c r="G4" s="171"/>
      <c r="H4" s="50"/>
      <c r="I4" s="50"/>
      <c r="J4" s="51"/>
      <c r="K4" s="51"/>
      <c r="L4" s="52"/>
      <c r="M4" s="50"/>
      <c r="N4" s="50"/>
      <c r="O4" s="50"/>
      <c r="P4" s="50"/>
      <c r="Q4" s="317"/>
      <c r="R4" s="50"/>
      <c r="S4" s="50"/>
      <c r="T4" s="50"/>
      <c r="U4" s="50"/>
      <c r="V4" s="50"/>
      <c r="Y4" s="51"/>
      <c r="Z4" s="234"/>
      <c r="AC4" s="239" t="s">
        <v>519</v>
      </c>
      <c r="AD4" s="239" t="s">
        <v>535</v>
      </c>
    </row>
    <row r="5" spans="3:30">
      <c r="C5" s="239" t="s">
        <v>451</v>
      </c>
      <c r="H5" s="57"/>
      <c r="I5" s="57"/>
      <c r="J5" s="57"/>
      <c r="K5" s="57"/>
      <c r="L5" s="57" t="s">
        <v>470</v>
      </c>
      <c r="M5" s="57" t="s">
        <v>471</v>
      </c>
      <c r="N5" s="57" t="s">
        <v>472</v>
      </c>
      <c r="O5" s="57" t="s">
        <v>351</v>
      </c>
      <c r="P5" s="57" t="s">
        <v>351</v>
      </c>
      <c r="Q5" s="318"/>
      <c r="R5" s="57" t="s">
        <v>352</v>
      </c>
      <c r="S5" s="57" t="s">
        <v>352</v>
      </c>
      <c r="T5" s="57" t="s">
        <v>352</v>
      </c>
      <c r="U5" s="57" t="s">
        <v>352</v>
      </c>
      <c r="V5" s="57" t="s">
        <v>352</v>
      </c>
      <c r="Y5" s="57"/>
      <c r="Z5" s="232"/>
    </row>
    <row r="6" spans="3:30">
      <c r="C6" s="223" t="str">
        <f>"IND"&amp;RIGHT(G6,4)&amp;"GAS"&amp;"N"&amp;RIGHT(D6,1)</f>
        <v>INDUDHTGASN1</v>
      </c>
      <c r="D6" s="223" t="str">
        <f>"Industrial heating technology "&amp;$AD$4&amp;" "&amp;RIGHT(G6,2)&amp;" - gas boiler - new 1"</f>
        <v>Industrial heating technology Public Service HT - gas boiler - new 1</v>
      </c>
      <c r="E6" s="239" t="s">
        <v>1274</v>
      </c>
      <c r="F6" s="176" t="s">
        <v>527</v>
      </c>
      <c r="G6" s="177" t="str">
        <f>AC6</f>
        <v>IUDHT</v>
      </c>
      <c r="H6" s="81">
        <v>2011</v>
      </c>
      <c r="I6" s="81">
        <v>2011</v>
      </c>
      <c r="J6" s="81">
        <f>'Natural gas boiler'!$L$39*HLOOKUP(G6,$K$1:$M$2,2,FALSE)</f>
        <v>0.71399999999999997</v>
      </c>
      <c r="K6" s="81">
        <f>'Natural gas boiler'!N39</f>
        <v>25</v>
      </c>
      <c r="L6" s="37">
        <f>('Natural gas boiler'!O39)/1000</f>
        <v>0.94366666666666676</v>
      </c>
      <c r="M6" s="37">
        <f>('Natural gas boiler'!P39)/1000</f>
        <v>2.98E-2</v>
      </c>
      <c r="N6" s="84">
        <f>'Natural gas boiler'!Q39</f>
        <v>14.9</v>
      </c>
      <c r="O6" s="82">
        <v>3.1536000000000002E-2</v>
      </c>
      <c r="P6" s="290">
        <v>0.5</v>
      </c>
      <c r="Q6" s="213"/>
      <c r="R6" s="295">
        <f>'Natural gas boiler'!T39</f>
        <v>0</v>
      </c>
      <c r="S6" s="81">
        <f>'Natural gas boiler'!U39</f>
        <v>20</v>
      </c>
      <c r="T6" s="81">
        <f>'Natural gas boiler'!V39</f>
        <v>2</v>
      </c>
      <c r="U6" s="81">
        <f>'Natural gas boiler'!W39</f>
        <v>0</v>
      </c>
      <c r="V6" s="81">
        <f>'Natural gas boiler'!X39</f>
        <v>0</v>
      </c>
      <c r="Y6" s="81">
        <f>'Natural gas boiler'!M39</f>
        <v>0</v>
      </c>
      <c r="Z6" s="232"/>
      <c r="AC6" s="239" t="str">
        <f>"I"&amp;UPPER(MID($AD$4,2,1))&amp;"DHT"</f>
        <v>IUDHT</v>
      </c>
      <c r="AD6" s="239" t="str">
        <f>"Industry "&amp;$AD$4&amp;" industry Demand Heat High Temp. over 150C"</f>
        <v>Industry Public Service industry Demand Heat High Temp. over 150C</v>
      </c>
    </row>
    <row r="7" spans="3:30">
      <c r="E7" s="239" t="s">
        <v>1274</v>
      </c>
      <c r="F7" s="176"/>
      <c r="G7" s="176"/>
      <c r="H7" s="81">
        <f>'Natural gas boiler'!J13</f>
        <v>2020</v>
      </c>
      <c r="I7" s="81"/>
      <c r="J7" s="81">
        <f>'Natural gas boiler'!$L$40*HLOOKUP(G6,$K$1:$M$2,2,FALSE)</f>
        <v>0.71399999999999997</v>
      </c>
      <c r="K7" s="81"/>
      <c r="L7" s="37">
        <f>('Natural gas boiler'!O40)/1000</f>
        <v>0.91883333333333339</v>
      </c>
      <c r="M7" s="37">
        <f>('Natural gas boiler'!P40)/1000</f>
        <v>2.98E-2</v>
      </c>
      <c r="N7" s="84">
        <f>'Natural gas boiler'!Q40</f>
        <v>14.9</v>
      </c>
      <c r="O7" s="81"/>
      <c r="P7" s="290"/>
      <c r="Q7" s="213"/>
      <c r="R7" s="295">
        <f>'Natural gas boiler'!T40</f>
        <v>0</v>
      </c>
      <c r="S7" s="81">
        <f>'Natural gas boiler'!U40</f>
        <v>10</v>
      </c>
      <c r="T7" s="81">
        <f>'Natural gas boiler'!V40</f>
        <v>1</v>
      </c>
      <c r="U7" s="81">
        <f>'Natural gas boiler'!W40</f>
        <v>0</v>
      </c>
      <c r="V7" s="81">
        <f>'Natural gas boiler'!X40</f>
        <v>0</v>
      </c>
      <c r="Y7" s="81">
        <f>'Natural gas boiler'!M40</f>
        <v>0</v>
      </c>
      <c r="Z7" s="232"/>
      <c r="AC7" s="239" t="str">
        <f>"I"&amp;UPPER(MID($AD$4,2,1))&amp;"DMT"</f>
        <v>IUDMT</v>
      </c>
      <c r="AD7" s="239" t="str">
        <f>"Industry "&amp;$AD$4&amp;" industry Demand Heat Medium Temp. up to 150C"</f>
        <v>Industry Public Service industry Demand Heat Medium Temp. up to 150C</v>
      </c>
    </row>
    <row r="8" spans="3:30">
      <c r="E8" s="239" t="s">
        <v>1274</v>
      </c>
      <c r="F8" s="176"/>
      <c r="G8" s="176"/>
      <c r="H8" s="81">
        <f>'Natural gas boiler'!J14</f>
        <v>2030</v>
      </c>
      <c r="I8" s="81"/>
      <c r="J8" s="81">
        <f>'Natural gas boiler'!$L$41*HLOOKUP(G6,$K$1:$M$2,2,FALSE)</f>
        <v>0.71399999999999997</v>
      </c>
      <c r="K8" s="81"/>
      <c r="L8" s="37">
        <f>('Natural gas boiler'!O41)/1000</f>
        <v>0.89400000000000013</v>
      </c>
      <c r="M8" s="37">
        <f>('Natural gas boiler'!P41)/1000</f>
        <v>2.98E-2</v>
      </c>
      <c r="N8" s="84">
        <f>'Natural gas boiler'!Q41</f>
        <v>14.9</v>
      </c>
      <c r="O8" s="81"/>
      <c r="P8" s="290"/>
      <c r="Q8" s="213"/>
      <c r="R8" s="295">
        <f>'Natural gas boiler'!T41</f>
        <v>0</v>
      </c>
      <c r="S8" s="81">
        <f>'Natural gas boiler'!U41</f>
        <v>5</v>
      </c>
      <c r="T8" s="81">
        <f>'Natural gas boiler'!V41</f>
        <v>0.5</v>
      </c>
      <c r="U8" s="81">
        <f>'Natural gas boiler'!W41</f>
        <v>0</v>
      </c>
      <c r="V8" s="81">
        <f>'Natural gas boiler'!X41</f>
        <v>0</v>
      </c>
      <c r="Y8" s="81">
        <f>'Natural gas boiler'!M41</f>
        <v>0</v>
      </c>
      <c r="Z8" s="232"/>
      <c r="AC8" s="239" t="str">
        <f>"I"&amp;UPPER(MID($AD$4,2,1))&amp;"DRH"</f>
        <v>IUDRH</v>
      </c>
      <c r="AD8" s="239" t="str">
        <f>"Industry "&amp;$AD$4&amp;" industry Demand Heat Room Heat"</f>
        <v>Industry Public Service industry Demand Heat Room Heat</v>
      </c>
    </row>
    <row r="9" spans="3:30">
      <c r="E9" s="239" t="s">
        <v>1274</v>
      </c>
      <c r="F9" s="176"/>
      <c r="G9" s="176"/>
      <c r="H9" s="81">
        <f>'Natural gas boiler'!J15</f>
        <v>2050</v>
      </c>
      <c r="I9" s="81"/>
      <c r="J9" s="81">
        <f>'Natural gas boiler'!$L$42*HLOOKUP(G6,$K$1:$M$2,2,FALSE)</f>
        <v>0.71399999999999997</v>
      </c>
      <c r="K9" s="81"/>
      <c r="L9" s="37">
        <f>('Natural gas boiler'!O42)/1000</f>
        <v>0.89400000000000013</v>
      </c>
      <c r="M9" s="37">
        <f>('Natural gas boiler'!P42)/1000</f>
        <v>2.98E-2</v>
      </c>
      <c r="N9" s="84">
        <f>'Natural gas boiler'!Q42</f>
        <v>14.9</v>
      </c>
      <c r="O9" s="81"/>
      <c r="P9" s="290"/>
      <c r="Q9" s="213"/>
      <c r="R9" s="295">
        <f>'Natural gas boiler'!T42</f>
        <v>0</v>
      </c>
      <c r="S9" s="81">
        <f>'Natural gas boiler'!U42</f>
        <v>5</v>
      </c>
      <c r="T9" s="81">
        <f>'Natural gas boiler'!V42</f>
        <v>0.5</v>
      </c>
      <c r="U9" s="81">
        <f>'Natural gas boiler'!W42</f>
        <v>0</v>
      </c>
      <c r="V9" s="81">
        <f>'Natural gas boiler'!X42</f>
        <v>0</v>
      </c>
      <c r="Y9" s="81">
        <f>'Natural gas boiler'!M42</f>
        <v>0</v>
      </c>
      <c r="Z9" s="232"/>
      <c r="AC9" s="36" t="str">
        <f>"I"&amp;UPPER(MID($AD$4,2,1))&amp;"DLA"</f>
        <v>IUDLA</v>
      </c>
      <c r="AD9" s="239" t="str">
        <f>"Industry "&amp;$AD$4&amp;" industry Demand Light Appliances"</f>
        <v>Industry Public Service industry Demand Light Appliances</v>
      </c>
    </row>
    <row r="10" spans="3:30">
      <c r="C10" s="223" t="str">
        <f>"IND"&amp;RIGHT(G10,4)&amp;"GAS"&amp;"N"&amp;RIGHT(D10,1)</f>
        <v>INDUDMTGASN1</v>
      </c>
      <c r="D10" s="223" t="str">
        <f>"Industrial heating technology "&amp;$AD$4&amp;" "&amp;RIGHT(G10,2)&amp;" - gas boiler - new 1"</f>
        <v>Industrial heating technology Public Service MT - gas boiler - new 1</v>
      </c>
      <c r="E10" s="239" t="s">
        <v>1274</v>
      </c>
      <c r="F10" s="176" t="s">
        <v>527</v>
      </c>
      <c r="G10" s="239" t="str">
        <f>AC7</f>
        <v>IUDMT</v>
      </c>
      <c r="H10" s="81">
        <v>2011</v>
      </c>
      <c r="I10" s="81">
        <v>2011</v>
      </c>
      <c r="J10" s="81">
        <f>'Natural gas boiler'!$L$39*HLOOKUP(G10,$K$1:$M$2,2,FALSE)</f>
        <v>0.81600000000000006</v>
      </c>
      <c r="K10" s="81">
        <v>25</v>
      </c>
      <c r="L10" s="37">
        <v>0.94366666666666676</v>
      </c>
      <c r="M10" s="37">
        <v>2.98E-2</v>
      </c>
      <c r="N10" s="84">
        <v>14.9</v>
      </c>
      <c r="O10" s="82">
        <v>3.1536000000000002E-2</v>
      </c>
      <c r="P10" s="290">
        <v>0.5</v>
      </c>
      <c r="Q10" s="213"/>
      <c r="R10" s="295">
        <v>0</v>
      </c>
      <c r="S10" s="81">
        <v>20</v>
      </c>
      <c r="T10" s="81">
        <v>2</v>
      </c>
      <c r="U10" s="81">
        <v>0</v>
      </c>
      <c r="V10" s="81">
        <v>0</v>
      </c>
      <c r="Y10" s="81">
        <v>0</v>
      </c>
      <c r="Z10" s="232"/>
      <c r="AC10" s="239" t="str">
        <f>"I"&amp;UPPER(MID($AD$4,2,1))&amp;"DEM"</f>
        <v>IUDEM</v>
      </c>
      <c r="AD10" s="239" t="str">
        <f>"Industry "&amp;$AD$4&amp;" industry Demand Electric Motors"</f>
        <v>Industry Public Service industry Demand Electric Motors</v>
      </c>
    </row>
    <row r="11" spans="3:30">
      <c r="E11" s="239" t="s">
        <v>1274</v>
      </c>
      <c r="H11" s="81">
        <v>2020</v>
      </c>
      <c r="I11" s="81"/>
      <c r="J11" s="81">
        <f>'Natural gas boiler'!$L$40*HLOOKUP(G10,$K$1:$M$2,2,FALSE)</f>
        <v>0.81600000000000006</v>
      </c>
      <c r="K11" s="81"/>
      <c r="L11" s="37">
        <v>0.91883333333333339</v>
      </c>
      <c r="M11" s="37">
        <v>2.98E-2</v>
      </c>
      <c r="N11" s="84">
        <v>14.9</v>
      </c>
      <c r="O11" s="81"/>
      <c r="P11" s="290"/>
      <c r="Q11" s="213"/>
      <c r="R11" s="295">
        <v>0</v>
      </c>
      <c r="S11" s="81">
        <v>10</v>
      </c>
      <c r="T11" s="81">
        <v>1</v>
      </c>
      <c r="U11" s="81">
        <v>0</v>
      </c>
      <c r="V11" s="81">
        <v>0</v>
      </c>
      <c r="Y11" s="81">
        <v>0</v>
      </c>
      <c r="Z11" s="232"/>
      <c r="AC11" s="239" t="str">
        <f>"I"&amp;UPPER(MID($AD$4,2,1))&amp;"DTF"</f>
        <v>IUDTF</v>
      </c>
      <c r="AD11" s="239" t="str">
        <f>"Industry "&amp;$AD$4&amp;" industry Demand Tractors, Trucks, Fishing boats, Forest machines"</f>
        <v>Industry Public Service industry Demand Tractors, Trucks, Fishing boats, Forest machines</v>
      </c>
    </row>
    <row r="12" spans="3:30">
      <c r="E12" s="239" t="s">
        <v>1274</v>
      </c>
      <c r="H12" s="81">
        <v>2030</v>
      </c>
      <c r="I12" s="81"/>
      <c r="J12" s="81">
        <f>'Natural gas boiler'!$L$41*HLOOKUP(G10,$K$1:$M$2,2,FALSE)</f>
        <v>0.81600000000000006</v>
      </c>
      <c r="K12" s="81"/>
      <c r="L12" s="37">
        <v>0.89400000000000013</v>
      </c>
      <c r="M12" s="37">
        <v>2.98E-2</v>
      </c>
      <c r="N12" s="84">
        <v>14.9</v>
      </c>
      <c r="O12" s="81"/>
      <c r="P12" s="290"/>
      <c r="Q12" s="213"/>
      <c r="R12" s="295">
        <v>0</v>
      </c>
      <c r="S12" s="81">
        <v>5</v>
      </c>
      <c r="T12" s="81">
        <v>0.5</v>
      </c>
      <c r="U12" s="81">
        <v>0</v>
      </c>
      <c r="V12" s="81">
        <v>0</v>
      </c>
      <c r="Y12" s="81">
        <v>0</v>
      </c>
      <c r="Z12" s="232"/>
      <c r="AC12" s="239" t="str">
        <f>"I"&amp;UPPER(MID($AD$4,2,1))&amp;"DFL"</f>
        <v>IUDFL</v>
      </c>
      <c r="AD12" s="239" t="str">
        <f>"Industry "&amp;$AD$4&amp;" industry Demand Forklifts"</f>
        <v>Industry Public Service industry Demand Forklifts</v>
      </c>
    </row>
    <row r="13" spans="3:30">
      <c r="E13" s="239" t="s">
        <v>1274</v>
      </c>
      <c r="H13" s="81">
        <v>2050</v>
      </c>
      <c r="I13" s="81"/>
      <c r="J13" s="81">
        <f>'Natural gas boiler'!$L$42*HLOOKUP(G10,$K$1:$M$2,2,FALSE)</f>
        <v>0.81600000000000006</v>
      </c>
      <c r="K13" s="81"/>
      <c r="L13" s="37">
        <v>0.89400000000000013</v>
      </c>
      <c r="M13" s="37">
        <v>2.98E-2</v>
      </c>
      <c r="N13" s="84">
        <v>14.9</v>
      </c>
      <c r="O13" s="81"/>
      <c r="P13" s="290"/>
      <c r="Q13" s="213"/>
      <c r="R13" s="295">
        <v>0</v>
      </c>
      <c r="S13" s="81">
        <v>5</v>
      </c>
      <c r="T13" s="81">
        <v>0.5</v>
      </c>
      <c r="U13" s="81">
        <v>0</v>
      </c>
      <c r="V13" s="81">
        <v>0</v>
      </c>
      <c r="Y13" s="81">
        <v>0</v>
      </c>
      <c r="Z13" s="232"/>
    </row>
    <row r="14" spans="3:30">
      <c r="C14" s="223" t="str">
        <f>"IND"&amp;RIGHT(G14,4)&amp;"GAS"&amp;"N"&amp;RIGHT(D14,1)</f>
        <v>INDUDRHGASN1</v>
      </c>
      <c r="D14" s="223" t="str">
        <f>"Industrial heating technology "&amp;$AD$4&amp;" "&amp;RIGHT(G14,2)&amp;" - gas boiler - new 1"</f>
        <v>Industrial heating technology Public Service RH - gas boiler - new 1</v>
      </c>
      <c r="E14" s="239" t="s">
        <v>1274</v>
      </c>
      <c r="F14" s="176" t="s">
        <v>527</v>
      </c>
      <c r="G14" s="239" t="str">
        <f>AC8</f>
        <v>IUDRH</v>
      </c>
      <c r="H14" s="81">
        <v>2011</v>
      </c>
      <c r="I14" s="81">
        <v>2011</v>
      </c>
      <c r="J14" s="81">
        <f>'Natural gas boiler'!$L$39*HLOOKUP(G14,$K$1:$M$2,2,FALSE)</f>
        <v>1.02</v>
      </c>
      <c r="K14" s="81">
        <v>25</v>
      </c>
      <c r="L14" s="37">
        <v>0.94366666666666676</v>
      </c>
      <c r="M14" s="37">
        <v>2.98E-2</v>
      </c>
      <c r="N14" s="84">
        <v>14.9</v>
      </c>
      <c r="O14" s="82">
        <v>3.1536000000000002E-2</v>
      </c>
      <c r="P14" s="290">
        <v>0.5</v>
      </c>
      <c r="Q14" s="213"/>
      <c r="R14" s="295">
        <v>0</v>
      </c>
      <c r="S14" s="81">
        <v>20</v>
      </c>
      <c r="T14" s="81">
        <v>2</v>
      </c>
      <c r="U14" s="81">
        <v>0</v>
      </c>
      <c r="V14" s="81">
        <v>0</v>
      </c>
      <c r="Y14" s="81">
        <v>0</v>
      </c>
      <c r="Z14" s="232"/>
    </row>
    <row r="15" spans="3:30">
      <c r="E15" s="239" t="s">
        <v>1274</v>
      </c>
      <c r="H15" s="81">
        <v>2020</v>
      </c>
      <c r="I15" s="81"/>
      <c r="J15" s="81">
        <f>'Natural gas boiler'!$L$40*HLOOKUP(G14,$K$1:$M$2,2,FALSE)</f>
        <v>1.02</v>
      </c>
      <c r="K15" s="81"/>
      <c r="L15" s="37">
        <v>0.91883333333333339</v>
      </c>
      <c r="M15" s="37">
        <v>2.98E-2</v>
      </c>
      <c r="N15" s="84">
        <v>14.9</v>
      </c>
      <c r="O15" s="81"/>
      <c r="P15" s="290"/>
      <c r="Q15" s="213"/>
      <c r="R15" s="295">
        <v>0</v>
      </c>
      <c r="S15" s="81">
        <v>10</v>
      </c>
      <c r="T15" s="81">
        <v>1</v>
      </c>
      <c r="U15" s="81">
        <v>0</v>
      </c>
      <c r="V15" s="81">
        <v>0</v>
      </c>
      <c r="Y15" s="81">
        <v>0</v>
      </c>
      <c r="Z15" s="232"/>
    </row>
    <row r="16" spans="3:30">
      <c r="E16" s="239" t="s">
        <v>1274</v>
      </c>
      <c r="H16" s="81">
        <v>2030</v>
      </c>
      <c r="I16" s="81"/>
      <c r="J16" s="81">
        <f>'Natural gas boiler'!$L$41*HLOOKUP(G14,$K$1:$M$2,2,FALSE)</f>
        <v>1.02</v>
      </c>
      <c r="K16" s="81"/>
      <c r="L16" s="37">
        <v>0.89400000000000013</v>
      </c>
      <c r="M16" s="37">
        <v>2.98E-2</v>
      </c>
      <c r="N16" s="84">
        <v>14.9</v>
      </c>
      <c r="O16" s="81"/>
      <c r="P16" s="290"/>
      <c r="Q16" s="213"/>
      <c r="R16" s="295">
        <v>0</v>
      </c>
      <c r="S16" s="81">
        <v>5</v>
      </c>
      <c r="T16" s="81">
        <v>0.5</v>
      </c>
      <c r="U16" s="81">
        <v>0</v>
      </c>
      <c r="V16" s="81">
        <v>0</v>
      </c>
      <c r="Y16" s="81">
        <v>0</v>
      </c>
      <c r="Z16" s="232"/>
    </row>
    <row r="17" spans="3:26">
      <c r="E17" s="239" t="s">
        <v>1274</v>
      </c>
      <c r="H17" s="81">
        <v>2050</v>
      </c>
      <c r="I17" s="81"/>
      <c r="J17" s="81">
        <f>'Natural gas boiler'!$L$42*HLOOKUP(G14,$K$1:$M$2,2,FALSE)</f>
        <v>1.02</v>
      </c>
      <c r="K17" s="81"/>
      <c r="L17" s="37">
        <v>0.89400000000000013</v>
      </c>
      <c r="M17" s="37">
        <v>2.98E-2</v>
      </c>
      <c r="N17" s="84">
        <v>14.9</v>
      </c>
      <c r="O17" s="81"/>
      <c r="P17" s="290"/>
      <c r="Q17" s="213"/>
      <c r="R17" s="295">
        <v>0</v>
      </c>
      <c r="S17" s="81">
        <v>5</v>
      </c>
      <c r="T17" s="81">
        <v>0.5</v>
      </c>
      <c r="U17" s="81">
        <v>0</v>
      </c>
      <c r="V17" s="81">
        <v>0</v>
      </c>
      <c r="Y17" s="81">
        <v>0</v>
      </c>
      <c r="Z17" s="232"/>
    </row>
    <row r="18" spans="3:26">
      <c r="C18" s="223" t="str">
        <f>"IND"&amp;RIGHT(G18,4)&amp;"DSL"&amp;"N"&amp;RIGHT(D18,1)</f>
        <v>INDUDRHDSLN1</v>
      </c>
      <c r="D18" s="278" t="str">
        <f>"Industrial heating technology "&amp;$AD$4&amp;" "&amp;RIGHT(G14,2)&amp;" - oil boiler - new 1"</f>
        <v>Industrial heating technology Public Service RH - oil boiler - new 1</v>
      </c>
      <c r="E18" s="239" t="s">
        <v>1274</v>
      </c>
      <c r="F18" s="176" t="s">
        <v>529</v>
      </c>
      <c r="G18" s="177" t="str">
        <f>AC8</f>
        <v>IUDRH</v>
      </c>
      <c r="H18" s="81">
        <v>2011</v>
      </c>
      <c r="I18" s="81">
        <v>2011</v>
      </c>
      <c r="J18" s="207">
        <f>'Oil-fired boiler'!$L$39*HLOOKUP(G18,$K$1:$M$2,2,FALSE)</f>
        <v>0.96</v>
      </c>
      <c r="K18" s="83">
        <v>20</v>
      </c>
      <c r="L18" s="37">
        <f>('Oil-fired boiler'!$O$39)/1000</f>
        <v>0.59599999999999997</v>
      </c>
      <c r="M18" s="37">
        <f>('Oil-fired boiler'!$P$39)/1000</f>
        <v>9.3124999999999996E-3</v>
      </c>
      <c r="N18" s="194">
        <f>'Oil-fired boiler'!$Q$39</f>
        <v>0</v>
      </c>
      <c r="O18" s="82">
        <v>3.1536000000000002E-2</v>
      </c>
      <c r="P18" s="290">
        <v>0.5</v>
      </c>
      <c r="Q18" s="213"/>
      <c r="R18" s="295">
        <v>0.5</v>
      </c>
      <c r="S18" s="81">
        <v>30</v>
      </c>
      <c r="T18" s="81">
        <v>0</v>
      </c>
      <c r="U18" s="81">
        <v>0</v>
      </c>
      <c r="V18" s="81">
        <v>0.03</v>
      </c>
      <c r="Y18" s="81">
        <v>0</v>
      </c>
      <c r="Z18" s="232"/>
    </row>
    <row r="19" spans="3:26">
      <c r="E19" s="239" t="s">
        <v>1274</v>
      </c>
      <c r="H19" s="83">
        <f>2020</f>
        <v>2020</v>
      </c>
      <c r="I19" s="83"/>
      <c r="J19" s="207">
        <f>'Oil-fired boiler'!$L$39*HLOOKUP(G18,$K$1:$M$2,2,FALSE)</f>
        <v>0.96</v>
      </c>
      <c r="K19" s="81"/>
      <c r="L19" s="37">
        <f>('Oil-fired boiler'!$O$40)/1000</f>
        <v>0.59599999999999997</v>
      </c>
      <c r="M19" s="37">
        <f>('Oil-fired boiler'!$P$40)/1000</f>
        <v>9.3124999999999996E-3</v>
      </c>
      <c r="N19" s="194">
        <f>'Oil-fired boiler'!$Q$40</f>
        <v>0</v>
      </c>
      <c r="O19" s="81"/>
      <c r="P19" s="290"/>
      <c r="Q19" s="213"/>
      <c r="R19" s="295">
        <v>0.5</v>
      </c>
      <c r="S19" s="81">
        <v>30</v>
      </c>
      <c r="T19" s="81">
        <v>0</v>
      </c>
      <c r="U19" s="81">
        <v>0</v>
      </c>
      <c r="V19" s="81">
        <v>0.03</v>
      </c>
      <c r="Y19" s="81">
        <v>0</v>
      </c>
      <c r="Z19" s="232"/>
    </row>
    <row r="20" spans="3:26">
      <c r="E20" s="239" t="s">
        <v>1274</v>
      </c>
      <c r="H20" s="83">
        <v>2030</v>
      </c>
      <c r="I20" s="83"/>
      <c r="J20" s="207">
        <f>'Oil-fired boiler'!$L$39*HLOOKUP(G18,$K$1:$M$2,2,FALSE)</f>
        <v>0.96</v>
      </c>
      <c r="K20" s="81"/>
      <c r="L20" s="37">
        <f>('Oil-fired boiler'!$O$41)/1000</f>
        <v>0.59599999999999997</v>
      </c>
      <c r="M20" s="37">
        <f>('Oil-fired boiler'!$P$41)/1000</f>
        <v>9.3124999999999996E-3</v>
      </c>
      <c r="N20" s="194">
        <f>'Oil-fired boiler'!$Q$41</f>
        <v>0</v>
      </c>
      <c r="O20" s="81"/>
      <c r="P20" s="290"/>
      <c r="Q20" s="213"/>
      <c r="R20" s="295">
        <v>0.5</v>
      </c>
      <c r="S20" s="81">
        <v>30</v>
      </c>
      <c r="T20" s="81">
        <v>0</v>
      </c>
      <c r="U20" s="81">
        <v>0</v>
      </c>
      <c r="V20" s="81">
        <v>0.03</v>
      </c>
      <c r="Y20" s="81">
        <v>0</v>
      </c>
      <c r="Z20" s="232"/>
    </row>
    <row r="21" spans="3:26">
      <c r="E21" s="239" t="s">
        <v>1274</v>
      </c>
      <c r="H21" s="83">
        <v>2050</v>
      </c>
      <c r="I21" s="83"/>
      <c r="J21" s="207">
        <f>'Oil-fired boiler'!$L$39*HLOOKUP(G18,$K$1:$M$2,2,FALSE)</f>
        <v>0.96</v>
      </c>
      <c r="K21" s="81"/>
      <c r="L21" s="37">
        <f>('Oil-fired boiler'!$O$42)/1000</f>
        <v>0.59599999999999997</v>
      </c>
      <c r="M21" s="37">
        <f>('Oil-fired boiler'!$P$42)/1000</f>
        <v>9.3124999999999996E-3</v>
      </c>
      <c r="N21" s="194">
        <f>'Oil-fired boiler'!$Q$42</f>
        <v>0</v>
      </c>
      <c r="O21" s="81"/>
      <c r="P21" s="290"/>
      <c r="Q21" s="213"/>
      <c r="R21" s="295">
        <v>0.5</v>
      </c>
      <c r="S21" s="81">
        <v>30</v>
      </c>
      <c r="T21" s="81">
        <v>0</v>
      </c>
      <c r="U21" s="81">
        <v>0</v>
      </c>
      <c r="V21" s="81">
        <v>0.03</v>
      </c>
      <c r="Y21" s="81">
        <v>0</v>
      </c>
      <c r="Z21" s="232"/>
    </row>
    <row r="22" spans="3:26">
      <c r="C22" s="223" t="str">
        <f>"IND"&amp;RIGHT(G22,4)&amp;"DSL"&amp;"N"&amp;RIGHT(D22,1)</f>
        <v>INDUDMTDSLN1</v>
      </c>
      <c r="D22" s="278" t="str">
        <f>"Industrial heating technology "&amp;$AD$4&amp;" "&amp;RIGHT(G22,2)&amp;" - oil boiler - new 1"</f>
        <v>Industrial heating technology Public Service MT - oil boiler - new 1</v>
      </c>
      <c r="E22" s="239" t="s">
        <v>1274</v>
      </c>
      <c r="F22" s="176" t="s">
        <v>529</v>
      </c>
      <c r="G22" s="177" t="str">
        <f>AC7</f>
        <v>IUDMT</v>
      </c>
      <c r="H22" s="81">
        <v>2011</v>
      </c>
      <c r="I22" s="81">
        <v>2011</v>
      </c>
      <c r="J22" s="207">
        <f>'Oil-fired boiler'!$L$39*HLOOKUP(G22,$K$1:$M$2,2,FALSE)</f>
        <v>0.76800000000000002</v>
      </c>
      <c r="K22" s="81">
        <v>20</v>
      </c>
      <c r="L22" s="37">
        <v>0.59599999999999997</v>
      </c>
      <c r="M22" s="37">
        <v>9.3124999999999996E-3</v>
      </c>
      <c r="N22" s="194">
        <v>0</v>
      </c>
      <c r="O22" s="81">
        <v>3.1536000000000002E-2</v>
      </c>
      <c r="P22" s="290">
        <v>0.5</v>
      </c>
      <c r="Q22" s="213"/>
      <c r="R22" s="295">
        <v>0.5</v>
      </c>
      <c r="S22" s="81">
        <v>30</v>
      </c>
      <c r="T22" s="81">
        <v>0</v>
      </c>
      <c r="U22" s="81">
        <v>0</v>
      </c>
      <c r="V22" s="81">
        <v>0.03</v>
      </c>
      <c r="Y22" s="81">
        <v>0</v>
      </c>
      <c r="Z22" s="232"/>
    </row>
    <row r="23" spans="3:26">
      <c r="E23" s="239" t="s">
        <v>1274</v>
      </c>
      <c r="H23" s="83">
        <v>2020</v>
      </c>
      <c r="I23" s="83"/>
      <c r="J23" s="207">
        <f>'Oil-fired boiler'!$L$39*HLOOKUP(G22,$K$1:$M$2,2,FALSE)</f>
        <v>0.76800000000000002</v>
      </c>
      <c r="K23" s="81"/>
      <c r="L23" s="37">
        <v>0.59599999999999997</v>
      </c>
      <c r="M23" s="37">
        <v>9.3124999999999996E-3</v>
      </c>
      <c r="N23" s="194">
        <v>0</v>
      </c>
      <c r="O23" s="81"/>
      <c r="P23" s="290"/>
      <c r="Q23" s="213"/>
      <c r="R23" s="295">
        <v>0.5</v>
      </c>
      <c r="S23" s="81">
        <v>30</v>
      </c>
      <c r="T23" s="81">
        <v>0</v>
      </c>
      <c r="U23" s="81">
        <v>0</v>
      </c>
      <c r="V23" s="81">
        <v>0.03</v>
      </c>
      <c r="Y23" s="81">
        <v>0</v>
      </c>
      <c r="Z23" s="232"/>
    </row>
    <row r="24" spans="3:26">
      <c r="E24" s="239" t="s">
        <v>1274</v>
      </c>
      <c r="H24" s="83">
        <v>2030</v>
      </c>
      <c r="I24" s="83"/>
      <c r="J24" s="207">
        <f>'Oil-fired boiler'!$L$39*HLOOKUP(G22,$K$1:$M$2,2,FALSE)</f>
        <v>0.76800000000000002</v>
      </c>
      <c r="K24" s="81"/>
      <c r="L24" s="37">
        <v>0.59599999999999997</v>
      </c>
      <c r="M24" s="37">
        <v>9.3124999999999996E-3</v>
      </c>
      <c r="N24" s="194">
        <v>0</v>
      </c>
      <c r="O24" s="81"/>
      <c r="P24" s="290"/>
      <c r="Q24" s="213"/>
      <c r="R24" s="295">
        <v>0.5</v>
      </c>
      <c r="S24" s="81">
        <v>30</v>
      </c>
      <c r="T24" s="81">
        <v>0</v>
      </c>
      <c r="U24" s="81">
        <v>0</v>
      </c>
      <c r="V24" s="81">
        <v>0.03</v>
      </c>
      <c r="Y24" s="81">
        <v>0</v>
      </c>
      <c r="Z24" s="232"/>
    </row>
    <row r="25" spans="3:26">
      <c r="E25" s="239" t="s">
        <v>1274</v>
      </c>
      <c r="H25" s="83">
        <v>2050</v>
      </c>
      <c r="I25" s="83"/>
      <c r="J25" s="207">
        <f>'Oil-fired boiler'!$L$39*HLOOKUP(G22,$K$1:$M$2,2,FALSE)</f>
        <v>0.76800000000000002</v>
      </c>
      <c r="K25" s="81"/>
      <c r="L25" s="37">
        <v>0.59599999999999997</v>
      </c>
      <c r="M25" s="37">
        <v>9.3124999999999996E-3</v>
      </c>
      <c r="N25" s="194">
        <v>0</v>
      </c>
      <c r="O25" s="81"/>
      <c r="P25" s="290"/>
      <c r="Q25" s="213"/>
      <c r="R25" s="295">
        <v>0.5</v>
      </c>
      <c r="S25" s="81">
        <v>30</v>
      </c>
      <c r="T25" s="81">
        <v>0</v>
      </c>
      <c r="U25" s="81">
        <v>0</v>
      </c>
      <c r="V25" s="81">
        <v>0.03</v>
      </c>
      <c r="Y25" s="81">
        <v>0</v>
      </c>
      <c r="Z25" s="232"/>
    </row>
    <row r="26" spans="3:26">
      <c r="C26" s="223" t="str">
        <f>"IND"&amp;RIGHT(G26,4)&amp;"DSL"&amp;"N"&amp;RIGHT(D26,1)</f>
        <v>INDUDHTDSLN1</v>
      </c>
      <c r="D26" s="278" t="str">
        <f>"Industrial heating technology "&amp;$AD$4&amp;" "&amp;RIGHT(G26,2)&amp;" - oil boiler - new 1"</f>
        <v>Industrial heating technology Public Service HT - oil boiler - new 1</v>
      </c>
      <c r="E26" s="239" t="s">
        <v>1274</v>
      </c>
      <c r="F26" s="176" t="s">
        <v>529</v>
      </c>
      <c r="G26" s="177" t="str">
        <f>AC6</f>
        <v>IUDHT</v>
      </c>
      <c r="H26" s="81">
        <v>2011</v>
      </c>
      <c r="I26" s="81">
        <v>2011</v>
      </c>
      <c r="J26" s="207">
        <f>'Oil-fired boiler'!$L$39*HLOOKUP(G26,$K$1:$M$2,2,FALSE)</f>
        <v>0.67199999999999993</v>
      </c>
      <c r="K26" s="81">
        <v>20</v>
      </c>
      <c r="L26" s="37">
        <v>0.59599999999999997</v>
      </c>
      <c r="M26" s="37">
        <v>9.3124999999999996E-3</v>
      </c>
      <c r="N26" s="194">
        <v>0</v>
      </c>
      <c r="O26" s="81">
        <v>3.1536000000000002E-2</v>
      </c>
      <c r="P26" s="290">
        <v>0.5</v>
      </c>
      <c r="Q26" s="213"/>
      <c r="R26" s="295">
        <v>0.5</v>
      </c>
      <c r="S26" s="81">
        <v>30</v>
      </c>
      <c r="T26" s="81">
        <v>0</v>
      </c>
      <c r="U26" s="81">
        <v>0</v>
      </c>
      <c r="V26" s="81">
        <v>0.03</v>
      </c>
      <c r="Y26" s="81"/>
      <c r="Z26" s="232"/>
    </row>
    <row r="27" spans="3:26">
      <c r="E27" s="239" t="s">
        <v>1274</v>
      </c>
      <c r="H27" s="83">
        <v>2020</v>
      </c>
      <c r="I27" s="83"/>
      <c r="J27" s="207">
        <f>'Oil-fired boiler'!$L$39*HLOOKUP(G26,$K$1:$M$2,2,FALSE)</f>
        <v>0.67199999999999993</v>
      </c>
      <c r="K27" s="81"/>
      <c r="L27" s="37">
        <v>0.59599999999999997</v>
      </c>
      <c r="M27" s="37">
        <v>9.3124999999999996E-3</v>
      </c>
      <c r="N27" s="194">
        <v>0</v>
      </c>
      <c r="O27" s="81"/>
      <c r="P27" s="290"/>
      <c r="Q27" s="213"/>
      <c r="R27" s="295">
        <v>0.5</v>
      </c>
      <c r="S27" s="81">
        <v>30</v>
      </c>
      <c r="T27" s="81">
        <v>0</v>
      </c>
      <c r="U27" s="81">
        <v>0</v>
      </c>
      <c r="V27" s="81">
        <v>0.03</v>
      </c>
      <c r="Y27" s="81"/>
      <c r="Z27" s="232"/>
    </row>
    <row r="28" spans="3:26">
      <c r="E28" s="239" t="s">
        <v>1274</v>
      </c>
      <c r="H28" s="83">
        <v>2030</v>
      </c>
      <c r="I28" s="83"/>
      <c r="J28" s="207">
        <f>'Oil-fired boiler'!$L$39*HLOOKUP(G26,$K$1:$M$2,2,FALSE)</f>
        <v>0.67199999999999993</v>
      </c>
      <c r="K28" s="81"/>
      <c r="L28" s="37">
        <v>0.59599999999999997</v>
      </c>
      <c r="M28" s="37">
        <v>9.3124999999999996E-3</v>
      </c>
      <c r="N28" s="194">
        <v>0</v>
      </c>
      <c r="O28" s="81"/>
      <c r="P28" s="290"/>
      <c r="Q28" s="213"/>
      <c r="R28" s="295">
        <v>0.5</v>
      </c>
      <c r="S28" s="81">
        <v>30</v>
      </c>
      <c r="T28" s="81">
        <v>0</v>
      </c>
      <c r="U28" s="81">
        <v>0</v>
      </c>
      <c r="V28" s="81">
        <v>0.03</v>
      </c>
      <c r="Y28" s="81"/>
      <c r="Z28" s="232"/>
    </row>
    <row r="29" spans="3:26">
      <c r="E29" s="239" t="s">
        <v>1274</v>
      </c>
      <c r="H29" s="83">
        <v>2050</v>
      </c>
      <c r="I29" s="83"/>
      <c r="J29" s="207">
        <f>'Oil-fired boiler'!$L$39*HLOOKUP(G26,$K$1:$M$2,2,FALSE)</f>
        <v>0.67199999999999993</v>
      </c>
      <c r="K29" s="81"/>
      <c r="L29" s="37">
        <v>0.59599999999999997</v>
      </c>
      <c r="M29" s="37">
        <v>9.3124999999999996E-3</v>
      </c>
      <c r="N29" s="194">
        <v>0</v>
      </c>
      <c r="O29" s="81"/>
      <c r="P29" s="290"/>
      <c r="Q29" s="213"/>
      <c r="R29" s="295">
        <v>0.5</v>
      </c>
      <c r="S29" s="81">
        <v>30</v>
      </c>
      <c r="T29" s="81">
        <v>0</v>
      </c>
      <c r="U29" s="81">
        <v>0</v>
      </c>
      <c r="V29" s="81">
        <v>0.03</v>
      </c>
      <c r="Y29" s="81"/>
      <c r="Z29" s="232"/>
    </row>
    <row r="30" spans="3:26">
      <c r="C30" s="223" t="str">
        <f>"IND"&amp;RIGHT(G30,4)&amp;RIGHT(F30,3)&amp;"N"&amp;RIGHT(D30,1)</f>
        <v>INDUDRHWPEN1</v>
      </c>
      <c r="D30" s="278" t="str">
        <f>"Industrial heating technology "&amp;$AD$4&amp;" "&amp;RIGHT(G30,2)&amp;" - biomass boiler automatic stoking, Pellets - new 1"</f>
        <v>Industrial heating technology Public Service RH - biomass boiler automatic stoking, Pellets - new 1</v>
      </c>
      <c r="E30" s="239" t="s">
        <v>1274</v>
      </c>
      <c r="F30" s="176" t="s">
        <v>498</v>
      </c>
      <c r="G30" s="177" t="str">
        <f>AC8</f>
        <v>IUDRH</v>
      </c>
      <c r="H30" s="81">
        <v>2020</v>
      </c>
      <c r="I30" s="81">
        <v>2011</v>
      </c>
      <c r="J30" s="81">
        <f>'Biomass boiler, automatic'!$L$39*HLOOKUP(G30,$K$1:$M$2,2,FALSE)</f>
        <v>0.85</v>
      </c>
      <c r="K30" s="81">
        <f>'Biomass boiler, automatic'!N39</f>
        <v>20</v>
      </c>
      <c r="L30" s="37">
        <f>('Biomass boiler, automatic'!O39)/1000</f>
        <v>1.4900000000000002</v>
      </c>
      <c r="M30" s="37">
        <f>('Biomass boiler, automatic'!P39)/1000</f>
        <v>4.6935000000000004E-2</v>
      </c>
      <c r="N30" s="194">
        <f>'Biomass boiler, automatic'!Q39</f>
        <v>0</v>
      </c>
      <c r="O30" s="82">
        <v>3.1536000000000002E-2</v>
      </c>
      <c r="P30" s="290">
        <v>0.5</v>
      </c>
      <c r="Q30" s="213"/>
      <c r="R30" s="295">
        <f>'Biomass boiler, automatic'!T39</f>
        <v>0</v>
      </c>
      <c r="S30" s="81">
        <f>'Biomass boiler, automatic'!U39</f>
        <v>90</v>
      </c>
      <c r="T30" s="81">
        <f>'Biomass boiler, automatic'!V39</f>
        <v>3</v>
      </c>
      <c r="U30" s="81">
        <f>'Biomass boiler, automatic'!W39</f>
        <v>0</v>
      </c>
      <c r="V30" s="81">
        <f>'Biomass boiler, automatic'!X39</f>
        <v>10</v>
      </c>
      <c r="Y30" s="81">
        <f>'Biomass boiler, automatic'!M39</f>
        <v>0</v>
      </c>
      <c r="Z30" s="232"/>
    </row>
    <row r="31" spans="3:26">
      <c r="E31" s="239" t="s">
        <v>1274</v>
      </c>
      <c r="H31" s="83">
        <v>2030</v>
      </c>
      <c r="I31" s="83"/>
      <c r="J31" s="81">
        <f>'Biomass boiler, automatic'!$L$40*HLOOKUP(G30,$K$1:$M$2,2,FALSE)</f>
        <v>0.87</v>
      </c>
      <c r="K31" s="81"/>
      <c r="L31" s="37">
        <f>('Biomass boiler, automatic'!O40)/1000</f>
        <v>1.4900000000000002</v>
      </c>
      <c r="M31" s="37">
        <f>('Biomass boiler, automatic'!P40)/1000</f>
        <v>4.6935000000000004E-2</v>
      </c>
      <c r="N31" s="194">
        <f>'Biomass boiler, automatic'!Q40</f>
        <v>0</v>
      </c>
      <c r="O31" s="81"/>
      <c r="P31" s="290"/>
      <c r="Q31" s="213"/>
      <c r="R31" s="295">
        <f>'Biomass boiler, automatic'!T40</f>
        <v>0</v>
      </c>
      <c r="S31" s="81">
        <f>'Biomass boiler, automatic'!U40</f>
        <v>70</v>
      </c>
      <c r="T31" s="81">
        <f>'Biomass boiler, automatic'!V40</f>
        <v>2</v>
      </c>
      <c r="U31" s="81">
        <f>'Biomass boiler, automatic'!W40</f>
        <v>0</v>
      </c>
      <c r="V31" s="81">
        <f>'Biomass boiler, automatic'!X40</f>
        <v>8</v>
      </c>
      <c r="Y31" s="81">
        <f>'Biomass boiler, automatic'!M40</f>
        <v>0</v>
      </c>
      <c r="Z31" s="232"/>
    </row>
    <row r="32" spans="3:26">
      <c r="E32" s="239" t="s">
        <v>1274</v>
      </c>
      <c r="H32" s="83">
        <v>2050</v>
      </c>
      <c r="I32" s="83"/>
      <c r="J32" s="81">
        <f>'Biomass boiler, automatic'!$L$41*HLOOKUP(G30,$K$1:$M$2,2,FALSE)</f>
        <v>0.91</v>
      </c>
      <c r="K32" s="81"/>
      <c r="L32" s="37">
        <f>('Biomass boiler, automatic'!O41)/1000</f>
        <v>1.4900000000000002</v>
      </c>
      <c r="M32" s="37">
        <f>('Biomass boiler, automatic'!P41)/1000</f>
        <v>5.2150000000000002E-2</v>
      </c>
      <c r="N32" s="194">
        <f>'Biomass boiler, automatic'!Q41</f>
        <v>0</v>
      </c>
      <c r="O32" s="81"/>
      <c r="P32" s="290"/>
      <c r="Q32" s="213"/>
      <c r="R32" s="295">
        <f>'Biomass boiler, automatic'!T41</f>
        <v>0</v>
      </c>
      <c r="S32" s="81">
        <f>'Biomass boiler, automatic'!U41</f>
        <v>50</v>
      </c>
      <c r="T32" s="81">
        <f>'Biomass boiler, automatic'!V41</f>
        <v>1</v>
      </c>
      <c r="U32" s="81">
        <f>'Biomass boiler, automatic'!W41</f>
        <v>0</v>
      </c>
      <c r="V32" s="81">
        <f>'Biomass boiler, automatic'!X41</f>
        <v>6</v>
      </c>
      <c r="Y32" s="81">
        <f>'Biomass boiler, automatic'!M41</f>
        <v>0</v>
      </c>
      <c r="Z32" s="232"/>
    </row>
    <row r="33" spans="3:29">
      <c r="E33" s="239" t="s">
        <v>1274</v>
      </c>
      <c r="H33" s="83">
        <f>'Biomass boiler, automatic'!J15</f>
        <v>2050</v>
      </c>
      <c r="I33" s="83"/>
      <c r="J33" s="81">
        <f>'Biomass boiler, automatic'!$L$42*HLOOKUP(G30,$K$1:$M$2,2,FALSE)</f>
        <v>0.95</v>
      </c>
      <c r="K33" s="81"/>
      <c r="L33" s="37">
        <f>('Biomass boiler, automatic'!O42)/1000</f>
        <v>1.4900000000000002</v>
      </c>
      <c r="M33" s="37">
        <f>('Biomass boiler, automatic'!P42)/1000</f>
        <v>5.96E-2</v>
      </c>
      <c r="N33" s="194">
        <f>'Biomass boiler, automatic'!Q42</f>
        <v>0</v>
      </c>
      <c r="O33" s="81"/>
      <c r="P33" s="290"/>
      <c r="Q33" s="213"/>
      <c r="R33" s="295">
        <f>'Biomass boiler, automatic'!T42</f>
        <v>0</v>
      </c>
      <c r="S33" s="81">
        <f>'Biomass boiler, automatic'!U42</f>
        <v>40</v>
      </c>
      <c r="T33" s="81">
        <f>'Biomass boiler, automatic'!V42</f>
        <v>0</v>
      </c>
      <c r="U33" s="81">
        <f>'Biomass boiler, automatic'!W42</f>
        <v>0</v>
      </c>
      <c r="V33" s="81">
        <f>'Biomass boiler, automatic'!X42</f>
        <v>4</v>
      </c>
      <c r="Y33" s="81">
        <f>'Biomass boiler, automatic'!M42</f>
        <v>0</v>
      </c>
      <c r="Z33" s="232"/>
      <c r="AC33" s="239">
        <v>1.1000000000000001</v>
      </c>
    </row>
    <row r="34" spans="3:29">
      <c r="C34" s="223" t="str">
        <f>"IND"&amp;RIGHT(G34,4)&amp;RIGHT(F34,3)&amp;"N"&amp;RIGHT(D34,1)</f>
        <v>INDUDHTWPEN1</v>
      </c>
      <c r="D34" s="278" t="str">
        <f>"Industrial heating technology "&amp;$AD$4&amp;" "&amp;RIGHT(G34,2)&amp;" - biomass boiler automatic stoking, Pellets - new 1"</f>
        <v>Industrial heating technology Public Service HT - biomass boiler automatic stoking, Pellets - new 1</v>
      </c>
      <c r="E34" s="239" t="s">
        <v>1274</v>
      </c>
      <c r="F34" s="176" t="s">
        <v>498</v>
      </c>
      <c r="G34" s="177" t="str">
        <f>AC6</f>
        <v>IUDHT</v>
      </c>
      <c r="H34" s="81">
        <v>2011</v>
      </c>
      <c r="I34" s="81">
        <v>2011</v>
      </c>
      <c r="J34" s="81">
        <f>'Biomass boiler, automatic'!$L$39*HLOOKUP(G34,$K$1:$M$2,2,FALSE)</f>
        <v>0.59499999999999997</v>
      </c>
      <c r="K34" s="81">
        <f>K30</f>
        <v>20</v>
      </c>
      <c r="L34" s="37">
        <f>L30</f>
        <v>1.4900000000000002</v>
      </c>
      <c r="M34" s="37">
        <f>M30</f>
        <v>4.6935000000000004E-2</v>
      </c>
      <c r="N34" s="194">
        <f>'Biomass boiler, automatic'!Q43</f>
        <v>0</v>
      </c>
      <c r="O34" s="82">
        <v>3.1536000000000002E-2</v>
      </c>
      <c r="P34" s="290">
        <v>0.5</v>
      </c>
      <c r="Q34" s="213"/>
      <c r="R34" s="295">
        <f>R30</f>
        <v>0</v>
      </c>
      <c r="S34" s="295">
        <f t="shared" ref="S34:V34" si="0">S30</f>
        <v>90</v>
      </c>
      <c r="T34" s="295">
        <f t="shared" si="0"/>
        <v>3</v>
      </c>
      <c r="U34" s="295">
        <f t="shared" si="0"/>
        <v>0</v>
      </c>
      <c r="V34" s="295">
        <f t="shared" si="0"/>
        <v>10</v>
      </c>
      <c r="Y34" s="81"/>
      <c r="Z34" s="232"/>
    </row>
    <row r="35" spans="3:29">
      <c r="E35" s="239" t="s">
        <v>1274</v>
      </c>
      <c r="H35" s="83">
        <f>H31</f>
        <v>2030</v>
      </c>
      <c r="I35" s="83"/>
      <c r="J35" s="81">
        <f>'Biomass boiler, automatic'!$L$40*HLOOKUP(G34,$K$1:$M$2,2,FALSE)</f>
        <v>0.60899999999999999</v>
      </c>
      <c r="K35" s="81"/>
      <c r="L35" s="37">
        <f t="shared" ref="L35:M37" si="1">L31</f>
        <v>1.4900000000000002</v>
      </c>
      <c r="M35" s="37">
        <f t="shared" si="1"/>
        <v>4.6935000000000004E-2</v>
      </c>
      <c r="N35" s="194">
        <f>'Biomass boiler, automatic'!Q44</f>
        <v>0</v>
      </c>
      <c r="O35" s="81"/>
      <c r="P35" s="290"/>
      <c r="Q35" s="213"/>
      <c r="R35" s="295">
        <f t="shared" ref="R35:V35" si="2">R31</f>
        <v>0</v>
      </c>
      <c r="S35" s="295">
        <f t="shared" si="2"/>
        <v>70</v>
      </c>
      <c r="T35" s="295">
        <f t="shared" si="2"/>
        <v>2</v>
      </c>
      <c r="U35" s="295">
        <f t="shared" si="2"/>
        <v>0</v>
      </c>
      <c r="V35" s="295">
        <f t="shared" si="2"/>
        <v>8</v>
      </c>
      <c r="Y35" s="81"/>
      <c r="Z35" s="232"/>
    </row>
    <row r="36" spans="3:29">
      <c r="E36" s="239" t="s">
        <v>1274</v>
      </c>
      <c r="H36" s="83">
        <f>H32</f>
        <v>2050</v>
      </c>
      <c r="I36" s="83"/>
      <c r="J36" s="81">
        <f>'Biomass boiler, automatic'!$L$41*HLOOKUP(G34,$K$1:$M$2,2,FALSE)</f>
        <v>0.63700000000000001</v>
      </c>
      <c r="K36" s="81"/>
      <c r="L36" s="37">
        <f t="shared" si="1"/>
        <v>1.4900000000000002</v>
      </c>
      <c r="M36" s="37">
        <f t="shared" si="1"/>
        <v>5.2150000000000002E-2</v>
      </c>
      <c r="N36" s="194">
        <f>'Biomass boiler, automatic'!Q45</f>
        <v>0</v>
      </c>
      <c r="O36" s="81"/>
      <c r="P36" s="290"/>
      <c r="Q36" s="213"/>
      <c r="R36" s="295">
        <f t="shared" ref="R36:V36" si="3">R32</f>
        <v>0</v>
      </c>
      <c r="S36" s="295">
        <f t="shared" si="3"/>
        <v>50</v>
      </c>
      <c r="T36" s="295">
        <f t="shared" si="3"/>
        <v>1</v>
      </c>
      <c r="U36" s="295">
        <f t="shared" si="3"/>
        <v>0</v>
      </c>
      <c r="V36" s="295">
        <f t="shared" si="3"/>
        <v>6</v>
      </c>
      <c r="Y36" s="81"/>
      <c r="Z36" s="232"/>
    </row>
    <row r="37" spans="3:29">
      <c r="E37" s="239" t="s">
        <v>1274</v>
      </c>
      <c r="H37" s="83">
        <f>H33</f>
        <v>2050</v>
      </c>
      <c r="I37" s="83"/>
      <c r="J37" s="81">
        <f>'Biomass boiler, automatic'!$L$42*HLOOKUP(G34,$K$1:$M$2,2,FALSE)</f>
        <v>0.66499999999999992</v>
      </c>
      <c r="K37" s="81"/>
      <c r="L37" s="37">
        <f t="shared" si="1"/>
        <v>1.4900000000000002</v>
      </c>
      <c r="M37" s="37">
        <f t="shared" si="1"/>
        <v>5.96E-2</v>
      </c>
      <c r="N37" s="194">
        <f>'Biomass boiler, automatic'!Q46</f>
        <v>0</v>
      </c>
      <c r="O37" s="81"/>
      <c r="P37" s="290"/>
      <c r="Q37" s="213"/>
      <c r="R37" s="295">
        <f t="shared" ref="R37:V37" si="4">R33</f>
        <v>0</v>
      </c>
      <c r="S37" s="295">
        <f t="shared" si="4"/>
        <v>40</v>
      </c>
      <c r="T37" s="295">
        <f t="shared" si="4"/>
        <v>0</v>
      </c>
      <c r="U37" s="295">
        <f t="shared" si="4"/>
        <v>0</v>
      </c>
      <c r="V37" s="295">
        <f t="shared" si="4"/>
        <v>4</v>
      </c>
      <c r="Y37" s="81"/>
      <c r="Z37" s="232"/>
    </row>
    <row r="38" spans="3:29">
      <c r="C38" s="223" t="str">
        <f>"IND"&amp;RIGHT(G38,4)&amp;RIGHT(F38,3)&amp;"N"&amp;RIGHT(D38,1)</f>
        <v>INDUDMTWPEN1</v>
      </c>
      <c r="D38" s="278" t="str">
        <f>"Industrial heating technology "&amp;$AD$4&amp;" "&amp;RIGHT(G38,2)&amp;" - biomass boiler automatic stoking, Pellets - new 1"</f>
        <v>Industrial heating technology Public Service MT - biomass boiler automatic stoking, Pellets - new 1</v>
      </c>
      <c r="E38" s="239" t="s">
        <v>1274</v>
      </c>
      <c r="F38" s="176" t="s">
        <v>498</v>
      </c>
      <c r="G38" s="239" t="str">
        <f>AC7</f>
        <v>IUDMT</v>
      </c>
      <c r="H38" s="81">
        <v>2011</v>
      </c>
      <c r="I38" s="81">
        <v>2011</v>
      </c>
      <c r="J38" s="81">
        <f>'Biomass boiler, automatic'!$L$39*HLOOKUP(G38,$K$1:$M$2,2,FALSE)</f>
        <v>0.68</v>
      </c>
      <c r="K38" s="81">
        <v>20</v>
      </c>
      <c r="L38" s="37">
        <v>1.4900000000000002</v>
      </c>
      <c r="M38" s="37">
        <v>4.6935000000000004E-2</v>
      </c>
      <c r="N38" s="194">
        <v>0</v>
      </c>
      <c r="O38" s="81">
        <v>3.1536000000000002E-2</v>
      </c>
      <c r="P38" s="290">
        <v>0.5</v>
      </c>
      <c r="Q38" s="213"/>
      <c r="R38" s="295">
        <v>0</v>
      </c>
      <c r="S38" s="81">
        <v>90</v>
      </c>
      <c r="T38" s="81">
        <v>3</v>
      </c>
      <c r="U38" s="81">
        <v>0</v>
      </c>
      <c r="V38" s="81">
        <v>10</v>
      </c>
      <c r="Y38" s="81">
        <v>0</v>
      </c>
      <c r="Z38" s="232"/>
    </row>
    <row r="39" spans="3:29">
      <c r="E39" s="239" t="s">
        <v>1274</v>
      </c>
      <c r="H39" s="83">
        <v>2020</v>
      </c>
      <c r="I39" s="83"/>
      <c r="J39" s="81">
        <f>'Biomass boiler, automatic'!$L$40*HLOOKUP(G38,$K$1:$M$2,2,FALSE)</f>
        <v>0.69600000000000006</v>
      </c>
      <c r="K39" s="81"/>
      <c r="L39" s="37">
        <v>1.4900000000000002</v>
      </c>
      <c r="M39" s="37">
        <v>4.6935000000000004E-2</v>
      </c>
      <c r="N39" s="194">
        <v>0</v>
      </c>
      <c r="O39" s="81"/>
      <c r="P39" s="290"/>
      <c r="Q39" s="213"/>
      <c r="R39" s="295">
        <v>0</v>
      </c>
      <c r="S39" s="81">
        <v>70</v>
      </c>
      <c r="T39" s="81">
        <v>2</v>
      </c>
      <c r="U39" s="81">
        <v>0</v>
      </c>
      <c r="V39" s="81">
        <v>8</v>
      </c>
      <c r="Y39" s="81">
        <v>0</v>
      </c>
      <c r="Z39" s="232"/>
    </row>
    <row r="40" spans="3:29">
      <c r="E40" s="239" t="s">
        <v>1274</v>
      </c>
      <c r="H40" s="83">
        <v>2030</v>
      </c>
      <c r="I40" s="83"/>
      <c r="J40" s="81">
        <f>'Biomass boiler, automatic'!$L$41*HLOOKUP(G38,$K$1:$M$2,2,FALSE)</f>
        <v>0.72800000000000009</v>
      </c>
      <c r="K40" s="81"/>
      <c r="L40" s="37">
        <v>1.4900000000000002</v>
      </c>
      <c r="M40" s="37">
        <v>5.2150000000000002E-2</v>
      </c>
      <c r="N40" s="194">
        <v>0</v>
      </c>
      <c r="O40" s="81"/>
      <c r="P40" s="290"/>
      <c r="Q40" s="213"/>
      <c r="R40" s="295">
        <v>0</v>
      </c>
      <c r="S40" s="81">
        <v>50</v>
      </c>
      <c r="T40" s="81">
        <v>1</v>
      </c>
      <c r="U40" s="81">
        <v>0</v>
      </c>
      <c r="V40" s="81">
        <v>6</v>
      </c>
      <c r="Y40" s="81">
        <v>0</v>
      </c>
      <c r="Z40" s="232"/>
    </row>
    <row r="41" spans="3:29">
      <c r="E41" s="239" t="s">
        <v>1274</v>
      </c>
      <c r="H41" s="83">
        <v>2050</v>
      </c>
      <c r="I41" s="83"/>
      <c r="J41" s="81">
        <f>'Biomass boiler, automatic'!$L$42*HLOOKUP(G38,$K$1:$M$2,2,FALSE)</f>
        <v>0.76</v>
      </c>
      <c r="K41" s="81"/>
      <c r="L41" s="37">
        <v>1.4900000000000002</v>
      </c>
      <c r="M41" s="37">
        <v>5.96E-2</v>
      </c>
      <c r="N41" s="194">
        <v>0</v>
      </c>
      <c r="O41" s="81"/>
      <c r="P41" s="290"/>
      <c r="Q41" s="213"/>
      <c r="R41" s="295">
        <v>0</v>
      </c>
      <c r="S41" s="81">
        <v>40</v>
      </c>
      <c r="T41" s="81">
        <v>0</v>
      </c>
      <c r="U41" s="81">
        <v>0</v>
      </c>
      <c r="V41" s="81">
        <v>4</v>
      </c>
      <c r="Y41" s="81">
        <v>0</v>
      </c>
      <c r="Z41" s="232"/>
    </row>
    <row r="42" spans="3:29">
      <c r="C42" s="223" t="str">
        <f>"IND"&amp;RIGHT(G42,4)&amp;RIGHT(F42,3)&amp;"N"&amp;RIGHT(D42,1)</f>
        <v>INDUDRHWCHN1</v>
      </c>
      <c r="D42" s="278" t="str">
        <f>"Industrial heating technology "&amp;$AD$4&amp;" "&amp;RIGHT(G42,2)&amp;" - Wood Chips boiler, Pellets - new 1"</f>
        <v>Industrial heating technology Public Service RH - Wood Chips boiler, Pellets - new 1</v>
      </c>
      <c r="E42" s="239" t="s">
        <v>1274</v>
      </c>
      <c r="F42" s="239" t="s">
        <v>499</v>
      </c>
      <c r="G42" s="177" t="str">
        <f>AC8</f>
        <v>IUDRH</v>
      </c>
      <c r="H42" s="81">
        <v>2011</v>
      </c>
      <c r="I42" s="81">
        <v>2011</v>
      </c>
      <c r="J42" s="206">
        <f>'DHB Wood-Chips'!$L$12*HLOOKUP(G42,$K$1:$M$2,2,FALSE)</f>
        <v>1.08</v>
      </c>
      <c r="K42" s="81">
        <f>'DHB Wood-Chips'!N12</f>
        <v>20</v>
      </c>
      <c r="L42" s="37">
        <f>'DHB Wood-Chips'!O12/1000</f>
        <v>5.9600000000000009</v>
      </c>
      <c r="M42" s="37">
        <f>'DHB Wood-Chips'!P12/1000</f>
        <v>5.5875000000000005E-3</v>
      </c>
      <c r="N42" s="272">
        <f>'DHB Wood-Chips'!Q12</f>
        <v>5.5875000000000004</v>
      </c>
      <c r="O42" s="82">
        <v>3.1536000000000002E-2</v>
      </c>
      <c r="P42" s="290">
        <v>0.5</v>
      </c>
      <c r="Q42" s="213"/>
      <c r="R42" s="295">
        <f>'DHB Wood-Chips'!T12</f>
        <v>1.9</v>
      </c>
      <c r="S42" s="81">
        <f>'DHB Wood-Chips'!U12</f>
        <v>81</v>
      </c>
      <c r="T42" s="81">
        <f>'DHB Wood-Chips'!V12</f>
        <v>6.1</v>
      </c>
      <c r="U42" s="81">
        <f>'DHB Wood-Chips'!W12</f>
        <v>0.8</v>
      </c>
      <c r="V42" s="81">
        <f>'DHB Wood-Chips'!X12</f>
        <v>0</v>
      </c>
      <c r="Y42" s="81"/>
      <c r="Z42" s="232"/>
    </row>
    <row r="43" spans="3:29">
      <c r="E43" s="239" t="s">
        <v>1274</v>
      </c>
      <c r="H43" s="83">
        <f>'DHB Wood-Chips'!J13</f>
        <v>2020</v>
      </c>
      <c r="I43" s="83"/>
      <c r="J43" s="206">
        <f>'DHB Wood-Chips'!$L$13*HLOOKUP(G42,$K$1:$M$2,2,FALSE)</f>
        <v>1.08</v>
      </c>
      <c r="K43" s="81"/>
      <c r="L43" s="37">
        <f>'DHB Wood-Chips'!O13/1000</f>
        <v>5.9600000000000009</v>
      </c>
      <c r="M43" s="37">
        <f>'DHB Wood-Chips'!P13/1000</f>
        <v>5.5875000000000005E-3</v>
      </c>
      <c r="N43" s="272">
        <f>'DHB Wood-Chips'!Q13</f>
        <v>5.5875000000000004</v>
      </c>
      <c r="O43" s="81"/>
      <c r="P43" s="290"/>
      <c r="Q43" s="213"/>
      <c r="R43" s="295">
        <f>'DHB Wood-Chips'!T13</f>
        <v>1.9</v>
      </c>
      <c r="S43" s="81">
        <f>'DHB Wood-Chips'!U13</f>
        <v>81</v>
      </c>
      <c r="T43" s="81">
        <f>'DHB Wood-Chips'!V13</f>
        <v>6.1</v>
      </c>
      <c r="U43" s="81">
        <f>'DHB Wood-Chips'!W13</f>
        <v>0.8</v>
      </c>
      <c r="V43" s="81">
        <f>'DHB Wood-Chips'!X13</f>
        <v>0</v>
      </c>
      <c r="Y43" s="81"/>
      <c r="Z43" s="232"/>
    </row>
    <row r="44" spans="3:29">
      <c r="E44" s="239" t="s">
        <v>1274</v>
      </c>
      <c r="H44" s="83">
        <f>'DHB Wood-Chips'!J14</f>
        <v>2030</v>
      </c>
      <c r="I44" s="83"/>
      <c r="J44" s="206">
        <f>'DHB Wood-Chips'!$L$14*HLOOKUP(G42,$K$1:$M$2,2,FALSE)</f>
        <v>1.08</v>
      </c>
      <c r="K44" s="81"/>
      <c r="L44" s="37">
        <f>'DHB Wood-Chips'!O14/1000</f>
        <v>5.9600000000000009</v>
      </c>
      <c r="M44" s="37">
        <f>'DHB Wood-Chips'!P14/1000</f>
        <v>5.5875000000000005E-3</v>
      </c>
      <c r="N44" s="272">
        <f>'DHB Wood-Chips'!Q14</f>
        <v>5.5875000000000004</v>
      </c>
      <c r="O44" s="81"/>
      <c r="P44" s="290"/>
      <c r="Q44" s="213"/>
      <c r="R44" s="295">
        <f>'DHB Wood-Chips'!T14</f>
        <v>1.9</v>
      </c>
      <c r="S44" s="81">
        <f>'DHB Wood-Chips'!U14</f>
        <v>81</v>
      </c>
      <c r="T44" s="81">
        <f>'DHB Wood-Chips'!V14</f>
        <v>6.1</v>
      </c>
      <c r="U44" s="81">
        <f>'DHB Wood-Chips'!W14</f>
        <v>0.8</v>
      </c>
      <c r="V44" s="81">
        <f>'DHB Wood-Chips'!X14</f>
        <v>0</v>
      </c>
      <c r="Y44" s="81"/>
      <c r="Z44" s="232"/>
    </row>
    <row r="45" spans="3:29">
      <c r="E45" s="239" t="s">
        <v>1274</v>
      </c>
      <c r="H45" s="83">
        <f>'DHB Wood-Chips'!J15</f>
        <v>2050</v>
      </c>
      <c r="I45" s="83"/>
      <c r="J45" s="206">
        <f>'DHB Wood-Chips'!$L$15*HLOOKUP(G42,$K$1:$M$2,2,FALSE)</f>
        <v>1.08</v>
      </c>
      <c r="K45" s="81"/>
      <c r="L45" s="37">
        <f>'DHB Wood-Chips'!O15/1000</f>
        <v>5.9600000000000009</v>
      </c>
      <c r="M45" s="37">
        <f>'DHB Wood-Chips'!P15/1000</f>
        <v>5.5875000000000005E-3</v>
      </c>
      <c r="N45" s="272">
        <f>'DHB Wood-Chips'!Q15</f>
        <v>5.5875000000000004</v>
      </c>
      <c r="O45" s="81"/>
      <c r="P45" s="290"/>
      <c r="Q45" s="213"/>
      <c r="R45" s="295">
        <f>'DHB Wood-Chips'!T15</f>
        <v>1.9</v>
      </c>
      <c r="S45" s="81">
        <f>'DHB Wood-Chips'!U15</f>
        <v>81</v>
      </c>
      <c r="T45" s="81">
        <f>'DHB Wood-Chips'!V15</f>
        <v>6.1</v>
      </c>
      <c r="U45" s="81">
        <f>'DHB Wood-Chips'!W15</f>
        <v>0.8</v>
      </c>
      <c r="V45" s="81">
        <f>'DHB Wood-Chips'!X15</f>
        <v>0</v>
      </c>
      <c r="Y45" s="81"/>
      <c r="Z45" s="232"/>
    </row>
    <row r="46" spans="3:29">
      <c r="C46" s="223" t="str">
        <f>"IND"&amp;RIGHT(G46,4)&amp;RIGHT(F46,3)&amp;"N"&amp;RIGHT(D46,1)</f>
        <v>INDUDHTWCHN1</v>
      </c>
      <c r="D46" s="278" t="str">
        <f>"Industrial heating technology "&amp;$AD$4&amp;" "&amp;RIGHT(G46,2)&amp;" - Wood Chips boiler, Pellets - new 1"</f>
        <v>Industrial heating technology Public Service HT - Wood Chips boiler, Pellets - new 1</v>
      </c>
      <c r="E46" s="239" t="s">
        <v>1274</v>
      </c>
      <c r="F46" s="239" t="s">
        <v>499</v>
      </c>
      <c r="G46" s="177" t="str">
        <f>AC6</f>
        <v>IUDHT</v>
      </c>
      <c r="H46" s="81">
        <v>2011</v>
      </c>
      <c r="I46" s="81">
        <v>2011</v>
      </c>
      <c r="J46" s="206">
        <f>'DHB Wood-Chips'!$L$12*HLOOKUP(G46,$K$1:$M$2,2,FALSE)</f>
        <v>0.75600000000000001</v>
      </c>
      <c r="K46" s="81">
        <f t="shared" ref="K46:P46" si="5">K42</f>
        <v>20</v>
      </c>
      <c r="L46" s="37">
        <f t="shared" si="5"/>
        <v>5.9600000000000009</v>
      </c>
      <c r="M46" s="37">
        <f t="shared" si="5"/>
        <v>5.5875000000000005E-3</v>
      </c>
      <c r="N46" s="272">
        <f t="shared" si="5"/>
        <v>5.5875000000000004</v>
      </c>
      <c r="O46" s="82">
        <f t="shared" si="5"/>
        <v>3.1536000000000002E-2</v>
      </c>
      <c r="P46" s="290">
        <f t="shared" si="5"/>
        <v>0.5</v>
      </c>
      <c r="Q46" s="213"/>
      <c r="R46" s="295">
        <f>R42</f>
        <v>1.9</v>
      </c>
      <c r="S46" s="295">
        <f t="shared" ref="S46:V46" si="6">S42</f>
        <v>81</v>
      </c>
      <c r="T46" s="295">
        <f t="shared" si="6"/>
        <v>6.1</v>
      </c>
      <c r="U46" s="295">
        <f t="shared" si="6"/>
        <v>0.8</v>
      </c>
      <c r="V46" s="295">
        <f t="shared" si="6"/>
        <v>0</v>
      </c>
      <c r="Y46" s="81"/>
      <c r="Z46" s="232"/>
    </row>
    <row r="47" spans="3:29">
      <c r="E47" s="239" t="s">
        <v>1274</v>
      </c>
      <c r="H47" s="83">
        <f t="shared" ref="H47:H49" si="7">H43</f>
        <v>2020</v>
      </c>
      <c r="I47" s="83"/>
      <c r="J47" s="206">
        <f>'DHB Wood-Chips'!$L$13*HLOOKUP(G46,$K$1:$M$2,2,FALSE)</f>
        <v>0.75600000000000001</v>
      </c>
      <c r="K47" s="81"/>
      <c r="L47" s="37">
        <f t="shared" ref="L47:N47" si="8">L43</f>
        <v>5.9600000000000009</v>
      </c>
      <c r="M47" s="37">
        <f t="shared" si="8"/>
        <v>5.5875000000000005E-3</v>
      </c>
      <c r="N47" s="272">
        <f t="shared" si="8"/>
        <v>5.5875000000000004</v>
      </c>
      <c r="O47" s="81"/>
      <c r="P47" s="290"/>
      <c r="Q47" s="213"/>
      <c r="R47" s="295">
        <f t="shared" ref="R47:V47" si="9">R43</f>
        <v>1.9</v>
      </c>
      <c r="S47" s="295">
        <f t="shared" si="9"/>
        <v>81</v>
      </c>
      <c r="T47" s="295">
        <f t="shared" si="9"/>
        <v>6.1</v>
      </c>
      <c r="U47" s="295">
        <f t="shared" si="9"/>
        <v>0.8</v>
      </c>
      <c r="V47" s="295">
        <f t="shared" si="9"/>
        <v>0</v>
      </c>
      <c r="Y47" s="81"/>
      <c r="Z47" s="232"/>
    </row>
    <row r="48" spans="3:29">
      <c r="E48" s="239" t="s">
        <v>1274</v>
      </c>
      <c r="H48" s="83">
        <f t="shared" si="7"/>
        <v>2030</v>
      </c>
      <c r="I48" s="83"/>
      <c r="J48" s="206">
        <f>'DHB Wood-Chips'!$L$14*HLOOKUP(G46,$K$1:$M$2,2,FALSE)</f>
        <v>0.75600000000000001</v>
      </c>
      <c r="K48" s="81"/>
      <c r="L48" s="37">
        <f t="shared" ref="L48:N48" si="10">L44</f>
        <v>5.9600000000000009</v>
      </c>
      <c r="M48" s="37">
        <f t="shared" si="10"/>
        <v>5.5875000000000005E-3</v>
      </c>
      <c r="N48" s="272">
        <f t="shared" si="10"/>
        <v>5.5875000000000004</v>
      </c>
      <c r="O48" s="81"/>
      <c r="P48" s="290"/>
      <c r="Q48" s="213"/>
      <c r="R48" s="295">
        <f t="shared" ref="R48:V48" si="11">R44</f>
        <v>1.9</v>
      </c>
      <c r="S48" s="295">
        <f t="shared" si="11"/>
        <v>81</v>
      </c>
      <c r="T48" s="295">
        <f t="shared" si="11"/>
        <v>6.1</v>
      </c>
      <c r="U48" s="295">
        <f t="shared" si="11"/>
        <v>0.8</v>
      </c>
      <c r="V48" s="295">
        <f t="shared" si="11"/>
        <v>0</v>
      </c>
      <c r="Y48" s="81"/>
      <c r="Z48" s="232"/>
    </row>
    <row r="49" spans="3:26">
      <c r="E49" s="239" t="s">
        <v>1274</v>
      </c>
      <c r="H49" s="83">
        <f t="shared" si="7"/>
        <v>2050</v>
      </c>
      <c r="I49" s="83"/>
      <c r="J49" s="206">
        <f>'DHB Wood-Chips'!$L$15*HLOOKUP(G46,$K$1:$M$2,2,FALSE)</f>
        <v>0.75600000000000001</v>
      </c>
      <c r="K49" s="81"/>
      <c r="L49" s="37">
        <f t="shared" ref="L49:N49" si="12">L45</f>
        <v>5.9600000000000009</v>
      </c>
      <c r="M49" s="37">
        <f t="shared" si="12"/>
        <v>5.5875000000000005E-3</v>
      </c>
      <c r="N49" s="272">
        <f t="shared" si="12"/>
        <v>5.5875000000000004</v>
      </c>
      <c r="O49" s="81"/>
      <c r="P49" s="290"/>
      <c r="Q49" s="213"/>
      <c r="R49" s="295">
        <f t="shared" ref="R49:V49" si="13">R45</f>
        <v>1.9</v>
      </c>
      <c r="S49" s="295">
        <f t="shared" si="13"/>
        <v>81</v>
      </c>
      <c r="T49" s="295">
        <f t="shared" si="13"/>
        <v>6.1</v>
      </c>
      <c r="U49" s="295">
        <f t="shared" si="13"/>
        <v>0.8</v>
      </c>
      <c r="V49" s="295">
        <f t="shared" si="13"/>
        <v>0</v>
      </c>
      <c r="Y49" s="81"/>
      <c r="Z49" s="232"/>
    </row>
    <row r="50" spans="3:26">
      <c r="C50" s="223" t="str">
        <f>"IND"&amp;RIGHT(G50,4)&amp;RIGHT(F50,3)&amp;"N"&amp;RIGHT(D50,1)</f>
        <v>INDUDMTWCHN1</v>
      </c>
      <c r="D50" s="278" t="str">
        <f>"Industrial heating technology "&amp;$AD$4&amp;" "&amp;RIGHT(G50,2)&amp;" - Wood Chips boiler, Pellets - new 1"</f>
        <v>Industrial heating technology Public Service MT - Wood Chips boiler, Pellets - new 1</v>
      </c>
      <c r="E50" s="239" t="s">
        <v>1274</v>
      </c>
      <c r="F50" s="239" t="s">
        <v>499</v>
      </c>
      <c r="G50" s="239" t="str">
        <f>AC7</f>
        <v>IUDMT</v>
      </c>
      <c r="H50" s="81">
        <v>2011</v>
      </c>
      <c r="I50" s="81">
        <v>2011</v>
      </c>
      <c r="J50" s="206">
        <f>'DHB Wood-Chips'!$L$12*HLOOKUP(G50,$K$1:$M$2,2,FALSE)</f>
        <v>0.8640000000000001</v>
      </c>
      <c r="K50" s="81">
        <v>20</v>
      </c>
      <c r="L50" s="37">
        <v>5.9600000000000009</v>
      </c>
      <c r="M50" s="37">
        <f>M46</f>
        <v>5.5875000000000005E-3</v>
      </c>
      <c r="N50" s="272">
        <f>N46</f>
        <v>5.5875000000000004</v>
      </c>
      <c r="O50" s="206">
        <f>O46</f>
        <v>3.1536000000000002E-2</v>
      </c>
      <c r="P50" s="290">
        <v>0.5</v>
      </c>
      <c r="Q50" s="213"/>
      <c r="R50" s="295">
        <v>1.9</v>
      </c>
      <c r="S50" s="81">
        <v>81</v>
      </c>
      <c r="T50" s="81">
        <v>6.1</v>
      </c>
      <c r="U50" s="81">
        <v>0.8</v>
      </c>
      <c r="V50" s="81">
        <v>0</v>
      </c>
      <c r="Y50" s="81"/>
      <c r="Z50" s="232"/>
    </row>
    <row r="51" spans="3:26">
      <c r="E51" s="239" t="s">
        <v>1274</v>
      </c>
      <c r="H51" s="83">
        <v>2020</v>
      </c>
      <c r="I51" s="83"/>
      <c r="J51" s="206">
        <f>'DHB Wood-Chips'!$L$13*HLOOKUP(G50,$K$1:$M$2,2,FALSE)</f>
        <v>0.8640000000000001</v>
      </c>
      <c r="K51" s="81"/>
      <c r="L51" s="37">
        <v>5.9600000000000009</v>
      </c>
      <c r="M51" s="37">
        <f t="shared" ref="M51:N53" si="14">M47</f>
        <v>5.5875000000000005E-3</v>
      </c>
      <c r="N51" s="272">
        <f t="shared" si="14"/>
        <v>5.5875000000000004</v>
      </c>
      <c r="O51" s="81"/>
      <c r="P51" s="290"/>
      <c r="Q51" s="213"/>
      <c r="R51" s="295">
        <v>1.9</v>
      </c>
      <c r="S51" s="81">
        <v>81</v>
      </c>
      <c r="T51" s="81">
        <v>6.1</v>
      </c>
      <c r="U51" s="81">
        <v>0.8</v>
      </c>
      <c r="V51" s="81">
        <v>0</v>
      </c>
      <c r="Y51" s="81"/>
      <c r="Z51" s="232"/>
    </row>
    <row r="52" spans="3:26">
      <c r="E52" s="239" t="s">
        <v>1274</v>
      </c>
      <c r="H52" s="83">
        <v>2030</v>
      </c>
      <c r="I52" s="83"/>
      <c r="J52" s="206">
        <f>'DHB Wood-Chips'!$L$14*HLOOKUP(G50,$K$1:$M$2,2,FALSE)</f>
        <v>0.8640000000000001</v>
      </c>
      <c r="K52" s="81"/>
      <c r="L52" s="37">
        <v>5.9600000000000009</v>
      </c>
      <c r="M52" s="37">
        <f t="shared" si="14"/>
        <v>5.5875000000000005E-3</v>
      </c>
      <c r="N52" s="272">
        <f t="shared" si="14"/>
        <v>5.5875000000000004</v>
      </c>
      <c r="O52" s="81"/>
      <c r="P52" s="290"/>
      <c r="Q52" s="213"/>
      <c r="R52" s="295">
        <v>1.9</v>
      </c>
      <c r="S52" s="81">
        <v>81</v>
      </c>
      <c r="T52" s="81">
        <v>6.1</v>
      </c>
      <c r="U52" s="81">
        <v>0.8</v>
      </c>
      <c r="V52" s="81">
        <v>0</v>
      </c>
      <c r="Y52" s="81"/>
      <c r="Z52" s="232"/>
    </row>
    <row r="53" spans="3:26">
      <c r="E53" s="239" t="s">
        <v>1274</v>
      </c>
      <c r="H53" s="83">
        <v>2050</v>
      </c>
      <c r="I53" s="83"/>
      <c r="J53" s="206">
        <f>'DHB Wood-Chips'!$L$15*HLOOKUP(G50,$K$1:$M$2,2,FALSE)</f>
        <v>0.8640000000000001</v>
      </c>
      <c r="K53" s="81"/>
      <c r="L53" s="37">
        <v>5.9600000000000009</v>
      </c>
      <c r="M53" s="37">
        <f t="shared" si="14"/>
        <v>5.5875000000000005E-3</v>
      </c>
      <c r="N53" s="272">
        <f t="shared" si="14"/>
        <v>5.5875000000000004</v>
      </c>
      <c r="O53" s="81"/>
      <c r="P53" s="290"/>
      <c r="Q53" s="213"/>
      <c r="R53" s="295">
        <v>1.9</v>
      </c>
      <c r="S53" s="81">
        <v>81</v>
      </c>
      <c r="T53" s="81">
        <v>6.1</v>
      </c>
      <c r="U53" s="81">
        <v>0.8</v>
      </c>
      <c r="V53" s="81">
        <v>0</v>
      </c>
      <c r="Y53" s="81"/>
      <c r="Z53" s="232"/>
    </row>
    <row r="54" spans="3:26">
      <c r="C54" s="223" t="str">
        <f>"IND"&amp;RIGHT(G54,4)&amp;RIGHT(F54,3)&amp;"N"&amp;RIGHT(D54,1)</f>
        <v>INDUDHTELCN1</v>
      </c>
      <c r="D54" s="278" t="str">
        <f>"Industrial heating technology "&amp;$AD$4&amp;" "&amp;RIGHT(G54,2)&amp;" - direct eletrical heating - new 1"</f>
        <v>Industrial heating technology Public Service HT - direct eletrical heating - new 1</v>
      </c>
      <c r="E54" s="239" t="s">
        <v>1274</v>
      </c>
      <c r="F54" s="176" t="s">
        <v>500</v>
      </c>
      <c r="G54" s="177" t="str">
        <f>AC6</f>
        <v>IUDHT</v>
      </c>
      <c r="H54" s="81">
        <v>2011</v>
      </c>
      <c r="I54" s="81">
        <v>2011</v>
      </c>
      <c r="J54" s="81">
        <f>'Electric heating'!$L$39*HLOOKUP(G54,$K$1:$M$2,2,FALSE)</f>
        <v>0.68599999999999994</v>
      </c>
      <c r="K54" s="81">
        <f>'Electric heating'!N39</f>
        <v>20</v>
      </c>
      <c r="L54" s="37">
        <f>('Electric heating'!O39)/1000</f>
        <v>1.125</v>
      </c>
      <c r="M54" s="37">
        <f>('Electric heating'!P39)/1000</f>
        <v>1.1000000000000001E-3</v>
      </c>
      <c r="N54" s="194">
        <f>'Electric heating'!Q39</f>
        <v>0.8</v>
      </c>
      <c r="O54" s="82">
        <v>3.1536000000000002E-2</v>
      </c>
      <c r="P54" s="290">
        <v>0.5</v>
      </c>
      <c r="Q54" s="213"/>
      <c r="R54" s="295">
        <f>'Electric heating'!T39</f>
        <v>0</v>
      </c>
      <c r="S54" s="81">
        <f>'Electric heating'!U39</f>
        <v>0</v>
      </c>
      <c r="T54" s="81">
        <f>'Electric heating'!V39</f>
        <v>0</v>
      </c>
      <c r="U54" s="81">
        <f>'Electric heating'!W39</f>
        <v>0</v>
      </c>
      <c r="V54" s="81">
        <f>'Electric heating'!X39</f>
        <v>0</v>
      </c>
      <c r="Y54" s="81">
        <f>'Electric heating'!M39</f>
        <v>0</v>
      </c>
      <c r="Z54" s="232"/>
    </row>
    <row r="55" spans="3:26">
      <c r="E55" s="239" t="s">
        <v>1274</v>
      </c>
      <c r="H55" s="83">
        <f>'Electric heating'!J13</f>
        <v>2020</v>
      </c>
      <c r="I55" s="83"/>
      <c r="J55" s="81">
        <f>'Electric heating'!$L$40*HLOOKUP(G54,$K$1:$M$2,2,FALSE)</f>
        <v>0.69299999999999995</v>
      </c>
      <c r="K55" s="81"/>
      <c r="L55" s="37">
        <f>('Electric heating'!O40)/1000</f>
        <v>1.125</v>
      </c>
      <c r="M55" s="37">
        <f>('Electric heating'!P40)/1000</f>
        <v>1.07E-3</v>
      </c>
      <c r="N55" s="194">
        <f>'Electric heating'!Q40</f>
        <v>0.9</v>
      </c>
      <c r="O55" s="81"/>
      <c r="P55" s="290"/>
      <c r="Q55" s="213"/>
      <c r="R55" s="295">
        <f>'Electric heating'!T40</f>
        <v>0</v>
      </c>
      <c r="S55" s="81">
        <f>'Electric heating'!U40</f>
        <v>0</v>
      </c>
      <c r="T55" s="81">
        <f>'Electric heating'!V40</f>
        <v>0</v>
      </c>
      <c r="U55" s="81">
        <f>'Electric heating'!W40</f>
        <v>0</v>
      </c>
      <c r="V55" s="81">
        <f>'Electric heating'!X40</f>
        <v>0</v>
      </c>
      <c r="Y55" s="81">
        <f>'Electric heating'!M40</f>
        <v>0</v>
      </c>
      <c r="Z55" s="232"/>
    </row>
    <row r="56" spans="3:26">
      <c r="E56" s="239" t="s">
        <v>1274</v>
      </c>
      <c r="H56" s="83">
        <f>'Electric heating'!J14</f>
        <v>2030</v>
      </c>
      <c r="I56" s="83"/>
      <c r="J56" s="81">
        <f>'Electric heating'!$L$41*HLOOKUP(G54,$K$1:$M$2,2,FALSE)</f>
        <v>0.69299999999999995</v>
      </c>
      <c r="K56" s="81"/>
      <c r="L56" s="37">
        <f>('Electric heating'!O41)/1000</f>
        <v>1.05</v>
      </c>
      <c r="M56" s="37">
        <f>('Electric heating'!P41)/1000</f>
        <v>1.0200000000000001E-3</v>
      </c>
      <c r="N56" s="194">
        <f>'Electric heating'!Q41</f>
        <v>1</v>
      </c>
      <c r="O56" s="81"/>
      <c r="P56" s="290"/>
      <c r="Q56" s="213"/>
      <c r="R56" s="295">
        <f>'Electric heating'!T41</f>
        <v>0</v>
      </c>
      <c r="S56" s="81">
        <f>'Electric heating'!U41</f>
        <v>0</v>
      </c>
      <c r="T56" s="81">
        <f>'Electric heating'!V41</f>
        <v>0</v>
      </c>
      <c r="U56" s="81">
        <f>'Electric heating'!W41</f>
        <v>0</v>
      </c>
      <c r="V56" s="81">
        <f>'Electric heating'!X41</f>
        <v>0</v>
      </c>
      <c r="Y56" s="81">
        <f>'Electric heating'!M41</f>
        <v>0</v>
      </c>
      <c r="Z56" s="232"/>
    </row>
    <row r="57" spans="3:26">
      <c r="E57" s="239" t="s">
        <v>1274</v>
      </c>
      <c r="H57" s="83">
        <f>'Electric heating'!J15</f>
        <v>2050</v>
      </c>
      <c r="I57" s="83"/>
      <c r="J57" s="81">
        <f>'Electric heating'!$L$42*HLOOKUP(G54,$K$1:$M$2,2,FALSE)</f>
        <v>0.69299999999999995</v>
      </c>
      <c r="K57" s="81"/>
      <c r="L57" s="37">
        <f>('Electric heating'!O42)/1000</f>
        <v>0.97499999999999998</v>
      </c>
      <c r="M57" s="37">
        <f>('Electric heating'!P42)/1000</f>
        <v>9.2000000000000003E-4</v>
      </c>
      <c r="N57" s="194">
        <f>'Electric heating'!Q42</f>
        <v>1</v>
      </c>
      <c r="O57" s="81"/>
      <c r="P57" s="290"/>
      <c r="Q57" s="213"/>
      <c r="R57" s="295">
        <f>'Electric heating'!T42</f>
        <v>0</v>
      </c>
      <c r="S57" s="81">
        <f>'Electric heating'!U42</f>
        <v>0</v>
      </c>
      <c r="T57" s="81">
        <f>'Electric heating'!V42</f>
        <v>0</v>
      </c>
      <c r="U57" s="81">
        <f>'Electric heating'!W42</f>
        <v>0</v>
      </c>
      <c r="V57" s="81">
        <f>'Electric heating'!X42</f>
        <v>0</v>
      </c>
      <c r="Y57" s="81">
        <f>'Electric heating'!M42</f>
        <v>0</v>
      </c>
      <c r="Z57" s="232"/>
    </row>
    <row r="58" spans="3:26">
      <c r="C58" s="223" t="str">
        <f>"IND"&amp;RIGHT(G58,4)&amp;RIGHT(F58,3)&amp;"N"&amp;RIGHT(D58,1)</f>
        <v>INDUDMTELCN1</v>
      </c>
      <c r="D58" s="278" t="str">
        <f>"Industrial heating technology "&amp;$AD$4&amp;" "&amp;RIGHT(G58,2)&amp;" - direct eletrical heating - new 1"</f>
        <v>Industrial heating technology Public Service MT - direct eletrical heating - new 1</v>
      </c>
      <c r="E58" s="239" t="s">
        <v>1274</v>
      </c>
      <c r="F58" s="176" t="s">
        <v>500</v>
      </c>
      <c r="G58" s="239" t="str">
        <f>AC7</f>
        <v>IUDMT</v>
      </c>
      <c r="H58" s="81">
        <v>2011</v>
      </c>
      <c r="I58" s="81">
        <v>2011</v>
      </c>
      <c r="J58" s="81">
        <f>'Electric heating'!$L$39*HLOOKUP(G58,$K$1:$M$2,2,FALSE)</f>
        <v>0.78400000000000003</v>
      </c>
      <c r="K58" s="81">
        <f>K54</f>
        <v>20</v>
      </c>
      <c r="L58" s="37">
        <f>L54</f>
        <v>1.125</v>
      </c>
      <c r="M58" s="37">
        <v>7.4499999999999997E-2</v>
      </c>
      <c r="N58" s="194">
        <f>N54</f>
        <v>0.8</v>
      </c>
      <c r="O58" s="81">
        <v>3.1536000000000002E-2</v>
      </c>
      <c r="P58" s="290">
        <v>0.5</v>
      </c>
      <c r="Q58" s="213"/>
      <c r="R58" s="295">
        <v>0</v>
      </c>
      <c r="S58" s="81">
        <v>0</v>
      </c>
      <c r="T58" s="81">
        <v>0</v>
      </c>
      <c r="U58" s="81">
        <v>0</v>
      </c>
      <c r="V58" s="81">
        <v>0</v>
      </c>
      <c r="Y58" s="81">
        <v>0</v>
      </c>
      <c r="Z58" s="232"/>
    </row>
    <row r="59" spans="3:26">
      <c r="E59" s="239" t="s">
        <v>1274</v>
      </c>
      <c r="H59" s="83">
        <v>2020</v>
      </c>
      <c r="I59" s="83"/>
      <c r="J59" s="81">
        <f>'Electric heating'!$L$40*HLOOKUP(G58,$K$1:$M$2,2,FALSE)</f>
        <v>0.79200000000000004</v>
      </c>
      <c r="K59" s="81"/>
      <c r="L59" s="37">
        <f t="shared" ref="L59:L65" si="15">L55</f>
        <v>1.125</v>
      </c>
      <c r="M59" s="37">
        <v>7.4499999999999997E-2</v>
      </c>
      <c r="N59" s="194">
        <f t="shared" ref="N59:N65" si="16">N55</f>
        <v>0.9</v>
      </c>
      <c r="O59" s="81"/>
      <c r="P59" s="290"/>
      <c r="Q59" s="213"/>
      <c r="R59" s="295">
        <v>0</v>
      </c>
      <c r="S59" s="81">
        <v>0</v>
      </c>
      <c r="T59" s="81">
        <v>0</v>
      </c>
      <c r="U59" s="81">
        <v>0</v>
      </c>
      <c r="V59" s="81">
        <v>0</v>
      </c>
      <c r="Y59" s="81">
        <v>0</v>
      </c>
      <c r="Z59" s="232"/>
    </row>
    <row r="60" spans="3:26">
      <c r="E60" s="239" t="s">
        <v>1274</v>
      </c>
      <c r="H60" s="83">
        <v>2030</v>
      </c>
      <c r="I60" s="83"/>
      <c r="J60" s="81">
        <f>'Electric heating'!$L$41*HLOOKUP(G58,$K$1:$M$2,2,FALSE)</f>
        <v>0.79200000000000004</v>
      </c>
      <c r="K60" s="81"/>
      <c r="L60" s="37">
        <f t="shared" si="15"/>
        <v>1.05</v>
      </c>
      <c r="M60" s="37">
        <v>7.4499999999999997E-2</v>
      </c>
      <c r="N60" s="194">
        <f t="shared" si="16"/>
        <v>1</v>
      </c>
      <c r="O60" s="81"/>
      <c r="P60" s="290"/>
      <c r="Q60" s="213"/>
      <c r="R60" s="295">
        <v>0</v>
      </c>
      <c r="S60" s="81">
        <v>0</v>
      </c>
      <c r="T60" s="81">
        <v>0</v>
      </c>
      <c r="U60" s="81">
        <v>0</v>
      </c>
      <c r="V60" s="81">
        <v>0</v>
      </c>
      <c r="Y60" s="81">
        <v>0</v>
      </c>
      <c r="Z60" s="232"/>
    </row>
    <row r="61" spans="3:26">
      <c r="E61" s="239" t="s">
        <v>1274</v>
      </c>
      <c r="H61" s="83">
        <v>2050</v>
      </c>
      <c r="I61" s="83"/>
      <c r="J61" s="81">
        <f>'Electric heating'!$L$42*HLOOKUP(G58,$K$1:$M$2,2,FALSE)</f>
        <v>0.79200000000000004</v>
      </c>
      <c r="K61" s="81"/>
      <c r="L61" s="37">
        <f t="shared" si="15"/>
        <v>0.97499999999999998</v>
      </c>
      <c r="M61" s="37">
        <v>7.4499999999999997E-2</v>
      </c>
      <c r="N61" s="194">
        <f t="shared" si="16"/>
        <v>1</v>
      </c>
      <c r="O61" s="81"/>
      <c r="P61" s="290"/>
      <c r="Q61" s="213"/>
      <c r="R61" s="295">
        <v>0</v>
      </c>
      <c r="S61" s="81">
        <v>0</v>
      </c>
      <c r="T61" s="81">
        <v>0</v>
      </c>
      <c r="U61" s="81">
        <v>0</v>
      </c>
      <c r="V61" s="81">
        <v>0</v>
      </c>
      <c r="Y61" s="81">
        <v>0</v>
      </c>
      <c r="Z61" s="232"/>
    </row>
    <row r="62" spans="3:26">
      <c r="C62" s="223" t="str">
        <f>"IND"&amp;RIGHT(G62,4)&amp;RIGHT(F62,3)&amp;"N"&amp;RIGHT(D62,1)</f>
        <v>INDUDRHELCN1</v>
      </c>
      <c r="D62" s="278" t="str">
        <f>"Industrial heating technology "&amp;$AD$4&amp;" "&amp;RIGHT(G62,2)&amp;" - direct eletrical heating - new 1"</f>
        <v>Industrial heating technology Public Service RH - direct eletrical heating - new 1</v>
      </c>
      <c r="E62" s="239" t="s">
        <v>1274</v>
      </c>
      <c r="F62" s="176" t="s">
        <v>500</v>
      </c>
      <c r="G62" s="239" t="str">
        <f>AC8</f>
        <v>IUDRH</v>
      </c>
      <c r="H62" s="81">
        <v>2011</v>
      </c>
      <c r="I62" s="81">
        <v>2011</v>
      </c>
      <c r="J62" s="81">
        <f>'Electric heating'!$L$39*HLOOKUP(G62,$K$1:$M$2,2,FALSE)</f>
        <v>0.98</v>
      </c>
      <c r="K62" s="81">
        <f>K54</f>
        <v>20</v>
      </c>
      <c r="L62" s="37">
        <f t="shared" si="15"/>
        <v>1.125</v>
      </c>
      <c r="M62" s="37">
        <v>7.4499999999999997E-2</v>
      </c>
      <c r="N62" s="194">
        <f t="shared" si="16"/>
        <v>0.8</v>
      </c>
      <c r="O62" s="81">
        <v>3.1536000000000002E-2</v>
      </c>
      <c r="P62" s="290">
        <v>0.5</v>
      </c>
      <c r="Q62" s="213"/>
      <c r="R62" s="295">
        <v>0</v>
      </c>
      <c r="S62" s="81">
        <v>0</v>
      </c>
      <c r="T62" s="81">
        <v>0</v>
      </c>
      <c r="U62" s="81">
        <v>0</v>
      </c>
      <c r="V62" s="81">
        <v>0</v>
      </c>
      <c r="Y62" s="81">
        <v>0</v>
      </c>
      <c r="Z62" s="232"/>
    </row>
    <row r="63" spans="3:26">
      <c r="E63" s="239" t="s">
        <v>1274</v>
      </c>
      <c r="H63" s="83">
        <v>2020</v>
      </c>
      <c r="I63" s="83"/>
      <c r="J63" s="81">
        <f>'Electric heating'!$L$40*HLOOKUP(G62,$K$1:$M$2,2,FALSE)</f>
        <v>0.99</v>
      </c>
      <c r="K63" s="81"/>
      <c r="L63" s="37">
        <f t="shared" si="15"/>
        <v>1.125</v>
      </c>
      <c r="M63" s="37">
        <v>7.4499999999999997E-2</v>
      </c>
      <c r="N63" s="194">
        <f t="shared" si="16"/>
        <v>0.9</v>
      </c>
      <c r="O63" s="81"/>
      <c r="P63" s="290"/>
      <c r="Q63" s="213"/>
      <c r="R63" s="295">
        <v>0</v>
      </c>
      <c r="S63" s="81">
        <v>0</v>
      </c>
      <c r="T63" s="81">
        <v>0</v>
      </c>
      <c r="U63" s="81">
        <v>0</v>
      </c>
      <c r="V63" s="81">
        <v>0</v>
      </c>
      <c r="Y63" s="81">
        <v>0</v>
      </c>
      <c r="Z63" s="232"/>
    </row>
    <row r="64" spans="3:26">
      <c r="E64" s="239" t="s">
        <v>1274</v>
      </c>
      <c r="H64" s="83">
        <v>2030</v>
      </c>
      <c r="I64" s="83"/>
      <c r="J64" s="81">
        <f>'Electric heating'!$L$41*HLOOKUP(G62,$K$1:$M$2,2,FALSE)</f>
        <v>0.99</v>
      </c>
      <c r="K64" s="81"/>
      <c r="L64" s="37">
        <f t="shared" si="15"/>
        <v>1.05</v>
      </c>
      <c r="M64" s="37">
        <v>7.4499999999999997E-2</v>
      </c>
      <c r="N64" s="194">
        <f t="shared" si="16"/>
        <v>1</v>
      </c>
      <c r="O64" s="81"/>
      <c r="P64" s="290"/>
      <c r="Q64" s="213"/>
      <c r="R64" s="295">
        <v>0</v>
      </c>
      <c r="S64" s="81">
        <v>0</v>
      </c>
      <c r="T64" s="81">
        <v>0</v>
      </c>
      <c r="U64" s="81">
        <v>0</v>
      </c>
      <c r="V64" s="81">
        <v>0</v>
      </c>
      <c r="Y64" s="81">
        <v>0</v>
      </c>
      <c r="Z64" s="232"/>
    </row>
    <row r="65" spans="1:26">
      <c r="E65" s="239" t="s">
        <v>1274</v>
      </c>
      <c r="H65" s="83">
        <v>2050</v>
      </c>
      <c r="I65" s="83"/>
      <c r="J65" s="81">
        <f>'Electric heating'!$L$42*HLOOKUP(G62,$K$1:$M$2,2,FALSE)</f>
        <v>0.99</v>
      </c>
      <c r="K65" s="81"/>
      <c r="L65" s="37">
        <f t="shared" si="15"/>
        <v>0.97499999999999998</v>
      </c>
      <c r="M65" s="37">
        <v>7.4499999999999997E-2</v>
      </c>
      <c r="N65" s="194">
        <f t="shared" si="16"/>
        <v>1</v>
      </c>
      <c r="O65" s="81"/>
      <c r="P65" s="290"/>
      <c r="Q65" s="213"/>
      <c r="R65" s="295">
        <v>0</v>
      </c>
      <c r="S65" s="81">
        <v>0</v>
      </c>
      <c r="T65" s="81">
        <v>0</v>
      </c>
      <c r="U65" s="81">
        <v>0</v>
      </c>
      <c r="V65" s="81">
        <v>0</v>
      </c>
      <c r="Y65" s="81">
        <v>0</v>
      </c>
      <c r="Z65" s="232"/>
    </row>
    <row r="66" spans="1:26">
      <c r="C66" s="223" t="str">
        <f>"IND"&amp;RIGHT(G66,4)&amp;RIGHT(F66,3)&amp;"N"&amp;RIGHT(D66,1)</f>
        <v>INDUDRHELCN2</v>
      </c>
      <c r="D66" s="278" t="str">
        <f>"Industrial heating technology "&amp;$AD$4&amp;" "&amp;RIGHT(G66,2)&amp;" - Heat pump, air-to-air - new 2"</f>
        <v>Industrial heating technology Public Service RH - Heat pump, air-to-air - new 2</v>
      </c>
      <c r="E66" s="239" t="s">
        <v>1274</v>
      </c>
      <c r="F66" s="176" t="s">
        <v>500</v>
      </c>
      <c r="G66" s="177" t="str">
        <f>AC8</f>
        <v>IUDRH</v>
      </c>
      <c r="H66" s="81">
        <v>2011</v>
      </c>
      <c r="I66" s="81">
        <v>2011</v>
      </c>
      <c r="J66" s="232"/>
      <c r="K66" s="186">
        <f>'Heat pump, air-to-air'!N12</f>
        <v>20</v>
      </c>
      <c r="L66" s="237">
        <f>(('Heat pump, air-to-air'!O12)/1000)</f>
        <v>4.0230000000000006</v>
      </c>
      <c r="M66" s="37">
        <f>('Heat pump, air-to-air'!P12)/1000</f>
        <v>6.2580000000000011E-2</v>
      </c>
      <c r="N66" s="217">
        <f>'Heat pump, air-to-air'!Q12</f>
        <v>0</v>
      </c>
      <c r="O66" s="204">
        <v>3.1536000000000002E-2</v>
      </c>
      <c r="P66" s="290">
        <v>0.5</v>
      </c>
      <c r="Q66" s="213"/>
      <c r="R66" s="296">
        <f>'Heat pump, air-to-air'!T12</f>
        <v>0</v>
      </c>
      <c r="S66" s="186">
        <f>'Heat pump, air-to-air'!U12</f>
        <v>0</v>
      </c>
      <c r="T66" s="186">
        <f>'Heat pump, air-to-air'!V12</f>
        <v>0</v>
      </c>
      <c r="U66" s="186">
        <f>'Heat pump, air-to-air'!W12</f>
        <v>0</v>
      </c>
      <c r="V66" s="186">
        <f>'Heat pump, air-to-air'!X12</f>
        <v>0</v>
      </c>
      <c r="Y66" s="167">
        <f>'Heat pump, air-to-air'!M39</f>
        <v>0</v>
      </c>
      <c r="Z66" s="235">
        <f>'Heat pump, air-to-air'!L12</f>
        <v>3</v>
      </c>
    </row>
    <row r="67" spans="1:26">
      <c r="E67" s="239" t="s">
        <v>1274</v>
      </c>
      <c r="H67" s="83">
        <f>'Heat pump, air-to-air'!J13</f>
        <v>2020</v>
      </c>
      <c r="I67" s="83"/>
      <c r="J67" s="232"/>
      <c r="K67" s="186"/>
      <c r="L67" s="237">
        <f>(('Heat pump, air-to-air'!O13)/1000)</f>
        <v>3.8740000000000001</v>
      </c>
      <c r="M67" s="37">
        <f>('Heat pump, air-to-air'!P13)/1000</f>
        <v>6.2580000000000011E-2</v>
      </c>
      <c r="N67" s="217">
        <f>'Heat pump, air-to-air'!Q13</f>
        <v>0</v>
      </c>
      <c r="O67" s="186"/>
      <c r="P67" s="290"/>
      <c r="Q67" s="213"/>
      <c r="R67" s="296">
        <f>'Heat pump, air-to-air'!T13</f>
        <v>0</v>
      </c>
      <c r="S67" s="186">
        <f>'Heat pump, air-to-air'!U13</f>
        <v>0</v>
      </c>
      <c r="T67" s="186">
        <f>'Heat pump, air-to-air'!V13</f>
        <v>0</v>
      </c>
      <c r="U67" s="186">
        <f>'Heat pump, air-to-air'!W13</f>
        <v>0</v>
      </c>
      <c r="V67" s="186">
        <f>'Heat pump, air-to-air'!X13</f>
        <v>0</v>
      </c>
      <c r="Y67" s="167">
        <f>'Heat pump, air-to-air'!M40</f>
        <v>0</v>
      </c>
      <c r="Z67" s="235">
        <f>'Heat pump, air-to-air'!L13</f>
        <v>3.2</v>
      </c>
    </row>
    <row r="68" spans="1:26">
      <c r="E68" s="239" t="s">
        <v>1274</v>
      </c>
      <c r="H68" s="83">
        <f>'Heat pump, air-to-air'!J14</f>
        <v>2030</v>
      </c>
      <c r="I68" s="83"/>
      <c r="J68" s="232"/>
      <c r="K68" s="186"/>
      <c r="L68" s="237">
        <f>(('Heat pump, air-to-air'!O14)/1000)</f>
        <v>3.5760000000000001</v>
      </c>
      <c r="M68" s="37">
        <f>('Heat pump, air-to-air'!P14)/1000</f>
        <v>6.2580000000000011E-2</v>
      </c>
      <c r="N68" s="217">
        <f>'Heat pump, air-to-air'!Q14</f>
        <v>0</v>
      </c>
      <c r="O68" s="186"/>
      <c r="P68" s="290"/>
      <c r="Q68" s="213"/>
      <c r="R68" s="296">
        <f>'Heat pump, air-to-air'!T14</f>
        <v>0</v>
      </c>
      <c r="S68" s="186">
        <f>'Heat pump, air-to-air'!U14</f>
        <v>0</v>
      </c>
      <c r="T68" s="186">
        <f>'Heat pump, air-to-air'!V14</f>
        <v>0</v>
      </c>
      <c r="U68" s="186">
        <f>'Heat pump, air-to-air'!W14</f>
        <v>0</v>
      </c>
      <c r="V68" s="186">
        <f>'Heat pump, air-to-air'!X14</f>
        <v>0</v>
      </c>
      <c r="Y68" s="167">
        <f>'Heat pump, air-to-air'!M41</f>
        <v>0</v>
      </c>
      <c r="Z68" s="235">
        <f>'Heat pump, air-to-air'!L14</f>
        <v>3.7</v>
      </c>
    </row>
    <row r="69" spans="1:26">
      <c r="E69" s="239" t="s">
        <v>1274</v>
      </c>
      <c r="H69" s="81">
        <v>2050</v>
      </c>
      <c r="I69" s="81"/>
      <c r="J69" s="232"/>
      <c r="K69" s="186"/>
      <c r="L69" s="237">
        <f>(('Heat pump, air-to-air'!O15)/1000)</f>
        <v>3.4269999999999996</v>
      </c>
      <c r="M69" s="37">
        <f>('Heat pump, air-to-air'!P15)/1000</f>
        <v>6.2580000000000011E-2</v>
      </c>
      <c r="N69" s="217">
        <f>'Heat pump, air-to-air'!Q15</f>
        <v>0</v>
      </c>
      <c r="O69" s="186"/>
      <c r="P69" s="290"/>
      <c r="Q69" s="213"/>
      <c r="R69" s="296">
        <f>'Heat pump, air-to-air'!T15</f>
        <v>0</v>
      </c>
      <c r="S69" s="186">
        <f>'Heat pump, air-to-air'!U15</f>
        <v>0</v>
      </c>
      <c r="T69" s="186">
        <f>'Heat pump, air-to-air'!V15</f>
        <v>0</v>
      </c>
      <c r="U69" s="186">
        <f>'Heat pump, air-to-air'!W15</f>
        <v>0</v>
      </c>
      <c r="V69" s="186">
        <f>'Heat pump, air-to-air'!X15</f>
        <v>0</v>
      </c>
      <c r="Y69" s="167">
        <f>'Heat pump, air-to-air'!M42</f>
        <v>0</v>
      </c>
      <c r="Z69" s="235">
        <f>'Heat pump, air-to-air'!L15</f>
        <v>4</v>
      </c>
    </row>
    <row r="70" spans="1:26">
      <c r="C70" s="223" t="str">
        <f>"IND"&amp;RIGHT(G70,4)&amp;RIGHT(F70,3)&amp;"N"&amp;RIGHT(D70,1)</f>
        <v>INDUDRHELCN3</v>
      </c>
      <c r="D70" s="278" t="str">
        <f>"Industrial heating technology "&amp;$AD$4&amp;" "&amp;RIGHT(G70,2)&amp;" - Heat pump, air-to-water - new 3"</f>
        <v>Industrial heating technology Public Service RH - Heat pump, air-to-water - new 3</v>
      </c>
      <c r="E70" s="239" t="s">
        <v>1274</v>
      </c>
      <c r="F70" s="176" t="s">
        <v>500</v>
      </c>
      <c r="G70" s="177" t="str">
        <f>AC8</f>
        <v>IUDRH</v>
      </c>
      <c r="H70" s="81">
        <v>2011</v>
      </c>
      <c r="I70" s="81">
        <v>2011</v>
      </c>
      <c r="J70" s="232"/>
      <c r="K70" s="81">
        <f>'Heat pump, air-to-water'!N39</f>
        <v>20</v>
      </c>
      <c r="L70" s="237">
        <f>(('Heat pump, air-to-water'!O39)/1000)</f>
        <v>7.45</v>
      </c>
      <c r="M70" s="37">
        <f>('Heat pump, air-to-water'!P39)/1000</f>
        <v>7.45E-3</v>
      </c>
      <c r="N70" s="194">
        <f>'Heat pump, air-to-water'!Q39</f>
        <v>0</v>
      </c>
      <c r="O70" s="82">
        <v>3.1536000000000002E-2</v>
      </c>
      <c r="P70" s="290">
        <v>0.5</v>
      </c>
      <c r="Q70" s="213"/>
      <c r="R70" s="295">
        <f>'Heat pump, air-to-water'!T39</f>
        <v>0</v>
      </c>
      <c r="S70" s="81">
        <f>'Heat pump, air-to-water'!U39</f>
        <v>0</v>
      </c>
      <c r="T70" s="81">
        <f>'Heat pump, air-to-water'!V39</f>
        <v>0</v>
      </c>
      <c r="U70" s="81">
        <f>'Heat pump, air-to-water'!W39</f>
        <v>0</v>
      </c>
      <c r="V70" s="81">
        <f>'Heat pump, air-to-water'!X39</f>
        <v>0</v>
      </c>
      <c r="Y70" s="81">
        <f>'Heat pump, air-to-water'!M39</f>
        <v>0</v>
      </c>
      <c r="Z70" s="235">
        <f>'Heat pump, air-to-water'!L39</f>
        <v>3</v>
      </c>
    </row>
    <row r="71" spans="1:26">
      <c r="E71" s="239" t="s">
        <v>1274</v>
      </c>
      <c r="H71" s="83">
        <f>'Heat pump, air-to-water'!J13</f>
        <v>2020</v>
      </c>
      <c r="I71" s="83"/>
      <c r="J71" s="232"/>
      <c r="K71" s="81"/>
      <c r="L71" s="237">
        <f>(('Heat pump, air-to-water'!O40)/1000)</f>
        <v>7.45</v>
      </c>
      <c r="M71" s="37">
        <f>('Heat pump, air-to-water'!P40)/1000</f>
        <v>7.45E-3</v>
      </c>
      <c r="N71" s="194">
        <f>'Heat pump, air-to-water'!Q40</f>
        <v>0</v>
      </c>
      <c r="O71" s="81"/>
      <c r="P71" s="290"/>
      <c r="Q71" s="213"/>
      <c r="R71" s="295">
        <f>'Heat pump, air-to-water'!T40</f>
        <v>0</v>
      </c>
      <c r="S71" s="81">
        <f>'Heat pump, air-to-water'!U40</f>
        <v>0</v>
      </c>
      <c r="T71" s="81">
        <f>'Heat pump, air-to-water'!V40</f>
        <v>0</v>
      </c>
      <c r="U71" s="81">
        <f>'Heat pump, air-to-water'!W40</f>
        <v>0</v>
      </c>
      <c r="V71" s="81">
        <f>'Heat pump, air-to-water'!X40</f>
        <v>0</v>
      </c>
      <c r="Y71" s="81">
        <f>'Heat pump, air-to-water'!M40</f>
        <v>0</v>
      </c>
      <c r="Z71" s="235">
        <f>'Heat pump, air-to-water'!L40</f>
        <v>3.3</v>
      </c>
    </row>
    <row r="72" spans="1:26">
      <c r="E72" s="239" t="s">
        <v>1274</v>
      </c>
      <c r="H72" s="83">
        <f>'Heat pump, air-to-water'!J14</f>
        <v>2030</v>
      </c>
      <c r="I72" s="83"/>
      <c r="J72" s="232"/>
      <c r="K72" s="81"/>
      <c r="L72" s="237">
        <f>(('Heat pump, air-to-water'!O41)/1000)</f>
        <v>6.7050000000000001</v>
      </c>
      <c r="M72" s="37">
        <f>('Heat pump, air-to-water'!P41)/1000</f>
        <v>7.45E-3</v>
      </c>
      <c r="N72" s="194">
        <f>'Heat pump, air-to-water'!Q41</f>
        <v>0</v>
      </c>
      <c r="O72" s="81"/>
      <c r="P72" s="290"/>
      <c r="Q72" s="213"/>
      <c r="R72" s="295">
        <f>'Heat pump, air-to-water'!T41</f>
        <v>0</v>
      </c>
      <c r="S72" s="81">
        <f>'Heat pump, air-to-water'!U41</f>
        <v>0</v>
      </c>
      <c r="T72" s="81">
        <f>'Heat pump, air-to-water'!V41</f>
        <v>0</v>
      </c>
      <c r="U72" s="81">
        <f>'Heat pump, air-to-water'!W41</f>
        <v>0</v>
      </c>
      <c r="V72" s="81">
        <f>'Heat pump, air-to-water'!X41</f>
        <v>0</v>
      </c>
      <c r="Y72" s="81">
        <f>'Heat pump, air-to-water'!M41</f>
        <v>0</v>
      </c>
      <c r="Z72" s="235">
        <f>'Heat pump, air-to-water'!L41</f>
        <v>3.7</v>
      </c>
    </row>
    <row r="73" spans="1:26">
      <c r="E73" s="239" t="s">
        <v>1274</v>
      </c>
      <c r="H73" s="83">
        <f>'Heat pump, air-to-water'!J15</f>
        <v>2050</v>
      </c>
      <c r="I73" s="83"/>
      <c r="J73" s="232"/>
      <c r="K73" s="81"/>
      <c r="L73" s="237">
        <f>(('Heat pump, air-to-water'!O42)/1000)</f>
        <v>6.7050000000000001</v>
      </c>
      <c r="M73" s="37">
        <f>('Heat pump, air-to-water'!P42)/1000</f>
        <v>7.45E-3</v>
      </c>
      <c r="N73" s="194">
        <f>'Heat pump, air-to-water'!Q42</f>
        <v>0</v>
      </c>
      <c r="O73" s="81"/>
      <c r="P73" s="290"/>
      <c r="Q73" s="213"/>
      <c r="R73" s="295">
        <f>'Heat pump, air-to-water'!T42</f>
        <v>0</v>
      </c>
      <c r="S73" s="81">
        <f>'Heat pump, air-to-water'!U42</f>
        <v>0</v>
      </c>
      <c r="T73" s="81">
        <f>'Heat pump, air-to-water'!V42</f>
        <v>0</v>
      </c>
      <c r="U73" s="81">
        <f>'Heat pump, air-to-water'!W42</f>
        <v>0</v>
      </c>
      <c r="V73" s="81">
        <f>'Heat pump, air-to-water'!X42</f>
        <v>0</v>
      </c>
      <c r="Y73" s="81">
        <f>'Heat pump, air-to-water'!M42</f>
        <v>0</v>
      </c>
      <c r="Z73" s="235">
        <f>'Heat pump, air-to-water'!L42</f>
        <v>4</v>
      </c>
    </row>
    <row r="74" spans="1:26">
      <c r="C74" s="223" t="str">
        <f>"IND"&amp;RIGHT(G74,4)&amp;RIGHT(F74,3)&amp;"N"&amp;RIGHT(D74,1)</f>
        <v>INDUDRHELCN4</v>
      </c>
      <c r="D74" s="278" t="str">
        <f>"Industrial heating technology "&amp;$AD$4&amp;" "&amp;RIGHT(G74,2)&amp;" - Heat pump, brine-to-water - new 4"</f>
        <v>Industrial heating technology Public Service RH - Heat pump, brine-to-water - new 4</v>
      </c>
      <c r="E74" s="239" t="s">
        <v>1274</v>
      </c>
      <c r="F74" s="176" t="s">
        <v>500</v>
      </c>
      <c r="G74" s="177" t="str">
        <f>AC8</f>
        <v>IUDRH</v>
      </c>
      <c r="H74" s="81">
        <v>2011</v>
      </c>
      <c r="I74" s="81">
        <v>2011</v>
      </c>
      <c r="J74" s="232"/>
      <c r="K74" s="236">
        <v>30</v>
      </c>
      <c r="L74" s="237">
        <f>(('Heat pump, ground source'!O39)/1000)</f>
        <v>8.1950000000000003</v>
      </c>
      <c r="M74" s="37">
        <f>('Heat pump, ground source'!P39)/1000</f>
        <v>7.45E-3</v>
      </c>
      <c r="N74" s="194">
        <f>'Heat pump, ground source'!Q39</f>
        <v>0</v>
      </c>
      <c r="O74" s="82">
        <v>3.1536000000000002E-2</v>
      </c>
      <c r="P74" s="290">
        <v>0.5</v>
      </c>
      <c r="Q74" s="213"/>
      <c r="R74" s="295">
        <f>'Heat pump, ground source'!T39</f>
        <v>0</v>
      </c>
      <c r="S74" s="81">
        <f>'Heat pump, ground source'!U39</f>
        <v>0</v>
      </c>
      <c r="T74" s="81">
        <f>'Heat pump, ground source'!V39</f>
        <v>0</v>
      </c>
      <c r="U74" s="81">
        <f>'Heat pump, ground source'!W39</f>
        <v>0</v>
      </c>
      <c r="V74" s="81">
        <f>'Heat pump, ground source'!X39</f>
        <v>0</v>
      </c>
      <c r="Y74" s="81">
        <f>'Heat pump, ground source'!M39</f>
        <v>0</v>
      </c>
      <c r="Z74" s="235">
        <f>'Heat pump, ground source'!L39</f>
        <v>3.3</v>
      </c>
    </row>
    <row r="75" spans="1:26">
      <c r="E75" s="239" t="s">
        <v>1274</v>
      </c>
      <c r="H75" s="83">
        <f>'Heat pump, ground source'!J13</f>
        <v>2020</v>
      </c>
      <c r="I75" s="83"/>
      <c r="J75" s="232"/>
      <c r="K75" s="81"/>
      <c r="L75" s="237">
        <f>(('Heat pump, ground source'!O40)/1000)</f>
        <v>8.1950000000000003</v>
      </c>
      <c r="M75" s="37">
        <f>('Heat pump, ground source'!P40)/1000</f>
        <v>7.45E-3</v>
      </c>
      <c r="N75" s="194">
        <f>'Heat pump, ground source'!Q40</f>
        <v>0</v>
      </c>
      <c r="O75" s="81"/>
      <c r="P75" s="290"/>
      <c r="Q75" s="213"/>
      <c r="R75" s="295">
        <f>'Heat pump, ground source'!T40</f>
        <v>0</v>
      </c>
      <c r="S75" s="81">
        <f>'Heat pump, ground source'!U40</f>
        <v>0</v>
      </c>
      <c r="T75" s="81">
        <f>'Heat pump, ground source'!V40</f>
        <v>0</v>
      </c>
      <c r="U75" s="81">
        <f>'Heat pump, ground source'!W40</f>
        <v>0</v>
      </c>
      <c r="V75" s="81">
        <f>'Heat pump, ground source'!X40</f>
        <v>0</v>
      </c>
      <c r="Y75" s="81">
        <f>'Heat pump, ground source'!M40</f>
        <v>0</v>
      </c>
      <c r="Z75" s="235">
        <f>'Heat pump, ground source'!L40</f>
        <v>3.5</v>
      </c>
    </row>
    <row r="76" spans="1:26">
      <c r="E76" s="239" t="s">
        <v>1274</v>
      </c>
      <c r="H76" s="83">
        <f>'Heat pump, ground source'!J14</f>
        <v>2030</v>
      </c>
      <c r="I76" s="83"/>
      <c r="J76" s="232"/>
      <c r="K76" s="81"/>
      <c r="L76" s="237">
        <f>(('Heat pump, ground source'!O41)/1000)</f>
        <v>7.45</v>
      </c>
      <c r="M76" s="37">
        <f>('Heat pump, ground source'!P41)/1000</f>
        <v>7.45E-3</v>
      </c>
      <c r="N76" s="194">
        <f>'Heat pump, ground source'!Q41</f>
        <v>0</v>
      </c>
      <c r="O76" s="81"/>
      <c r="P76" s="290"/>
      <c r="Q76" s="213"/>
      <c r="R76" s="295">
        <f>'Heat pump, ground source'!T41</f>
        <v>0</v>
      </c>
      <c r="S76" s="81">
        <f>'Heat pump, ground source'!U41</f>
        <v>0</v>
      </c>
      <c r="T76" s="81">
        <f>'Heat pump, ground source'!V41</f>
        <v>0</v>
      </c>
      <c r="U76" s="81">
        <f>'Heat pump, ground source'!W41</f>
        <v>0</v>
      </c>
      <c r="V76" s="81">
        <f>'Heat pump, ground source'!X41</f>
        <v>0</v>
      </c>
      <c r="Y76" s="81">
        <f>'Heat pump, ground source'!M41</f>
        <v>0</v>
      </c>
      <c r="Z76" s="235">
        <f>'Heat pump, ground source'!L41</f>
        <v>4</v>
      </c>
    </row>
    <row r="77" spans="1:26" s="241" customFormat="1">
      <c r="A77" s="239"/>
      <c r="B77" s="239"/>
      <c r="C77" s="239"/>
      <c r="D77" s="239"/>
      <c r="E77" s="239" t="s">
        <v>1274</v>
      </c>
      <c r="F77" s="239"/>
      <c r="G77" s="239"/>
      <c r="H77" s="83">
        <f>'Heat pump, ground source'!J15</f>
        <v>2050</v>
      </c>
      <c r="I77" s="83"/>
      <c r="J77" s="232"/>
      <c r="K77" s="81"/>
      <c r="L77" s="237">
        <f>(('Heat pump, ground source'!O42)/1000)</f>
        <v>6.7050000000000001</v>
      </c>
      <c r="M77" s="37">
        <f>('Heat pump, ground source'!P42)/1000</f>
        <v>7.45E-3</v>
      </c>
      <c r="N77" s="194">
        <f>'Heat pump, ground source'!Q42</f>
        <v>0</v>
      </c>
      <c r="O77" s="81"/>
      <c r="P77" s="290"/>
      <c r="Q77" s="213"/>
      <c r="R77" s="295">
        <f>'Heat pump, ground source'!T42</f>
        <v>0</v>
      </c>
      <c r="S77" s="81">
        <f>'Heat pump, ground source'!U42</f>
        <v>0</v>
      </c>
      <c r="T77" s="81">
        <f>'Heat pump, ground source'!V42</f>
        <v>0</v>
      </c>
      <c r="U77" s="81">
        <f>'Heat pump, ground source'!W42</f>
        <v>0</v>
      </c>
      <c r="V77" s="81">
        <f>'Heat pump, ground source'!X42</f>
        <v>0</v>
      </c>
      <c r="W77" s="239"/>
      <c r="X77" s="239"/>
      <c r="Y77" s="81">
        <f>'Heat pump, ground source'!M42</f>
        <v>0</v>
      </c>
      <c r="Z77" s="235">
        <f>'Heat pump, ground source'!L42</f>
        <v>4.5</v>
      </c>
    </row>
    <row r="78" spans="1:26" s="241" customFormat="1">
      <c r="A78" s="239"/>
      <c r="B78" s="239"/>
      <c r="C78" s="223" t="str">
        <f>"IND"&amp;RIGHT(G78,4)&amp;RIGHT(F78,3)&amp;"N"&amp;RIGHT(D78,1)</f>
        <v>INDUDRHSOLN1</v>
      </c>
      <c r="D78" s="278" t="str">
        <f>"Industrial heating technology "&amp;$AD$4&amp;" "&amp;RIGHT(G78,2)&amp;" - solar - new 1"</f>
        <v>Industrial heating technology Public Service RH - solar - new 1</v>
      </c>
      <c r="E78" s="239" t="s">
        <v>1274</v>
      </c>
      <c r="F78" s="176" t="s">
        <v>501</v>
      </c>
      <c r="G78" s="177" t="str">
        <f>AC8</f>
        <v>IUDRH</v>
      </c>
      <c r="H78" s="81">
        <v>2011</v>
      </c>
      <c r="I78" s="81">
        <v>2011</v>
      </c>
      <c r="J78" s="81">
        <f>'Solar heating'!L40</f>
        <v>1</v>
      </c>
      <c r="K78" s="182">
        <f>'Solar heating'!N40</f>
        <v>20</v>
      </c>
      <c r="L78" s="238">
        <f>('Solar heating'!O40)/1000</f>
        <v>4.5714285714285712</v>
      </c>
      <c r="M78" s="37">
        <f>('Solar heating'!P40)/1000</f>
        <v>2.0700357142857142E-2</v>
      </c>
      <c r="N78" s="84">
        <f>'Solar heating'!Q40</f>
        <v>0</v>
      </c>
      <c r="O78" s="82">
        <v>3.1536000000000002E-2</v>
      </c>
      <c r="P78" s="290">
        <v>0.09</v>
      </c>
      <c r="Q78" s="319"/>
      <c r="R78" s="295">
        <f>'Solar heating'!T40</f>
        <v>0</v>
      </c>
      <c r="S78" s="81">
        <f>'Solar heating'!U40</f>
        <v>0</v>
      </c>
      <c r="T78" s="81">
        <f>'Solar heating'!V40</f>
        <v>0</v>
      </c>
      <c r="U78" s="81">
        <f>'Solar heating'!W40</f>
        <v>0</v>
      </c>
      <c r="V78" s="81">
        <f>'Solar heating'!X40</f>
        <v>0</v>
      </c>
      <c r="W78" s="239"/>
      <c r="X78" s="239"/>
      <c r="Y78" s="81">
        <f>'Solar heating'!M40</f>
        <v>0</v>
      </c>
      <c r="Z78" s="232"/>
    </row>
    <row r="79" spans="1:26" s="241" customFormat="1">
      <c r="A79" s="239"/>
      <c r="B79" s="239"/>
      <c r="C79" s="239"/>
      <c r="D79" s="239"/>
      <c r="E79" s="239" t="s">
        <v>1274</v>
      </c>
      <c r="F79" s="239"/>
      <c r="G79" s="239"/>
      <c r="H79" s="83">
        <f>'Solar heating'!J13</f>
        <v>2020</v>
      </c>
      <c r="I79" s="83"/>
      <c r="J79" s="81"/>
      <c r="K79" s="182">
        <f>'Solar heating'!N41</f>
        <v>25</v>
      </c>
      <c r="L79" s="37">
        <f>('Solar heating'!O41)/1000</f>
        <v>4.2857142857142865</v>
      </c>
      <c r="M79" s="37">
        <f>('Solar heating'!P41)/1000</f>
        <v>2.0660433158225668E-2</v>
      </c>
      <c r="N79" s="84">
        <f>'Solar heating'!Q41</f>
        <v>0</v>
      </c>
      <c r="O79" s="81"/>
      <c r="P79" s="290"/>
      <c r="Q79" s="213"/>
      <c r="R79" s="295">
        <f>'Solar heating'!T41</f>
        <v>0</v>
      </c>
      <c r="S79" s="81">
        <f>'Solar heating'!U41</f>
        <v>0</v>
      </c>
      <c r="T79" s="81">
        <f>'Solar heating'!V41</f>
        <v>0</v>
      </c>
      <c r="U79" s="81">
        <f>'Solar heating'!W41</f>
        <v>0</v>
      </c>
      <c r="V79" s="81">
        <f>'Solar heating'!X41</f>
        <v>0</v>
      </c>
      <c r="W79" s="239"/>
      <c r="X79" s="239"/>
      <c r="Y79" s="81">
        <f>'Solar heating'!M41</f>
        <v>0</v>
      </c>
      <c r="Z79" s="232"/>
    </row>
    <row r="80" spans="1:26" s="241" customFormat="1">
      <c r="A80" s="239"/>
      <c r="B80" s="239"/>
      <c r="C80" s="239"/>
      <c r="D80" s="239"/>
      <c r="E80" s="239" t="s">
        <v>1274</v>
      </c>
      <c r="F80" s="239"/>
      <c r="G80" s="239"/>
      <c r="H80" s="83">
        <f>'Solar heating'!J14</f>
        <v>2030</v>
      </c>
      <c r="I80" s="83"/>
      <c r="J80" s="81"/>
      <c r="K80" s="182">
        <f>'Solar heating'!N42</f>
        <v>30</v>
      </c>
      <c r="L80" s="37">
        <f>('Solar heating'!O42)/1000</f>
        <v>3.9285714285714284</v>
      </c>
      <c r="M80" s="37">
        <f>('Solar heating'!P42)/1000</f>
        <v>2.328125E-2</v>
      </c>
      <c r="N80" s="84">
        <f>'Solar heating'!Q42</f>
        <v>0</v>
      </c>
      <c r="O80" s="81"/>
      <c r="P80" s="290"/>
      <c r="Q80" s="213"/>
      <c r="R80" s="295">
        <f>'Solar heating'!T42</f>
        <v>0</v>
      </c>
      <c r="S80" s="81">
        <f>'Solar heating'!U42</f>
        <v>0</v>
      </c>
      <c r="T80" s="81">
        <f>'Solar heating'!V42</f>
        <v>0</v>
      </c>
      <c r="U80" s="81">
        <f>'Solar heating'!W42</f>
        <v>0</v>
      </c>
      <c r="V80" s="81">
        <f>'Solar heating'!X42</f>
        <v>0</v>
      </c>
      <c r="W80" s="239"/>
      <c r="X80" s="239"/>
      <c r="Y80" s="81">
        <f>'Solar heating'!M42</f>
        <v>0</v>
      </c>
      <c r="Z80" s="232"/>
    </row>
    <row r="81" spans="1:26" s="241" customFormat="1">
      <c r="A81" s="239"/>
      <c r="B81" s="239"/>
      <c r="C81" s="239"/>
      <c r="D81" s="239"/>
      <c r="E81" s="239" t="s">
        <v>1274</v>
      </c>
      <c r="F81" s="239"/>
      <c r="G81" s="239"/>
      <c r="H81" s="83">
        <f>'Solar heating'!J15</f>
        <v>2050</v>
      </c>
      <c r="I81" s="83"/>
      <c r="J81" s="81"/>
      <c r="K81" s="182">
        <f>'Solar heating'!N43</f>
        <v>30</v>
      </c>
      <c r="L81" s="37">
        <f>('Solar heating'!O43)/1000</f>
        <v>3.5714285714285721</v>
      </c>
      <c r="M81" s="37">
        <f>('Solar heating'!P43)/1000</f>
        <v>2.1498571428571429E-2</v>
      </c>
      <c r="N81" s="84">
        <f>'Solar heating'!Q43</f>
        <v>0</v>
      </c>
      <c r="O81" s="81"/>
      <c r="P81" s="290"/>
      <c r="Q81" s="213"/>
      <c r="R81" s="295">
        <f>'Solar heating'!T43</f>
        <v>0</v>
      </c>
      <c r="S81" s="81">
        <f>'Solar heating'!U43</f>
        <v>0</v>
      </c>
      <c r="T81" s="81">
        <f>'Solar heating'!V43</f>
        <v>0</v>
      </c>
      <c r="U81" s="81">
        <f>'Solar heating'!W43</f>
        <v>0</v>
      </c>
      <c r="V81" s="81">
        <f>'Solar heating'!X43</f>
        <v>0</v>
      </c>
      <c r="W81" s="239"/>
      <c r="X81" s="239"/>
      <c r="Y81" s="81">
        <f>'Solar heating'!M43</f>
        <v>0</v>
      </c>
      <c r="Z81" s="232"/>
    </row>
    <row r="82" spans="1:26" s="241" customFormat="1">
      <c r="A82" s="239"/>
      <c r="B82" s="239"/>
      <c r="C82" s="223" t="str">
        <f>"IND"&amp;RIGHT(G82,4)&amp;"GAS"&amp;"N"&amp;RIGHT(D82,1)</f>
        <v>INDUDRHGASN2</v>
      </c>
      <c r="D82" s="278" t="str">
        <f>"Industrial heating technology "&amp;$AD$4&amp;" "&amp;RIGHT(G82,2)&amp;" - Heat pump,gas absorption, air-to-water - new 2"</f>
        <v>Industrial heating technology Public Service RH - Heat pump,gas absorption, air-to-water - new 2</v>
      </c>
      <c r="E82" s="239" t="s">
        <v>1274</v>
      </c>
      <c r="F82" s="176" t="s">
        <v>528</v>
      </c>
      <c r="G82" s="177" t="str">
        <f>AC8</f>
        <v>IUDRH</v>
      </c>
      <c r="H82" s="81">
        <v>2011</v>
      </c>
      <c r="I82" s="81">
        <v>2011</v>
      </c>
      <c r="J82" s="207">
        <f>'HP, gas absorption,air-to-water'!L39</f>
        <v>1.35</v>
      </c>
      <c r="K82" s="81">
        <f>'HP, gas absorption,air-to-water'!N39</f>
        <v>22</v>
      </c>
      <c r="L82" s="37">
        <f>('HP, gas absorption,air-to-water'!O39)/1000</f>
        <v>3.0477272727272724</v>
      </c>
      <c r="M82" s="37">
        <f>('HP, gas absorption,air-to-water'!P39)/1000</f>
        <v>2.2857954545454546E-2</v>
      </c>
      <c r="N82" s="84">
        <f>'HP, gas absorption,air-to-water'!Q39</f>
        <v>18</v>
      </c>
      <c r="O82" s="82">
        <v>3.1536000000000002E-2</v>
      </c>
      <c r="P82" s="290">
        <v>0.5</v>
      </c>
      <c r="Q82" s="213"/>
      <c r="R82" s="295">
        <f>'HP, gas absorption,air-to-water'!T39</f>
        <v>0</v>
      </c>
      <c r="S82" s="81">
        <f>'HP, gas absorption,air-to-water'!U39</f>
        <v>15</v>
      </c>
      <c r="T82" s="81">
        <f>'HP, gas absorption,air-to-water'!V39</f>
        <v>2</v>
      </c>
      <c r="U82" s="81">
        <f>'HP, gas absorption,air-to-water'!W39</f>
        <v>0</v>
      </c>
      <c r="V82" s="81">
        <f>'HP, gas absorption,air-to-water'!X39</f>
        <v>0</v>
      </c>
      <c r="W82" s="239"/>
      <c r="X82" s="239"/>
      <c r="Y82" s="81">
        <f>'HP, gas absorption,air-to-water'!M39</f>
        <v>0</v>
      </c>
      <c r="Z82" s="239"/>
    </row>
    <row r="83" spans="1:26">
      <c r="E83" s="239" t="s">
        <v>1274</v>
      </c>
      <c r="H83" s="83">
        <f>'HP, gas absorption,air-to-water'!J13</f>
        <v>2020</v>
      </c>
      <c r="I83" s="83"/>
      <c r="J83" s="207">
        <f>'HP, gas absorption,air-to-water'!L40</f>
        <v>1.45</v>
      </c>
      <c r="K83" s="81"/>
      <c r="L83" s="37">
        <f>('HP, gas absorption,air-to-water'!O40)/1000</f>
        <v>1.67625</v>
      </c>
      <c r="M83" s="37">
        <f>('HP, gas absorption,air-to-water'!P40)/1000</f>
        <v>1.2571875E-2</v>
      </c>
      <c r="N83" s="194">
        <f>'HP, gas absorption,air-to-water'!Q40</f>
        <v>18</v>
      </c>
      <c r="O83" s="81"/>
      <c r="P83" s="290"/>
      <c r="Q83" s="213"/>
      <c r="R83" s="295">
        <f>'HP, gas absorption,air-to-water'!T40</f>
        <v>0</v>
      </c>
      <c r="S83" s="81">
        <f>'HP, gas absorption,air-to-water'!U40</f>
        <v>10</v>
      </c>
      <c r="T83" s="81">
        <f>'HP, gas absorption,air-to-water'!V40</f>
        <v>1</v>
      </c>
      <c r="U83" s="81">
        <f>'HP, gas absorption,air-to-water'!W40</f>
        <v>0</v>
      </c>
      <c r="V83" s="81">
        <f>'HP, gas absorption,air-to-water'!X40</f>
        <v>0</v>
      </c>
      <c r="Y83" s="81">
        <f>'HP, gas absorption,air-to-water'!M40</f>
        <v>0</v>
      </c>
    </row>
    <row r="84" spans="1:26">
      <c r="E84" s="239" t="s">
        <v>1274</v>
      </c>
      <c r="H84" s="83">
        <f>'HP, gas absorption,air-to-water'!J14</f>
        <v>2030</v>
      </c>
      <c r="I84" s="83"/>
      <c r="J84" s="207">
        <f>'HP, gas absorption,air-to-water'!L41</f>
        <v>1.7</v>
      </c>
      <c r="K84" s="81"/>
      <c r="L84" s="37">
        <f>('HP, gas absorption,air-to-water'!O41)/1000</f>
        <v>1.5831249999999999</v>
      </c>
      <c r="M84" s="37">
        <f>('HP, gas absorption,air-to-water'!P41)/1000</f>
        <v>1.2571875E-2</v>
      </c>
      <c r="N84" s="194">
        <f>'HP, gas absorption,air-to-water'!Q41</f>
        <v>18</v>
      </c>
      <c r="O84" s="81"/>
      <c r="P84" s="290"/>
      <c r="Q84" s="213"/>
      <c r="R84" s="295">
        <f>'HP, gas absorption,air-to-water'!T41</f>
        <v>0</v>
      </c>
      <c r="S84" s="81">
        <f>'HP, gas absorption,air-to-water'!U41</f>
        <v>5</v>
      </c>
      <c r="T84" s="81">
        <f>'HP, gas absorption,air-to-water'!V41</f>
        <v>0.5</v>
      </c>
      <c r="U84" s="81">
        <f>'HP, gas absorption,air-to-water'!W41</f>
        <v>0</v>
      </c>
      <c r="V84" s="81">
        <f>'HP, gas absorption,air-to-water'!X41</f>
        <v>0</v>
      </c>
      <c r="Y84" s="81">
        <f>'HP, gas absorption,air-to-water'!M41</f>
        <v>0</v>
      </c>
    </row>
    <row r="85" spans="1:26">
      <c r="E85" s="239" t="s">
        <v>1274</v>
      </c>
      <c r="H85" s="83">
        <f>'HP, gas absorption,air-to-water'!J15</f>
        <v>2050</v>
      </c>
      <c r="I85" s="83"/>
      <c r="J85" s="207">
        <f>'HP, gas absorption,air-to-water'!L42</f>
        <v>1.7</v>
      </c>
      <c r="K85" s="81"/>
      <c r="L85" s="37">
        <f>('HP, gas absorption,air-to-water'!O42)/1000</f>
        <v>1.5831249999999999</v>
      </c>
      <c r="M85" s="37">
        <f>('HP, gas absorption,air-to-water'!P42)/1000</f>
        <v>1.2571875E-2</v>
      </c>
      <c r="N85" s="194">
        <f>'HP, gas absorption,air-to-water'!Q42</f>
        <v>18</v>
      </c>
      <c r="O85" s="81"/>
      <c r="P85" s="290"/>
      <c r="Q85" s="213"/>
      <c r="R85" s="295">
        <f>'HP, gas absorption,air-to-water'!T42</f>
        <v>0</v>
      </c>
      <c r="S85" s="81">
        <f>'HP, gas absorption,air-to-water'!U42</f>
        <v>5</v>
      </c>
      <c r="T85" s="81">
        <f>'HP, gas absorption,air-to-water'!V42</f>
        <v>0.5</v>
      </c>
      <c r="U85" s="81">
        <f>'HP, gas absorption,air-to-water'!W42</f>
        <v>0</v>
      </c>
      <c r="V85" s="81">
        <f>'HP, gas absorption,air-to-water'!X42</f>
        <v>0</v>
      </c>
      <c r="Y85" s="81">
        <f>'HP, gas absorption,air-to-water'!M42</f>
        <v>0</v>
      </c>
    </row>
    <row r="86" spans="1:26">
      <c r="C86" s="223" t="str">
        <f>"IND"&amp;RIGHT(G86,4)&amp;"GAS"&amp;"N"&amp;RIGHT(D86,1)</f>
        <v>INDUDRHGASN3</v>
      </c>
      <c r="D86" s="278" t="str">
        <f>"Industrial heating technology "&amp;$AD$4&amp;" "&amp;RIGHT(G86,2)&amp;" - Heat pump,gas absorption, brine-to-water - new 3"</f>
        <v>Industrial heating technology Public Service RH - Heat pump,gas absorption, brine-to-water - new 3</v>
      </c>
      <c r="E86" s="239" t="s">
        <v>1274</v>
      </c>
      <c r="F86" s="176" t="s">
        <v>528</v>
      </c>
      <c r="G86" s="177" t="str">
        <f>AC8</f>
        <v>IUDRH</v>
      </c>
      <c r="H86" s="81">
        <v>2011</v>
      </c>
      <c r="I86" s="81">
        <v>2011</v>
      </c>
      <c r="J86" s="207">
        <f>'HP, gas absorpt,brine-to-water'!L39</f>
        <v>1.35</v>
      </c>
      <c r="K86" s="81">
        <f>'HP, gas absorpt,brine-to-water'!N39</f>
        <v>22</v>
      </c>
      <c r="L86" s="37">
        <f>('HP, gas absorpt,brine-to-water'!O39)/1000</f>
        <v>5.5875000000000004</v>
      </c>
      <c r="M86" s="37">
        <f>('HP, gas absorpt,brine-to-water'!P39)/1000</f>
        <v>2.2857954545454546E-2</v>
      </c>
      <c r="N86" s="194">
        <f>'HP, gas absorpt,brine-to-water'!Q39</f>
        <v>0</v>
      </c>
      <c r="O86" s="82">
        <v>3.1536000000000002E-2</v>
      </c>
      <c r="P86" s="290">
        <v>0.5</v>
      </c>
      <c r="Q86" s="213"/>
      <c r="R86" s="295">
        <f>'HP, gas absorpt,brine-to-water'!T39</f>
        <v>0</v>
      </c>
      <c r="S86" s="81">
        <f>'HP, gas absorpt,brine-to-water'!U39</f>
        <v>15</v>
      </c>
      <c r="T86" s="81">
        <f>'HP, gas absorpt,brine-to-water'!V39</f>
        <v>2</v>
      </c>
      <c r="U86" s="81">
        <f>'HP, gas absorpt,brine-to-water'!W39</f>
        <v>0</v>
      </c>
      <c r="V86" s="81">
        <f>'HP, gas absorpt,brine-to-water'!X39</f>
        <v>0</v>
      </c>
      <c r="Y86" s="81">
        <f>'HP, gas absorpt,brine-to-water'!M39</f>
        <v>0</v>
      </c>
    </row>
    <row r="87" spans="1:26">
      <c r="E87" s="239" t="s">
        <v>1274</v>
      </c>
      <c r="H87" s="83">
        <f>'HP, gas absorpt,brine-to-water'!J13</f>
        <v>2020</v>
      </c>
      <c r="I87" s="83"/>
      <c r="J87" s="207">
        <f>'HP, gas absorpt,brine-to-water'!L40</f>
        <v>1.45</v>
      </c>
      <c r="K87" s="81"/>
      <c r="L87" s="37">
        <f>('HP, gas absorpt,brine-to-water'!O40)/1000</f>
        <v>3.0731250000000001</v>
      </c>
      <c r="M87" s="37">
        <f>('HP, gas absorpt,brine-to-water'!P40)/1000</f>
        <v>1.2571875E-2</v>
      </c>
      <c r="N87" s="194">
        <f>'HP, gas absorpt,brine-to-water'!Q40</f>
        <v>0</v>
      </c>
      <c r="O87" s="81"/>
      <c r="P87" s="290"/>
      <c r="Q87" s="213"/>
      <c r="R87" s="295">
        <f>'HP, gas absorpt,brine-to-water'!T40</f>
        <v>0</v>
      </c>
      <c r="S87" s="81">
        <f>'HP, gas absorpt,brine-to-water'!U40</f>
        <v>10</v>
      </c>
      <c r="T87" s="81">
        <f>'HP, gas absorpt,brine-to-water'!V40</f>
        <v>1</v>
      </c>
      <c r="U87" s="81">
        <f>'HP, gas absorpt,brine-to-water'!W40</f>
        <v>0</v>
      </c>
      <c r="V87" s="81">
        <f>'HP, gas absorpt,brine-to-water'!X40</f>
        <v>0</v>
      </c>
      <c r="Y87" s="81">
        <f>'HP, gas absorpt,brine-to-water'!M40</f>
        <v>0</v>
      </c>
    </row>
    <row r="88" spans="1:26">
      <c r="E88" s="239" t="s">
        <v>1274</v>
      </c>
      <c r="H88" s="83">
        <f>'HP, gas absorpt,brine-to-water'!J14</f>
        <v>2030</v>
      </c>
      <c r="I88" s="83"/>
      <c r="J88" s="207">
        <f>'HP, gas absorpt,brine-to-water'!L41</f>
        <v>1.7</v>
      </c>
      <c r="K88" s="81"/>
      <c r="L88" s="37">
        <f>('HP, gas absorpt,brine-to-water'!O41)/1000</f>
        <v>2.98</v>
      </c>
      <c r="M88" s="37">
        <f>('HP, gas absorpt,brine-to-water'!P41)/1000</f>
        <v>1.2571875E-2</v>
      </c>
      <c r="N88" s="194">
        <f>'HP, gas absorpt,brine-to-water'!Q41</f>
        <v>0</v>
      </c>
      <c r="O88" s="81"/>
      <c r="P88" s="290"/>
      <c r="Q88" s="213"/>
      <c r="R88" s="295">
        <f>'HP, gas absorpt,brine-to-water'!T41</f>
        <v>0</v>
      </c>
      <c r="S88" s="81">
        <f>'HP, gas absorpt,brine-to-water'!U41</f>
        <v>5</v>
      </c>
      <c r="T88" s="81">
        <f>'HP, gas absorpt,brine-to-water'!V41</f>
        <v>0.5</v>
      </c>
      <c r="U88" s="81">
        <f>'HP, gas absorpt,brine-to-water'!W41</f>
        <v>0</v>
      </c>
      <c r="V88" s="81">
        <f>'HP, gas absorpt,brine-to-water'!X41</f>
        <v>0</v>
      </c>
      <c r="Y88" s="81">
        <f>'HP, gas absorpt,brine-to-water'!M41</f>
        <v>0</v>
      </c>
    </row>
    <row r="89" spans="1:26">
      <c r="E89" s="239" t="s">
        <v>1274</v>
      </c>
      <c r="H89" s="83">
        <f>'HP, gas absorpt,brine-to-water'!J15</f>
        <v>2050</v>
      </c>
      <c r="I89" s="83"/>
      <c r="J89" s="207">
        <f>'HP, gas absorpt,brine-to-water'!L42</f>
        <v>1.7</v>
      </c>
      <c r="K89" s="81"/>
      <c r="L89" s="37">
        <f>('HP, gas absorpt,brine-to-water'!O42)/1000</f>
        <v>2.98</v>
      </c>
      <c r="M89" s="37">
        <f>('HP, gas absorpt,brine-to-water'!P42)/1000</f>
        <v>1.2571875E-2</v>
      </c>
      <c r="N89" s="194">
        <f>'HP, gas absorpt,brine-to-water'!Q42</f>
        <v>0</v>
      </c>
      <c r="O89" s="81"/>
      <c r="P89" s="290"/>
      <c r="Q89" s="213"/>
      <c r="R89" s="295">
        <f>'HP, gas absorpt,brine-to-water'!T42</f>
        <v>0</v>
      </c>
      <c r="S89" s="81">
        <f>'HP, gas absorpt,brine-to-water'!U42</f>
        <v>5</v>
      </c>
      <c r="T89" s="81">
        <f>'HP, gas absorpt,brine-to-water'!V42</f>
        <v>0.5</v>
      </c>
      <c r="U89" s="81">
        <f>'HP, gas absorpt,brine-to-water'!W42</f>
        <v>0</v>
      </c>
      <c r="V89" s="81">
        <f>'HP, gas absorpt,brine-to-water'!X42</f>
        <v>0</v>
      </c>
      <c r="Y89" s="81">
        <f>'HP, gas absorpt,brine-to-water'!M42</f>
        <v>0</v>
      </c>
    </row>
    <row r="90" spans="1:26">
      <c r="C90" s="223" t="str">
        <f>"IND"&amp;RIGHT(G90,4)&amp;"GAS"&amp;"N"&amp;RIGHT(D90,1)</f>
        <v>INDUDRHGASN4</v>
      </c>
      <c r="D90" s="278" t="str">
        <f>"Industrial heating technology "&amp;$AD$4&amp;" "&amp;RIGHT(G90,2)&amp;" - Heat pump,gas engine, air-to-water - new 4"</f>
        <v>Industrial heating technology Public Service RH - Heat pump,gas engine, air-to-water - new 4</v>
      </c>
      <c r="E90" s="239" t="s">
        <v>1274</v>
      </c>
      <c r="F90" s="176" t="s">
        <v>528</v>
      </c>
      <c r="G90" s="177" t="str">
        <f>AC8</f>
        <v>IUDRH</v>
      </c>
      <c r="H90" s="81">
        <v>2011</v>
      </c>
      <c r="I90" s="81">
        <v>2011</v>
      </c>
      <c r="J90" s="207">
        <f>'Heat pump, gas engine air-water'!L12</f>
        <v>1.5</v>
      </c>
      <c r="K90" s="186">
        <f>'Heat pump, gas engine air-water'!N12</f>
        <v>12.5</v>
      </c>
      <c r="L90" s="37">
        <f>('Heat pump, gas engine air-water'!O12)/1000</f>
        <v>0.59599999999999997</v>
      </c>
      <c r="M90" s="37">
        <f>('Heat pump, gas engine air-water'!P12)/1000</f>
        <v>2.0114999999999997E-2</v>
      </c>
      <c r="N90" s="186">
        <f>'Heat pump, gas engine air-water'!Q12</f>
        <v>14.9</v>
      </c>
      <c r="O90" s="204">
        <v>3.1536000000000002E-2</v>
      </c>
      <c r="P90" s="290">
        <v>0.5</v>
      </c>
      <c r="Q90" s="213"/>
      <c r="R90" s="296">
        <f>'Heat pump, gas engine air-water'!T12</f>
        <v>0</v>
      </c>
      <c r="S90" s="186">
        <f>'Heat pump, gas engine air-water'!U12</f>
        <v>115</v>
      </c>
      <c r="T90" s="186">
        <f>'Heat pump, gas engine air-water'!V12</f>
        <v>5</v>
      </c>
      <c r="U90" s="186">
        <f>'Heat pump, gas engine air-water'!W12</f>
        <v>0</v>
      </c>
      <c r="V90" s="186">
        <f>'Heat pump, gas engine air-water'!X12</f>
        <v>0</v>
      </c>
      <c r="Y90" s="167">
        <f>'Heat pump, gas engine Brine-wat'!M39</f>
        <v>0</v>
      </c>
    </row>
    <row r="91" spans="1:26">
      <c r="E91" s="239" t="s">
        <v>1274</v>
      </c>
      <c r="H91" s="83">
        <f>'Heat pump, gas engine air-water'!J13</f>
        <v>2020</v>
      </c>
      <c r="I91" s="83"/>
      <c r="J91" s="207">
        <f>'Heat pump, gas engine air-water'!L13</f>
        <v>1.55</v>
      </c>
      <c r="K91" s="186"/>
      <c r="L91" s="37">
        <f>('Heat pump, gas engine air-water'!O13)/1000</f>
        <v>0.59599999999999997</v>
      </c>
      <c r="M91" s="37">
        <f>('Heat pump, gas engine air-water'!P13)/1000</f>
        <v>2.0114999999999997E-2</v>
      </c>
      <c r="N91" s="186">
        <f>'Heat pump, gas engine air-water'!Q13</f>
        <v>14.9</v>
      </c>
      <c r="O91" s="186"/>
      <c r="P91" s="290"/>
      <c r="Q91" s="213"/>
      <c r="R91" s="296">
        <f>'Heat pump, gas engine air-water'!T13</f>
        <v>0</v>
      </c>
      <c r="S91" s="186">
        <f>'Heat pump, gas engine air-water'!U13</f>
        <v>85</v>
      </c>
      <c r="T91" s="186">
        <f>'Heat pump, gas engine air-water'!V13</f>
        <v>5</v>
      </c>
      <c r="U91" s="186">
        <f>'Heat pump, gas engine air-water'!W13</f>
        <v>0</v>
      </c>
      <c r="V91" s="186">
        <f>'Heat pump, gas engine air-water'!X13</f>
        <v>0</v>
      </c>
      <c r="Y91" s="167">
        <f>'Heat pump, gas engine Brine-wat'!M40</f>
        <v>0</v>
      </c>
    </row>
    <row r="92" spans="1:26">
      <c r="E92" s="239" t="s">
        <v>1274</v>
      </c>
      <c r="H92" s="83">
        <f>'Heat pump, gas engine air-water'!J14</f>
        <v>2030</v>
      </c>
      <c r="I92" s="83"/>
      <c r="J92" s="207">
        <f>'Heat pump, gas engine air-water'!L14</f>
        <v>1.55</v>
      </c>
      <c r="K92" s="186"/>
      <c r="L92" s="37">
        <f>('Heat pump, gas engine air-water'!O14)/1000</f>
        <v>0.59599999999999997</v>
      </c>
      <c r="M92" s="37">
        <f>('Heat pump, gas engine air-water'!P14)/1000</f>
        <v>2.0114999999999997E-2</v>
      </c>
      <c r="N92" s="186">
        <f>'Heat pump, gas engine air-water'!Q14</f>
        <v>14.9</v>
      </c>
      <c r="O92" s="186"/>
      <c r="P92" s="290"/>
      <c r="Q92" s="213"/>
      <c r="R92" s="296">
        <f>'Heat pump, gas engine air-water'!T14</f>
        <v>0</v>
      </c>
      <c r="S92" s="186">
        <f>'Heat pump, gas engine air-water'!U14</f>
        <v>55</v>
      </c>
      <c r="T92" s="186">
        <f>'Heat pump, gas engine air-water'!V14</f>
        <v>5</v>
      </c>
      <c r="U92" s="186">
        <f>'Heat pump, gas engine air-water'!W14</f>
        <v>0</v>
      </c>
      <c r="V92" s="186">
        <f>'Heat pump, gas engine air-water'!X14</f>
        <v>0</v>
      </c>
      <c r="Y92" s="167">
        <f>'Heat pump, gas engine Brine-wat'!M41</f>
        <v>0</v>
      </c>
    </row>
    <row r="93" spans="1:26">
      <c r="E93" s="239" t="s">
        <v>1274</v>
      </c>
      <c r="H93" s="83">
        <f>'Heat pump, gas engine air-water'!J15</f>
        <v>2050</v>
      </c>
      <c r="I93" s="83"/>
      <c r="J93" s="207">
        <f>'Heat pump, gas engine air-water'!L15</f>
        <v>1.6</v>
      </c>
      <c r="K93" s="186"/>
      <c r="L93" s="37">
        <f>('Heat pump, gas engine air-water'!O15)/1000</f>
        <v>0.59599999999999997</v>
      </c>
      <c r="M93" s="37">
        <f>('Heat pump, gas engine air-water'!P15)/1000</f>
        <v>2.0114999999999997E-2</v>
      </c>
      <c r="N93" s="186">
        <f>'Heat pump, gas engine air-water'!Q15</f>
        <v>14.9</v>
      </c>
      <c r="O93" s="186"/>
      <c r="P93" s="290"/>
      <c r="Q93" s="213"/>
      <c r="R93" s="296">
        <f>'Heat pump, gas engine air-water'!T15</f>
        <v>0</v>
      </c>
      <c r="S93" s="186">
        <f>'Heat pump, gas engine air-water'!U15</f>
        <v>55</v>
      </c>
      <c r="T93" s="186">
        <f>'Heat pump, gas engine air-water'!V15</f>
        <v>5</v>
      </c>
      <c r="U93" s="186">
        <f>'Heat pump, gas engine air-water'!W15</f>
        <v>0</v>
      </c>
      <c r="V93" s="186">
        <f>'Heat pump, gas engine air-water'!X15</f>
        <v>0</v>
      </c>
      <c r="Y93" s="167">
        <f>'Heat pump, gas engine Brine-wat'!M42</f>
        <v>0</v>
      </c>
    </row>
    <row r="94" spans="1:26">
      <c r="C94" s="223" t="str">
        <f>"IND"&amp;RIGHT(G94,4)&amp;"GAS"&amp;"N"&amp;RIGHT(D94,1)</f>
        <v>INDUDRHGASN5</v>
      </c>
      <c r="D94" s="278" t="str">
        <f>"Industrial heating technology "&amp;$AD$4&amp;" "&amp;RIGHT(G94,2)&amp;" - Heat pump,gas engine, brine-to-water - new 5"</f>
        <v>Industrial heating technology Public Service RH - Heat pump,gas engine, brine-to-water - new 5</v>
      </c>
      <c r="E94" s="239" t="s">
        <v>1274</v>
      </c>
      <c r="F94" s="176" t="s">
        <v>528</v>
      </c>
      <c r="G94" s="177" t="str">
        <f>AC8</f>
        <v>IUDRH</v>
      </c>
      <c r="H94" s="81">
        <v>2011</v>
      </c>
      <c r="I94" s="81">
        <v>2011</v>
      </c>
      <c r="J94" s="207">
        <f>'Heat pump, gas engine Brine-wat'!L12</f>
        <v>1.5</v>
      </c>
      <c r="K94" s="186">
        <f>'Heat pump, gas engine Brine-wat'!N12</f>
        <v>12.5</v>
      </c>
      <c r="L94" s="37">
        <f>('Heat pump, gas engine Brine-wat'!O12)/1000</f>
        <v>2.831</v>
      </c>
      <c r="M94" s="37">
        <f>('Heat pump, gas engine Brine-wat'!P12)/1000</f>
        <v>2.0114999999999997E-2</v>
      </c>
      <c r="N94" s="217">
        <f>'Heat pump, gas engine Brine-wat'!Q12</f>
        <v>14.9</v>
      </c>
      <c r="O94" s="204">
        <v>3.1536000000000002E-2</v>
      </c>
      <c r="P94" s="290">
        <v>0.5</v>
      </c>
      <c r="Q94" s="213"/>
      <c r="R94" s="296">
        <f>'Heat pump, gas engine Brine-wat'!T12</f>
        <v>0</v>
      </c>
      <c r="S94" s="186">
        <f>'Heat pump, gas engine Brine-wat'!U12</f>
        <v>115</v>
      </c>
      <c r="T94" s="186">
        <f>'Heat pump, gas engine Brine-wat'!V12</f>
        <v>5</v>
      </c>
      <c r="U94" s="186">
        <f>'Heat pump, gas engine Brine-wat'!W12</f>
        <v>0</v>
      </c>
      <c r="V94" s="186">
        <f>'Heat pump, gas engine Brine-wat'!X12</f>
        <v>0</v>
      </c>
      <c r="Y94" s="167">
        <f>'Heat pump, gas engine Brine-wat'!M39</f>
        <v>0</v>
      </c>
    </row>
    <row r="95" spans="1:26">
      <c r="E95" s="239" t="s">
        <v>1274</v>
      </c>
      <c r="H95" s="83">
        <f>'Heat pump, gas engine Brine-wat'!J13</f>
        <v>2020</v>
      </c>
      <c r="I95" s="83"/>
      <c r="J95" s="207">
        <f>'Heat pump, gas engine Brine-wat'!L13</f>
        <v>1.55</v>
      </c>
      <c r="K95" s="186"/>
      <c r="L95" s="37">
        <f>('Heat pump, gas engine Brine-wat'!O13)/1000</f>
        <v>2.831</v>
      </c>
      <c r="M95" s="37">
        <f>('Heat pump, gas engine Brine-wat'!P13)/1000</f>
        <v>2.0114999999999997E-2</v>
      </c>
      <c r="N95" s="217">
        <f>'Heat pump, gas engine Brine-wat'!Q13</f>
        <v>14.9</v>
      </c>
      <c r="O95" s="186"/>
      <c r="P95" s="291"/>
      <c r="Q95" s="213"/>
      <c r="R95" s="296">
        <f>'Heat pump, gas engine Brine-wat'!T13</f>
        <v>0</v>
      </c>
      <c r="S95" s="186">
        <f>'Heat pump, gas engine Brine-wat'!U13</f>
        <v>85</v>
      </c>
      <c r="T95" s="186">
        <f>'Heat pump, gas engine Brine-wat'!V13</f>
        <v>5</v>
      </c>
      <c r="U95" s="186">
        <f>'Heat pump, gas engine Brine-wat'!W13</f>
        <v>0</v>
      </c>
      <c r="V95" s="186">
        <f>'Heat pump, gas engine Brine-wat'!X13</f>
        <v>0</v>
      </c>
      <c r="Y95" s="167">
        <f>'Heat pump, gas engine Brine-wat'!M40</f>
        <v>0</v>
      </c>
    </row>
    <row r="96" spans="1:26">
      <c r="E96" s="239" t="s">
        <v>1274</v>
      </c>
      <c r="H96" s="83">
        <f>'Heat pump, gas engine Brine-wat'!J14</f>
        <v>2030</v>
      </c>
      <c r="I96" s="83"/>
      <c r="J96" s="207">
        <f>'Heat pump, gas engine Brine-wat'!L14</f>
        <v>1.55</v>
      </c>
      <c r="K96" s="186"/>
      <c r="L96" s="37">
        <f>('Heat pump, gas engine Brine-wat'!O14)/1000</f>
        <v>2.831</v>
      </c>
      <c r="M96" s="37">
        <f>('Heat pump, gas engine Brine-wat'!P14)/1000</f>
        <v>2.0114999999999997E-2</v>
      </c>
      <c r="N96" s="217">
        <f>'Heat pump, gas engine Brine-wat'!Q14</f>
        <v>14.9</v>
      </c>
      <c r="O96" s="186"/>
      <c r="P96" s="291"/>
      <c r="Q96" s="213"/>
      <c r="R96" s="296">
        <f>'Heat pump, gas engine Brine-wat'!T14</f>
        <v>0</v>
      </c>
      <c r="S96" s="186">
        <f>'Heat pump, gas engine Brine-wat'!U14</f>
        <v>55</v>
      </c>
      <c r="T96" s="186">
        <f>'Heat pump, gas engine Brine-wat'!V14</f>
        <v>5</v>
      </c>
      <c r="U96" s="186">
        <f>'Heat pump, gas engine Brine-wat'!W14</f>
        <v>0</v>
      </c>
      <c r="V96" s="186">
        <f>'Heat pump, gas engine Brine-wat'!X14</f>
        <v>0</v>
      </c>
      <c r="Y96" s="167">
        <f>'Heat pump, gas engine Brine-wat'!M41</f>
        <v>0</v>
      </c>
    </row>
    <row r="97" spans="1:26">
      <c r="E97" s="239" t="s">
        <v>1274</v>
      </c>
      <c r="H97" s="83">
        <f>'Heat pump, gas engine Brine-wat'!J15</f>
        <v>2050</v>
      </c>
      <c r="I97" s="83"/>
      <c r="J97" s="207">
        <f>'Heat pump, gas engine Brine-wat'!L15</f>
        <v>1.6</v>
      </c>
      <c r="K97" s="186"/>
      <c r="L97" s="37">
        <f>('Heat pump, gas engine Brine-wat'!O15)/1000</f>
        <v>2.831</v>
      </c>
      <c r="M97" s="37">
        <f>('Heat pump, gas engine Brine-wat'!P15)/1000</f>
        <v>2.0114999999999997E-2</v>
      </c>
      <c r="N97" s="217">
        <f>'Heat pump, gas engine Brine-wat'!Q15</f>
        <v>14.9</v>
      </c>
      <c r="O97" s="186"/>
      <c r="P97" s="291"/>
      <c r="Q97" s="213"/>
      <c r="R97" s="296">
        <f>'Heat pump, gas engine Brine-wat'!T15</f>
        <v>0</v>
      </c>
      <c r="S97" s="186">
        <f>'Heat pump, gas engine Brine-wat'!U15</f>
        <v>55</v>
      </c>
      <c r="T97" s="186">
        <f>'Heat pump, gas engine Brine-wat'!V15</f>
        <v>5</v>
      </c>
      <c r="U97" s="186">
        <f>'Heat pump, gas engine Brine-wat'!W15</f>
        <v>0</v>
      </c>
      <c r="V97" s="186">
        <f>'Heat pump, gas engine Brine-wat'!X15</f>
        <v>0</v>
      </c>
      <c r="Y97" s="167">
        <f>'Heat pump, gas engine Brine-wat'!M42</f>
        <v>0</v>
      </c>
    </row>
    <row r="98" spans="1:26">
      <c r="C98" s="223" t="str">
        <f>"IND"&amp;RIGHT(G98,4)&amp;"GAS"&amp;"N"&amp;RIGHT(D98,1)</f>
        <v>INDUDRHGASN6</v>
      </c>
      <c r="D98" s="239" t="str">
        <f>"Industrial heating technology "&amp;$AD$4&amp;" "&amp;RIGHT(G98,2)&amp;" - Heat pump,gas adsoption, air-to-water - new 6"</f>
        <v>Industrial heating technology Public Service RH - Heat pump,gas adsoption, air-to-water - new 6</v>
      </c>
      <c r="E98" s="239" t="s">
        <v>1274</v>
      </c>
      <c r="F98" s="176" t="s">
        <v>528</v>
      </c>
      <c r="G98" s="177" t="str">
        <f>AC8</f>
        <v>IUDRH</v>
      </c>
      <c r="H98" s="81">
        <v>2011</v>
      </c>
      <c r="I98" s="81">
        <v>2011</v>
      </c>
      <c r="J98" s="207">
        <f>'Heat pump, gas adsorption'!L12</f>
        <v>1.35</v>
      </c>
      <c r="K98" s="186">
        <f>'Heat pump, gas adsorption'!N12</f>
        <v>20</v>
      </c>
      <c r="L98" s="37">
        <f>('Heat pump, gas adsorption'!O12)/1000</f>
        <v>13.0375</v>
      </c>
      <c r="M98" s="37">
        <f>('Heat pump, gas adsorption'!P12)/1000</f>
        <v>0.12571874999999999</v>
      </c>
      <c r="N98" s="217">
        <f>'Heat pump, gas adsorption'!Q12</f>
        <v>93.125</v>
      </c>
      <c r="O98" s="204">
        <v>3.1536000000000002E-2</v>
      </c>
      <c r="P98" s="291">
        <v>0.5</v>
      </c>
      <c r="Q98" s="213"/>
      <c r="R98" s="296">
        <f>'Heat pump, gas adsorption'!T12</f>
        <v>0</v>
      </c>
      <c r="S98" s="186">
        <f>'Heat pump, gas adsorption'!U12</f>
        <v>20</v>
      </c>
      <c r="T98" s="186">
        <f>'Heat pump, gas adsorption'!V12</f>
        <v>2</v>
      </c>
      <c r="U98" s="186">
        <f>'Heat pump, gas adsorption'!W12</f>
        <v>0</v>
      </c>
      <c r="V98" s="186">
        <f>'Heat pump, gas adsorption'!X12</f>
        <v>0</v>
      </c>
      <c r="Y98" s="167">
        <f>'Heat pump, gas adsorption'!M39</f>
        <v>0</v>
      </c>
    </row>
    <row r="99" spans="1:26">
      <c r="E99" s="239" t="s">
        <v>1274</v>
      </c>
      <c r="H99" s="83">
        <f>'Heat pump, gas adsorption'!J13</f>
        <v>2020</v>
      </c>
      <c r="I99" s="83"/>
      <c r="J99" s="207">
        <f>'Heat pump, gas adsorption'!L13</f>
        <v>1.35</v>
      </c>
      <c r="K99" s="186"/>
      <c r="L99" s="37">
        <f>('Heat pump, gas adsorption'!O13)/1000</f>
        <v>13.0375</v>
      </c>
      <c r="M99" s="37">
        <f>('Heat pump, gas adsorption'!P13)/1000</f>
        <v>0.12571874999999999</v>
      </c>
      <c r="N99" s="217">
        <f>'Heat pump, gas adsorption'!Q13</f>
        <v>93.125</v>
      </c>
      <c r="O99" s="186"/>
      <c r="P99" s="291"/>
      <c r="Q99" s="213"/>
      <c r="R99" s="296">
        <f>'Heat pump, gas adsorption'!T13</f>
        <v>0</v>
      </c>
      <c r="S99" s="186">
        <f>'Heat pump, gas adsorption'!U13</f>
        <v>10</v>
      </c>
      <c r="T99" s="186">
        <f>'Heat pump, gas adsorption'!V13</f>
        <v>1</v>
      </c>
      <c r="U99" s="186">
        <f>'Heat pump, gas adsorption'!W13</f>
        <v>0</v>
      </c>
      <c r="V99" s="186">
        <f>'Heat pump, gas adsorption'!X13</f>
        <v>0</v>
      </c>
      <c r="Y99" s="167">
        <f>'Heat pump, gas adsorption'!M40</f>
        <v>0</v>
      </c>
    </row>
    <row r="100" spans="1:26">
      <c r="E100" s="239" t="s">
        <v>1274</v>
      </c>
      <c r="H100" s="83">
        <f>'Heat pump, gas adsorption'!J14</f>
        <v>2030</v>
      </c>
      <c r="I100" s="83"/>
      <c r="J100" s="207">
        <f>'Heat pump, gas adsorption'!L14</f>
        <v>1.35</v>
      </c>
      <c r="K100" s="186"/>
      <c r="L100" s="37">
        <f>('Heat pump, gas adsorption'!O14)/1000</f>
        <v>13.0375</v>
      </c>
      <c r="M100" s="37">
        <f>('Heat pump, gas adsorption'!P14)/1000</f>
        <v>0.12571874999999999</v>
      </c>
      <c r="N100" s="217">
        <f>'Heat pump, gas adsorption'!Q14</f>
        <v>93.125</v>
      </c>
      <c r="O100" s="186"/>
      <c r="P100" s="291"/>
      <c r="Q100" s="213"/>
      <c r="R100" s="296">
        <f>'Heat pump, gas adsorption'!T14</f>
        <v>0</v>
      </c>
      <c r="S100" s="186">
        <f>'Heat pump, gas adsorption'!U14</f>
        <v>5</v>
      </c>
      <c r="T100" s="186">
        <f>'Heat pump, gas adsorption'!V14</f>
        <v>0.5</v>
      </c>
      <c r="U100" s="186">
        <f>'Heat pump, gas adsorption'!W14</f>
        <v>0</v>
      </c>
      <c r="V100" s="186">
        <f>'Heat pump, gas adsorption'!X14</f>
        <v>0</v>
      </c>
      <c r="Y100" s="167">
        <f>'Heat pump, gas adsorption'!M41</f>
        <v>0</v>
      </c>
    </row>
    <row r="101" spans="1:26">
      <c r="C101" s="211"/>
      <c r="D101" s="211"/>
      <c r="E101" s="239" t="s">
        <v>1274</v>
      </c>
      <c r="F101" s="211"/>
      <c r="G101" s="211"/>
      <c r="H101" s="83">
        <f>'Heat pump, gas adsorption'!J15</f>
        <v>2050</v>
      </c>
      <c r="I101" s="83"/>
      <c r="J101" s="207">
        <f>'Heat pump, gas adsorption'!L15</f>
        <v>1.35</v>
      </c>
      <c r="K101" s="186"/>
      <c r="L101" s="212">
        <f>('Heat pump, gas adsorption'!O15)/1000</f>
        <v>13.0375</v>
      </c>
      <c r="M101" s="212">
        <f>('Heat pump, gas adsorption'!P15)/1000</f>
        <v>0.12571874999999999</v>
      </c>
      <c r="N101" s="217">
        <f>'Heat pump, gas adsorption'!Q15</f>
        <v>93.125</v>
      </c>
      <c r="O101" s="186"/>
      <c r="P101" s="291"/>
      <c r="Q101" s="213"/>
      <c r="R101" s="296">
        <f>'Heat pump, gas adsorption'!T15</f>
        <v>0</v>
      </c>
      <c r="S101" s="186">
        <f>'Heat pump, gas adsorption'!U15</f>
        <v>5</v>
      </c>
      <c r="T101" s="186">
        <f>'Heat pump, gas adsorption'!V15</f>
        <v>0.5</v>
      </c>
      <c r="U101" s="186">
        <f>'Heat pump, gas adsorption'!W15</f>
        <v>0</v>
      </c>
      <c r="V101" s="186">
        <f>'Heat pump, gas adsorption'!X15</f>
        <v>0</v>
      </c>
      <c r="Y101" s="167">
        <f>'Heat pump, gas adsorption'!M42</f>
        <v>0</v>
      </c>
    </row>
    <row r="102" spans="1:26">
      <c r="C102" s="36" t="s">
        <v>504</v>
      </c>
      <c r="D102" s="36"/>
      <c r="E102" s="239" t="s">
        <v>1274</v>
      </c>
      <c r="G102" s="176"/>
      <c r="H102" s="205"/>
      <c r="I102" s="205"/>
      <c r="J102" s="213"/>
      <c r="K102" s="213"/>
      <c r="L102" s="37"/>
      <c r="M102" s="37"/>
      <c r="N102" s="214"/>
      <c r="O102" s="268"/>
      <c r="P102" s="292"/>
      <c r="Q102" s="213"/>
      <c r="R102" s="213"/>
      <c r="S102" s="213"/>
      <c r="T102" s="213"/>
      <c r="U102" s="213"/>
      <c r="V102" s="213"/>
      <c r="Y102" s="215"/>
    </row>
    <row r="103" spans="1:26">
      <c r="C103" s="223" t="str">
        <f>"IND"&amp;RIGHT(G103,4)&amp;RIGHT(F103,3)&amp;"N"&amp;RIGHT(D103,1)</f>
        <v>INDUDRHHCEN1</v>
      </c>
      <c r="D103" s="239" t="str">
        <f>"Industrial heating technology "&amp;$AD$4&amp;" "&amp;RIGHT(G103,2)&amp;" - central district heating - within DH area - new 1"</f>
        <v>Industrial heating technology Public Service RH - central district heating - within DH area - new 1</v>
      </c>
      <c r="E103" s="239" t="s">
        <v>1274</v>
      </c>
      <c r="F103" s="240" t="s">
        <v>502</v>
      </c>
      <c r="G103" s="240" t="str">
        <f>AC8</f>
        <v>IUDRH</v>
      </c>
      <c r="H103" s="81">
        <v>2011</v>
      </c>
      <c r="I103" s="81">
        <v>2011</v>
      </c>
      <c r="J103" s="81">
        <v>0.96</v>
      </c>
      <c r="K103" s="81">
        <v>30</v>
      </c>
      <c r="L103" s="269">
        <v>1.17</v>
      </c>
      <c r="M103" s="270">
        <f>'DH network'!$M$9</f>
        <v>5.8735799999999998E-2</v>
      </c>
      <c r="N103" s="270">
        <f>N6*0.95</f>
        <v>14.154999999999999</v>
      </c>
      <c r="O103" s="209">
        <v>3.1536000000000002E-2</v>
      </c>
      <c r="P103" s="293">
        <v>0.5</v>
      </c>
      <c r="Q103" s="320"/>
      <c r="R103" s="297"/>
      <c r="S103" s="61"/>
      <c r="T103" s="61"/>
      <c r="U103" s="61"/>
      <c r="V103" s="61"/>
    </row>
    <row r="104" spans="1:26">
      <c r="C104" s="223" t="str">
        <f>"IND"&amp;RIGHT(G104,4)&amp;RIGHT(F104,3)&amp;"N"&amp;RIGHT(D104,1)</f>
        <v>INDUDMTHCEN1</v>
      </c>
      <c r="D104" s="239" t="str">
        <f>"Industrial heating technology "&amp;$AD$4&amp;" "&amp;RIGHT(G104,2)&amp;" - central district heating - within DH area - new 1"</f>
        <v>Industrial heating technology Public Service MT - central district heating - within DH area - new 1</v>
      </c>
      <c r="E104" s="239" t="s">
        <v>1274</v>
      </c>
      <c r="F104" s="240" t="s">
        <v>502</v>
      </c>
      <c r="G104" s="313" t="str">
        <f>AC7</f>
        <v>IUDMT</v>
      </c>
      <c r="H104" s="81">
        <v>2011</v>
      </c>
      <c r="I104" s="81">
        <v>2011</v>
      </c>
      <c r="J104" s="81">
        <v>0.96</v>
      </c>
      <c r="K104" s="81">
        <v>30</v>
      </c>
      <c r="L104" s="269">
        <v>1.17</v>
      </c>
      <c r="M104" s="270">
        <f>'DH network'!$M$9</f>
        <v>5.8735799999999998E-2</v>
      </c>
      <c r="N104" s="270">
        <f>N7*0.95</f>
        <v>14.154999999999999</v>
      </c>
      <c r="O104" s="209">
        <v>3.1536000000000002E-2</v>
      </c>
      <c r="P104" s="293">
        <v>0.5</v>
      </c>
      <c r="Q104" s="320"/>
      <c r="R104" s="297"/>
      <c r="S104" s="61"/>
      <c r="T104" s="61"/>
      <c r="U104" s="61"/>
      <c r="V104" s="61"/>
    </row>
    <row r="105" spans="1:26">
      <c r="C105" s="223" t="str">
        <f>"IND"&amp;RIGHT(G105,4)&amp;RIGHT(F105,3)&amp;"N"&amp;RIGHT(D105,1)</f>
        <v>INDUDRHHDEN1</v>
      </c>
      <c r="D105" s="239" t="str">
        <f>"Industrial heating technology "&amp;$AD$4&amp;" "&amp;RIGHT(G105,2)&amp;" - decentral district heating - within DH area - new 1"</f>
        <v>Industrial heating technology Public Service RH - decentral district heating - within DH area - new 1</v>
      </c>
      <c r="E105" s="239" t="s">
        <v>1274</v>
      </c>
      <c r="F105" s="276" t="s">
        <v>503</v>
      </c>
      <c r="G105" s="282" t="str">
        <f>AC8</f>
        <v>IUDRH</v>
      </c>
      <c r="H105" s="81">
        <v>2011</v>
      </c>
      <c r="I105" s="81">
        <v>2011</v>
      </c>
      <c r="J105" s="81">
        <f>J103</f>
        <v>0.96</v>
      </c>
      <c r="K105" s="81">
        <v>30</v>
      </c>
      <c r="L105" s="269">
        <v>1.25</v>
      </c>
      <c r="M105" s="270">
        <f>'DH network'!$M$9</f>
        <v>5.8735799999999998E-2</v>
      </c>
      <c r="N105" s="270">
        <f>N103</f>
        <v>14.154999999999999</v>
      </c>
      <c r="O105" s="209">
        <v>3.1536000000000002E-2</v>
      </c>
      <c r="P105" s="293">
        <v>0.5</v>
      </c>
      <c r="Q105" s="320"/>
      <c r="R105" s="297"/>
      <c r="S105" s="61"/>
      <c r="T105" s="61"/>
      <c r="U105" s="61"/>
      <c r="V105" s="61"/>
    </row>
    <row r="106" spans="1:26">
      <c r="C106" s="223" t="str">
        <f>"IND"&amp;RIGHT(G106,4)&amp;RIGHT(F106,3)&amp;"N"&amp;RIGHT(D106,1)</f>
        <v>INDUDMTHDEN1</v>
      </c>
      <c r="D106" s="239" t="str">
        <f>"Industrial heating technology "&amp;$AD$4&amp;" "&amp;RIGHT(G106,2)&amp;" - decentral district heating - within DH area - new 1"</f>
        <v>Industrial heating technology Public Service MT - decentral district heating - within DH area - new 1</v>
      </c>
      <c r="E106" s="239" t="s">
        <v>1274</v>
      </c>
      <c r="F106" s="276" t="s">
        <v>503</v>
      </c>
      <c r="G106" s="240" t="str">
        <f>AC7</f>
        <v>IUDMT</v>
      </c>
      <c r="H106" s="81">
        <v>2011</v>
      </c>
      <c r="I106" s="81">
        <v>2011</v>
      </c>
      <c r="J106" s="81">
        <f>J104</f>
        <v>0.96</v>
      </c>
      <c r="K106" s="81">
        <v>30</v>
      </c>
      <c r="L106" s="269">
        <v>1.25</v>
      </c>
      <c r="M106" s="270">
        <f>'DH network'!$M$9</f>
        <v>5.8735799999999998E-2</v>
      </c>
      <c r="N106" s="270">
        <f>N104</f>
        <v>14.154999999999999</v>
      </c>
      <c r="O106" s="209">
        <v>3.1536000000000002E-2</v>
      </c>
      <c r="P106" s="293">
        <v>0.5</v>
      </c>
      <c r="Q106" s="320"/>
      <c r="R106" s="297"/>
      <c r="S106" s="61"/>
      <c r="T106" s="61"/>
      <c r="U106" s="61"/>
      <c r="V106" s="61"/>
    </row>
    <row r="107" spans="1:26">
      <c r="A107" s="241"/>
      <c r="B107" s="241"/>
      <c r="C107" s="275" t="s">
        <v>497</v>
      </c>
      <c r="D107" s="275"/>
      <c r="E107" s="239" t="s">
        <v>1274</v>
      </c>
      <c r="F107" s="216"/>
      <c r="G107" s="240"/>
      <c r="H107" s="208"/>
      <c r="I107" s="208"/>
      <c r="J107" s="208"/>
      <c r="K107" s="208"/>
      <c r="L107" s="242"/>
      <c r="M107" s="242"/>
      <c r="N107" s="242"/>
      <c r="O107" s="210"/>
      <c r="P107" s="243"/>
      <c r="Q107" s="320"/>
      <c r="R107" s="241"/>
      <c r="S107" s="241"/>
      <c r="T107" s="241"/>
      <c r="U107" s="241"/>
      <c r="V107" s="241"/>
      <c r="W107" s="241"/>
      <c r="X107" s="241"/>
      <c r="Y107" s="241"/>
      <c r="Z107" s="241"/>
    </row>
    <row r="108" spans="1:26">
      <c r="A108" s="241"/>
      <c r="B108" s="241"/>
      <c r="C108" s="223" t="str">
        <f>"IND"&amp;RIGHT(G108,4)&amp;RIGHT(F108,3)&amp;"N"&amp;RIGHT(D108,1)</f>
        <v>INDUDLAELCN1</v>
      </c>
      <c r="D108" s="239" t="str">
        <f>"Industry "&amp;$AD$4&amp;" "&amp;RIGHT(G108,2)&amp;" Electricity Light Appliance - New 1"</f>
        <v>Industry Public Service LA Electricity Light Appliance - New 1</v>
      </c>
      <c r="E108" s="239" t="s">
        <v>1274</v>
      </c>
      <c r="F108" s="240" t="s">
        <v>500</v>
      </c>
      <c r="G108" s="240" t="str">
        <f>AC9</f>
        <v>IUDLA</v>
      </c>
      <c r="H108" s="81">
        <v>2011</v>
      </c>
      <c r="I108" s="81">
        <v>2011</v>
      </c>
      <c r="J108" s="273">
        <v>1</v>
      </c>
      <c r="K108" s="273">
        <v>10</v>
      </c>
      <c r="L108" s="270"/>
      <c r="M108" s="270"/>
      <c r="N108" s="270"/>
      <c r="O108" s="209"/>
      <c r="P108" s="293">
        <v>0.9</v>
      </c>
      <c r="Q108" s="320"/>
      <c r="R108" s="298"/>
      <c r="S108" s="271"/>
      <c r="T108" s="271"/>
      <c r="U108" s="271"/>
      <c r="V108" s="271"/>
      <c r="W108" s="241"/>
      <c r="X108" s="241"/>
      <c r="Y108" s="241"/>
      <c r="Z108" s="241"/>
    </row>
    <row r="109" spans="1:26">
      <c r="A109" s="241"/>
      <c r="B109" s="241"/>
      <c r="E109" s="239" t="s">
        <v>1274</v>
      </c>
      <c r="F109" s="240"/>
      <c r="G109" s="241"/>
      <c r="H109" s="273">
        <v>2020</v>
      </c>
      <c r="I109" s="273"/>
      <c r="J109" s="273"/>
      <c r="K109" s="273"/>
      <c r="L109" s="270"/>
      <c r="M109" s="270"/>
      <c r="N109" s="270"/>
      <c r="O109" s="209"/>
      <c r="P109" s="293"/>
      <c r="Q109" s="320"/>
      <c r="R109" s="298"/>
      <c r="S109" s="271"/>
      <c r="T109" s="271"/>
      <c r="U109" s="271"/>
      <c r="V109" s="271"/>
      <c r="W109" s="241"/>
      <c r="X109" s="241"/>
      <c r="Y109" s="241"/>
      <c r="Z109" s="241"/>
    </row>
    <row r="110" spans="1:26">
      <c r="A110" s="241"/>
      <c r="B110" s="241"/>
      <c r="E110" s="239" t="s">
        <v>1274</v>
      </c>
      <c r="F110" s="240"/>
      <c r="G110" s="240"/>
      <c r="H110" s="273">
        <v>2030</v>
      </c>
      <c r="I110" s="273"/>
      <c r="J110" s="273"/>
      <c r="K110" s="273"/>
      <c r="L110" s="270"/>
      <c r="M110" s="270"/>
      <c r="N110" s="270"/>
      <c r="O110" s="209"/>
      <c r="P110" s="293"/>
      <c r="Q110" s="320"/>
      <c r="R110" s="298"/>
      <c r="S110" s="271"/>
      <c r="T110" s="271"/>
      <c r="U110" s="271"/>
      <c r="V110" s="271"/>
      <c r="W110" s="241"/>
      <c r="X110" s="241"/>
      <c r="Y110" s="241"/>
      <c r="Z110" s="241"/>
    </row>
    <row r="111" spans="1:26">
      <c r="A111" s="241"/>
      <c r="B111" s="241"/>
      <c r="E111" s="239" t="s">
        <v>1274</v>
      </c>
      <c r="F111" s="240"/>
      <c r="G111" s="240"/>
      <c r="H111" s="273">
        <v>2050</v>
      </c>
      <c r="I111" s="273"/>
      <c r="J111" s="273"/>
      <c r="K111" s="273"/>
      <c r="L111" s="270"/>
      <c r="M111" s="270"/>
      <c r="N111" s="270"/>
      <c r="O111" s="209"/>
      <c r="P111" s="293"/>
      <c r="Q111" s="320"/>
      <c r="R111" s="298"/>
      <c r="S111" s="271"/>
      <c r="T111" s="271"/>
      <c r="U111" s="271"/>
      <c r="V111" s="271"/>
      <c r="W111" s="241"/>
      <c r="X111" s="241"/>
      <c r="Y111" s="241"/>
      <c r="Z111" s="241"/>
    </row>
    <row r="112" spans="1:26">
      <c r="A112" s="241"/>
      <c r="B112" s="241"/>
      <c r="C112" s="223" t="str">
        <f>"IND"&amp;RIGHT(G112,4)&amp;RIGHT(F112,3)&amp;"N"&amp;RIGHT(D112,1)</f>
        <v>INDUDEMELCN1</v>
      </c>
      <c r="D112" s="239" t="str">
        <f>"Industry "&amp;$AD$4&amp;" "&amp;RIGHT(G112,2)&amp;" Electricity Motors - New 1"</f>
        <v>Industry Public Service EM Electricity Motors - New 1</v>
      </c>
      <c r="E112" s="239" t="s">
        <v>1274</v>
      </c>
      <c r="F112" s="240" t="s">
        <v>500</v>
      </c>
      <c r="G112" s="240" t="str">
        <f>AC10</f>
        <v>IUDEM</v>
      </c>
      <c r="H112" s="81">
        <v>2011</v>
      </c>
      <c r="I112" s="81">
        <v>2011</v>
      </c>
      <c r="J112" s="273">
        <v>1</v>
      </c>
      <c r="K112" s="273">
        <v>10</v>
      </c>
      <c r="L112" s="270"/>
      <c r="M112" s="270"/>
      <c r="N112" s="270"/>
      <c r="O112" s="209"/>
      <c r="P112" s="293">
        <v>0.9</v>
      </c>
      <c r="Q112" s="320"/>
      <c r="R112" s="298"/>
      <c r="S112" s="271"/>
      <c r="T112" s="271"/>
      <c r="U112" s="271"/>
      <c r="V112" s="271"/>
      <c r="W112" s="241"/>
      <c r="X112" s="241"/>
      <c r="Y112" s="241"/>
      <c r="Z112" s="241"/>
    </row>
    <row r="113" spans="1:22">
      <c r="C113" s="173"/>
      <c r="D113" s="64"/>
      <c r="E113" s="239" t="s">
        <v>1274</v>
      </c>
      <c r="G113" s="176"/>
      <c r="H113" s="273">
        <v>2020</v>
      </c>
      <c r="I113" s="274"/>
      <c r="J113" s="274"/>
      <c r="K113" s="274"/>
      <c r="L113" s="61"/>
      <c r="M113" s="61"/>
      <c r="N113" s="61"/>
      <c r="O113" s="61"/>
      <c r="P113" s="294"/>
      <c r="Q113" s="315"/>
      <c r="R113" s="297"/>
      <c r="S113" s="61"/>
      <c r="T113" s="61"/>
      <c r="U113" s="61"/>
      <c r="V113" s="61"/>
    </row>
    <row r="114" spans="1:22">
      <c r="E114" s="239" t="s">
        <v>1274</v>
      </c>
      <c r="G114" s="176"/>
      <c r="H114" s="273">
        <v>2030</v>
      </c>
      <c r="I114" s="274"/>
      <c r="J114" s="274"/>
      <c r="K114" s="274"/>
      <c r="L114" s="61"/>
      <c r="M114" s="61"/>
      <c r="N114" s="61"/>
      <c r="O114" s="61"/>
      <c r="P114" s="294"/>
      <c r="Q114" s="315"/>
      <c r="R114" s="297"/>
      <c r="S114" s="61"/>
      <c r="T114" s="61"/>
      <c r="U114" s="61"/>
      <c r="V114" s="61"/>
    </row>
    <row r="115" spans="1:22">
      <c r="C115" s="211"/>
      <c r="D115" s="211"/>
      <c r="E115" s="239" t="s">
        <v>1274</v>
      </c>
      <c r="F115" s="211"/>
      <c r="G115" s="283"/>
      <c r="H115" s="273">
        <v>2050</v>
      </c>
      <c r="I115" s="274"/>
      <c r="J115" s="274"/>
      <c r="K115" s="274"/>
      <c r="L115" s="61"/>
      <c r="M115" s="61"/>
      <c r="N115" s="61"/>
      <c r="O115" s="61"/>
      <c r="P115" s="294"/>
      <c r="Q115" s="315"/>
      <c r="R115" s="297"/>
      <c r="S115" s="61"/>
      <c r="T115" s="61"/>
      <c r="U115" s="61"/>
      <c r="V115" s="61"/>
    </row>
    <row r="116" spans="1:22">
      <c r="A116" s="241"/>
      <c r="C116" s="223" t="str">
        <f>"IND"&amp;RIGHT(G116,4)&amp;"DSL"&amp;"N"&amp;RIGHT(D116,1)</f>
        <v>INDUDTFDSLN1</v>
      </c>
      <c r="D116" s="239" t="str">
        <f>"Industry "&amp;$AD$4&amp;" "&amp;RIGHT(G116,2)&amp;" Tractors, Trucks, Fishing boats - New 1"</f>
        <v>Industry Public Service TF Tractors, Trucks, Fishing boats - New 1</v>
      </c>
      <c r="E116" s="239" t="s">
        <v>1274</v>
      </c>
      <c r="F116" s="55" t="s">
        <v>569</v>
      </c>
      <c r="G116" s="177" t="str">
        <f>AC11</f>
        <v>IUDTF</v>
      </c>
      <c r="H116" s="81">
        <v>2011</v>
      </c>
      <c r="I116" s="81">
        <v>2011</v>
      </c>
      <c r="J116" s="273">
        <v>1</v>
      </c>
      <c r="K116" s="273">
        <v>10</v>
      </c>
      <c r="L116" s="270"/>
      <c r="M116" s="270"/>
      <c r="N116" s="270"/>
      <c r="O116" s="209"/>
      <c r="P116" s="293">
        <v>0.9</v>
      </c>
      <c r="Q116" s="320"/>
      <c r="R116" s="55"/>
      <c r="S116" s="55"/>
      <c r="T116" s="55"/>
      <c r="U116" s="55"/>
      <c r="V116" s="55"/>
    </row>
    <row r="117" spans="1:22">
      <c r="C117" s="55"/>
      <c r="D117" s="55"/>
      <c r="E117" s="239" t="s">
        <v>1274</v>
      </c>
      <c r="F117" s="55"/>
      <c r="G117" s="177"/>
      <c r="H117" s="273">
        <v>2020</v>
      </c>
      <c r="I117" s="273"/>
      <c r="J117" s="273"/>
      <c r="K117" s="273"/>
      <c r="L117" s="270"/>
      <c r="M117" s="270"/>
      <c r="N117" s="270"/>
      <c r="O117" s="209"/>
      <c r="P117" s="293"/>
      <c r="Q117" s="243"/>
      <c r="R117" s="55"/>
      <c r="S117" s="55"/>
      <c r="T117" s="55"/>
      <c r="U117" s="55"/>
      <c r="V117" s="55"/>
    </row>
    <row r="118" spans="1:22">
      <c r="C118" s="55"/>
      <c r="D118" s="55"/>
      <c r="E118" s="239" t="s">
        <v>1274</v>
      </c>
      <c r="F118" s="55"/>
      <c r="H118" s="273">
        <v>2030</v>
      </c>
      <c r="I118" s="273"/>
      <c r="J118" s="273"/>
      <c r="K118" s="273"/>
      <c r="L118" s="270"/>
      <c r="M118" s="270"/>
      <c r="N118" s="270"/>
      <c r="O118" s="209"/>
      <c r="P118" s="293"/>
      <c r="Q118" s="243"/>
      <c r="R118" s="55"/>
      <c r="S118" s="55"/>
      <c r="T118" s="55"/>
      <c r="U118" s="55"/>
      <c r="V118" s="55"/>
    </row>
    <row r="119" spans="1:22">
      <c r="C119" s="55"/>
      <c r="D119" s="55"/>
      <c r="E119" s="239" t="s">
        <v>1274</v>
      </c>
      <c r="F119" s="55"/>
      <c r="H119" s="273">
        <v>2050</v>
      </c>
      <c r="I119" s="273"/>
      <c r="J119" s="273"/>
      <c r="K119" s="273"/>
      <c r="L119" s="270"/>
      <c r="M119" s="270"/>
      <c r="N119" s="270"/>
      <c r="O119" s="209"/>
      <c r="P119" s="293"/>
      <c r="Q119" s="243"/>
      <c r="R119" s="55"/>
      <c r="S119" s="55"/>
      <c r="T119" s="55"/>
      <c r="U119" s="55"/>
      <c r="V119" s="55"/>
    </row>
    <row r="120" spans="1:22">
      <c r="A120" s="241"/>
      <c r="C120" s="223" t="str">
        <f>"IND"&amp;RIGHT(G120,4)&amp;"GAS"&amp;"N"&amp;RIGHT(D120,1)</f>
        <v>INDUDFLGASN1</v>
      </c>
      <c r="D120" s="239" t="str">
        <f>"Industry "&amp;$AD$4&amp;" "&amp;RIGHT(G116,2)&amp;" Forklifts - New 1"</f>
        <v>Industry Public Service TF Forklifts - New 1</v>
      </c>
      <c r="E120" s="239" t="s">
        <v>1274</v>
      </c>
      <c r="F120" s="55" t="s">
        <v>653</v>
      </c>
      <c r="G120" s="239" t="str">
        <f>AC12</f>
        <v>IUDFL</v>
      </c>
      <c r="H120" s="81">
        <v>2011</v>
      </c>
      <c r="I120" s="81">
        <v>2011</v>
      </c>
      <c r="J120" s="273">
        <v>1</v>
      </c>
      <c r="K120" s="273">
        <v>10</v>
      </c>
      <c r="L120" s="270"/>
      <c r="M120" s="270"/>
      <c r="N120" s="270"/>
      <c r="O120" s="209"/>
      <c r="P120" s="293">
        <v>0.9</v>
      </c>
      <c r="Q120" s="243"/>
      <c r="R120" s="55"/>
      <c r="S120" s="55"/>
      <c r="T120" s="55"/>
      <c r="U120" s="55"/>
      <c r="V120" s="55"/>
    </row>
    <row r="121" spans="1:22">
      <c r="C121" s="55"/>
      <c r="D121" s="55"/>
      <c r="E121" s="239" t="s">
        <v>1274</v>
      </c>
      <c r="F121" s="55"/>
      <c r="G121" s="177"/>
      <c r="H121" s="273">
        <v>2020</v>
      </c>
      <c r="I121" s="273"/>
      <c r="J121" s="273"/>
      <c r="K121" s="274"/>
      <c r="L121" s="61"/>
      <c r="M121" s="61"/>
      <c r="N121" s="61"/>
      <c r="O121" s="61"/>
      <c r="P121" s="294"/>
      <c r="Q121" s="55"/>
      <c r="R121" s="55"/>
      <c r="S121" s="55"/>
      <c r="T121" s="55"/>
      <c r="U121" s="55"/>
      <c r="V121" s="55"/>
    </row>
    <row r="122" spans="1:22">
      <c r="C122" s="55"/>
      <c r="D122" s="55"/>
      <c r="E122" s="239" t="s">
        <v>1274</v>
      </c>
      <c r="F122" s="55"/>
      <c r="H122" s="273">
        <v>2030</v>
      </c>
      <c r="I122" s="273"/>
      <c r="J122" s="273"/>
      <c r="K122" s="274"/>
      <c r="L122" s="61"/>
      <c r="M122" s="61"/>
      <c r="N122" s="61"/>
      <c r="O122" s="61"/>
      <c r="P122" s="294"/>
      <c r="Q122" s="55"/>
      <c r="R122" s="55"/>
      <c r="S122" s="55"/>
      <c r="T122" s="55"/>
      <c r="U122" s="55"/>
      <c r="V122" s="55"/>
    </row>
    <row r="123" spans="1:22">
      <c r="C123" s="55"/>
      <c r="D123" s="55"/>
      <c r="E123" s="239" t="s">
        <v>1274</v>
      </c>
      <c r="F123" s="55"/>
      <c r="G123" s="177"/>
      <c r="H123" s="273">
        <v>2050</v>
      </c>
      <c r="I123" s="273"/>
      <c r="J123" s="273"/>
      <c r="K123" s="274"/>
      <c r="L123" s="61"/>
      <c r="M123" s="61"/>
      <c r="N123" s="61"/>
      <c r="O123" s="61"/>
      <c r="P123" s="294"/>
      <c r="Q123" s="55"/>
      <c r="R123" s="55"/>
      <c r="S123" s="55"/>
      <c r="T123" s="55"/>
      <c r="U123" s="55"/>
      <c r="V123" s="55"/>
    </row>
    <row r="125" spans="1:22">
      <c r="A125" s="172"/>
      <c r="B125" s="218" t="s">
        <v>467</v>
      </c>
      <c r="C125" s="219"/>
      <c r="D125" s="219"/>
      <c r="E125" s="219"/>
      <c r="F125" s="219"/>
      <c r="G125" s="219"/>
      <c r="H125" s="219"/>
      <c r="I125" s="219"/>
    </row>
    <row r="126" spans="1:22">
      <c r="A126" s="172"/>
      <c r="B126" s="220" t="s">
        <v>466</v>
      </c>
      <c r="C126" s="220" t="s">
        <v>425</v>
      </c>
      <c r="D126" s="220" t="s">
        <v>465</v>
      </c>
      <c r="E126" s="220" t="s">
        <v>464</v>
      </c>
      <c r="F126" s="220" t="s">
        <v>463</v>
      </c>
      <c r="G126" s="220" t="s">
        <v>462</v>
      </c>
      <c r="H126" s="220" t="s">
        <v>461</v>
      </c>
      <c r="I126" s="220" t="s">
        <v>460</v>
      </c>
    </row>
    <row r="127" spans="1:22" ht="15" customHeight="1" thickBot="1">
      <c r="A127" s="172"/>
      <c r="B127" s="221" t="s">
        <v>459</v>
      </c>
      <c r="C127" s="221" t="s">
        <v>458</v>
      </c>
      <c r="D127" s="221" t="s">
        <v>457</v>
      </c>
      <c r="E127" s="221" t="s">
        <v>456</v>
      </c>
      <c r="F127" s="221" t="s">
        <v>455</v>
      </c>
      <c r="G127" s="221" t="s">
        <v>454</v>
      </c>
      <c r="H127" s="221" t="s">
        <v>453</v>
      </c>
      <c r="I127" s="221" t="s">
        <v>452</v>
      </c>
    </row>
    <row r="128" spans="1:22">
      <c r="A128" s="172"/>
      <c r="B128" s="222" t="s">
        <v>505</v>
      </c>
      <c r="C128" s="223" t="str">
        <f>C6</f>
        <v>INDUDHTGASN1</v>
      </c>
      <c r="D128" s="223" t="str">
        <f>D6</f>
        <v>Industrial heating technology Public Service HT - gas boiler - new 1</v>
      </c>
      <c r="E128" s="222" t="s">
        <v>450</v>
      </c>
      <c r="F128" s="222" t="s">
        <v>449</v>
      </c>
      <c r="G128" s="224"/>
      <c r="H128" s="219"/>
      <c r="I128" s="219" t="s">
        <v>469</v>
      </c>
    </row>
    <row r="129" spans="1:14">
      <c r="A129" s="172"/>
      <c r="B129" s="222"/>
      <c r="C129" s="223" t="str">
        <f>C10</f>
        <v>INDUDMTGASN1</v>
      </c>
      <c r="D129" s="223" t="str">
        <f>D10</f>
        <v>Industrial heating technology Public Service MT - gas boiler - new 1</v>
      </c>
      <c r="E129" s="279" t="s">
        <v>450</v>
      </c>
      <c r="F129" s="279" t="s">
        <v>449</v>
      </c>
      <c r="G129" s="280"/>
      <c r="H129" s="281"/>
      <c r="I129" s="281" t="s">
        <v>469</v>
      </c>
    </row>
    <row r="130" spans="1:14">
      <c r="A130" s="172"/>
      <c r="B130" s="222"/>
      <c r="C130" s="223" t="str">
        <f>C14</f>
        <v>INDUDRHGASN1</v>
      </c>
      <c r="D130" s="223" t="str">
        <f>D14</f>
        <v>Industrial heating technology Public Service RH - gas boiler - new 1</v>
      </c>
      <c r="E130" s="279" t="s">
        <v>450</v>
      </c>
      <c r="F130" s="279" t="s">
        <v>449</v>
      </c>
      <c r="G130" s="280"/>
      <c r="H130" s="281"/>
      <c r="I130" s="281" t="s">
        <v>469</v>
      </c>
    </row>
    <row r="131" spans="1:14">
      <c r="A131" s="172"/>
      <c r="B131" s="222"/>
      <c r="C131" s="223" t="str">
        <f>C18</f>
        <v>INDUDRHDSLN1</v>
      </c>
      <c r="D131" s="223" t="str">
        <f>D18</f>
        <v>Industrial heating technology Public Service RH - oil boiler - new 1</v>
      </c>
      <c r="E131" s="279" t="s">
        <v>450</v>
      </c>
      <c r="F131" s="279" t="s">
        <v>449</v>
      </c>
      <c r="G131" s="280"/>
      <c r="H131" s="281"/>
      <c r="I131" s="281" t="s">
        <v>469</v>
      </c>
    </row>
    <row r="132" spans="1:14">
      <c r="A132" s="172"/>
      <c r="B132" s="222"/>
      <c r="C132" s="223" t="str">
        <f>C22</f>
        <v>INDUDMTDSLN1</v>
      </c>
      <c r="D132" s="223" t="str">
        <f>D22</f>
        <v>Industrial heating technology Public Service MT - oil boiler - new 1</v>
      </c>
      <c r="E132" s="279" t="s">
        <v>450</v>
      </c>
      <c r="F132" s="279" t="s">
        <v>449</v>
      </c>
      <c r="G132" s="280"/>
      <c r="H132" s="281"/>
      <c r="I132" s="281" t="s">
        <v>469</v>
      </c>
    </row>
    <row r="133" spans="1:14">
      <c r="A133" s="172"/>
      <c r="B133" s="222"/>
      <c r="C133" s="223" t="str">
        <f>C26</f>
        <v>INDUDHTDSLN1</v>
      </c>
      <c r="D133" s="223" t="str">
        <f>D26</f>
        <v>Industrial heating technology Public Service HT - oil boiler - new 1</v>
      </c>
      <c r="E133" s="279" t="s">
        <v>450</v>
      </c>
      <c r="F133" s="279" t="s">
        <v>449</v>
      </c>
      <c r="G133" s="280"/>
      <c r="H133" s="281"/>
      <c r="I133" s="281" t="s">
        <v>469</v>
      </c>
    </row>
    <row r="134" spans="1:14">
      <c r="A134" s="172"/>
      <c r="B134" s="222"/>
      <c r="C134" s="223" t="str">
        <f>C30</f>
        <v>INDUDRHWPEN1</v>
      </c>
      <c r="D134" s="223" t="str">
        <f>D30</f>
        <v>Industrial heating technology Public Service RH - biomass boiler automatic stoking, Pellets - new 1</v>
      </c>
      <c r="E134" s="279" t="s">
        <v>450</v>
      </c>
      <c r="F134" s="279" t="s">
        <v>449</v>
      </c>
      <c r="G134" s="280"/>
      <c r="H134" s="281"/>
      <c r="I134" s="281" t="s">
        <v>469</v>
      </c>
    </row>
    <row r="135" spans="1:14">
      <c r="A135" s="172"/>
      <c r="B135" s="222"/>
      <c r="C135" s="223" t="str">
        <f>C34</f>
        <v>INDUDHTWPEN1</v>
      </c>
      <c r="D135" s="223" t="str">
        <f>D34</f>
        <v>Industrial heating technology Public Service HT - biomass boiler automatic stoking, Pellets - new 1</v>
      </c>
      <c r="E135" s="279" t="s">
        <v>450</v>
      </c>
      <c r="F135" s="279" t="s">
        <v>449</v>
      </c>
      <c r="G135" s="280"/>
      <c r="H135" s="281"/>
      <c r="I135" s="281" t="s">
        <v>469</v>
      </c>
    </row>
    <row r="136" spans="1:14">
      <c r="A136" s="172"/>
      <c r="B136" s="222"/>
      <c r="C136" s="223" t="str">
        <f>C38</f>
        <v>INDUDMTWPEN1</v>
      </c>
      <c r="D136" s="223" t="str">
        <f>D38</f>
        <v>Industrial heating technology Public Service MT - biomass boiler automatic stoking, Pellets - new 1</v>
      </c>
      <c r="E136" s="279" t="s">
        <v>450</v>
      </c>
      <c r="F136" s="279" t="s">
        <v>449</v>
      </c>
      <c r="G136" s="280"/>
      <c r="H136" s="281"/>
      <c r="I136" s="281" t="s">
        <v>469</v>
      </c>
    </row>
    <row r="137" spans="1:14">
      <c r="A137" s="172"/>
      <c r="B137" s="222"/>
      <c r="C137" s="223" t="str">
        <f>C42</f>
        <v>INDUDRHWCHN1</v>
      </c>
      <c r="D137" s="223" t="str">
        <f>D42</f>
        <v>Industrial heating technology Public Service RH - Wood Chips boiler, Pellets - new 1</v>
      </c>
      <c r="E137" s="279" t="s">
        <v>450</v>
      </c>
      <c r="F137" s="279" t="s">
        <v>449</v>
      </c>
      <c r="G137" s="280"/>
      <c r="H137" s="281"/>
      <c r="I137" s="281" t="s">
        <v>469</v>
      </c>
    </row>
    <row r="138" spans="1:14">
      <c r="A138" s="172"/>
      <c r="B138" s="222"/>
      <c r="C138" s="223" t="str">
        <f>C46</f>
        <v>INDUDHTWCHN1</v>
      </c>
      <c r="D138" s="223" t="str">
        <f>D46</f>
        <v>Industrial heating technology Public Service HT - Wood Chips boiler, Pellets - new 1</v>
      </c>
      <c r="E138" s="279" t="s">
        <v>450</v>
      </c>
      <c r="F138" s="279" t="s">
        <v>449</v>
      </c>
      <c r="G138" s="280"/>
      <c r="H138" s="281"/>
      <c r="I138" s="281" t="s">
        <v>469</v>
      </c>
    </row>
    <row r="139" spans="1:14">
      <c r="A139" s="172"/>
      <c r="B139" s="222"/>
      <c r="C139" s="223" t="str">
        <f>C50</f>
        <v>INDUDMTWCHN1</v>
      </c>
      <c r="D139" s="223" t="str">
        <f>D50</f>
        <v>Industrial heating technology Public Service MT - Wood Chips boiler, Pellets - new 1</v>
      </c>
      <c r="E139" s="279" t="s">
        <v>450</v>
      </c>
      <c r="F139" s="279" t="s">
        <v>449</v>
      </c>
      <c r="G139" s="280"/>
      <c r="H139" s="281"/>
      <c r="I139" s="281" t="s">
        <v>469</v>
      </c>
    </row>
    <row r="140" spans="1:14">
      <c r="A140" s="172"/>
      <c r="B140" s="222"/>
      <c r="C140" s="223" t="str">
        <f>C54</f>
        <v>INDUDHTELCN1</v>
      </c>
      <c r="D140" s="223" t="str">
        <f>D54</f>
        <v>Industrial heating technology Public Service HT - direct eletrical heating - new 1</v>
      </c>
      <c r="E140" s="279" t="s">
        <v>450</v>
      </c>
      <c r="F140" s="279" t="s">
        <v>449</v>
      </c>
      <c r="G140" s="280"/>
      <c r="H140" s="281"/>
      <c r="I140" s="281" t="s">
        <v>469</v>
      </c>
      <c r="N140" s="176"/>
    </row>
    <row r="141" spans="1:14">
      <c r="A141" s="172"/>
      <c r="B141" s="222"/>
      <c r="C141" s="223" t="str">
        <f>C58</f>
        <v>INDUDMTELCN1</v>
      </c>
      <c r="D141" s="223" t="str">
        <f>D58</f>
        <v>Industrial heating technology Public Service MT - direct eletrical heating - new 1</v>
      </c>
      <c r="E141" s="279" t="s">
        <v>450</v>
      </c>
      <c r="F141" s="279" t="s">
        <v>449</v>
      </c>
      <c r="G141" s="280"/>
      <c r="H141" s="281"/>
      <c r="I141" s="281" t="s">
        <v>469</v>
      </c>
      <c r="N141" s="176"/>
    </row>
    <row r="142" spans="1:14">
      <c r="A142" s="172"/>
      <c r="B142" s="222"/>
      <c r="C142" s="223" t="str">
        <f>C62</f>
        <v>INDUDRHELCN1</v>
      </c>
      <c r="D142" s="223" t="str">
        <f>D62</f>
        <v>Industrial heating technology Public Service RH - direct eletrical heating - new 1</v>
      </c>
      <c r="E142" s="279" t="s">
        <v>450</v>
      </c>
      <c r="F142" s="279" t="s">
        <v>449</v>
      </c>
      <c r="G142" s="280"/>
      <c r="H142" s="281"/>
      <c r="I142" s="281" t="s">
        <v>469</v>
      </c>
      <c r="N142" s="176"/>
    </row>
    <row r="143" spans="1:14">
      <c r="A143" s="172"/>
      <c r="B143" s="222"/>
      <c r="C143" s="223" t="str">
        <f>C66</f>
        <v>INDUDRHELCN2</v>
      </c>
      <c r="D143" s="223" t="str">
        <f>D66</f>
        <v>Industrial heating technology Public Service RH - Heat pump, air-to-air - new 2</v>
      </c>
      <c r="E143" s="279" t="s">
        <v>450</v>
      </c>
      <c r="F143" s="279" t="s">
        <v>449</v>
      </c>
      <c r="G143" s="280"/>
      <c r="H143" s="281"/>
      <c r="I143" s="281" t="s">
        <v>469</v>
      </c>
      <c r="N143" s="176"/>
    </row>
    <row r="144" spans="1:14">
      <c r="A144" s="172"/>
      <c r="B144" s="222"/>
      <c r="C144" s="223" t="str">
        <f>C70</f>
        <v>INDUDRHELCN3</v>
      </c>
      <c r="D144" s="223" t="str">
        <f>D70</f>
        <v>Industrial heating technology Public Service RH - Heat pump, air-to-water - new 3</v>
      </c>
      <c r="E144" s="279" t="s">
        <v>450</v>
      </c>
      <c r="F144" s="279" t="s">
        <v>449</v>
      </c>
      <c r="G144" s="280"/>
      <c r="H144" s="281"/>
      <c r="I144" s="281" t="s">
        <v>469</v>
      </c>
      <c r="K144" s="174"/>
      <c r="L144" s="174"/>
      <c r="N144" s="176"/>
    </row>
    <row r="145" spans="1:14">
      <c r="A145" s="172"/>
      <c r="B145" s="222"/>
      <c r="C145" s="223" t="str">
        <f>C74</f>
        <v>INDUDRHELCN4</v>
      </c>
      <c r="D145" s="223" t="str">
        <f>D74</f>
        <v>Industrial heating technology Public Service RH - Heat pump, brine-to-water - new 4</v>
      </c>
      <c r="E145" s="279" t="s">
        <v>450</v>
      </c>
      <c r="F145" s="279" t="s">
        <v>449</v>
      </c>
      <c r="G145" s="280"/>
      <c r="H145" s="281"/>
      <c r="I145" s="281" t="s">
        <v>469</v>
      </c>
      <c r="K145" s="174"/>
      <c r="L145" s="174"/>
      <c r="N145" s="176"/>
    </row>
    <row r="146" spans="1:14">
      <c r="A146" s="172"/>
      <c r="B146" s="222"/>
      <c r="C146" s="223" t="str">
        <f>C78</f>
        <v>INDUDRHSOLN1</v>
      </c>
      <c r="D146" s="223" t="str">
        <f>D78</f>
        <v>Industrial heating technology Public Service RH - solar - new 1</v>
      </c>
      <c r="E146" s="279" t="s">
        <v>450</v>
      </c>
      <c r="F146" s="279" t="s">
        <v>449</v>
      </c>
      <c r="G146" s="280" t="s">
        <v>665</v>
      </c>
      <c r="H146" s="281"/>
      <c r="I146" s="281" t="s">
        <v>469</v>
      </c>
      <c r="K146" s="174"/>
      <c r="L146" s="174"/>
      <c r="N146" s="176"/>
    </row>
    <row r="147" spans="1:14">
      <c r="A147" s="172"/>
      <c r="B147" s="223"/>
      <c r="C147" s="223" t="str">
        <f>C82</f>
        <v>INDUDRHGASN2</v>
      </c>
      <c r="D147" s="223" t="str">
        <f>D82</f>
        <v>Industrial heating technology Public Service RH - Heat pump,gas absorption, air-to-water - new 2</v>
      </c>
      <c r="E147" s="279" t="s">
        <v>450</v>
      </c>
      <c r="F147" s="279" t="s">
        <v>449</v>
      </c>
      <c r="G147" s="280"/>
      <c r="H147" s="281"/>
      <c r="I147" s="281" t="s">
        <v>469</v>
      </c>
    </row>
    <row r="148" spans="1:14">
      <c r="A148" s="172"/>
      <c r="B148" s="223"/>
      <c r="C148" s="223" t="str">
        <f>C86</f>
        <v>INDUDRHGASN3</v>
      </c>
      <c r="D148" s="223" t="str">
        <f>D86</f>
        <v>Industrial heating technology Public Service RH - Heat pump,gas absorption, brine-to-water - new 3</v>
      </c>
      <c r="E148" s="279" t="s">
        <v>450</v>
      </c>
      <c r="F148" s="279" t="s">
        <v>449</v>
      </c>
      <c r="G148" s="278"/>
      <c r="H148" s="278"/>
      <c r="I148" s="281" t="s">
        <v>469</v>
      </c>
    </row>
    <row r="149" spans="1:14">
      <c r="A149" s="172"/>
      <c r="B149" s="223"/>
      <c r="C149" s="223" t="str">
        <f>C90</f>
        <v>INDUDRHGASN4</v>
      </c>
      <c r="D149" s="223" t="str">
        <f>D90</f>
        <v>Industrial heating technology Public Service RH - Heat pump,gas engine, air-to-water - new 4</v>
      </c>
      <c r="E149" s="279" t="s">
        <v>450</v>
      </c>
      <c r="F149" s="279" t="s">
        <v>449</v>
      </c>
      <c r="G149" s="278"/>
      <c r="H149" s="278"/>
      <c r="I149" s="281" t="s">
        <v>469</v>
      </c>
    </row>
    <row r="150" spans="1:14">
      <c r="A150" s="172"/>
      <c r="B150" s="223"/>
      <c r="C150" s="223" t="str">
        <f>C94</f>
        <v>INDUDRHGASN5</v>
      </c>
      <c r="D150" s="223" t="str">
        <f>D94</f>
        <v>Industrial heating technology Public Service RH - Heat pump,gas engine, brine-to-water - new 5</v>
      </c>
      <c r="E150" s="279" t="s">
        <v>450</v>
      </c>
      <c r="F150" s="279" t="s">
        <v>449</v>
      </c>
      <c r="G150" s="278"/>
      <c r="H150" s="278"/>
      <c r="I150" s="281" t="s">
        <v>469</v>
      </c>
    </row>
    <row r="151" spans="1:14">
      <c r="A151" s="172"/>
      <c r="B151" s="223"/>
      <c r="C151" s="223" t="str">
        <f>C98</f>
        <v>INDUDRHGASN6</v>
      </c>
      <c r="D151" s="223" t="str">
        <f>D98</f>
        <v>Industrial heating technology Public Service RH - Heat pump,gas adsoption, air-to-water - new 6</v>
      </c>
      <c r="E151" s="279" t="s">
        <v>450</v>
      </c>
      <c r="F151" s="279" t="s">
        <v>449</v>
      </c>
      <c r="G151" s="278"/>
      <c r="H151" s="278"/>
      <c r="I151" s="281" t="s">
        <v>469</v>
      </c>
    </row>
    <row r="152" spans="1:14">
      <c r="A152" s="172"/>
      <c r="B152" s="223"/>
      <c r="C152" s="223" t="str">
        <f t="shared" ref="C152:D155" si="17">C103</f>
        <v>INDUDRHHCEN1</v>
      </c>
      <c r="D152" s="223" t="str">
        <f t="shared" si="17"/>
        <v>Industrial heating technology Public Service RH - central district heating - within DH area - new 1</v>
      </c>
      <c r="E152" s="279" t="s">
        <v>450</v>
      </c>
      <c r="F152" s="279" t="s">
        <v>449</v>
      </c>
      <c r="G152" s="278"/>
      <c r="H152" s="278"/>
      <c r="I152" s="281" t="s">
        <v>469</v>
      </c>
    </row>
    <row r="153" spans="1:14">
      <c r="A153" s="172"/>
      <c r="B153" s="223"/>
      <c r="C153" s="223" t="str">
        <f t="shared" si="17"/>
        <v>INDUDMTHCEN1</v>
      </c>
      <c r="D153" s="223" t="str">
        <f t="shared" si="17"/>
        <v>Industrial heating technology Public Service MT - central district heating - within DH area - new 1</v>
      </c>
      <c r="E153" s="279" t="s">
        <v>450</v>
      </c>
      <c r="F153" s="279" t="s">
        <v>449</v>
      </c>
      <c r="G153" s="278"/>
      <c r="H153" s="278"/>
      <c r="I153" s="281" t="s">
        <v>469</v>
      </c>
    </row>
    <row r="154" spans="1:14">
      <c r="A154" s="172"/>
      <c r="B154" s="223"/>
      <c r="C154" s="223" t="str">
        <f t="shared" si="17"/>
        <v>INDUDRHHDEN1</v>
      </c>
      <c r="D154" s="223" t="str">
        <f t="shared" si="17"/>
        <v>Industrial heating technology Public Service RH - decentral district heating - within DH area - new 1</v>
      </c>
      <c r="E154" s="279" t="s">
        <v>450</v>
      </c>
      <c r="F154" s="279" t="s">
        <v>449</v>
      </c>
      <c r="G154" s="278"/>
      <c r="H154" s="278"/>
      <c r="I154" s="281" t="s">
        <v>469</v>
      </c>
    </row>
    <row r="155" spans="1:14">
      <c r="A155" s="172"/>
      <c r="B155" s="223"/>
      <c r="C155" s="223" t="str">
        <f t="shared" si="17"/>
        <v>INDUDMTHDEN1</v>
      </c>
      <c r="D155" s="223" t="str">
        <f t="shared" si="17"/>
        <v>Industrial heating technology Public Service MT - decentral district heating - within DH area - new 1</v>
      </c>
      <c r="E155" s="279" t="s">
        <v>450</v>
      </c>
      <c r="F155" s="279" t="s">
        <v>449</v>
      </c>
      <c r="G155" s="278"/>
      <c r="H155" s="278"/>
      <c r="I155" s="281" t="s">
        <v>469</v>
      </c>
    </row>
    <row r="156" spans="1:14">
      <c r="A156" s="172"/>
      <c r="B156" s="223"/>
      <c r="C156" s="223" t="str">
        <f>C108</f>
        <v>INDUDLAELCN1</v>
      </c>
      <c r="D156" s="223" t="str">
        <f>D108</f>
        <v>Industry Public Service LA Electricity Light Appliance - New 1</v>
      </c>
      <c r="E156" s="279" t="s">
        <v>450</v>
      </c>
      <c r="F156" s="279" t="s">
        <v>449</v>
      </c>
      <c r="G156" s="278"/>
      <c r="H156" s="278"/>
      <c r="I156" s="281" t="s">
        <v>469</v>
      </c>
    </row>
    <row r="157" spans="1:14">
      <c r="A157" s="172"/>
      <c r="B157" s="223"/>
      <c r="C157" s="223" t="str">
        <f>C112</f>
        <v>INDUDEMELCN1</v>
      </c>
      <c r="D157" s="223" t="str">
        <f>D112</f>
        <v>Industry Public Service EM Electricity Motors - New 1</v>
      </c>
      <c r="E157" s="279" t="s">
        <v>450</v>
      </c>
      <c r="F157" s="279" t="s">
        <v>449</v>
      </c>
      <c r="G157" s="278"/>
      <c r="H157" s="278"/>
      <c r="I157" s="281" t="s">
        <v>469</v>
      </c>
    </row>
    <row r="158" spans="1:14">
      <c r="A158" s="172"/>
      <c r="B158" s="223"/>
      <c r="C158" s="223" t="str">
        <f>C116</f>
        <v>INDUDTFDSLN1</v>
      </c>
      <c r="D158" s="223" t="str">
        <f>D116</f>
        <v>Industry Public Service TF Tractors, Trucks, Fishing boats - New 1</v>
      </c>
      <c r="E158" s="279" t="s">
        <v>450</v>
      </c>
      <c r="F158" s="279" t="s">
        <v>449</v>
      </c>
      <c r="G158" s="278"/>
      <c r="H158" s="278"/>
      <c r="I158" s="281" t="s">
        <v>469</v>
      </c>
    </row>
    <row r="159" spans="1:14">
      <c r="A159" s="172"/>
      <c r="B159" s="223"/>
      <c r="C159" s="223" t="str">
        <f>C120</f>
        <v>INDUDFLGASN1</v>
      </c>
      <c r="D159" s="223" t="str">
        <f>D120</f>
        <v>Industry Public Service TF Forklifts - New 1</v>
      </c>
      <c r="E159" s="279" t="s">
        <v>450</v>
      </c>
      <c r="F159" s="279" t="s">
        <v>449</v>
      </c>
      <c r="G159" s="278"/>
      <c r="H159" s="278"/>
      <c r="I159" s="281" t="s">
        <v>469</v>
      </c>
    </row>
    <row r="160" spans="1:14">
      <c r="A160" s="172"/>
      <c r="C160" s="223"/>
      <c r="D160" s="223"/>
    </row>
    <row r="161" spans="1:9">
      <c r="A161" s="225" t="s">
        <v>448</v>
      </c>
      <c r="B161" s="225"/>
      <c r="C161" s="226"/>
      <c r="D161" s="226"/>
      <c r="E161" s="226"/>
      <c r="F161" s="226"/>
      <c r="G161" s="226"/>
      <c r="H161" s="226"/>
      <c r="I161" s="226"/>
    </row>
    <row r="162" spans="1:9">
      <c r="A162" s="220" t="s">
        <v>447</v>
      </c>
      <c r="B162" s="220" t="s">
        <v>446</v>
      </c>
      <c r="C162" s="220" t="s">
        <v>445</v>
      </c>
      <c r="D162" s="220" t="s">
        <v>444</v>
      </c>
      <c r="E162" s="220" t="s">
        <v>435</v>
      </c>
      <c r="F162" s="220" t="s">
        <v>443</v>
      </c>
      <c r="G162" s="220" t="s">
        <v>442</v>
      </c>
      <c r="H162" s="220" t="s">
        <v>441</v>
      </c>
      <c r="I162" s="220" t="s">
        <v>440</v>
      </c>
    </row>
    <row r="163" spans="1:9" ht="31.2" thickBot="1">
      <c r="A163" s="227" t="s">
        <v>439</v>
      </c>
      <c r="B163" s="228" t="s">
        <v>438</v>
      </c>
      <c r="C163" s="228" t="s">
        <v>437</v>
      </c>
      <c r="D163" s="228" t="s">
        <v>436</v>
      </c>
      <c r="E163" s="228" t="s">
        <v>435</v>
      </c>
      <c r="F163" s="228" t="s">
        <v>434</v>
      </c>
      <c r="G163" s="228" t="s">
        <v>433</v>
      </c>
      <c r="H163" s="228" t="s">
        <v>432</v>
      </c>
      <c r="I163" s="228" t="s">
        <v>431</v>
      </c>
    </row>
    <row r="164" spans="1:9">
      <c r="A164" s="229" t="s">
        <v>430</v>
      </c>
      <c r="B164" s="230"/>
      <c r="C164" s="277" t="str">
        <f>"I"&amp;LEFT($AD$4,1)&amp;"DSOx"</f>
        <v>IPDSOx</v>
      </c>
      <c r="D164" s="287" t="str">
        <f>"Industrial heating  heating technology "&amp;$AD$4&amp;" - SOx emission"</f>
        <v>Industrial heating  heating technology Public Service - SOx emission</v>
      </c>
      <c r="E164" s="231" t="s">
        <v>352</v>
      </c>
      <c r="F164" s="222"/>
      <c r="G164" s="222"/>
      <c r="H164" s="222"/>
      <c r="I164" s="222"/>
    </row>
    <row r="165" spans="1:9">
      <c r="A165" s="226"/>
      <c r="B165" s="226"/>
      <c r="C165" s="277" t="str">
        <f>"I"&amp;LEFT($AD$4,1)&amp;"DNOx"</f>
        <v>IPDNOx</v>
      </c>
      <c r="D165" s="287" t="str">
        <f>"Industrial heating  heating technology "&amp;$AD$4&amp;" - NOx emission"</f>
        <v>Industrial heating  heating technology Public Service - NOx emission</v>
      </c>
      <c r="E165" s="231" t="s">
        <v>352</v>
      </c>
      <c r="F165" s="222"/>
      <c r="G165" s="226"/>
      <c r="H165" s="226"/>
      <c r="I165" s="226"/>
    </row>
    <row r="166" spans="1:9">
      <c r="A166" s="226"/>
      <c r="B166" s="226"/>
      <c r="C166" s="277" t="str">
        <f>"I"&amp;LEFT($AD$4,1)&amp;"DCH4"</f>
        <v>IPDCH4</v>
      </c>
      <c r="D166" s="287" t="str">
        <f>"Industrial heating  heating technology "&amp;$AD$4&amp;" - CH4 emission"</f>
        <v>Industrial heating  heating technology Public Service - CH4 emission</v>
      </c>
      <c r="E166" s="231" t="s">
        <v>352</v>
      </c>
      <c r="F166" s="222"/>
      <c r="G166" s="226"/>
      <c r="H166" s="226"/>
      <c r="I166" s="226"/>
    </row>
    <row r="167" spans="1:9">
      <c r="A167" s="226"/>
      <c r="B167" s="226"/>
      <c r="C167" s="277" t="str">
        <f>"I"&amp;LEFT($AD$4,1)&amp;"DNO2"</f>
        <v>IPDNO2</v>
      </c>
      <c r="D167" s="287" t="str">
        <f>"Industrial heating  heating technology "&amp;$AD$4&amp;" - NO2 emission"</f>
        <v>Industrial heating  heating technology Public Service - NO2 emission</v>
      </c>
      <c r="E167" s="231" t="s">
        <v>352</v>
      </c>
      <c r="F167" s="222"/>
      <c r="G167" s="226"/>
      <c r="H167" s="226"/>
      <c r="I167" s="226"/>
    </row>
    <row r="168" spans="1:9">
      <c r="A168" s="226"/>
      <c r="B168" s="226"/>
      <c r="C168" s="277" t="str">
        <f>"I"&amp;LEFT($AD$4,1)&amp;"DPM"</f>
        <v>IPDPM</v>
      </c>
      <c r="D168" s="287" t="str">
        <f>"Industrial heating  heating technology "&amp;$AD$4&amp;" - Particle emission"</f>
        <v>Industrial heating  heating technology Public Service - Particle emission</v>
      </c>
      <c r="E168" s="231" t="s">
        <v>352</v>
      </c>
      <c r="F168" s="222"/>
      <c r="G168" s="226"/>
      <c r="H168" s="226"/>
      <c r="I168" s="226"/>
    </row>
  </sheetData>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BE3B-690C-49E3-BAF7-F1473A0CF8E8}">
  <sheetPr>
    <tabColor rgb="FF00B050"/>
  </sheetPr>
  <dimension ref="A1:AP278"/>
  <sheetViews>
    <sheetView tabSelected="1" topLeftCell="A161" zoomScale="70" zoomScaleNormal="70" workbookViewId="0">
      <selection activeCell="G201" sqref="G201"/>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840</v>
      </c>
      <c r="N1" s="64"/>
      <c r="O1" s="64"/>
      <c r="P1" s="64"/>
      <c r="S1" s="787" t="s">
        <v>1129</v>
      </c>
      <c r="T1" s="836" t="s">
        <v>1128</v>
      </c>
      <c r="U1" s="835" t="s">
        <v>1178</v>
      </c>
      <c r="V1" s="836" t="s">
        <v>1179</v>
      </c>
      <c r="W1" s="840">
        <v>0.3</v>
      </c>
    </row>
    <row r="2" spans="2:42" ht="15" thickBot="1">
      <c r="E2" s="790" t="s">
        <v>521</v>
      </c>
      <c r="N2" s="791"/>
      <c r="O2" s="791"/>
      <c r="P2" s="791"/>
      <c r="S2" s="786">
        <f>MATCH($E$1,$AJ$22:$AJ$35)</f>
        <v>5</v>
      </c>
      <c r="T2" s="838">
        <f>MATCH($E$1,$AJ$22:$AJ$35)+1</f>
        <v>6</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FEMIS~IADSOx</v>
      </c>
      <c r="Y6" s="299" t="str">
        <f>"FEMIS~"&amp;D274</f>
        <v>FEMIS~IADNOx</v>
      </c>
      <c r="Z6" s="299" t="str">
        <f>"FEMIS~"&amp;D275</f>
        <v>FEMIS~IADCH4</v>
      </c>
      <c r="AA6" s="299" t="str">
        <f>"FEMIS~"&amp;D276</f>
        <v>FEMIS~IADNO2</v>
      </c>
      <c r="AB6" s="299" t="str">
        <f>"FEMIS~"&amp;D277</f>
        <v>FEMIS~IADPM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INDADMTELCN1</v>
      </c>
      <c r="E9" s="278" t="str">
        <f>"Industrial heating technology "&amp;$AJ$12&amp;" "&amp;RIGHT(H9,2)&amp;" - Heat pump utilizing waste heat - new 1"</f>
        <v>Industrial heating technology Agriculture MT - Heat pump utilizing waste heat - new 1</v>
      </c>
      <c r="F9" s="239" t="s">
        <v>1274</v>
      </c>
      <c r="G9" s="176" t="s">
        <v>500</v>
      </c>
      <c r="H9" s="177" t="str">
        <f>$AI$14</f>
        <v>IADMT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0.21</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
      </c>
      <c r="E10" s="278"/>
      <c r="F10" s="239" t="s">
        <v>1274</v>
      </c>
      <c r="G10" s="176" t="str">
        <f>$AI$20</f>
        <v>INDAWH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
      </c>
      <c r="E11" s="223"/>
      <c r="F11" s="239" t="s">
        <v>1274</v>
      </c>
      <c r="G11" s="176" t="s">
        <v>500</v>
      </c>
      <c r="H11" s="177" t="str">
        <f>$AI$14</f>
        <v>IADMT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
      </c>
      <c r="E12" s="223"/>
      <c r="F12" s="239" t="s">
        <v>1274</v>
      </c>
      <c r="G12" s="176" t="str">
        <f>$AI$20</f>
        <v>INDAWH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Agriculture</v>
      </c>
    </row>
    <row r="13" spans="2:42">
      <c r="B13" s="393" t="s">
        <v>1123</v>
      </c>
      <c r="D13" s="223" t="str">
        <f ca="1">IF(T9=0,"*",IF(T13&gt;0,"IND"&amp;RIGHT(H9,4)&amp;RIGHT(G9,3)&amp;"N"&amp;RIGHT(E9,1),""))</f>
        <v/>
      </c>
      <c r="E13" s="223"/>
      <c r="F13" s="239" t="s">
        <v>1274</v>
      </c>
      <c r="G13" s="176" t="s">
        <v>500</v>
      </c>
      <c r="H13" s="177" t="str">
        <f>$AI$14</f>
        <v>IADMT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IADHT</v>
      </c>
      <c r="AJ13" s="239" t="str">
        <f>AP14</f>
        <v>Agriculture Demand Heat High Temp. over 150C</v>
      </c>
      <c r="AO13" s="239" t="s">
        <v>1400</v>
      </c>
      <c r="AP13" s="239" t="s">
        <v>1401</v>
      </c>
    </row>
    <row r="14" spans="2:42">
      <c r="B14" s="393" t="s">
        <v>1123</v>
      </c>
      <c r="D14" s="223" t="str">
        <f ca="1">IF(T9=0,"*",IF(T14&gt;0,"IND"&amp;RIGHT(H9,4)&amp;RIGHT(G9,3)&amp;"N"&amp;RIGHT(E9,1),""))</f>
        <v/>
      </c>
      <c r="E14" s="223"/>
      <c r="F14" s="239" t="s">
        <v>1274</v>
      </c>
      <c r="G14" s="176" t="str">
        <f>$AI$20</f>
        <v>INDAWH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IADMT</v>
      </c>
      <c r="AJ14" s="239" t="str">
        <f>AP13</f>
        <v>Agriculture Demand Heat Medium Temp. up to 150C</v>
      </c>
      <c r="AO14" s="239" t="s">
        <v>1402</v>
      </c>
      <c r="AP14" s="239" t="s">
        <v>1403</v>
      </c>
    </row>
    <row r="15" spans="2:42">
      <c r="B15" s="393" t="s">
        <v>1123</v>
      </c>
      <c r="D15" s="223" t="str">
        <f ca="1">IF(T15=0,"*",IF(T15&gt;0,"IND"&amp;RIGHT(H15,4)&amp;RIGHT(G15,3)&amp;"N"&amp;RIGHT(E15,1),""))</f>
        <v>INDADRHELCN1</v>
      </c>
      <c r="E15" s="278" t="str">
        <f>"Industrial heating technology "&amp;$AJ$12&amp;" "&amp;RIGHT(H15,2)&amp;" - Heat pump utilizing waste heat - new 1"</f>
        <v>Industrial heating technology Agriculture RH - Heat pump utilizing waste heat - new 1</v>
      </c>
      <c r="F15" s="239" t="s">
        <v>1274</v>
      </c>
      <c r="G15" s="176" t="s">
        <v>500</v>
      </c>
      <c r="H15" s="177" t="str">
        <f>$AI$15</f>
        <v>IADRH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IADRH</v>
      </c>
      <c r="AJ15" s="239" t="str">
        <f>AP15</f>
        <v>Agriculture Demand Heat Room Heat</v>
      </c>
      <c r="AO15" s="239" t="s">
        <v>1404</v>
      </c>
      <c r="AP15" s="239" t="s">
        <v>1405</v>
      </c>
    </row>
    <row r="16" spans="2:42">
      <c r="B16" s="393" t="s">
        <v>1123</v>
      </c>
      <c r="D16" s="223" t="str">
        <f ca="1">IF(T15=0,"*",IF(T16&gt;0,"IND"&amp;RIGHT(H15,4)&amp;RIGHT(G15,3)&amp;"N"&amp;RIGHT(E15,1),""))</f>
        <v/>
      </c>
      <c r="E16" s="278"/>
      <c r="F16" s="239" t="s">
        <v>1274</v>
      </c>
      <c r="G16" s="176" t="str">
        <f>$AI$20</f>
        <v>INDAWH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IADLA</v>
      </c>
      <c r="AJ16" s="239" t="str">
        <f t="shared" si="6"/>
        <v>Agriculture Demand Light</v>
      </c>
      <c r="AO16" s="239" t="s">
        <v>1406</v>
      </c>
      <c r="AP16" s="239" t="s">
        <v>1407</v>
      </c>
    </row>
    <row r="17" spans="2:42">
      <c r="B17" s="393" t="s">
        <v>1123</v>
      </c>
      <c r="D17" s="223" t="str">
        <f ca="1">IF(T15=0,"*",IF(T17&gt;0,"IND"&amp;RIGHT(H15,4)&amp;RIGHT(G15,3)&amp;"N"&amp;RIGHT(E15,1),""))</f>
        <v/>
      </c>
      <c r="E17" s="223"/>
      <c r="F17" s="239" t="s">
        <v>1274</v>
      </c>
      <c r="G17" s="176" t="s">
        <v>500</v>
      </c>
      <c r="H17" s="177" t="str">
        <f>$AI$15</f>
        <v>IADRH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IADEM</v>
      </c>
      <c r="AJ17" s="239" t="str">
        <f t="shared" si="6"/>
        <v>Agriculture Demand Electric Motors</v>
      </c>
      <c r="AO17" s="239" t="s">
        <v>1408</v>
      </c>
      <c r="AP17" s="239" t="s">
        <v>1409</v>
      </c>
    </row>
    <row r="18" spans="2:42">
      <c r="B18" s="393" t="s">
        <v>1123</v>
      </c>
      <c r="D18" s="223" t="str">
        <f ca="1">IF(T15=0,"*",IF(T18&gt;0,"IND"&amp;RIGHT(H15,4)&amp;RIGHT(G15,3)&amp;"N"&amp;RIGHT(E15,1),""))</f>
        <v/>
      </c>
      <c r="E18" s="223"/>
      <c r="F18" s="239" t="s">
        <v>1274</v>
      </c>
      <c r="G18" s="176" t="str">
        <f>$AI$20</f>
        <v>INDAWH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IADTF</v>
      </c>
      <c r="AJ18" s="239" t="str">
        <f t="shared" si="6"/>
        <v>Agriculture Demand Haulage Tractors, Trucks, Fishing boats, Forest machines</v>
      </c>
      <c r="AO18" s="239" t="s">
        <v>1410</v>
      </c>
      <c r="AP18" s="239" t="s">
        <v>1411</v>
      </c>
    </row>
    <row r="19" spans="2:42">
      <c r="B19" s="393" t="s">
        <v>1123</v>
      </c>
      <c r="D19" s="223" t="str">
        <f ca="1">IF(T15=0,"*",IF(T19&gt;0,"IND"&amp;RIGHT(H15,4)&amp;RIGHT(G15,3)&amp;"N"&amp;RIGHT(E15,1),""))</f>
        <v/>
      </c>
      <c r="E19" s="223"/>
      <c r="F19" s="239" t="s">
        <v>1274</v>
      </c>
      <c r="G19" s="176" t="s">
        <v>500</v>
      </c>
      <c r="H19" s="177" t="str">
        <f>$AI$15</f>
        <v>IADRH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IADFL</v>
      </c>
      <c r="AJ19" s="239" t="str">
        <f t="shared" si="6"/>
        <v>Agriculture Demand Haulage Forklifts</v>
      </c>
      <c r="AO19" s="239" t="s">
        <v>1412</v>
      </c>
      <c r="AP19" s="239" t="s">
        <v>1413</v>
      </c>
    </row>
    <row r="20" spans="2:42">
      <c r="B20" s="393" t="s">
        <v>1123</v>
      </c>
      <c r="D20" s="223" t="str">
        <f ca="1">IF(T15=0,"*",IF(T20&gt;0,"IND"&amp;RIGHT(H15,4)&amp;RIGHT(G15,3)&amp;"N"&amp;RIGHT(E15,1),""))</f>
        <v/>
      </c>
      <c r="E20" s="223"/>
      <c r="F20" s="239" t="s">
        <v>1274</v>
      </c>
      <c r="G20" s="176" t="str">
        <f>$AI$20</f>
        <v>INDAWH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INDAWH</v>
      </c>
      <c r="AJ20" s="239" t="str">
        <f>$AJ$12&amp;" Industrial Waste Heat"</f>
        <v>Agriculture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Agriculture MT - Heat driven heat pump utilizing waste heat - new 2</v>
      </c>
      <c r="F21" s="239" t="s">
        <v>1274</v>
      </c>
      <c r="G21" s="176" t="s">
        <v>500</v>
      </c>
      <c r="H21" s="177" t="str">
        <f>$AI$14</f>
        <v>IADMT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INDAWH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IADMT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INDAWH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IADMT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INDAWH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INDADRHELCN2</v>
      </c>
      <c r="E27" s="278" t="str">
        <f>"Industrial heating technology "&amp;$AJ$12&amp;" "&amp;RIGHT(H27,2)&amp;" - Heat driven heat pump utilizing waste heat - new 2"</f>
        <v>Industrial heating technology Agriculture RH - Heat driven heat pump utilizing waste heat - new 2</v>
      </c>
      <c r="F27" s="239" t="s">
        <v>1274</v>
      </c>
      <c r="G27" s="176" t="s">
        <v>500</v>
      </c>
      <c r="H27" s="177" t="str">
        <f>$AI$15</f>
        <v>IADRH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INDAWH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IADRH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INDAWH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IADRH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INDAWH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INDADMTELCN3</v>
      </c>
      <c r="E33" s="278" t="str">
        <f>"Industrial heating technology "&amp;$AJ$12&amp;" "&amp;RIGHT(H33,2)&amp;" - High Temp abs. Heat pump utilizing waste heat - new 3"</f>
        <v>Industrial heating technology Agriculture MT - High Temp abs. Heat pump utilizing waste heat - new 3</v>
      </c>
      <c r="F33" s="239" t="s">
        <v>1274</v>
      </c>
      <c r="G33" s="176" t="s">
        <v>500</v>
      </c>
      <c r="H33" s="177" t="str">
        <f>$AI$14</f>
        <v>IADMT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0.23</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INDAWH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IADMT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INDAWH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IADMT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INDAWH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INDADRHELCN3</v>
      </c>
      <c r="E39" s="278" t="str">
        <f>"Industrial heating technology "&amp;$AJ$12&amp;" "&amp;RIGHT(H39,2)&amp;" - High Temp abs. Heat pump utilizing waste heat - new 3"</f>
        <v>Industrial heating technology Agriculture RH - High Temp abs. Heat pump utilizing waste heat - new 3</v>
      </c>
      <c r="F39" s="239" t="s">
        <v>1274</v>
      </c>
      <c r="G39" s="176" t="s">
        <v>500</v>
      </c>
      <c r="H39" s="177" t="str">
        <f>$AI$15</f>
        <v>IADRH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INDAWH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IADRH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INDAWH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IADRH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INDAWH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INDADMTELCN4</v>
      </c>
      <c r="E45" s="278" t="str">
        <f>"Industrial heating technology "&amp;$AJ$12&amp;" "&amp;RIGHT(H45,2)&amp;" - Booster Heat pump utilizing waste heat - new 4"</f>
        <v>Industrial heating technology Agriculture MT - Booster Heat pump utilizing waste heat - new 4</v>
      </c>
      <c r="F45" s="239" t="s">
        <v>1274</v>
      </c>
      <c r="G45" s="176" t="s">
        <v>500</v>
      </c>
      <c r="H45" s="177" t="str">
        <f>$AI$14</f>
        <v>IADMT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0.63</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INDAWH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IADMT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INDAWH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IADMT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INDAWH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INDADRHELCN4</v>
      </c>
      <c r="E51" s="278" t="str">
        <f>"Industrial heating technology "&amp;$AJ$12&amp;" "&amp;RIGHT(H51,2)&amp;" - Booster Heat pump utilizing waste heat - new 4"</f>
        <v>Industrial heating technology Agriculture RH - Booster Heat pump utilizing waste heat - new 4</v>
      </c>
      <c r="F51" s="239" t="s">
        <v>1274</v>
      </c>
      <c r="G51" s="176" t="s">
        <v>500</v>
      </c>
      <c r="H51" s="177" t="str">
        <f>$AI$15</f>
        <v>IADRH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INDAWH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IADRH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INDAWH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IADRH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INDAWH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INDADMTELCN5</v>
      </c>
      <c r="E57" s="278" t="str">
        <f>"Industrial heating technology "&amp;$AJ$12&amp;" "&amp;RIGHT(H57,2)&amp;" - MVR utilizing waste heat - new 5"</f>
        <v>Industrial heating technology Agriculture MT - MVR utilizing waste heat - new 5</v>
      </c>
      <c r="F57" s="239" t="s">
        <v>1274</v>
      </c>
      <c r="G57" s="176" t="s">
        <v>500</v>
      </c>
      <c r="H57" s="177" t="str">
        <f>$AI$14</f>
        <v>IADMT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0.31</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INDAWH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IADMT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INDAWH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IADMT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INDAWH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Agriculture HT - Hotdisc - new 1</v>
      </c>
      <c r="F63" s="239" t="s">
        <v>1274</v>
      </c>
      <c r="G63" s="892" t="s">
        <v>1130</v>
      </c>
      <c r="H63" s="177" t="str">
        <f>$AI$13</f>
        <v>IADHT</v>
      </c>
      <c r="I63" s="176" t="str">
        <f t="shared" ref="I63:I94" si="53">$AI$20</f>
        <v>INDAWH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INDAWH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INDAWH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INDADMTELCN6</v>
      </c>
      <c r="E66" s="278" t="str">
        <f>"Industrial heating technology "&amp;$AJ$12&amp;" "&amp;RIGHT(H66,2)&amp;" - Dielectric heating - new 6"</f>
        <v>Industrial heating technology Agriculture MT - Dielectric heating - new 6</v>
      </c>
      <c r="F66" s="239" t="s">
        <v>1274</v>
      </c>
      <c r="G66" s="176" t="s">
        <v>500</v>
      </c>
      <c r="H66" s="177" t="str">
        <f>$AI$14</f>
        <v>IADMT</v>
      </c>
      <c r="I66" s="176" t="str">
        <f t="shared" si="53"/>
        <v>INDAWH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0.04</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
      </c>
      <c r="E67" s="223"/>
      <c r="F67" s="239" t="s">
        <v>1274</v>
      </c>
      <c r="H67" s="177"/>
      <c r="I67" s="176" t="str">
        <f t="shared" si="53"/>
        <v>INDAWH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
      </c>
      <c r="E68" s="223"/>
      <c r="F68" s="239" t="s">
        <v>1274</v>
      </c>
      <c r="H68" s="177"/>
      <c r="I68" s="176" t="str">
        <f t="shared" si="53"/>
        <v>INDAWH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INDADMTELCN7</v>
      </c>
      <c r="E69" s="278" t="str">
        <f>"Industrial heating technology "&amp;$AJ$12&amp;" "&amp;RIGHT(H69,2)&amp;" - Infrared heating - new 7"</f>
        <v>Industrial heating technology Agriculture MT - Infrared heating - new 7</v>
      </c>
      <c r="F69" s="239" t="s">
        <v>1274</v>
      </c>
      <c r="G69" s="176" t="s">
        <v>500</v>
      </c>
      <c r="H69" s="177" t="str">
        <f>$AI$14</f>
        <v>IADMT</v>
      </c>
      <c r="I69" s="176" t="str">
        <f t="shared" si="53"/>
        <v>INDAWH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0.04</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
      </c>
      <c r="E70" s="223"/>
      <c r="F70" s="239" t="s">
        <v>1274</v>
      </c>
      <c r="H70" s="177"/>
      <c r="I70" s="176" t="str">
        <f t="shared" si="53"/>
        <v>INDAWH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
      </c>
      <c r="E71" s="223"/>
      <c r="F71" s="239" t="s">
        <v>1274</v>
      </c>
      <c r="H71" s="177"/>
      <c r="I71" s="177" t="str">
        <f t="shared" si="53"/>
        <v>INDAWH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INDADHTELCN8</v>
      </c>
      <c r="E72" s="278" t="str">
        <f>"Industrial heating technology "&amp;$AJ$12&amp;" "&amp;RIGHT(H72,2)&amp;" - Electric boiler (Steam) - new 8"</f>
        <v>Industrial heating technology Agriculture HT - Electric boiler (Steam) - new 8</v>
      </c>
      <c r="F72" s="239" t="s">
        <v>1274</v>
      </c>
      <c r="G72" s="176" t="s">
        <v>500</v>
      </c>
      <c r="H72" s="177" t="str">
        <f>$AI$13</f>
        <v>IADHT</v>
      </c>
      <c r="I72" s="177" t="str">
        <f t="shared" si="53"/>
        <v>INDAWH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INDAWH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INDAWH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INDADMTELCN8</v>
      </c>
      <c r="E75" s="278" t="str">
        <f>"Industrial heating technology "&amp;$AJ$12&amp;" "&amp;RIGHT(H75,2)&amp;" - Electric boiler (Steam) - new 8"</f>
        <v>Industrial heating technology Agriculture MT - Electric boiler (Steam) - new 8</v>
      </c>
      <c r="F75" s="239" t="s">
        <v>1274</v>
      </c>
      <c r="G75" s="176" t="s">
        <v>500</v>
      </c>
      <c r="H75" s="177" t="str">
        <f>$AI$14</f>
        <v>IADMT</v>
      </c>
      <c r="I75" s="177" t="str">
        <f t="shared" si="53"/>
        <v>INDAWH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INDAWH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INDAWH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INDADRHELCN8</v>
      </c>
      <c r="E78" s="278" t="str">
        <f>"Industrial heating technology "&amp;$AJ$12&amp;" "&amp;RIGHT(H78,2)&amp;" - Electric boiler (Steam) - new 8"</f>
        <v>Industrial heating technology Agriculture RH - Electric boiler (Steam) - new 8</v>
      </c>
      <c r="F78" s="239" t="s">
        <v>1274</v>
      </c>
      <c r="G78" s="176" t="s">
        <v>500</v>
      </c>
      <c r="H78" s="177" t="str">
        <f>$AI$15</f>
        <v>IADRH</v>
      </c>
      <c r="I78" s="177" t="str">
        <f t="shared" si="53"/>
        <v>INDAWH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
      </c>
      <c r="E79" s="223"/>
      <c r="F79" s="239" t="s">
        <v>1274</v>
      </c>
      <c r="H79" s="177"/>
      <c r="I79" s="177" t="str">
        <f t="shared" si="53"/>
        <v>INDAWH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
      </c>
      <c r="E80" s="223"/>
      <c r="F80" s="239" t="s">
        <v>1274</v>
      </c>
      <c r="H80" s="177"/>
      <c r="I80" s="177" t="str">
        <f t="shared" si="53"/>
        <v>INDAWH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INDADMTELCN9</v>
      </c>
      <c r="E81" s="767" t="str">
        <f>"Industrial heating technology "&amp;$AJ$12&amp;" "&amp;RIGHT(H81,2)&amp;" - Electric boiler (Hot Water) - new 9"</f>
        <v>Industrial heating technology Agriculture MT - Electric boiler (Hot Water) - new 9</v>
      </c>
      <c r="F81" s="239" t="s">
        <v>1274</v>
      </c>
      <c r="G81" s="768" t="s">
        <v>500</v>
      </c>
      <c r="H81" s="768" t="str">
        <f>$AI$14</f>
        <v>IADMT</v>
      </c>
      <c r="I81" s="768" t="str">
        <f t="shared" si="53"/>
        <v>INDAWH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INDAWH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INDAWH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INDADRHELCN9</v>
      </c>
      <c r="E84" s="278" t="str">
        <f>"Industrial heating technology "&amp;$AJ$12&amp;" "&amp;RIGHT(H84,2)&amp;" - Electric boiler (Hot Water) - new 9"</f>
        <v>Industrial heating technology Agriculture RH - Electric boiler (Hot Water) - new 9</v>
      </c>
      <c r="F84" s="239" t="s">
        <v>1274</v>
      </c>
      <c r="G84" s="177" t="s">
        <v>500</v>
      </c>
      <c r="H84" s="177" t="str">
        <f>$AI$15</f>
        <v>IADRH</v>
      </c>
      <c r="I84" s="177" t="str">
        <f t="shared" si="53"/>
        <v>INDAWH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3"/>
        <v>INDAWH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3"/>
        <v>INDAWH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INDADHTWCHN1</v>
      </c>
      <c r="E87" s="278" t="str">
        <f>"Industrial heating technology "&amp;$AJ$12&amp;" "&amp;RIGHT(H87,2)&amp;" - Wood chip boiler (Steam) - new 1"</f>
        <v>Industrial heating technology Agriculture HT - Wood chip boiler (Steam) - new 1</v>
      </c>
      <c r="F87" s="239" t="s">
        <v>1274</v>
      </c>
      <c r="G87" s="176" t="s">
        <v>499</v>
      </c>
      <c r="H87" s="177" t="str">
        <f>$AI$13</f>
        <v>IADHT</v>
      </c>
      <c r="I87" s="177" t="str">
        <f t="shared" si="53"/>
        <v>INDAWH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3"/>
        <v>INDAWH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
      </c>
      <c r="E89" s="223"/>
      <c r="F89" s="239" t="s">
        <v>1274</v>
      </c>
      <c r="H89" s="177"/>
      <c r="I89" s="177" t="str">
        <f t="shared" si="53"/>
        <v>INDAWH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INDADMTWCHN1</v>
      </c>
      <c r="E90" s="278" t="str">
        <f>"Industrial heating technology "&amp;$AJ$12&amp;" "&amp;RIGHT(H90,2)&amp;" - Wood chip boiler (Steam) - new 1"</f>
        <v>Industrial heating technology Agriculture MT - Wood chip boiler (Steam) - new 1</v>
      </c>
      <c r="F90" s="239" t="s">
        <v>1274</v>
      </c>
      <c r="G90" s="176" t="s">
        <v>499</v>
      </c>
      <c r="H90" s="177" t="str">
        <f>$AI$14</f>
        <v>IADMT</v>
      </c>
      <c r="I90" s="177" t="str">
        <f t="shared" si="53"/>
        <v>INDAWH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INDAWH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INDAWH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INDADRHWCHN1</v>
      </c>
      <c r="E93" s="278" t="str">
        <f>"Industrial heating technology "&amp;$AJ$12&amp;" "&amp;RIGHT(H93,2)&amp;" - Wood chip boiler (Steam) - new 1"</f>
        <v>Industrial heating technology Agriculture RH - Wood chip boiler (Steam) - new 1</v>
      </c>
      <c r="F93" s="239" t="s">
        <v>1274</v>
      </c>
      <c r="G93" s="176" t="s">
        <v>499</v>
      </c>
      <c r="H93" s="177" t="str">
        <f>$AI$15</f>
        <v>IADRH</v>
      </c>
      <c r="I93" s="177" t="str">
        <f t="shared" si="53"/>
        <v>INDAWH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INDAWH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INDAWH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INDADMTWCHN2</v>
      </c>
      <c r="E96" s="767" t="str">
        <f>"Industrial heating technology "&amp;$AJ$12&amp;" "&amp;RIGHT(H96,2)&amp;" - Wood chip boiler (Steam - condensing) - new 2"</f>
        <v>Industrial heating technology Agriculture MT - Wood chip boiler (Steam - condensing) - new 2</v>
      </c>
      <c r="F96" s="239" t="s">
        <v>1274</v>
      </c>
      <c r="G96" s="768" t="s">
        <v>499</v>
      </c>
      <c r="H96" s="768" t="str">
        <f>$AI$14</f>
        <v>IADMT</v>
      </c>
      <c r="I96" s="768" t="str">
        <f t="shared" si="80"/>
        <v>INDAWH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INDAWH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INDAWH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INDADRHWCHN2</v>
      </c>
      <c r="E99" s="278" t="str">
        <f>"Industrial heating technology "&amp;$AJ$12&amp;" "&amp;RIGHT(H99,2)&amp;" - Wood chip boiler (Steam - condensing) - new 2"</f>
        <v>Industrial heating technology Agriculture RH - Wood chip boiler (Steam - condensing) - new 2</v>
      </c>
      <c r="F99" s="239" t="s">
        <v>1274</v>
      </c>
      <c r="G99" s="177" t="s">
        <v>499</v>
      </c>
      <c r="H99" s="177" t="str">
        <f>$AI$15</f>
        <v>IADRH</v>
      </c>
      <c r="I99" s="177" t="str">
        <f t="shared" si="80"/>
        <v>INDAWH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INDAWH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INDAWH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INDADMTWCHN3</v>
      </c>
      <c r="E102" s="767" t="str">
        <f>"Industrial heating technology "&amp;$AJ$12&amp;" "&amp;RIGHT(H102,2)&amp;" - Wood chip boiler (Hot Water) - new 3"</f>
        <v>Industrial heating technology Agriculture MT - Wood chip boiler (Hot Water) - new 3</v>
      </c>
      <c r="F102" s="239" t="s">
        <v>1274</v>
      </c>
      <c r="G102" s="768" t="s">
        <v>499</v>
      </c>
      <c r="H102" s="768" t="str">
        <f>$AI$14</f>
        <v>IADMT</v>
      </c>
      <c r="I102" s="768" t="str">
        <f t="shared" si="80"/>
        <v>INDAWH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INDAWH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INDAWH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INDADRHWCHN3</v>
      </c>
      <c r="E105" s="278" t="str">
        <f>"Industrial heating technology "&amp;$AJ$12&amp;" "&amp;RIGHT(H105,2)&amp;" - Wood chip boiler (Hot Water) - new 3"</f>
        <v>Industrial heating technology Agriculture RH - Wood chip boiler (Hot Water) - new 3</v>
      </c>
      <c r="F105" s="239" t="s">
        <v>1274</v>
      </c>
      <c r="G105" s="177" t="s">
        <v>499</v>
      </c>
      <c r="H105" s="177" t="str">
        <f>$AI$15</f>
        <v>IADRH</v>
      </c>
      <c r="I105" s="177" t="str">
        <f t="shared" si="80"/>
        <v>INDAWH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INDAWH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INDAWH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INDADMTWCHN4</v>
      </c>
      <c r="E108" s="767" t="str">
        <f>"Industrial heating technology "&amp;$AJ$12&amp;" "&amp;RIGHT(H108,2)&amp;" - Wood chip boiler (Hot Water - condensing) - new 4"</f>
        <v>Industrial heating technology Agriculture MT - Wood chip boiler (Hot Water - condensing) - new 4</v>
      </c>
      <c r="F108" s="239" t="s">
        <v>1274</v>
      </c>
      <c r="G108" s="768" t="s">
        <v>499</v>
      </c>
      <c r="H108" s="768" t="str">
        <f>$AI$14</f>
        <v>IADMT</v>
      </c>
      <c r="I108" s="768" t="str">
        <f t="shared" si="80"/>
        <v>INDAWH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INDAWH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INDAWH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INDADRHWCHN4</v>
      </c>
      <c r="E111" s="278" t="str">
        <f>"Industrial heating technology "&amp;$AJ$12&amp;" "&amp;RIGHT(H111,2)&amp;" - Wood chip boiler (Hot Water- condensing) - new 4"</f>
        <v>Industrial heating technology Agriculture RH - Wood chip boiler (Hot Water- condensing) - new 4</v>
      </c>
      <c r="F111" s="239" t="s">
        <v>1274</v>
      </c>
      <c r="G111" s="177" t="s">
        <v>499</v>
      </c>
      <c r="H111" s="177" t="str">
        <f>$AI$15</f>
        <v>IADRH</v>
      </c>
      <c r="I111" s="177" t="str">
        <f t="shared" si="80"/>
        <v>INDAWH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INDAWH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INDAWH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Agriculture HT - Direct electric heating - new 10</v>
      </c>
      <c r="F114" s="239" t="s">
        <v>1274</v>
      </c>
      <c r="G114" s="176" t="s">
        <v>500</v>
      </c>
      <c r="H114" s="177" t="str">
        <f>$AI$13</f>
        <v>IADHT</v>
      </c>
      <c r="I114" s="177" t="str">
        <f t="shared" si="80"/>
        <v>INDAWH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80"/>
        <v>INDAWH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80"/>
        <v>INDAWH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Agriculture MT - Direct electric heating - new 10</v>
      </c>
      <c r="F117" s="239" t="s">
        <v>1274</v>
      </c>
      <c r="G117" s="176" t="s">
        <v>500</v>
      </c>
      <c r="H117" s="177" t="str">
        <f>$AI$14</f>
        <v>IADMT</v>
      </c>
      <c r="I117" s="177" t="str">
        <f t="shared" si="80"/>
        <v>INDAWH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INDAWH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INDAWH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INDADHTNG2N1</v>
      </c>
      <c r="E120" s="278" t="str">
        <f>"Industrial heating technology "&amp;$AJ$12&amp;" "&amp;RIGHT(H120,2)&amp;" - Oil boiler (Steam) - new 1"</f>
        <v>Industrial heating technology Agriculture HT - Oil boiler (Steam) - new 1</v>
      </c>
      <c r="F120" s="239" t="s">
        <v>1274</v>
      </c>
      <c r="G120" s="176" t="s">
        <v>1439</v>
      </c>
      <c r="H120" s="177" t="str">
        <f>$AI$13</f>
        <v>IADHT</v>
      </c>
      <c r="I120" s="177" t="str">
        <f t="shared" si="80"/>
        <v>INDAWH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INDAWH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INDAWH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INDADMTNG2N1</v>
      </c>
      <c r="E123" s="278" t="str">
        <f>"Industrial heating technology "&amp;$AJ$12&amp;" "&amp;RIGHT(H123,2)&amp;" - Oil boiler (Steam) - new 1"</f>
        <v>Industrial heating technology Agriculture MT - Oil boiler (Steam) - new 1</v>
      </c>
      <c r="F123" s="239" t="s">
        <v>1274</v>
      </c>
      <c r="G123" s="176" t="s">
        <v>1439</v>
      </c>
      <c r="H123" s="177" t="str">
        <f>$AI$14</f>
        <v>IADMT</v>
      </c>
      <c r="I123" s="177" t="str">
        <f t="shared" si="80"/>
        <v>INDAWH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INDAWH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INDAWH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INDADRHNG2N1</v>
      </c>
      <c r="E126" s="278" t="str">
        <f>"Industrial heating technology "&amp;$AJ$12&amp;" "&amp;RIGHT(H126,2)&amp;" - Oil boiler (Steam) - new 1"</f>
        <v>Industrial heating technology Agriculture RH - Oil boiler (Steam) - new 1</v>
      </c>
      <c r="F126" s="239" t="s">
        <v>1274</v>
      </c>
      <c r="G126" s="176" t="s">
        <v>1439</v>
      </c>
      <c r="H126" s="177" t="str">
        <f>$AI$15</f>
        <v>IADRH</v>
      </c>
      <c r="I126" s="177" t="str">
        <f t="shared" si="80"/>
        <v>INDAWH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INDAWH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INDAWH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INDADMTNG2N2</v>
      </c>
      <c r="E129" s="767" t="str">
        <f>"Industrial heating technology "&amp;$AJ$12&amp;" "&amp;RIGHT(H129,2)&amp;" - Oil boiler (Steam - condensing) - new 2"</f>
        <v>Industrial heating technology Agriculture MT - Oil boiler (Steam - condensing) - new 2</v>
      </c>
      <c r="F129" s="239" t="s">
        <v>1274</v>
      </c>
      <c r="G129" s="176" t="s">
        <v>1439</v>
      </c>
      <c r="H129" s="768" t="str">
        <f>$AI$14</f>
        <v>IADMT</v>
      </c>
      <c r="I129" s="768" t="str">
        <f t="shared" si="115"/>
        <v>INDAWH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INDAWH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INDAWH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INDADRHNG2N2</v>
      </c>
      <c r="E132" s="278" t="str">
        <f>"Industrial heating technology "&amp;$AJ$12&amp;" "&amp;RIGHT(H132,2)&amp;" - Oil boiler (Steam - condensing) - new 2"</f>
        <v>Industrial heating technology Agriculture RH - Oil boiler (Steam - condensing) - new 2</v>
      </c>
      <c r="F132" s="239" t="s">
        <v>1274</v>
      </c>
      <c r="G132" s="176" t="s">
        <v>1439</v>
      </c>
      <c r="H132" s="177" t="str">
        <f>$AI$15</f>
        <v>IADRH</v>
      </c>
      <c r="I132" s="177" t="str">
        <f t="shared" si="115"/>
        <v>INDAWH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INDAWH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INDAWH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INDADHTDH2N1</v>
      </c>
      <c r="E135" s="278" t="str">
        <f>"Industrial heating technology "&amp;$AJ$12&amp;" "&amp;RIGHT(H135,2)&amp;" - Gas boiler (Steam) - new 1"</f>
        <v>Industrial heating technology Agriculture HT - Gas boiler (Steam) - new 1</v>
      </c>
      <c r="F135" s="239" t="s">
        <v>1274</v>
      </c>
      <c r="G135" s="176" t="s">
        <v>1438</v>
      </c>
      <c r="H135" s="177" t="str">
        <f>$AI$13</f>
        <v>IADHT</v>
      </c>
      <c r="I135" s="177" t="str">
        <f t="shared" si="115"/>
        <v>INDAWH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INDAWH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INDAWH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INDADMTDH2N1</v>
      </c>
      <c r="E138" s="278" t="str">
        <f>"Industrial heating technology "&amp;$AJ$12&amp;" "&amp;RIGHT(H138,2)&amp;" - Gas boiler (Steam) - new 1"</f>
        <v>Industrial heating technology Agriculture MT - Gas boiler (Steam) - new 1</v>
      </c>
      <c r="F138" s="239" t="s">
        <v>1274</v>
      </c>
      <c r="G138" s="176" t="s">
        <v>1438</v>
      </c>
      <c r="H138" s="177" t="str">
        <f>$AI$14</f>
        <v>IADMT</v>
      </c>
      <c r="I138" s="177" t="str">
        <f t="shared" si="115"/>
        <v>INDAWH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INDAWH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INDAWH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INDADRHDH2N1</v>
      </c>
      <c r="E141" s="278" t="str">
        <f>"Industrial heating technology "&amp;$AJ$12&amp;" "&amp;RIGHT(H141,2)&amp;" - Gas boiler (Steam) - new 1"</f>
        <v>Industrial heating technology Agriculture RH - Gas boiler (Steam) - new 1</v>
      </c>
      <c r="F141" s="239" t="s">
        <v>1274</v>
      </c>
      <c r="G141" s="176" t="s">
        <v>1438</v>
      </c>
      <c r="H141" s="177" t="str">
        <f>$AI$15</f>
        <v>IADRH</v>
      </c>
      <c r="I141" s="177" t="str">
        <f t="shared" si="115"/>
        <v>INDAWH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INDAWH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INDAWH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INDADMTDH2N2</v>
      </c>
      <c r="E144" s="767" t="str">
        <f>"Industrial heating technology "&amp;$AJ$12&amp;" "&amp;RIGHT(H144,2)&amp;" - Gas boiler (Steam - condensing) - new 2"</f>
        <v>Industrial heating technology Agriculture MT - Gas boiler (Steam - condensing) - new 2</v>
      </c>
      <c r="F144" s="239" t="s">
        <v>1274</v>
      </c>
      <c r="G144" s="176" t="s">
        <v>1438</v>
      </c>
      <c r="H144" s="768" t="str">
        <f>$AI$14</f>
        <v>IADMT</v>
      </c>
      <c r="I144" s="768" t="str">
        <f t="shared" si="115"/>
        <v>INDAWH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INDAWH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INDAWH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INDADRHDH2N2</v>
      </c>
      <c r="E147" s="278" t="str">
        <f>"Industrial heating technology "&amp;$AJ$12&amp;" "&amp;RIGHT(H147,2)&amp;" - Gas boiler (Steam - condensing) - new 2"</f>
        <v>Industrial heating technology Agriculture RH - Gas boiler (Steam - condensing) - new 2</v>
      </c>
      <c r="F147" s="239" t="s">
        <v>1274</v>
      </c>
      <c r="G147" s="176" t="s">
        <v>1438</v>
      </c>
      <c r="H147" s="177" t="str">
        <f>$AI$15</f>
        <v>IADRH</v>
      </c>
      <c r="I147" s="177" t="str">
        <f t="shared" si="115"/>
        <v>INDAWH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INDAWH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INDAWH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INDADMTDH2N3</v>
      </c>
      <c r="E150" s="767" t="str">
        <f>"Industrial heating technology "&amp;$AJ$12&amp;" "&amp;RIGHT(H150,2)&amp;" - Gas boiler (Hot Water) - new 3"</f>
        <v>Industrial heating technology Agriculture MT - Gas boiler (Hot Water) - new 3</v>
      </c>
      <c r="F150" s="239" t="s">
        <v>1274</v>
      </c>
      <c r="G150" s="176" t="s">
        <v>1438</v>
      </c>
      <c r="H150" s="768" t="str">
        <f>$AI$14</f>
        <v>IADMT</v>
      </c>
      <c r="I150" s="768" t="str">
        <f t="shared" si="115"/>
        <v>INDAWH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INDAWH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INDAWH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INDADRHDH2N3</v>
      </c>
      <c r="E153" s="278" t="str">
        <f>"Industrial heating technology "&amp;$AJ$12&amp;" "&amp;RIGHT(H153,2)&amp;" - Gas boiler (Hot Water) - new 3"</f>
        <v>Industrial heating technology Agriculture RH - Gas boiler (Hot Water) - new 3</v>
      </c>
      <c r="F153" s="239" t="s">
        <v>1274</v>
      </c>
      <c r="G153" s="176" t="s">
        <v>1438</v>
      </c>
      <c r="H153" s="177" t="str">
        <f>$AI$15</f>
        <v>IADRH</v>
      </c>
      <c r="I153" s="177" t="str">
        <f t="shared" si="115"/>
        <v>INDAWH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INDAWH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INDAWH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INDADMTDH2N4</v>
      </c>
      <c r="E156" s="767" t="str">
        <f>"Industrial heating technology "&amp;$AJ$12&amp;" "&amp;RIGHT(H156,2)&amp;" - Gas boiler (Hot Water - condensing) - new 4"</f>
        <v>Industrial heating technology Agriculture MT - Gas boiler (Hot Water - condensing) - new 4</v>
      </c>
      <c r="F156" s="239" t="s">
        <v>1274</v>
      </c>
      <c r="G156" s="176" t="s">
        <v>1438</v>
      </c>
      <c r="H156" s="768" t="str">
        <f>$AI$14</f>
        <v>IADMT</v>
      </c>
      <c r="I156" s="768" t="str">
        <f t="shared" si="115"/>
        <v>INDAWH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INDAWH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INDAWH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INDADRHDH2N4</v>
      </c>
      <c r="E159" s="278" t="str">
        <f>"Industrial heating technology "&amp;$AJ$12&amp;" "&amp;RIGHT(H159,2)&amp;" - Gas boiler (Hot Water- condensing) - new 4"</f>
        <v>Industrial heating technology Agriculture RH - Gas boiler (Hot Water- condensing) - new 4</v>
      </c>
      <c r="F159" s="239" t="s">
        <v>1274</v>
      </c>
      <c r="G159" s="176" t="s">
        <v>1438</v>
      </c>
      <c r="H159" s="177" t="str">
        <f>$AI$15</f>
        <v>IADRH</v>
      </c>
      <c r="I159" s="177" t="str">
        <f t="shared" ref="I159:I182" si="158">$AI$20</f>
        <v>INDAWH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INDAWH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INDAWH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IF(T162=0,"*",IF(T162&gt;0,"IND"&amp;RIGHT(H162,4)&amp;RIGHT(G162,3)&amp;"N"&amp;RIGHT(E162,1),""))</f>
        <v>*</v>
      </c>
      <c r="E162" s="767" t="str">
        <f>"Industrial heating technology "&amp;$AJ$12&amp;" "&amp;RIGHT(H162,2)&amp;" - Gas boiler (Direct firing) - new 5"</f>
        <v>Industrial heating technology Agriculture HT - Gas boiler (Direct firing) - new 5</v>
      </c>
      <c r="F162" s="239" t="s">
        <v>1274</v>
      </c>
      <c r="G162" s="176" t="s">
        <v>1438</v>
      </c>
      <c r="H162" s="177" t="str">
        <f>$AI$13</f>
        <v>IADHT</v>
      </c>
      <c r="I162" s="177" t="str">
        <f t="shared" si="158"/>
        <v>INDAWH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v>0</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IF(T162=0,"*",IF(T163&gt;0,"IND"&amp;RIGHT(H162,4)&amp;RIGHT(G162,3)&amp;"N"&amp;RIGHT(E162,1),""))</f>
        <v>*</v>
      </c>
      <c r="E163" s="278"/>
      <c r="F163" s="239" t="s">
        <v>1274</v>
      </c>
      <c r="G163" s="55"/>
      <c r="H163" s="177"/>
      <c r="I163" s="177" t="str">
        <f t="shared" si="158"/>
        <v>INDAWH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IF(T162=0,"*",IF(T164&gt;0,"IND"&amp;RIGHT(H162,4)&amp;RIGHT(G162,3)&amp;"N"&amp;RIGHT(E162,1),""))</f>
        <v>*</v>
      </c>
      <c r="E164" s="278"/>
      <c r="F164" s="239" t="s">
        <v>1274</v>
      </c>
      <c r="G164" s="55"/>
      <c r="H164" s="177"/>
      <c r="I164" s="177" t="str">
        <f t="shared" si="158"/>
        <v>INDAWH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IF(T165=0,"*",IF(T165&gt;0,"IND"&amp;RIGHT(H165,4)&amp;RIGHT(G165,3)&amp;"N"&amp;RIGHT(E165,1),""))</f>
        <v>*</v>
      </c>
      <c r="E165" s="278" t="str">
        <f>"Industrial heating technology "&amp;$AJ$12&amp;" "&amp;RIGHT(H165,2)&amp;" - Gas boiler (Direct firing) - new 5"</f>
        <v>Industrial heating technology Agriculture MT - Gas boiler (Direct firing) - new 5</v>
      </c>
      <c r="F165" s="239" t="s">
        <v>1274</v>
      </c>
      <c r="G165" s="176" t="s">
        <v>1438</v>
      </c>
      <c r="H165" s="177" t="str">
        <f>$AI$14</f>
        <v>IADMT</v>
      </c>
      <c r="I165" s="781" t="str">
        <f t="shared" si="158"/>
        <v>INDAWH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v>0</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IF(T165=0,"*",IF(T166&gt;0,"IND"&amp;RIGHT(H165,4)&amp;RIGHT(G165,3)&amp;"N"&amp;RIGHT(E165,1),""))</f>
        <v>*</v>
      </c>
      <c r="E166" s="278"/>
      <c r="F166" s="239" t="s">
        <v>1274</v>
      </c>
      <c r="G166" s="55"/>
      <c r="H166" s="177"/>
      <c r="I166" s="177" t="str">
        <f t="shared" si="158"/>
        <v>INDAWH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IF(T165=0,"*",IF(T167&gt;0,"IND"&amp;RIGHT(H165,4)&amp;RIGHT(G165,3)&amp;"N"&amp;RIGHT(E165,1),""))</f>
        <v>*</v>
      </c>
      <c r="E167" s="761"/>
      <c r="F167" s="239" t="s">
        <v>1274</v>
      </c>
      <c r="G167" s="211"/>
      <c r="H167" s="762"/>
      <c r="I167" s="762" t="str">
        <f t="shared" si="158"/>
        <v>INDAWH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INDADHTCOAN1</v>
      </c>
      <c r="E168" s="278" t="str">
        <f>"Industrial heating technology "&amp;$AJ$12&amp;" "&amp;RIGHT(H168,2)&amp;" - Coal boiler (Steam) - new 1"</f>
        <v>Industrial heating technology Agriculture HT - Coal boiler (Steam) - new 1</v>
      </c>
      <c r="F168" s="239" t="s">
        <v>1274</v>
      </c>
      <c r="G168" s="55" t="s">
        <v>662</v>
      </c>
      <c r="H168" s="177" t="str">
        <f>$AI$13</f>
        <v>IADHT</v>
      </c>
      <c r="I168" s="177" t="str">
        <f t="shared" si="158"/>
        <v>INDAWH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INDAWH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INDAWH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INDADMTCOAN1</v>
      </c>
      <c r="E171" s="278" t="str">
        <f>"Industrial heating technology "&amp;$AJ$12&amp;" "&amp;RIGHT(H171,2)&amp;" - Coal boiler (Steam) - new 1"</f>
        <v>Industrial heating technology Agriculture MT - Coal boiler (Steam) - new 1</v>
      </c>
      <c r="F171" s="239" t="s">
        <v>1274</v>
      </c>
      <c r="G171" s="55" t="s">
        <v>662</v>
      </c>
      <c r="H171" s="177" t="str">
        <f>$AI$14</f>
        <v>IADMT</v>
      </c>
      <c r="I171" s="177" t="str">
        <f t="shared" si="158"/>
        <v>INDAWH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INDAWH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INDAWH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INDADRHCOAN1</v>
      </c>
      <c r="E174" s="278" t="str">
        <f>"Industrial heating technology "&amp;$AJ$12&amp;" "&amp;RIGHT(H174,2)&amp;" - Coal boiler (Steam) - new 1"</f>
        <v>Industrial heating technology Agriculture RH - Coal boiler (Steam) - new 1</v>
      </c>
      <c r="F174" s="239" t="s">
        <v>1274</v>
      </c>
      <c r="G174" s="55" t="s">
        <v>662</v>
      </c>
      <c r="H174" s="177" t="str">
        <f>$AI$15</f>
        <v>IADRH</v>
      </c>
      <c r="I174" s="177" t="str">
        <f t="shared" si="158"/>
        <v>INDAWH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INDAWH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INDAWH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INDADMTCOAN2</v>
      </c>
      <c r="E177" s="278" t="str">
        <f>"Industrial heating technology "&amp;$AJ$12&amp;" "&amp;RIGHT(H177,2)&amp;" - Coal boiler (Hot Water) - new 2"</f>
        <v>Industrial heating technology Agriculture MT - Coal boiler (Hot Water) - new 2</v>
      </c>
      <c r="F177" s="239" t="s">
        <v>1274</v>
      </c>
      <c r="G177" s="55" t="s">
        <v>662</v>
      </c>
      <c r="H177" s="177" t="str">
        <f>$AI$14</f>
        <v>IADMT</v>
      </c>
      <c r="I177" s="177" t="str">
        <f t="shared" si="158"/>
        <v>INDAWH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INDAWH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INDAWH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INDADRHCOAN2</v>
      </c>
      <c r="E180" s="278" t="str">
        <f>"Industrial heating technology "&amp;$AJ$12&amp;" "&amp;RIGHT(H180,2)&amp;" - Coal boiler (Hot Water) - new 2"</f>
        <v>Industrial heating technology Agriculture RH - Coal boiler (Hot Water) - new 2</v>
      </c>
      <c r="F180" s="239" t="s">
        <v>1274</v>
      </c>
      <c r="G180" s="55" t="s">
        <v>662</v>
      </c>
      <c r="H180" s="177" t="str">
        <f>$AI$15</f>
        <v>IADRH</v>
      </c>
      <c r="I180" s="177" t="str">
        <f t="shared" si="158"/>
        <v>INDAWH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INDAWH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INDAWH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INDADRHSOLN1</v>
      </c>
      <c r="E183" s="278" t="str">
        <f>"Industrial heating technology "&amp;$AJ$12&amp;" "&amp;RIGHT(H183,2)&amp;" - Solar - new 1"</f>
        <v>Industrial heating technology Agriculture RH - Solar - new 1</v>
      </c>
      <c r="F183" s="239" t="s">
        <v>1274</v>
      </c>
      <c r="G183" s="55" t="s">
        <v>501</v>
      </c>
      <c r="H183" s="177" t="str">
        <f>$AI$15</f>
        <v>IADRH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INDADRHHCEN1</v>
      </c>
      <c r="E187" s="239" t="str">
        <f>"Industrial heating technology "&amp;$AJ$12&amp;" "&amp;RIGHT(H187,2)&amp;" - central district heating - within DH area - new 1"</f>
        <v>Industrial heating technology Agriculture RH - central district heating - within DH area - new 1</v>
      </c>
      <c r="F187" s="239" t="s">
        <v>1274</v>
      </c>
      <c r="G187" s="240" t="s">
        <v>502</v>
      </c>
      <c r="H187" s="240" t="str">
        <f>AI15</f>
        <v>IADRH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INDADRHHDEN1</v>
      </c>
      <c r="E188" s="239" t="str">
        <f>"Industrial heating technology "&amp;$AJ$12&amp;" "&amp;RIGHT(H188,2)&amp;" - decentral district heating - within DH area - new 1"</f>
        <v>Industrial heating technology Agriculture RH - decentral district heating - within DH area - new 1</v>
      </c>
      <c r="F188" s="239" t="s">
        <v>1274</v>
      </c>
      <c r="G188" s="276" t="s">
        <v>503</v>
      </c>
      <c r="H188" s="282" t="str">
        <f>AI15</f>
        <v>IADRH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INDADLAELCN1</v>
      </c>
      <c r="E190" s="239" t="str">
        <f>"Industry "&amp;$AJ$12&amp;" "&amp;RIGHT(H190,2)&amp;" Electricity Light Appliance - New 1"</f>
        <v>Industry Agriculture LA Electricity Light Appliance - New 1</v>
      </c>
      <c r="F190" s="239" t="s">
        <v>1274</v>
      </c>
      <c r="G190" s="240" t="s">
        <v>500</v>
      </c>
      <c r="H190" s="240" t="str">
        <f>AI16</f>
        <v>IADLA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INDADEMELCN1</v>
      </c>
      <c r="E194" s="239" t="str">
        <f>"Industry "&amp;$AJ$12&amp;" "&amp;RIGHT(H194,2)&amp;" Electricity Motors - New 1"</f>
        <v>Industry Agriculture EM Electricity Motors - New 1</v>
      </c>
      <c r="F194" s="239" t="s">
        <v>1274</v>
      </c>
      <c r="G194" s="240" t="s">
        <v>500</v>
      </c>
      <c r="H194" s="240" t="str">
        <f>AI17</f>
        <v>IADEM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INDADTFDSLN1</v>
      </c>
      <c r="E198" s="239" t="str">
        <f>"Industry "&amp;$AJ$12&amp;" "&amp;RIGHT(H198,2)&amp;" Tractors, Trucks, Fishing boats - New 1"</f>
        <v>Industry Agriculture TF Tractors, Trucks, Fishing boats - New 1</v>
      </c>
      <c r="F198" s="239" t="s">
        <v>1274</v>
      </c>
      <c r="G198" s="176" t="s">
        <v>1439</v>
      </c>
      <c r="H198" s="177" t="str">
        <f>AI18</f>
        <v>IADTF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INDADFLDH2N1</v>
      </c>
      <c r="E202" s="239" t="str">
        <f>"Industry "&amp;$AJ$12&amp;" "&amp;RIGHT(H198,2)&amp;" Forklifts - New 1"</f>
        <v>Industry Agriculture TF Forklifts - New 1</v>
      </c>
      <c r="F202" s="239" t="s">
        <v>1274</v>
      </c>
      <c r="G202" s="176" t="s">
        <v>1438</v>
      </c>
      <c r="H202" s="239" t="str">
        <f>AI19</f>
        <v>IADFL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INDADMTELCN1</v>
      </c>
      <c r="E213" s="223" t="str">
        <f t="shared" ref="E213:E244" ca="1" si="181">VLOOKUP(D213,$D$9:$E$206,2,FALSE)</f>
        <v>Industrial heating technology Agriculture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INDADRHELCN1</v>
      </c>
      <c r="E214" s="223" t="str">
        <f t="shared" ca="1" si="181"/>
        <v>Industrial heating technology Agriculture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Agriculture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INDADRHELCN2</v>
      </c>
      <c r="E216" s="223" t="str">
        <f t="shared" ca="1" si="181"/>
        <v>Industrial heating technology Agriculture RH - Heat driven heat pump utilizing waste heat - new 2</v>
      </c>
      <c r="F216" s="279" t="s">
        <v>450</v>
      </c>
      <c r="G216" s="279" t="s">
        <v>449</v>
      </c>
      <c r="H216" s="334" t="s">
        <v>665</v>
      </c>
      <c r="I216" s="281"/>
      <c r="J216" s="281" t="s">
        <v>469</v>
      </c>
    </row>
    <row r="217" spans="1:11">
      <c r="A217" s="172"/>
      <c r="B217" s="222"/>
      <c r="C217" s="222" t="str">
        <f t="shared" ca="1" si="182"/>
        <v>DMD</v>
      </c>
      <c r="D217" s="223" t="str">
        <f t="shared" ca="1" si="183"/>
        <v>INDADMTELCN3</v>
      </c>
      <c r="E217" s="223" t="str">
        <f t="shared" ca="1" si="181"/>
        <v>Industrial heating technology Agriculture MT - High Temp abs. Heat pump utilizing waste heat - new 3</v>
      </c>
      <c r="F217" s="279" t="s">
        <v>450</v>
      </c>
      <c r="G217" s="279" t="s">
        <v>449</v>
      </c>
      <c r="H217" s="334" t="s">
        <v>665</v>
      </c>
      <c r="I217" s="281"/>
      <c r="J217" s="281" t="s">
        <v>469</v>
      </c>
    </row>
    <row r="218" spans="1:11">
      <c r="A218" s="172"/>
      <c r="B218" s="222"/>
      <c r="C218" s="222" t="str">
        <f t="shared" ca="1" si="182"/>
        <v>DMD</v>
      </c>
      <c r="D218" s="223" t="str">
        <f t="shared" ca="1" si="183"/>
        <v>INDADRHELCN3</v>
      </c>
      <c r="E218" s="223" t="str">
        <f t="shared" ca="1" si="181"/>
        <v>Industrial heating technology Agriculture RH - High Temp abs. Heat pump utilizing waste heat - new 3</v>
      </c>
      <c r="F218" s="279" t="s">
        <v>450</v>
      </c>
      <c r="G218" s="279" t="s">
        <v>449</v>
      </c>
      <c r="H218" s="334" t="s">
        <v>665</v>
      </c>
      <c r="I218" s="281"/>
      <c r="J218" s="281" t="s">
        <v>469</v>
      </c>
    </row>
    <row r="219" spans="1:11">
      <c r="A219" s="172"/>
      <c r="B219" s="222"/>
      <c r="C219" s="222" t="str">
        <f t="shared" ca="1" si="182"/>
        <v>DMD</v>
      </c>
      <c r="D219" s="223" t="str">
        <f t="shared" ca="1" si="183"/>
        <v>INDADMTELCN4</v>
      </c>
      <c r="E219" s="223" t="str">
        <f t="shared" ca="1" si="181"/>
        <v>Industrial heating technology Agriculture MT - Booster Heat pump utilizing waste heat - new 4</v>
      </c>
      <c r="F219" s="279" t="s">
        <v>450</v>
      </c>
      <c r="G219" s="279" t="s">
        <v>449</v>
      </c>
      <c r="H219" s="334" t="s">
        <v>665</v>
      </c>
      <c r="I219" s="281"/>
      <c r="J219" s="281" t="s">
        <v>469</v>
      </c>
    </row>
    <row r="220" spans="1:11">
      <c r="A220" s="172"/>
      <c r="B220" s="222"/>
      <c r="C220" s="222" t="str">
        <f t="shared" ca="1" si="182"/>
        <v>DMD</v>
      </c>
      <c r="D220" s="223" t="str">
        <f t="shared" ca="1" si="183"/>
        <v>INDADRHELCN4</v>
      </c>
      <c r="E220" s="223" t="str">
        <f t="shared" ca="1" si="181"/>
        <v>Industrial heating technology Agriculture RH - Booster Heat pump utilizing waste heat - new 4</v>
      </c>
      <c r="F220" s="279" t="s">
        <v>450</v>
      </c>
      <c r="G220" s="279" t="s">
        <v>449</v>
      </c>
      <c r="H220" s="334" t="s">
        <v>665</v>
      </c>
      <c r="I220" s="281"/>
      <c r="J220" s="281" t="s">
        <v>469</v>
      </c>
    </row>
    <row r="221" spans="1:11">
      <c r="A221" s="172"/>
      <c r="B221" s="222"/>
      <c r="C221" s="222" t="str">
        <f t="shared" ca="1" si="182"/>
        <v>DMD</v>
      </c>
      <c r="D221" s="223" t="str">
        <f t="shared" ca="1" si="183"/>
        <v>INDADMTELCN5</v>
      </c>
      <c r="E221" s="223" t="str">
        <f t="shared" ca="1" si="181"/>
        <v>Industrial heating technology Agriculture MT - MVR utilizing waste heat - new 5</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Agriculture MT - Heat pump utilizing waste heat - new 1</v>
      </c>
      <c r="F222" s="279" t="s">
        <v>450</v>
      </c>
      <c r="G222" s="279" t="s">
        <v>449</v>
      </c>
      <c r="H222" s="334" t="s">
        <v>665</v>
      </c>
      <c r="I222" s="281"/>
      <c r="J222" s="281" t="s">
        <v>469</v>
      </c>
    </row>
    <row r="223" spans="1:11">
      <c r="A223" s="172"/>
      <c r="B223" s="222"/>
      <c r="C223" s="222" t="str">
        <f t="shared" ca="1" si="182"/>
        <v>DMD</v>
      </c>
      <c r="D223" s="223" t="str">
        <f t="shared" ref="D223:D262" ca="1" si="184">OFFSET($D$9,(ROW(D19)*3),0)</f>
        <v>INDADMTELCN6</v>
      </c>
      <c r="E223" s="223" t="str">
        <f t="shared" ca="1" si="181"/>
        <v>Industrial heating technology Agriculture MT - Dielectric heating - new 6</v>
      </c>
      <c r="F223" s="279" t="s">
        <v>450</v>
      </c>
      <c r="G223" s="279" t="s">
        <v>449</v>
      </c>
      <c r="H223" s="334" t="s">
        <v>665</v>
      </c>
      <c r="I223" s="281"/>
      <c r="J223" s="281" t="s">
        <v>469</v>
      </c>
    </row>
    <row r="224" spans="1:11">
      <c r="A224" s="172"/>
      <c r="B224" s="222"/>
      <c r="C224" s="222" t="str">
        <f t="shared" ca="1" si="182"/>
        <v>DMD</v>
      </c>
      <c r="D224" s="223" t="str">
        <f t="shared" ca="1" si="184"/>
        <v>INDADMTELCN7</v>
      </c>
      <c r="E224" s="223" t="str">
        <f t="shared" ca="1" si="181"/>
        <v>Industrial heating technology Agriculture MT - Infrared heating - new 7</v>
      </c>
      <c r="F224" s="279" t="s">
        <v>450</v>
      </c>
      <c r="G224" s="279" t="s">
        <v>449</v>
      </c>
      <c r="H224" s="334" t="s">
        <v>665</v>
      </c>
      <c r="I224" s="281"/>
      <c r="J224" s="281" t="s">
        <v>469</v>
      </c>
    </row>
    <row r="225" spans="1:16">
      <c r="A225" s="172"/>
      <c r="B225" s="222"/>
      <c r="C225" s="222" t="str">
        <f t="shared" ca="1" si="182"/>
        <v>DMD</v>
      </c>
      <c r="D225" s="223" t="str">
        <f t="shared" ca="1" si="184"/>
        <v>INDADHTELCN8</v>
      </c>
      <c r="E225" s="223" t="str">
        <f t="shared" ca="1" si="181"/>
        <v>Industrial heating technology Agriculture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INDADMTELCN8</v>
      </c>
      <c r="E226" s="223" t="str">
        <f t="shared" ca="1" si="181"/>
        <v>Industrial heating technology Agriculture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INDADRHELCN8</v>
      </c>
      <c r="E227" s="223" t="str">
        <f t="shared" ca="1" si="181"/>
        <v>Industrial heating technology Agriculture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INDADMTELCN9</v>
      </c>
      <c r="E228" s="223" t="str">
        <f t="shared" ca="1" si="181"/>
        <v>Industrial heating technology Agriculture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INDADRHELCN9</v>
      </c>
      <c r="E229" s="223" t="str">
        <f t="shared" ca="1" si="181"/>
        <v>Industrial heating technology Agriculture RH - Electric boiler (Hot Water) - new 9</v>
      </c>
      <c r="F229" s="279" t="s">
        <v>450</v>
      </c>
      <c r="G229" s="279" t="s">
        <v>449</v>
      </c>
      <c r="H229" s="334" t="s">
        <v>665</v>
      </c>
      <c r="I229" s="281"/>
      <c r="J229" s="281" t="s">
        <v>469</v>
      </c>
      <c r="P229" s="176"/>
    </row>
    <row r="230" spans="1:16">
      <c r="A230" s="172"/>
      <c r="B230" s="222"/>
      <c r="C230" s="222" t="str">
        <f t="shared" ca="1" si="182"/>
        <v>DMD</v>
      </c>
      <c r="D230" s="223" t="str">
        <f t="shared" ca="1" si="184"/>
        <v>INDADHTWCHN1</v>
      </c>
      <c r="E230" s="223" t="str">
        <f t="shared" ca="1" si="181"/>
        <v>Industrial heating technology Agriculture HT - Wood chip boiler (Steam) - new 1</v>
      </c>
      <c r="F230" s="279" t="s">
        <v>450</v>
      </c>
      <c r="G230" s="279" t="s">
        <v>449</v>
      </c>
      <c r="H230" s="280"/>
      <c r="I230" s="281"/>
      <c r="J230" s="281" t="s">
        <v>469</v>
      </c>
      <c r="P230" s="176"/>
    </row>
    <row r="231" spans="1:16">
      <c r="A231" s="172"/>
      <c r="B231" s="222"/>
      <c r="C231" s="222" t="str">
        <f t="shared" ca="1" si="182"/>
        <v>DMD</v>
      </c>
      <c r="D231" s="223" t="str">
        <f t="shared" ca="1" si="184"/>
        <v>INDADMTWCHN1</v>
      </c>
      <c r="E231" s="223" t="str">
        <f t="shared" ca="1" si="181"/>
        <v>Industrial heating technology Agriculture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INDADRHWCHN1</v>
      </c>
      <c r="E232" s="223" t="str">
        <f t="shared" ca="1" si="181"/>
        <v>Industrial heating technology Agriculture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INDADMTWCHN2</v>
      </c>
      <c r="E233" s="223" t="str">
        <f t="shared" ca="1" si="181"/>
        <v>Industrial heating technology Agriculture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INDADRHWCHN2</v>
      </c>
      <c r="E234" s="223" t="str">
        <f t="shared" ca="1" si="181"/>
        <v>Industrial heating technology Agriculture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INDADMTWCHN3</v>
      </c>
      <c r="E235" s="223" t="str">
        <f t="shared" ca="1" si="181"/>
        <v>Industrial heating technology Agriculture MT - Wood chip boiler (Hot Water) - new 3</v>
      </c>
      <c r="F235" s="279" t="s">
        <v>450</v>
      </c>
      <c r="G235" s="279" t="s">
        <v>449</v>
      </c>
      <c r="H235" s="278"/>
      <c r="I235" s="278"/>
      <c r="J235" s="281" t="s">
        <v>469</v>
      </c>
    </row>
    <row r="236" spans="1:16">
      <c r="A236" s="172"/>
      <c r="B236" s="223"/>
      <c r="C236" s="222" t="str">
        <f t="shared" ca="1" si="182"/>
        <v>DMD</v>
      </c>
      <c r="D236" s="223" t="str">
        <f t="shared" ca="1" si="184"/>
        <v>INDADRHWCHN3</v>
      </c>
      <c r="E236" s="223" t="str">
        <f t="shared" ca="1" si="181"/>
        <v>Industrial heating technology Agriculture RH - Wood chip boiler (Hot Water) - new 3</v>
      </c>
      <c r="F236" s="279" t="s">
        <v>450</v>
      </c>
      <c r="G236" s="279" t="s">
        <v>449</v>
      </c>
      <c r="H236" s="278"/>
      <c r="I236" s="278"/>
      <c r="J236" s="281" t="s">
        <v>469</v>
      </c>
    </row>
    <row r="237" spans="1:16">
      <c r="A237" s="172"/>
      <c r="B237" s="223"/>
      <c r="C237" s="222" t="str">
        <f t="shared" ca="1" si="182"/>
        <v>DMD</v>
      </c>
      <c r="D237" s="223" t="str">
        <f t="shared" ca="1" si="184"/>
        <v>INDADMTWCHN4</v>
      </c>
      <c r="E237" s="223" t="str">
        <f t="shared" ca="1" si="181"/>
        <v>Industrial heating technology Agriculture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INDADRHWCHN4</v>
      </c>
      <c r="E238" s="223" t="str">
        <f t="shared" ca="1" si="181"/>
        <v>Industrial heating technology Agriculture RH - Wood chip boiler (Hot Water- condensing) - new 4</v>
      </c>
      <c r="F238" s="279" t="s">
        <v>450</v>
      </c>
      <c r="G238" s="279" t="s">
        <v>449</v>
      </c>
      <c r="H238" s="278"/>
      <c r="I238" s="278"/>
      <c r="J238" s="281" t="s">
        <v>469</v>
      </c>
    </row>
    <row r="239" spans="1:16">
      <c r="B239" s="223"/>
      <c r="C239" s="222" t="str">
        <f t="shared" ca="1" si="182"/>
        <v>*</v>
      </c>
      <c r="D239" s="223" t="str">
        <f t="shared" ca="1" si="184"/>
        <v>*</v>
      </c>
      <c r="E239" s="223" t="str">
        <f t="shared" ca="1" si="181"/>
        <v>Industrial heating technology Agriculture MT - Heat pump utilizing waste heat - new 1</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Agriculture MT - Heat pump utilizing waste heat - new 1</v>
      </c>
      <c r="F240" s="279" t="s">
        <v>450</v>
      </c>
      <c r="G240" s="279" t="s">
        <v>449</v>
      </c>
      <c r="H240" s="334" t="s">
        <v>665</v>
      </c>
      <c r="I240" s="278"/>
      <c r="J240" s="281" t="s">
        <v>469</v>
      </c>
    </row>
    <row r="241" spans="1:10">
      <c r="B241" s="223"/>
      <c r="C241" s="222" t="str">
        <f t="shared" ca="1" si="182"/>
        <v>DMD</v>
      </c>
      <c r="D241" s="223" t="str">
        <f t="shared" ca="1" si="184"/>
        <v>INDADHTNG2N1</v>
      </c>
      <c r="E241" s="223" t="str">
        <f t="shared" ca="1" si="181"/>
        <v>Industrial heating technology Agriculture HT - Oil boiler (Steam) - new 1</v>
      </c>
      <c r="F241" s="279" t="s">
        <v>450</v>
      </c>
      <c r="G241" s="279" t="s">
        <v>449</v>
      </c>
      <c r="H241" s="278"/>
      <c r="I241" s="278"/>
      <c r="J241" s="281" t="s">
        <v>469</v>
      </c>
    </row>
    <row r="242" spans="1:10">
      <c r="B242" s="223"/>
      <c r="C242" s="222" t="str">
        <f t="shared" ca="1" si="182"/>
        <v>DMD</v>
      </c>
      <c r="D242" s="223" t="str">
        <f t="shared" ca="1" si="184"/>
        <v>INDADMTNG2N1</v>
      </c>
      <c r="E242" s="223" t="str">
        <f t="shared" ca="1" si="181"/>
        <v>Industrial heating technology Agriculture MT - Oil boiler (Steam) - new 1</v>
      </c>
      <c r="F242" s="279" t="s">
        <v>450</v>
      </c>
      <c r="G242" s="279" t="s">
        <v>449</v>
      </c>
      <c r="H242" s="278"/>
      <c r="I242" s="278"/>
      <c r="J242" s="281" t="s">
        <v>469</v>
      </c>
    </row>
    <row r="243" spans="1:10">
      <c r="B243" s="223"/>
      <c r="C243" s="222" t="str">
        <f t="shared" ca="1" si="182"/>
        <v>DMD</v>
      </c>
      <c r="D243" s="223" t="str">
        <f t="shared" ca="1" si="184"/>
        <v>INDADRHNG2N1</v>
      </c>
      <c r="E243" s="223" t="str">
        <f t="shared" ca="1" si="181"/>
        <v>Industrial heating technology Agriculture RH - Oil boiler (Steam) - new 1</v>
      </c>
      <c r="F243" s="279" t="s">
        <v>450</v>
      </c>
      <c r="G243" s="279" t="s">
        <v>449</v>
      </c>
      <c r="H243" s="278"/>
      <c r="I243" s="278"/>
      <c r="J243" s="281" t="s">
        <v>469</v>
      </c>
    </row>
    <row r="244" spans="1:10">
      <c r="A244" s="226"/>
      <c r="B244" s="223"/>
      <c r="C244" s="222" t="str">
        <f t="shared" ca="1" si="182"/>
        <v>DMD</v>
      </c>
      <c r="D244" s="223" t="str">
        <f t="shared" ca="1" si="184"/>
        <v>INDADMTNG2N2</v>
      </c>
      <c r="E244" s="223" t="str">
        <f t="shared" ca="1" si="181"/>
        <v>Industrial heating technology Agriculture MT - Oil boiler (Steam - condensing) - new 2</v>
      </c>
      <c r="F244" s="279" t="s">
        <v>450</v>
      </c>
      <c r="G244" s="279" t="s">
        <v>449</v>
      </c>
      <c r="H244" s="278"/>
      <c r="I244" s="278"/>
      <c r="J244" s="281" t="s">
        <v>469</v>
      </c>
    </row>
    <row r="245" spans="1:10">
      <c r="A245" s="226"/>
      <c r="B245" s="223"/>
      <c r="C245" s="222" t="str">
        <f t="shared" ca="1" si="182"/>
        <v>DMD</v>
      </c>
      <c r="D245" s="223" t="str">
        <f t="shared" ca="1" si="184"/>
        <v>INDADRHNG2N2</v>
      </c>
      <c r="E245" s="223" t="str">
        <f t="shared" ref="E245:E268" ca="1" si="185">VLOOKUP(D245,$D$9:$E$206,2,FALSE)</f>
        <v>Industrial heating technology Agriculture RH - Oil boiler (Steam - condensing) - new 2</v>
      </c>
      <c r="F245" s="279" t="s">
        <v>450</v>
      </c>
      <c r="G245" s="279" t="s">
        <v>449</v>
      </c>
      <c r="H245" s="278"/>
      <c r="I245" s="278"/>
      <c r="J245" s="281" t="s">
        <v>469</v>
      </c>
    </row>
    <row r="246" spans="1:10">
      <c r="A246" s="226"/>
      <c r="B246" s="223"/>
      <c r="C246" s="222" t="str">
        <f t="shared" ca="1" si="182"/>
        <v>DMD</v>
      </c>
      <c r="D246" s="223" t="str">
        <f t="shared" ca="1" si="184"/>
        <v>INDADHTDH2N1</v>
      </c>
      <c r="E246" s="223" t="str">
        <f t="shared" ca="1" si="185"/>
        <v>Industrial heating technology Agriculture HT - Gas boiler (Steam) - new 1</v>
      </c>
      <c r="F246" s="279" t="s">
        <v>450</v>
      </c>
      <c r="G246" s="279" t="s">
        <v>449</v>
      </c>
      <c r="H246" s="278"/>
      <c r="I246" s="278"/>
      <c r="J246" s="281" t="s">
        <v>469</v>
      </c>
    </row>
    <row r="247" spans="1:10">
      <c r="A247" s="226"/>
      <c r="B247" s="223"/>
      <c r="C247" s="222" t="str">
        <f t="shared" ca="1" si="182"/>
        <v>DMD</v>
      </c>
      <c r="D247" s="223" t="str">
        <f t="shared" ca="1" si="184"/>
        <v>INDADMTDH2N1</v>
      </c>
      <c r="E247" s="223" t="str">
        <f t="shared" ca="1" si="185"/>
        <v>Industrial heating technology Agriculture MT - Gas boiler (Steam) - new 1</v>
      </c>
      <c r="F247" s="279" t="s">
        <v>450</v>
      </c>
      <c r="G247" s="279" t="s">
        <v>449</v>
      </c>
      <c r="H247" s="278"/>
      <c r="I247" s="278"/>
      <c r="J247" s="281" t="s">
        <v>469</v>
      </c>
    </row>
    <row r="248" spans="1:10">
      <c r="B248" s="223"/>
      <c r="C248" s="222" t="str">
        <f t="shared" ca="1" si="182"/>
        <v>DMD</v>
      </c>
      <c r="D248" s="223" t="str">
        <f t="shared" ca="1" si="184"/>
        <v>INDADRHDH2N1</v>
      </c>
      <c r="E248" s="223" t="str">
        <f t="shared" ca="1" si="185"/>
        <v>Industrial heating technology Agriculture RH - Gas boiler (Steam) - new 1</v>
      </c>
      <c r="F248" s="279" t="s">
        <v>450</v>
      </c>
      <c r="G248" s="279" t="s">
        <v>449</v>
      </c>
      <c r="H248" s="278"/>
      <c r="I248" s="278"/>
      <c r="J248" s="281" t="s">
        <v>469</v>
      </c>
    </row>
    <row r="249" spans="1:10">
      <c r="B249" s="223"/>
      <c r="C249" s="222" t="str">
        <f t="shared" ca="1" si="182"/>
        <v>DMD</v>
      </c>
      <c r="D249" s="223" t="str">
        <f t="shared" ca="1" si="184"/>
        <v>INDADMTDH2N2</v>
      </c>
      <c r="E249" s="223" t="str">
        <f t="shared" ca="1" si="185"/>
        <v>Industrial heating technology Agriculture MT - Gas boiler (Steam - condensing) - new 2</v>
      </c>
      <c r="F249" s="279" t="s">
        <v>450</v>
      </c>
      <c r="G249" s="279" t="s">
        <v>449</v>
      </c>
      <c r="H249" s="278"/>
      <c r="I249" s="278"/>
      <c r="J249" s="281" t="s">
        <v>469</v>
      </c>
    </row>
    <row r="250" spans="1:10">
      <c r="B250" s="223"/>
      <c r="C250" s="222" t="str">
        <f t="shared" ca="1" si="182"/>
        <v>DMD</v>
      </c>
      <c r="D250" s="223" t="str">
        <f t="shared" ca="1" si="184"/>
        <v>INDADRHDH2N2</v>
      </c>
      <c r="E250" s="223" t="str">
        <f t="shared" ca="1" si="185"/>
        <v>Industrial heating technology Agriculture RH - Gas boiler (Steam - condensing) - new 2</v>
      </c>
      <c r="F250" s="279" t="s">
        <v>450</v>
      </c>
      <c r="G250" s="279" t="s">
        <v>449</v>
      </c>
      <c r="H250" s="278"/>
      <c r="I250" s="278"/>
      <c r="J250" s="281" t="s">
        <v>469</v>
      </c>
    </row>
    <row r="251" spans="1:10">
      <c r="B251" s="223"/>
      <c r="C251" s="222" t="str">
        <f t="shared" ca="1" si="182"/>
        <v>DMD</v>
      </c>
      <c r="D251" s="223" t="str">
        <f t="shared" ca="1" si="184"/>
        <v>INDADMTDH2N3</v>
      </c>
      <c r="E251" s="223" t="str">
        <f t="shared" ca="1" si="185"/>
        <v>Industrial heating technology Agriculture MT - Gas boiler (Hot Water) - new 3</v>
      </c>
      <c r="F251" s="279" t="s">
        <v>450</v>
      </c>
      <c r="G251" s="279" t="s">
        <v>449</v>
      </c>
      <c r="H251" s="278"/>
      <c r="I251" s="278"/>
      <c r="J251" s="281" t="s">
        <v>469</v>
      </c>
    </row>
    <row r="252" spans="1:10">
      <c r="B252" s="223"/>
      <c r="C252" s="222" t="str">
        <f t="shared" ca="1" si="182"/>
        <v>DMD</v>
      </c>
      <c r="D252" s="223" t="str">
        <f t="shared" ca="1" si="184"/>
        <v>INDADRHDH2N3</v>
      </c>
      <c r="E252" s="223" t="str">
        <f t="shared" ca="1" si="185"/>
        <v>Industrial heating technology Agriculture RH - Gas boiler (Hot Water) - new 3</v>
      </c>
      <c r="F252" s="279" t="s">
        <v>450</v>
      </c>
      <c r="G252" s="279" t="s">
        <v>449</v>
      </c>
      <c r="H252" s="278"/>
      <c r="I252" s="278"/>
      <c r="J252" s="281" t="s">
        <v>469</v>
      </c>
    </row>
    <row r="253" spans="1:10">
      <c r="B253" s="223"/>
      <c r="C253" s="222" t="str">
        <f t="shared" ca="1" si="182"/>
        <v>DMD</v>
      </c>
      <c r="D253" s="223" t="str">
        <f t="shared" ca="1" si="184"/>
        <v>INDADMTDH2N4</v>
      </c>
      <c r="E253" s="223" t="str">
        <f t="shared" ca="1" si="185"/>
        <v>Industrial heating technology Agriculture MT - Gas boiler (Hot Water - condensing) - new 4</v>
      </c>
      <c r="F253" s="279" t="s">
        <v>450</v>
      </c>
      <c r="G253" s="279" t="s">
        <v>449</v>
      </c>
      <c r="H253" s="278"/>
      <c r="I253" s="278"/>
      <c r="J253" s="281" t="s">
        <v>469</v>
      </c>
    </row>
    <row r="254" spans="1:10">
      <c r="B254" s="223"/>
      <c r="C254" s="222" t="str">
        <f t="shared" ca="1" si="182"/>
        <v>DMD</v>
      </c>
      <c r="D254" s="223" t="str">
        <f t="shared" ca="1" si="184"/>
        <v>INDADRHDH2N4</v>
      </c>
      <c r="E254" s="223" t="str">
        <f t="shared" ca="1" si="185"/>
        <v>Industrial heating technology Agriculture RH - Gas boiler (Hot Water- condensing) - new 4</v>
      </c>
      <c r="F254" s="279" t="s">
        <v>450</v>
      </c>
      <c r="G254" s="279" t="s">
        <v>449</v>
      </c>
      <c r="H254" s="278"/>
      <c r="I254" s="278"/>
      <c r="J254" s="281" t="s">
        <v>469</v>
      </c>
    </row>
    <row r="255" spans="1:10">
      <c r="B255" s="223"/>
      <c r="C255" s="222" t="str">
        <f t="shared" ca="1" si="182"/>
        <v>*</v>
      </c>
      <c r="D255" s="223" t="str">
        <f t="shared" ca="1" si="184"/>
        <v>*</v>
      </c>
      <c r="E255" s="223" t="str">
        <f t="shared" ca="1" si="185"/>
        <v>Industrial heating technology Agriculture MT - Heat pump utilizing waste heat - new 1</v>
      </c>
      <c r="F255" s="279" t="s">
        <v>450</v>
      </c>
      <c r="G255" s="279" t="s">
        <v>449</v>
      </c>
      <c r="H255" s="278"/>
      <c r="I255" s="278"/>
      <c r="J255" s="281" t="s">
        <v>469</v>
      </c>
    </row>
    <row r="256" spans="1:10">
      <c r="B256" s="223"/>
      <c r="C256" s="222" t="str">
        <f t="shared" ca="1" si="182"/>
        <v>*</v>
      </c>
      <c r="D256" s="223" t="str">
        <f t="shared" ca="1" si="184"/>
        <v>*</v>
      </c>
      <c r="E256" s="223" t="str">
        <f t="shared" ca="1" si="185"/>
        <v>Industrial heating technology Agriculture MT - Heat pump utilizing waste heat - new 1</v>
      </c>
      <c r="F256" s="279" t="s">
        <v>450</v>
      </c>
      <c r="G256" s="279" t="s">
        <v>449</v>
      </c>
      <c r="H256" s="278"/>
      <c r="I256" s="278"/>
      <c r="J256" s="281" t="s">
        <v>469</v>
      </c>
    </row>
    <row r="257" spans="2:10">
      <c r="B257" s="223"/>
      <c r="C257" s="222" t="str">
        <f t="shared" ca="1" si="182"/>
        <v>DMD</v>
      </c>
      <c r="D257" s="223" t="str">
        <f t="shared" ca="1" si="184"/>
        <v>INDADHTCOAN1</v>
      </c>
      <c r="E257" s="223" t="str">
        <f t="shared" ca="1" si="185"/>
        <v>Industrial heating technology Agriculture HT - Coal boiler (Steam) - new 1</v>
      </c>
      <c r="F257" s="279" t="s">
        <v>450</v>
      </c>
      <c r="G257" s="279" t="s">
        <v>449</v>
      </c>
      <c r="H257" s="278"/>
      <c r="I257" s="278"/>
      <c r="J257" s="281" t="s">
        <v>469</v>
      </c>
    </row>
    <row r="258" spans="2:10">
      <c r="B258" s="223"/>
      <c r="C258" s="222" t="str">
        <f t="shared" ca="1" si="182"/>
        <v>DMD</v>
      </c>
      <c r="D258" s="223" t="str">
        <f t="shared" ca="1" si="184"/>
        <v>INDADMTCOAN1</v>
      </c>
      <c r="E258" s="223" t="str">
        <f t="shared" ca="1" si="185"/>
        <v>Industrial heating technology Agriculture MT - Coal boiler (Steam) - new 1</v>
      </c>
      <c r="F258" s="279" t="s">
        <v>450</v>
      </c>
      <c r="G258" s="279" t="s">
        <v>449</v>
      </c>
      <c r="H258" s="278"/>
      <c r="I258" s="278"/>
      <c r="J258" s="281" t="s">
        <v>469</v>
      </c>
    </row>
    <row r="259" spans="2:10">
      <c r="B259" s="223"/>
      <c r="C259" s="222" t="str">
        <f t="shared" ca="1" si="182"/>
        <v>DMD</v>
      </c>
      <c r="D259" s="223" t="str">
        <f t="shared" ca="1" si="184"/>
        <v>INDADRHCOAN1</v>
      </c>
      <c r="E259" s="223" t="str">
        <f t="shared" ca="1" si="185"/>
        <v>Industrial heating technology Agriculture RH - Coal boiler (Steam) - new 1</v>
      </c>
      <c r="F259" s="279" t="s">
        <v>450</v>
      </c>
      <c r="G259" s="279" t="s">
        <v>449</v>
      </c>
      <c r="H259" s="278"/>
      <c r="I259" s="278"/>
      <c r="J259" s="281" t="s">
        <v>469</v>
      </c>
    </row>
    <row r="260" spans="2:10">
      <c r="B260" s="223"/>
      <c r="C260" s="222" t="str">
        <f t="shared" ca="1" si="182"/>
        <v>DMD</v>
      </c>
      <c r="D260" s="223" t="str">
        <f t="shared" ca="1" si="184"/>
        <v>INDADMTCOAN2</v>
      </c>
      <c r="E260" s="223" t="str">
        <f t="shared" ca="1" si="185"/>
        <v>Industrial heating technology Agriculture MT - Coal boiler (Hot Water) - new 2</v>
      </c>
      <c r="F260" s="279" t="s">
        <v>450</v>
      </c>
      <c r="G260" s="279" t="s">
        <v>449</v>
      </c>
      <c r="H260" s="278"/>
      <c r="I260" s="278"/>
      <c r="J260" s="281" t="s">
        <v>469</v>
      </c>
    </row>
    <row r="261" spans="2:10">
      <c r="B261" s="223"/>
      <c r="C261" s="222" t="str">
        <f t="shared" ca="1" si="182"/>
        <v>DMD</v>
      </c>
      <c r="D261" s="223" t="str">
        <f t="shared" ca="1" si="184"/>
        <v>INDADRHCOAN2</v>
      </c>
      <c r="E261" s="223" t="str">
        <f t="shared" ca="1" si="185"/>
        <v>Industrial heating technology Agriculture RH - Coal boiler (Hot Water) - new 2</v>
      </c>
      <c r="F261" s="279" t="s">
        <v>450</v>
      </c>
      <c r="G261" s="279" t="s">
        <v>449</v>
      </c>
      <c r="H261" s="278"/>
      <c r="I261" s="278"/>
      <c r="J261" s="281" t="s">
        <v>469</v>
      </c>
    </row>
    <row r="262" spans="2:10">
      <c r="B262" s="223"/>
      <c r="C262" s="222" t="str">
        <f t="shared" ca="1" si="182"/>
        <v>DMD</v>
      </c>
      <c r="D262" s="223" t="str">
        <f t="shared" ca="1" si="184"/>
        <v>INDADRHSOLN1</v>
      </c>
      <c r="E262" s="223" t="str">
        <f t="shared" ca="1" si="185"/>
        <v>Industrial heating technology Agriculture RH - Solar - new 1</v>
      </c>
      <c r="F262" s="279" t="s">
        <v>450</v>
      </c>
      <c r="G262" s="279" t="s">
        <v>449</v>
      </c>
      <c r="H262" s="334" t="s">
        <v>665</v>
      </c>
      <c r="I262" s="278"/>
      <c r="J262" s="281" t="s">
        <v>469</v>
      </c>
    </row>
    <row r="263" spans="2:10">
      <c r="B263" s="223"/>
      <c r="C263" s="222" t="str">
        <f t="shared" si="182"/>
        <v>DMD</v>
      </c>
      <c r="D263" s="949" t="str">
        <f>D187</f>
        <v>INDADRHHCEN1</v>
      </c>
      <c r="E263" s="949" t="str">
        <f t="shared" ca="1" si="185"/>
        <v>Industrial heating technology Agriculture RH - central district heating - within DH area - new 1</v>
      </c>
      <c r="F263" s="279" t="s">
        <v>450</v>
      </c>
      <c r="G263" s="279" t="s">
        <v>449</v>
      </c>
      <c r="H263" s="334" t="s">
        <v>665</v>
      </c>
      <c r="I263" s="950"/>
      <c r="J263" s="280" t="s">
        <v>469</v>
      </c>
    </row>
    <row r="264" spans="2:10">
      <c r="B264" s="223"/>
      <c r="C264" s="222" t="str">
        <f t="shared" si="182"/>
        <v>DMD</v>
      </c>
      <c r="D264" s="223" t="str">
        <f t="shared" ref="D264" si="186">D188</f>
        <v>INDADRHHDEN1</v>
      </c>
      <c r="E264" s="223" t="str">
        <f t="shared" ca="1" si="185"/>
        <v>Industrial heating technology Agriculture RH - decentral district heating - within DH area - new 1</v>
      </c>
      <c r="F264" s="279" t="s">
        <v>450</v>
      </c>
      <c r="G264" s="279" t="s">
        <v>449</v>
      </c>
      <c r="H264" s="334" t="s">
        <v>665</v>
      </c>
      <c r="I264" s="278"/>
      <c r="J264" s="281" t="s">
        <v>469</v>
      </c>
    </row>
    <row r="265" spans="2:10">
      <c r="B265" s="223"/>
      <c r="C265" s="222" t="str">
        <f t="shared" si="182"/>
        <v>DMD</v>
      </c>
      <c r="D265" s="223" t="str">
        <f>D190</f>
        <v>INDADLAELCN1</v>
      </c>
      <c r="E265" s="223" t="str">
        <f t="shared" ca="1" si="185"/>
        <v>Industry Agriculture LA Electricity Light Appliance - New 1</v>
      </c>
      <c r="F265" s="279" t="s">
        <v>450</v>
      </c>
      <c r="G265" s="279" t="s">
        <v>449</v>
      </c>
      <c r="H265" s="334" t="s">
        <v>665</v>
      </c>
      <c r="I265" s="278"/>
      <c r="J265" s="281" t="s">
        <v>469</v>
      </c>
    </row>
    <row r="266" spans="2:10">
      <c r="B266" s="223"/>
      <c r="C266" s="222" t="str">
        <f t="shared" si="182"/>
        <v>DMD</v>
      </c>
      <c r="D266" s="223" t="str">
        <f>D194</f>
        <v>INDADEMELCN1</v>
      </c>
      <c r="E266" s="223" t="str">
        <f t="shared" ca="1" si="185"/>
        <v>Industry Agriculture EM Electricity Motors - New 1</v>
      </c>
      <c r="F266" s="279" t="s">
        <v>450</v>
      </c>
      <c r="G266" s="279" t="s">
        <v>449</v>
      </c>
      <c r="H266" s="334" t="s">
        <v>665</v>
      </c>
      <c r="I266" s="278"/>
      <c r="J266" s="281" t="s">
        <v>469</v>
      </c>
    </row>
    <row r="267" spans="2:10">
      <c r="B267" s="223"/>
      <c r="C267" s="222" t="str">
        <f t="shared" si="182"/>
        <v>DMD</v>
      </c>
      <c r="D267" s="223" t="str">
        <f>D198</f>
        <v>INDADTFDSLN1</v>
      </c>
      <c r="E267" s="223" t="str">
        <f t="shared" ca="1" si="185"/>
        <v>Industry Agriculture TF Tractors, Trucks, Fishing boats - New 1</v>
      </c>
      <c r="F267" s="279" t="s">
        <v>450</v>
      </c>
      <c r="G267" s="279" t="s">
        <v>449</v>
      </c>
      <c r="H267" s="278"/>
      <c r="I267" s="278"/>
      <c r="J267" s="281" t="s">
        <v>469</v>
      </c>
    </row>
    <row r="268" spans="2:10">
      <c r="B268" s="223"/>
      <c r="C268" s="222" t="str">
        <f t="shared" si="182"/>
        <v>DMD</v>
      </c>
      <c r="D268" s="223" t="str">
        <f>D202</f>
        <v>INDADFLDH2N1</v>
      </c>
      <c r="E268" s="223" t="str">
        <f t="shared" ca="1" si="185"/>
        <v>Industry Agriculture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IADSOx</v>
      </c>
      <c r="E273" s="287" t="str">
        <f>"Industrial heating  heating technology "&amp;$AJ$12&amp;" - SOx emission"</f>
        <v>Industrial heating  heating technology Agriculture - SOx emission</v>
      </c>
      <c r="F273" s="231" t="s">
        <v>352</v>
      </c>
      <c r="G273" s="222"/>
      <c r="H273" s="222"/>
      <c r="I273" s="222"/>
      <c r="J273" s="222"/>
    </row>
    <row r="274" spans="2:10">
      <c r="B274" s="226"/>
      <c r="C274" s="226"/>
      <c r="D274" s="277" t="str">
        <f>"I"&amp;LEFT($AJ$12,1)&amp;"DNOx"</f>
        <v>IADNOx</v>
      </c>
      <c r="E274" s="287" t="str">
        <f>"Industrial heating  heating technology "&amp;$AJ$12&amp;" - NOx emission"</f>
        <v>Industrial heating  heating technology Agriculture - NOx emission</v>
      </c>
      <c r="F274" s="231" t="s">
        <v>352</v>
      </c>
      <c r="G274" s="222"/>
      <c r="H274" s="226"/>
      <c r="I274" s="226"/>
      <c r="J274" s="226"/>
    </row>
    <row r="275" spans="2:10">
      <c r="B275" s="226"/>
      <c r="C275" s="226"/>
      <c r="D275" s="277" t="str">
        <f>"I"&amp;LEFT($AJ$12,1)&amp;"DCH4"</f>
        <v>IADCH4</v>
      </c>
      <c r="E275" s="287" t="str">
        <f>"Industrial heating  heating technology "&amp;$AJ$12&amp;" - CH4 emission"</f>
        <v>Industrial heating  heating technology Agriculture - CH4 emission</v>
      </c>
      <c r="F275" s="231" t="s">
        <v>352</v>
      </c>
      <c r="G275" s="222"/>
      <c r="H275" s="226"/>
      <c r="I275" s="226"/>
      <c r="J275" s="226"/>
    </row>
    <row r="276" spans="2:10">
      <c r="B276" s="226"/>
      <c r="C276" s="226"/>
      <c r="D276" s="277" t="str">
        <f>"I"&amp;LEFT($AJ$12,1)&amp;"DNO2"</f>
        <v>IADNO2</v>
      </c>
      <c r="E276" s="287" t="str">
        <f>"Industrial heating  heating technology "&amp;$AJ$12&amp;" - NO2 emission"</f>
        <v>Industrial heating  heating technology Agriculture - NO2 emission</v>
      </c>
      <c r="F276" s="231" t="s">
        <v>352</v>
      </c>
      <c r="G276" s="222"/>
      <c r="H276" s="226"/>
      <c r="I276" s="226"/>
      <c r="J276" s="226"/>
    </row>
    <row r="277" spans="2:10">
      <c r="B277" s="226"/>
      <c r="C277" s="226"/>
      <c r="D277" s="277" t="str">
        <f>"I"&amp;LEFT($AJ$12,1)&amp;"DPM"</f>
        <v>IADPM</v>
      </c>
      <c r="E277" s="287" t="str">
        <f>"Industrial heating  heating technology "&amp;$AJ$12&amp;" - Particle emission"</f>
        <v>Industrial heating  heating technology Agriculture - Particle emission</v>
      </c>
      <c r="F277" s="231" t="s">
        <v>352</v>
      </c>
      <c r="G277" s="222"/>
      <c r="H277" s="226"/>
      <c r="I277" s="226"/>
      <c r="J277" s="226"/>
    </row>
    <row r="278" spans="2:10">
      <c r="B278" s="239" t="s">
        <v>1182</v>
      </c>
      <c r="D278" s="239" t="str">
        <f>AI20</f>
        <v>INDAWH</v>
      </c>
      <c r="E278" s="287" t="str">
        <f>"Industrial heating technology "&amp;$AJ$12&amp;" - Waste heat"</f>
        <v>Industrial heating technology Agriculture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3DE310B-E851-4BE0-B70C-7C925933B753}">
          <x14:formula1>
            <xm:f>'Oil-fired boiler_NEW'!$T$4:$X$4</xm:f>
          </x14:formula1>
          <xm:sqref>E1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0F473-A8AD-4E49-9FB9-5B34DD4B5AC6}">
  <sheetPr>
    <tabColor rgb="FF00B050"/>
  </sheetPr>
  <dimension ref="A1:AJ278"/>
  <sheetViews>
    <sheetView topLeftCell="D1"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36" ht="14.7" customHeight="1">
      <c r="D1" s="788" t="s">
        <v>1141</v>
      </c>
      <c r="E1" s="789" t="s">
        <v>841</v>
      </c>
      <c r="N1" s="64"/>
      <c r="O1" s="64"/>
      <c r="P1" s="64"/>
      <c r="S1" s="787" t="s">
        <v>1129</v>
      </c>
      <c r="T1" s="836" t="s">
        <v>1128</v>
      </c>
      <c r="U1" s="835" t="s">
        <v>1178</v>
      </c>
      <c r="V1" s="836" t="s">
        <v>1179</v>
      </c>
      <c r="W1" s="840">
        <v>0.3</v>
      </c>
    </row>
    <row r="2" spans="2:36" ht="15" thickBot="1">
      <c r="E2" s="790" t="s">
        <v>568</v>
      </c>
      <c r="N2" s="791"/>
      <c r="O2" s="791"/>
      <c r="P2" s="791"/>
      <c r="S2" s="786">
        <f>MATCH($E$1,$AJ$22:$AJ$35)</f>
        <v>7</v>
      </c>
      <c r="T2" s="838">
        <f>MATCH($E$1,$AJ$22:$AJ$35)+1</f>
        <v>8</v>
      </c>
      <c r="U2" s="839"/>
      <c r="V2" s="828" t="s">
        <v>1180</v>
      </c>
      <c r="W2" s="841">
        <v>0.2</v>
      </c>
    </row>
    <row r="3" spans="2:36" ht="15" thickBot="1">
      <c r="N3" s="791"/>
      <c r="O3" s="791"/>
      <c r="P3" s="791"/>
      <c r="S3" s="828"/>
      <c r="T3" s="828"/>
      <c r="U3" s="837"/>
      <c r="V3" s="838" t="s">
        <v>1181</v>
      </c>
      <c r="W3" s="842">
        <v>0</v>
      </c>
    </row>
    <row r="4" spans="2:36">
      <c r="N4" s="791"/>
      <c r="O4" s="791"/>
      <c r="P4" s="791"/>
      <c r="S4" s="828"/>
      <c r="T4" s="828"/>
      <c r="U4" s="828"/>
      <c r="V4" s="828"/>
    </row>
    <row r="5" spans="2:36">
      <c r="J5" s="175" t="s">
        <v>468</v>
      </c>
      <c r="N5" s="791"/>
      <c r="O5" s="791"/>
      <c r="P5" s="791"/>
      <c r="S5" s="828"/>
      <c r="T5" s="828"/>
      <c r="U5" s="828"/>
      <c r="V5" s="828"/>
    </row>
    <row r="6" spans="2:36"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FEMIS~INDSOx</v>
      </c>
      <c r="Y6" s="299" t="str">
        <f>"FEMIS~"&amp;D274</f>
        <v>FEMIS~INDNOx</v>
      </c>
      <c r="Z6" s="299" t="str">
        <f>"FEMIS~"&amp;D275</f>
        <v>FEMIS~INDCH4</v>
      </c>
      <c r="AA6" s="299" t="str">
        <f>"FEMIS~"&amp;D276</f>
        <v>FEMIS~INDNO2</v>
      </c>
      <c r="AB6" s="299" t="str">
        <f>"FEMIS~"&amp;D277</f>
        <v>FEMIS~INDPM</v>
      </c>
      <c r="AC6" s="239" t="s">
        <v>424</v>
      </c>
      <c r="AD6" s="239" t="s">
        <v>1428</v>
      </c>
      <c r="AE6" s="47" t="s">
        <v>338</v>
      </c>
      <c r="AF6" s="233" t="s">
        <v>473</v>
      </c>
    </row>
    <row r="7" spans="2:36"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36">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36">
      <c r="B9" s="393" t="s">
        <v>1123</v>
      </c>
      <c r="D9" s="223" t="str">
        <f ca="1">IF(T9=0,"*",IF(T9&gt;0,"IND"&amp;RIGHT(H9,4)&amp;RIGHT(G9,3)&amp;"N"&amp;RIGHT(E9,1),""))</f>
        <v>INDNDMTELCN1</v>
      </c>
      <c r="E9" s="278" t="str">
        <f>"Industrial heating technology "&amp;$AJ$12&amp;" "&amp;RIGHT(H9,2)&amp;" - Heat pump utilizing waste heat - new 1"</f>
        <v>Industrial heating technology N MT - Heat pump utilizing waste heat - new 1</v>
      </c>
      <c r="F9" s="239" t="s">
        <v>1274</v>
      </c>
      <c r="G9" s="176" t="s">
        <v>500</v>
      </c>
      <c r="H9" s="177" t="str">
        <f>$AI$14</f>
        <v>INDMT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0.22</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36">
      <c r="B10" s="393" t="s">
        <v>1123</v>
      </c>
      <c r="D10" s="223" t="str">
        <f ca="1">IF(T9=0,"*",IF(T10&gt;0,"IND"&amp;RIGHT(H9,4)&amp;RIGHT(G9,3)&amp;"N"&amp;RIGHT(E9,1),""))</f>
        <v/>
      </c>
      <c r="E10" s="278"/>
      <c r="F10" s="239" t="s">
        <v>1274</v>
      </c>
      <c r="G10" s="176" t="str">
        <f>$AI$20</f>
        <v>INDNWH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36">
      <c r="B11" s="393" t="s">
        <v>1123</v>
      </c>
      <c r="D11" s="223" t="str">
        <f ca="1">IF(T9=0,"*",IF(T11&gt;0,"IND"&amp;RIGHT(H9,4)&amp;RIGHT(G9,3)&amp;"N"&amp;RIGHT(E9,1),""))</f>
        <v/>
      </c>
      <c r="E11" s="223"/>
      <c r="F11" s="239" t="s">
        <v>1274</v>
      </c>
      <c r="G11" s="176" t="s">
        <v>500</v>
      </c>
      <c r="H11" s="177" t="str">
        <f>$AI$14</f>
        <v>INDMT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36">
      <c r="B12" s="393" t="s">
        <v>1123</v>
      </c>
      <c r="D12" s="223" t="str">
        <f ca="1">IF(T9=0,"*",IF(T12&gt;0,"IND"&amp;RIGHT(H9,4)&amp;RIGHT(G9,3)&amp;"N"&amp;RIGHT(E9,1),""))</f>
        <v/>
      </c>
      <c r="E12" s="223"/>
      <c r="F12" s="239" t="s">
        <v>1274</v>
      </c>
      <c r="G12" s="176" t="str">
        <f>$AI$20</f>
        <v>INDNWH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
        <v>1012</v>
      </c>
    </row>
    <row r="13" spans="2:36">
      <c r="B13" s="393" t="s">
        <v>1123</v>
      </c>
      <c r="D13" s="223" t="str">
        <f ca="1">IF(T9=0,"*",IF(T13&gt;0,"IND"&amp;RIGHT(H9,4)&amp;RIGHT(G9,3)&amp;"N"&amp;RIGHT(E9,1),""))</f>
        <v/>
      </c>
      <c r="E13" s="223"/>
      <c r="F13" s="239" t="s">
        <v>1274</v>
      </c>
      <c r="G13" s="176" t="s">
        <v>500</v>
      </c>
      <c r="H13" s="177" t="str">
        <f>$AI$14</f>
        <v>INDMT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"I"&amp;LEFT($AJ$12,1)&amp;"DHT"</f>
        <v>INDHT</v>
      </c>
      <c r="AJ13" s="239" t="str">
        <f>"Industry "&amp;$AJ$12&amp;" Demand Heat High Temp. over 150C"</f>
        <v>Industry N Demand Heat High Temp. over 150C</v>
      </c>
    </row>
    <row r="14" spans="2:36">
      <c r="B14" s="393" t="s">
        <v>1123</v>
      </c>
      <c r="D14" s="223" t="str">
        <f ca="1">IF(T9=0,"*",IF(T14&gt;0,"IND"&amp;RIGHT(H9,4)&amp;RIGHT(G9,3)&amp;"N"&amp;RIGHT(E9,1),""))</f>
        <v/>
      </c>
      <c r="E14" s="223"/>
      <c r="F14" s="239" t="s">
        <v>1274</v>
      </c>
      <c r="G14" s="176" t="str">
        <f>$AI$20</f>
        <v>INDNWH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"I"&amp;LEFT($AJ$12,1)&amp;"DMT"</f>
        <v>INDMT</v>
      </c>
      <c r="AJ14" s="239" t="str">
        <f>"Industry "&amp;$AJ$12&amp;" Demand Heat Medium Temp. up to 150C"</f>
        <v>Industry N Demand Heat Medium Temp. up to 150C</v>
      </c>
    </row>
    <row r="15" spans="2:36">
      <c r="B15" s="393" t="s">
        <v>1123</v>
      </c>
      <c r="D15" s="223" t="str">
        <f ca="1">IF(T15=0,"*",IF(T15&gt;0,"IND"&amp;RIGHT(H15,4)&amp;RIGHT(G15,3)&amp;"N"&amp;RIGHT(E15,1),""))</f>
        <v>INDNDRHELCN1</v>
      </c>
      <c r="E15" s="278" t="str">
        <f>"Industrial heating technology "&amp;$AJ$12&amp;" "&amp;RIGHT(H15,2)&amp;" - Heat pump utilizing waste heat - new 1"</f>
        <v>Industrial heating technology N RH - Heat pump utilizing waste heat - new 1</v>
      </c>
      <c r="F15" s="239" t="s">
        <v>1274</v>
      </c>
      <c r="G15" s="176" t="s">
        <v>500</v>
      </c>
      <c r="H15" s="177" t="str">
        <f>$AI$15</f>
        <v>INDRH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"I"&amp;LEFT($AJ$12,1)&amp;"DRH"</f>
        <v>INDRH</v>
      </c>
      <c r="AJ15" s="239" t="str">
        <f>"Industry "&amp;$AJ$12&amp;" Demand Heat Room Heat"</f>
        <v>Industry N Demand Heat Room Heat</v>
      </c>
    </row>
    <row r="16" spans="2:36">
      <c r="B16" s="393" t="s">
        <v>1123</v>
      </c>
      <c r="D16" s="223" t="str">
        <f ca="1">IF(T15=0,"*",IF(T16&gt;0,"IND"&amp;RIGHT(H15,4)&amp;RIGHT(G15,3)&amp;"N"&amp;RIGHT(E15,1),""))</f>
        <v/>
      </c>
      <c r="E16" s="278"/>
      <c r="F16" s="239" t="s">
        <v>1274</v>
      </c>
      <c r="G16" s="176" t="str">
        <f>$AI$20</f>
        <v>INDNWH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64" t="str">
        <f>"I"&amp;LEFT($AJ$12,1)&amp;"DLA"</f>
        <v>INDLA</v>
      </c>
      <c r="AJ16" s="239" t="str">
        <f>"Industry "&amp;$AJ$12&amp;" Demand Light Appliances"</f>
        <v>Industry N Demand Light Appliances</v>
      </c>
    </row>
    <row r="17" spans="2:36">
      <c r="B17" s="393" t="s">
        <v>1123</v>
      </c>
      <c r="D17" s="223" t="str">
        <f ca="1">IF(T15=0,"*",IF(T17&gt;0,"IND"&amp;RIGHT(H15,4)&amp;RIGHT(G15,3)&amp;"N"&amp;RIGHT(E15,1),""))</f>
        <v/>
      </c>
      <c r="E17" s="223"/>
      <c r="F17" s="239" t="s">
        <v>1274</v>
      </c>
      <c r="G17" s="176" t="s">
        <v>500</v>
      </c>
      <c r="H17" s="177" t="str">
        <f>$AI$15</f>
        <v>INDRH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6">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"I"&amp;LEFT($AJ$12,1)&amp;"DEM"</f>
        <v>INDEM</v>
      </c>
      <c r="AJ17" s="239" t="str">
        <f>"Industry "&amp;$AJ$12&amp;" Demand Electric Motors"</f>
        <v>Industry N Demand Electric Motors</v>
      </c>
    </row>
    <row r="18" spans="2:36">
      <c r="B18" s="393" t="s">
        <v>1123</v>
      </c>
      <c r="D18" s="223" t="str">
        <f ca="1">IF(T15=0,"*",IF(T18&gt;0,"IND"&amp;RIGHT(H15,4)&amp;RIGHT(G15,3)&amp;"N"&amp;RIGHT(E15,1),""))</f>
        <v/>
      </c>
      <c r="E18" s="223"/>
      <c r="F18" s="239" t="s">
        <v>1274</v>
      </c>
      <c r="G18" s="176" t="str">
        <f>$AI$20</f>
        <v>INDNWH</v>
      </c>
      <c r="H18" s="177"/>
      <c r="I18" s="177"/>
      <c r="K18" s="81"/>
      <c r="L18" s="366"/>
      <c r="M18" s="206"/>
      <c r="N18" s="81"/>
      <c r="O18" s="783"/>
      <c r="P18" s="783"/>
      <c r="Q18" s="81"/>
      <c r="R18" s="333"/>
      <c r="S18" s="333"/>
      <c r="T18" s="333"/>
      <c r="U18" s="206">
        <f t="shared" ref="U18" ca="1" si="7">1-1/M17*1.01</f>
        <v>0.77944218682915767</v>
      </c>
      <c r="V18" s="333"/>
      <c r="W18" s="331"/>
      <c r="X18" s="758"/>
      <c r="Y18" s="81"/>
      <c r="Z18" s="81"/>
      <c r="AA18" s="81"/>
      <c r="AB18" s="81"/>
      <c r="AC18" s="241"/>
      <c r="AD18" s="81"/>
      <c r="AE18" s="81"/>
      <c r="AF18" s="232"/>
      <c r="AI18" s="239" t="str">
        <f>"I"&amp;LEFT($AJ$12,1)&amp;"DTF"</f>
        <v>INDTF</v>
      </c>
      <c r="AJ18" s="239" t="str">
        <f>"Industry "&amp;$AJ$12&amp;" Demand Tractors, Trucks, Fishing boats, Forest machines"</f>
        <v>Industry N Demand Tractors, Trucks, Fishing boats, Forest machines</v>
      </c>
    </row>
    <row r="19" spans="2:36">
      <c r="B19" s="393" t="s">
        <v>1123</v>
      </c>
      <c r="D19" s="223" t="str">
        <f ca="1">IF(T15=0,"*",IF(T19&gt;0,"IND"&amp;RIGHT(H15,4)&amp;RIGHT(G15,3)&amp;"N"&amp;RIGHT(E15,1),""))</f>
        <v/>
      </c>
      <c r="E19" s="223"/>
      <c r="F19" s="239" t="s">
        <v>1274</v>
      </c>
      <c r="G19" s="176" t="s">
        <v>500</v>
      </c>
      <c r="H19" s="177" t="str">
        <f>$AI$15</f>
        <v>INDRH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8">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"I"&amp;LEFT($AJ$12,1)&amp;"DFL"</f>
        <v>INDFL</v>
      </c>
      <c r="AJ19" s="239" t="str">
        <f>"Industry "&amp;$AJ$12&amp;" Demand Forklifts"</f>
        <v>Industry N Demand Forklifts</v>
      </c>
    </row>
    <row r="20" spans="2:36">
      <c r="B20" s="393" t="s">
        <v>1123</v>
      </c>
      <c r="D20" s="223" t="str">
        <f ca="1">IF(T15=0,"*",IF(T20&gt;0,"IND"&amp;RIGHT(H15,4)&amp;RIGHT(G15,3)&amp;"N"&amp;RIGHT(E15,1),""))</f>
        <v/>
      </c>
      <c r="E20" s="223"/>
      <c r="F20" s="239" t="s">
        <v>1274</v>
      </c>
      <c r="G20" s="176" t="str">
        <f>$AI$20</f>
        <v>INDNWH</v>
      </c>
      <c r="H20" s="177"/>
      <c r="I20" s="177"/>
      <c r="K20" s="81"/>
      <c r="L20" s="366"/>
      <c r="M20" s="206"/>
      <c r="N20" s="81"/>
      <c r="O20" s="783"/>
      <c r="P20" s="783"/>
      <c r="Q20" s="81"/>
      <c r="R20" s="333"/>
      <c r="S20" s="333"/>
      <c r="T20" s="333"/>
      <c r="U20" s="206">
        <f t="shared" ref="U20" ca="1" si="9">1-1/M19*1.01</f>
        <v>0.78597627649934987</v>
      </c>
      <c r="V20" s="333"/>
      <c r="W20" s="331"/>
      <c r="X20" s="758"/>
      <c r="Y20" s="81"/>
      <c r="Z20" s="81"/>
      <c r="AA20" s="81"/>
      <c r="AB20" s="81"/>
      <c r="AC20" s="241"/>
      <c r="AD20" s="81"/>
      <c r="AE20" s="81"/>
      <c r="AF20" s="232"/>
      <c r="AI20" s="36" t="str">
        <f>"IND"&amp;LEFT($AJ$12,1)&amp;"WH"</f>
        <v>INDNWH</v>
      </c>
      <c r="AJ20" s="239" t="str">
        <f>"Industry "&amp;$AJ$12&amp;" Waste Heat"</f>
        <v>Industry N Waste Heat</v>
      </c>
    </row>
    <row r="21" spans="2:36">
      <c r="B21" s="393" t="s">
        <v>1124</v>
      </c>
      <c r="D21" s="223" t="str">
        <f ca="1">IF(T21=0,"*",IF(T21&gt;0,"IND"&amp;RIGHT(H21,4)&amp;RIGHT(G21,3)&amp;"N"&amp;RIGHT(E21,1),""))</f>
        <v>*</v>
      </c>
      <c r="E21" s="278" t="str">
        <f>"Industrial heating technology "&amp;$AJ$12&amp;" "&amp;RIGHT(H21,2)&amp;" - Heat driven heat pump utilizing waste heat - new 2"</f>
        <v>Industrial heating technology N MT - Heat driven heat pump utilizing waste heat - new 2</v>
      </c>
      <c r="F21" s="239" t="s">
        <v>1274</v>
      </c>
      <c r="G21" s="176" t="s">
        <v>500</v>
      </c>
      <c r="H21" s="177" t="str">
        <f>$AI$14</f>
        <v>INDMT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0">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36">
      <c r="B22" s="393" t="s">
        <v>1124</v>
      </c>
      <c r="D22" s="223" t="str">
        <f ca="1">IF(T21=0,"*",IF(T22&gt;0,"IND"&amp;RIGHT(H21,4)&amp;RIGHT(G21,3)&amp;"N"&amp;RIGHT(E21,1),""))</f>
        <v>*</v>
      </c>
      <c r="E22" s="278"/>
      <c r="F22" s="239" t="s">
        <v>1274</v>
      </c>
      <c r="G22" s="176" t="str">
        <f>$AI$20</f>
        <v>INDNWH</v>
      </c>
      <c r="H22" s="177"/>
      <c r="I22" s="177"/>
      <c r="K22" s="81"/>
      <c r="L22" s="366"/>
      <c r="M22" s="206"/>
      <c r="N22" s="81"/>
      <c r="O22" s="783"/>
      <c r="P22" s="783"/>
      <c r="Q22" s="81"/>
      <c r="R22" s="208"/>
      <c r="S22" s="832"/>
      <c r="T22" s="832"/>
      <c r="U22" s="206">
        <f t="shared" ref="U22" ca="1" si="11">1-1/M21*1.01</f>
        <v>0.39880952380952384</v>
      </c>
      <c r="V22" s="832"/>
      <c r="W22" s="331"/>
      <c r="X22" s="758"/>
      <c r="Y22" s="81"/>
      <c r="Z22" s="81"/>
      <c r="AA22" s="81"/>
      <c r="AB22" s="81"/>
      <c r="AC22" s="241"/>
      <c r="AD22" s="81"/>
      <c r="AE22" s="81"/>
      <c r="AF22" s="232"/>
      <c r="AI22" s="239">
        <v>1</v>
      </c>
    </row>
    <row r="23" spans="2:36">
      <c r="B23" s="393" t="s">
        <v>1124</v>
      </c>
      <c r="D23" s="223" t="str">
        <f ca="1">IF(T21=0,"*",IF(T23&gt;0,"IND"&amp;RIGHT(H21,4)&amp;RIGHT(G21,3)&amp;"N"&amp;RIGHT(E21,1),""))</f>
        <v>*</v>
      </c>
      <c r="E23" s="223"/>
      <c r="F23" s="239" t="s">
        <v>1274</v>
      </c>
      <c r="G23" s="176" t="s">
        <v>500</v>
      </c>
      <c r="H23" s="177" t="str">
        <f>$AI$14</f>
        <v>INDMT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2">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36" ht="14.7" customHeight="1">
      <c r="B24" s="393" t="s">
        <v>1124</v>
      </c>
      <c r="D24" s="223" t="str">
        <f ca="1">IF(T21=0,"*",IF(T24&gt;0,"IND"&amp;RIGHT(H21,4)&amp;RIGHT(G21,3)&amp;"N"&amp;RIGHT(E21,1),""))</f>
        <v>*</v>
      </c>
      <c r="E24" s="223"/>
      <c r="F24" s="239" t="s">
        <v>1274</v>
      </c>
      <c r="G24" s="176" t="str">
        <f>$AI$20</f>
        <v>INDNWH</v>
      </c>
      <c r="H24" s="177"/>
      <c r="I24" s="177"/>
      <c r="K24" s="81"/>
      <c r="L24" s="366"/>
      <c r="M24" s="206"/>
      <c r="N24" s="81"/>
      <c r="O24" s="783"/>
      <c r="P24" s="783"/>
      <c r="Q24" s="81"/>
      <c r="R24" s="333"/>
      <c r="S24" s="333"/>
      <c r="T24" s="333"/>
      <c r="U24" s="206">
        <f t="shared" ref="U24" ca="1" si="13">1-1/M23*1.01</f>
        <v>0.40236686390532539</v>
      </c>
      <c r="V24" s="333"/>
      <c r="W24" s="331"/>
      <c r="X24" s="758"/>
      <c r="Y24" s="81"/>
      <c r="Z24" s="81"/>
      <c r="AA24" s="81"/>
      <c r="AB24" s="81"/>
      <c r="AC24" s="241"/>
      <c r="AD24" s="81"/>
      <c r="AE24" s="81"/>
      <c r="AF24" s="232"/>
      <c r="AI24" s="239">
        <v>3</v>
      </c>
    </row>
    <row r="25" spans="2:36" ht="14.7" customHeight="1">
      <c r="B25" s="393" t="s">
        <v>1124</v>
      </c>
      <c r="D25" s="223" t="str">
        <f ca="1">IF(T21=0,"*",IF(T25&gt;0,"IND"&amp;RIGHT(H21,4)&amp;RIGHT(G21,3)&amp;"N"&amp;RIGHT(E21,1),""))</f>
        <v>*</v>
      </c>
      <c r="E25" s="223"/>
      <c r="F25" s="239" t="s">
        <v>1274</v>
      </c>
      <c r="G25" s="176" t="s">
        <v>500</v>
      </c>
      <c r="H25" s="177" t="str">
        <f>$AI$14</f>
        <v>INDMT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4">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36" ht="15" customHeight="1">
      <c r="B26" s="393" t="s">
        <v>1124</v>
      </c>
      <c r="D26" s="223" t="str">
        <f ca="1">IF(T21=0,"*",IF(T26&gt;0,"IND"&amp;RIGHT(H21,4)&amp;RIGHT(G21,3)&amp;"N"&amp;RIGHT(E21,1),""))</f>
        <v>*</v>
      </c>
      <c r="E26" s="223"/>
      <c r="F26" s="239" t="s">
        <v>1274</v>
      </c>
      <c r="G26" s="176" t="str">
        <f>$AI$20</f>
        <v>INDNWH</v>
      </c>
      <c r="H26" s="177"/>
      <c r="I26" s="177"/>
      <c r="K26" s="81"/>
      <c r="L26" s="366"/>
      <c r="M26" s="206"/>
      <c r="N26" s="81"/>
      <c r="O26" s="783"/>
      <c r="P26" s="783"/>
      <c r="Q26" s="81"/>
      <c r="R26" s="333"/>
      <c r="S26" s="333"/>
      <c r="T26" s="333"/>
      <c r="U26" s="206">
        <f t="shared" ref="U26" ca="1" si="15">1-1/M25*1.01</f>
        <v>0.40935672514619881</v>
      </c>
      <c r="V26" s="333"/>
      <c r="W26" s="331"/>
      <c r="X26" s="758"/>
      <c r="Y26" s="81"/>
      <c r="Z26" s="81"/>
      <c r="AA26" s="81"/>
      <c r="AB26" s="81"/>
      <c r="AC26" s="241"/>
      <c r="AD26" s="81"/>
      <c r="AE26" s="81"/>
      <c r="AF26" s="232"/>
      <c r="AI26" s="239">
        <v>5</v>
      </c>
      <c r="AJ26" s="239" t="s">
        <v>840</v>
      </c>
    </row>
    <row r="27" spans="2:36">
      <c r="B27" s="393" t="s">
        <v>1124</v>
      </c>
      <c r="D27" s="223" t="str">
        <f ca="1">IF(T27=0,"*",IF(T27&gt;0,"IND"&amp;RIGHT(H27,4)&amp;RIGHT(G27,3)&amp;"N"&amp;RIGHT(E27,1),""))</f>
        <v>INDNDRHELCN2</v>
      </c>
      <c r="E27" s="278" t="str">
        <f>"Industrial heating technology "&amp;$AJ$12&amp;" "&amp;RIGHT(H27,2)&amp;" - Heat driven heat pump utilizing waste heat - new 2"</f>
        <v>Industrial heating technology N RH - Heat driven heat pump utilizing waste heat - new 2</v>
      </c>
      <c r="F27" s="239" t="s">
        <v>1274</v>
      </c>
      <c r="G27" s="176" t="s">
        <v>500</v>
      </c>
      <c r="H27" s="177" t="str">
        <f>$AI$15</f>
        <v>INDRH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6">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36" ht="15" customHeight="1">
      <c r="B28" s="393" t="s">
        <v>1124</v>
      </c>
      <c r="D28" s="223" t="str">
        <f ca="1">IF(T27=0,"*",IF(T28&gt;0,"IND"&amp;RIGHT(H27,4)&amp;RIGHT(G27,3)&amp;"N"&amp;RIGHT(E27,1),""))</f>
        <v/>
      </c>
      <c r="E28" s="278"/>
      <c r="F28" s="239" t="s">
        <v>1274</v>
      </c>
      <c r="G28" s="176" t="str">
        <f>$AI$20</f>
        <v>INDNWH</v>
      </c>
      <c r="H28" s="177"/>
      <c r="I28" s="177"/>
      <c r="K28" s="81"/>
      <c r="L28" s="366"/>
      <c r="M28" s="206"/>
      <c r="N28" s="81"/>
      <c r="O28" s="783"/>
      <c r="P28" s="783"/>
      <c r="Q28" s="81"/>
      <c r="R28" s="208"/>
      <c r="S28" s="832"/>
      <c r="T28" s="832"/>
      <c r="U28" s="206">
        <f t="shared" ref="U28" ca="1" si="17">1-1/M27*1.01</f>
        <v>0.39880952380952384</v>
      </c>
      <c r="V28" s="832"/>
      <c r="W28" s="331"/>
      <c r="X28" s="758"/>
      <c r="Y28" s="81"/>
      <c r="Z28" s="81"/>
      <c r="AA28" s="81"/>
      <c r="AB28" s="81"/>
      <c r="AD28" s="81"/>
      <c r="AE28" s="81"/>
      <c r="AF28" s="232"/>
      <c r="AI28" s="239">
        <v>7</v>
      </c>
      <c r="AJ28" s="239" t="s">
        <v>841</v>
      </c>
    </row>
    <row r="29" spans="2:36">
      <c r="B29" s="393" t="s">
        <v>1124</v>
      </c>
      <c r="D29" s="223" t="str">
        <f ca="1">IF(T27=0,"*",IF(T29&gt;0,"IND"&amp;RIGHT(H27,4)&amp;RIGHT(G27,3)&amp;"N"&amp;RIGHT(E27,1),""))</f>
        <v/>
      </c>
      <c r="E29" s="223"/>
      <c r="F29" s="239" t="s">
        <v>1274</v>
      </c>
      <c r="G29" s="176" t="s">
        <v>500</v>
      </c>
      <c r="H29" s="177" t="str">
        <f>$AI$15</f>
        <v>INDRH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8">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36" ht="15" customHeight="1">
      <c r="B30" s="393" t="s">
        <v>1124</v>
      </c>
      <c r="D30" s="223" t="str">
        <f ca="1">IF(T27=0,"*",IF(T30&gt;0,"IND"&amp;RIGHT(H27,4)&amp;RIGHT(G27,3)&amp;"N"&amp;RIGHT(E27,1),""))</f>
        <v/>
      </c>
      <c r="E30" s="223"/>
      <c r="F30" s="239" t="s">
        <v>1274</v>
      </c>
      <c r="G30" s="176" t="str">
        <f>$AI$20</f>
        <v>INDNWH</v>
      </c>
      <c r="H30" s="177"/>
      <c r="I30" s="177"/>
      <c r="K30" s="81"/>
      <c r="L30" s="366"/>
      <c r="M30" s="206"/>
      <c r="N30" s="81"/>
      <c r="O30" s="783"/>
      <c r="P30" s="783"/>
      <c r="Q30" s="81"/>
      <c r="R30" s="333"/>
      <c r="S30" s="333"/>
      <c r="T30" s="333"/>
      <c r="U30" s="206">
        <f t="shared" ref="U30" ca="1" si="19">1-1/M29*1.01</f>
        <v>0.40236686390532539</v>
      </c>
      <c r="V30" s="333"/>
      <c r="W30" s="331"/>
      <c r="X30" s="758"/>
      <c r="Y30" s="81"/>
      <c r="Z30" s="81"/>
      <c r="AA30" s="81"/>
      <c r="AB30" s="81"/>
      <c r="AD30" s="81"/>
      <c r="AE30" s="81"/>
      <c r="AF30" s="232"/>
      <c r="AI30" s="239">
        <v>9</v>
      </c>
      <c r="AJ30" s="239" t="s">
        <v>842</v>
      </c>
    </row>
    <row r="31" spans="2:36">
      <c r="B31" s="393" t="s">
        <v>1124</v>
      </c>
      <c r="D31" s="223" t="str">
        <f ca="1">IF(T27=0,"*",IF(T31&gt;0,"IND"&amp;RIGHT(H27,4)&amp;RIGHT(G27,3)&amp;"N"&amp;RIGHT(E27,1),""))</f>
        <v/>
      </c>
      <c r="E31" s="223"/>
      <c r="F31" s="239" t="s">
        <v>1274</v>
      </c>
      <c r="G31" s="176" t="s">
        <v>500</v>
      </c>
      <c r="H31" s="177" t="str">
        <f>$AI$15</f>
        <v>INDRH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0">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36">
      <c r="B32" s="393" t="s">
        <v>1124</v>
      </c>
      <c r="D32" s="223" t="str">
        <f ca="1">IF(T27=0,"*",IF(T32&gt;0,"IND"&amp;RIGHT(H27,4)&amp;RIGHT(G27,3)&amp;"N"&amp;RIGHT(E27,1),""))</f>
        <v/>
      </c>
      <c r="E32" s="223"/>
      <c r="F32" s="239" t="s">
        <v>1274</v>
      </c>
      <c r="G32" s="176" t="str">
        <f>$AI$20</f>
        <v>INDNWH</v>
      </c>
      <c r="H32" s="177"/>
      <c r="I32" s="177"/>
      <c r="K32" s="81"/>
      <c r="L32" s="366"/>
      <c r="M32" s="206"/>
      <c r="N32" s="81"/>
      <c r="O32" s="783"/>
      <c r="P32" s="783"/>
      <c r="Q32" s="81"/>
      <c r="R32" s="333"/>
      <c r="S32" s="333"/>
      <c r="T32" s="333"/>
      <c r="U32" s="206">
        <f t="shared" ref="U32" ca="1" si="21">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INDNDMTELCN3</v>
      </c>
      <c r="E33" s="278" t="str">
        <f>"Industrial heating technology "&amp;$AJ$12&amp;" "&amp;RIGHT(H33,2)&amp;" - High Temp abs. Heat pump utilizing waste heat - new 3"</f>
        <v>Industrial heating technology N MT - High Temp abs. Heat pump utilizing waste heat - new 3</v>
      </c>
      <c r="F33" s="239" t="s">
        <v>1274</v>
      </c>
      <c r="G33" s="176" t="s">
        <v>500</v>
      </c>
      <c r="H33" s="177" t="str">
        <f>$AI$14</f>
        <v>INDMT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0.26</v>
      </c>
      <c r="U33" s="206">
        <f t="shared" ref="U33" ca="1" si="22">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INDNWH</v>
      </c>
      <c r="H34" s="177"/>
      <c r="I34" s="177"/>
      <c r="K34" s="81"/>
      <c r="L34" s="366"/>
      <c r="M34" s="206"/>
      <c r="N34" s="81"/>
      <c r="O34" s="783"/>
      <c r="P34" s="783"/>
      <c r="Q34" s="81"/>
      <c r="R34" s="208"/>
      <c r="S34" s="832"/>
      <c r="T34" s="832"/>
      <c r="U34" s="206">
        <f t="shared" ref="U34" ca="1" si="23">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INDMT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4">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INDNWH</v>
      </c>
      <c r="H36" s="177"/>
      <c r="I36" s="177"/>
      <c r="K36" s="81"/>
      <c r="L36" s="366"/>
      <c r="M36" s="206"/>
      <c r="N36" s="81"/>
      <c r="O36" s="783"/>
      <c r="P36" s="783"/>
      <c r="Q36" s="81"/>
      <c r="R36" s="333"/>
      <c r="S36" s="333"/>
      <c r="T36" s="333"/>
      <c r="U36" s="206">
        <f t="shared" ref="U36" ca="1" si="25">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INDMT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6">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INDNWH</v>
      </c>
      <c r="H38" s="177"/>
      <c r="I38" s="177"/>
      <c r="K38" s="81"/>
      <c r="L38" s="366"/>
      <c r="M38" s="206"/>
      <c r="N38" s="81"/>
      <c r="O38" s="783"/>
      <c r="P38" s="783"/>
      <c r="Q38" s="81"/>
      <c r="R38" s="333"/>
      <c r="S38" s="333"/>
      <c r="T38" s="333"/>
      <c r="U38" s="206">
        <f t="shared" ref="U38" ca="1" si="27">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INDNDRHELCN3</v>
      </c>
      <c r="E39" s="278" t="str">
        <f>"Industrial heating technology "&amp;$AJ$12&amp;" "&amp;RIGHT(H39,2)&amp;" - High Temp abs. Heat pump utilizing waste heat - new 3"</f>
        <v>Industrial heating technology N RH - High Temp abs. Heat pump utilizing waste heat - new 3</v>
      </c>
      <c r="F39" s="239" t="s">
        <v>1274</v>
      </c>
      <c r="G39" s="176" t="s">
        <v>500</v>
      </c>
      <c r="H39" s="177" t="str">
        <f>$AI$15</f>
        <v>INDRH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8">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INDNWH</v>
      </c>
      <c r="H40" s="177"/>
      <c r="I40" s="177"/>
      <c r="K40" s="81"/>
      <c r="L40" s="366"/>
      <c r="M40" s="206"/>
      <c r="N40" s="81"/>
      <c r="O40" s="783"/>
      <c r="P40" s="783"/>
      <c r="Q40" s="81"/>
      <c r="R40" s="208"/>
      <c r="S40" s="832"/>
      <c r="T40" s="832"/>
      <c r="U40" s="206">
        <f t="shared" ref="U40" ca="1" si="29">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INDRH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0">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INDNWH</v>
      </c>
      <c r="H42" s="177"/>
      <c r="I42" s="177"/>
      <c r="K42" s="81"/>
      <c r="L42" s="366"/>
      <c r="M42" s="206"/>
      <c r="N42" s="81"/>
      <c r="O42" s="783"/>
      <c r="P42" s="783"/>
      <c r="Q42" s="81"/>
      <c r="R42" s="333"/>
      <c r="S42" s="333"/>
      <c r="T42" s="333"/>
      <c r="U42" s="206">
        <f t="shared" ref="U42" ca="1" si="31">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INDRH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2">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INDNWH</v>
      </c>
      <c r="H44" s="177"/>
      <c r="I44" s="177"/>
      <c r="K44" s="81"/>
      <c r="L44" s="366"/>
      <c r="M44" s="206"/>
      <c r="N44" s="81"/>
      <c r="O44" s="783"/>
      <c r="P44" s="783"/>
      <c r="Q44" s="81"/>
      <c r="R44" s="333"/>
      <c r="S44" s="333"/>
      <c r="T44" s="333"/>
      <c r="U44" s="206">
        <f t="shared" ref="U44" ca="1" si="33">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INDNDMTELCN4</v>
      </c>
      <c r="E45" s="278" t="str">
        <f>"Industrial heating technology "&amp;$AJ$12&amp;" "&amp;RIGHT(H45,2)&amp;" - Booster Heat pump utilizing waste heat - new 4"</f>
        <v>Industrial heating technology N MT - Booster Heat pump utilizing waste heat - new 4</v>
      </c>
      <c r="F45" s="239" t="s">
        <v>1274</v>
      </c>
      <c r="G45" s="176" t="s">
        <v>500</v>
      </c>
      <c r="H45" s="177" t="str">
        <f>$AI$14</f>
        <v>INDMT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0.36</v>
      </c>
      <c r="U45" s="206">
        <f t="shared" ref="U45" ca="1" si="34">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INDNWH</v>
      </c>
      <c r="H46" s="177"/>
      <c r="I46" s="177"/>
      <c r="K46" s="81"/>
      <c r="L46" s="366"/>
      <c r="M46" s="206"/>
      <c r="N46" s="81"/>
      <c r="O46" s="783"/>
      <c r="P46" s="783"/>
      <c r="Q46" s="81"/>
      <c r="R46" s="208"/>
      <c r="S46" s="832"/>
      <c r="T46" s="832"/>
      <c r="U46" s="206">
        <f t="shared" ref="U46" ca="1" si="35">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INDMT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6">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INDNWH</v>
      </c>
      <c r="H48" s="177"/>
      <c r="I48" s="177"/>
      <c r="K48" s="81"/>
      <c r="L48" s="366"/>
      <c r="M48" s="206"/>
      <c r="N48" s="81"/>
      <c r="O48" s="783"/>
      <c r="P48" s="783"/>
      <c r="Q48" s="81"/>
      <c r="R48" s="333"/>
      <c r="S48" s="333"/>
      <c r="T48" s="333"/>
      <c r="U48" s="206">
        <f t="shared" ref="U48" ca="1" si="37">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INDMT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8">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INDNWH</v>
      </c>
      <c r="H50" s="177"/>
      <c r="I50" s="177"/>
      <c r="K50" s="81"/>
      <c r="L50" s="366"/>
      <c r="M50" s="206"/>
      <c r="N50" s="81"/>
      <c r="O50" s="783"/>
      <c r="P50" s="783"/>
      <c r="Q50" s="81"/>
      <c r="R50" s="333"/>
      <c r="S50" s="333"/>
      <c r="T50" s="333"/>
      <c r="U50" s="206">
        <f t="shared" ref="U50" ca="1" si="39">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INDNDRHELCN4</v>
      </c>
      <c r="E51" s="278" t="str">
        <f>"Industrial heating technology "&amp;$AJ$12&amp;" "&amp;RIGHT(H51,2)&amp;" - Booster Heat pump utilizing waste heat - new 4"</f>
        <v>Industrial heating technology N RH - Booster Heat pump utilizing waste heat - new 4</v>
      </c>
      <c r="F51" s="239" t="s">
        <v>1274</v>
      </c>
      <c r="G51" s="176" t="s">
        <v>500</v>
      </c>
      <c r="H51" s="177" t="str">
        <f>$AI$15</f>
        <v>INDRH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0">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INDNWH</v>
      </c>
      <c r="H52" s="177"/>
      <c r="I52" s="177"/>
      <c r="K52" s="81"/>
      <c r="L52" s="366"/>
      <c r="M52" s="206"/>
      <c r="N52" s="81"/>
      <c r="O52" s="783"/>
      <c r="P52" s="783"/>
      <c r="Q52" s="81"/>
      <c r="R52" s="208"/>
      <c r="S52" s="832"/>
      <c r="T52" s="832"/>
      <c r="U52" s="206">
        <f t="shared" ref="U52" ca="1" si="41">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INDRH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2">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INDNWH</v>
      </c>
      <c r="H54" s="177"/>
      <c r="I54" s="177"/>
      <c r="K54" s="81"/>
      <c r="L54" s="366"/>
      <c r="M54" s="206"/>
      <c r="N54" s="81"/>
      <c r="O54" s="783"/>
      <c r="P54" s="783"/>
      <c r="Q54" s="81"/>
      <c r="R54" s="333"/>
      <c r="S54" s="333"/>
      <c r="T54" s="333"/>
      <c r="U54" s="206">
        <f t="shared" ref="U54" ca="1" si="43">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INDRH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4">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INDNWH</v>
      </c>
      <c r="H56" s="177"/>
      <c r="I56" s="177"/>
      <c r="K56" s="81"/>
      <c r="L56" s="366"/>
      <c r="M56" s="206"/>
      <c r="N56" s="81"/>
      <c r="O56" s="783"/>
      <c r="P56" s="783"/>
      <c r="Q56" s="81"/>
      <c r="R56" s="333"/>
      <c r="S56" s="333"/>
      <c r="T56" s="333"/>
      <c r="U56" s="206">
        <f t="shared" ref="U56" ca="1" si="45">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INDNDMTELCN5</v>
      </c>
      <c r="E57" s="278" t="str">
        <f>"Industrial heating technology "&amp;$AJ$12&amp;" "&amp;RIGHT(H57,2)&amp;" - MVR utilizing waste heat - new 5"</f>
        <v>Industrial heating technology N MT - MVR utilizing waste heat - new 5</v>
      </c>
      <c r="F57" s="239" t="s">
        <v>1274</v>
      </c>
      <c r="G57" s="176" t="s">
        <v>500</v>
      </c>
      <c r="H57" s="177" t="str">
        <f>$AI$14</f>
        <v>INDMT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0.05</v>
      </c>
      <c r="U57" s="206">
        <f t="shared" ref="U57" ca="1" si="46">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INDNWH</v>
      </c>
      <c r="H58" s="177"/>
      <c r="I58" s="177"/>
      <c r="K58" s="81"/>
      <c r="L58" s="206"/>
      <c r="M58" s="206"/>
      <c r="N58" s="81"/>
      <c r="O58" s="783"/>
      <c r="P58" s="783"/>
      <c r="Q58" s="81"/>
      <c r="R58" s="208"/>
      <c r="S58" s="832"/>
      <c r="T58" s="832"/>
      <c r="U58" s="206">
        <f t="shared" ref="U58" ca="1" si="47">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INDMT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8">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INDNWH</v>
      </c>
      <c r="H60" s="177"/>
      <c r="I60" s="177"/>
      <c r="K60" s="81"/>
      <c r="L60" s="206"/>
      <c r="M60" s="206"/>
      <c r="N60" s="81"/>
      <c r="O60" s="783"/>
      <c r="P60" s="783"/>
      <c r="Q60" s="81"/>
      <c r="R60" s="333"/>
      <c r="S60" s="333"/>
      <c r="T60" s="333"/>
      <c r="U60" s="206">
        <f t="shared" ref="U60" ca="1" si="49">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INDMT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0">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INDNWH</v>
      </c>
      <c r="H62" s="848"/>
      <c r="I62" s="848"/>
      <c r="K62" s="849"/>
      <c r="L62" s="850"/>
      <c r="M62" s="850"/>
      <c r="N62" s="849"/>
      <c r="O62" s="851"/>
      <c r="P62" s="851"/>
      <c r="Q62" s="849"/>
      <c r="R62" s="852"/>
      <c r="S62" s="852"/>
      <c r="T62" s="852"/>
      <c r="U62" s="206">
        <f t="shared" ref="U62" ca="1" si="51">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N HT - Hotdisc - new 1</v>
      </c>
      <c r="F63" s="239" t="s">
        <v>1274</v>
      </c>
      <c r="G63" s="892" t="s">
        <v>1130</v>
      </c>
      <c r="H63" s="177" t="str">
        <f>$AI$13</f>
        <v>INDHT</v>
      </c>
      <c r="I63" s="176" t="str">
        <f t="shared" ref="I63:I94" si="52">$AI$20</f>
        <v>INDNWH</v>
      </c>
      <c r="J63" s="239">
        <f t="shared" ref="J63:J94" si="53">IF(AD63=2020,2011,AD63)</f>
        <v>2011</v>
      </c>
      <c r="K63" s="332">
        <f>J63</f>
        <v>2011</v>
      </c>
      <c r="L63" s="759">
        <f t="shared" ref="L63:L80" ca="1" si="54">VLOOKUP($AD63,INDIRECT("'"&amp;$B63&amp;"'!"&amp;"$P$39:$AD$42"),3,FALSE)</f>
        <v>0.9</v>
      </c>
      <c r="M63" s="759"/>
      <c r="N63" s="332">
        <f ca="1">VLOOKUP($AD63,INDIRECT("'"&amp;$B63&amp;"'!"&amp;"$P$39:$AD$42"),5,FALSE)</f>
        <v>20</v>
      </c>
      <c r="O63" s="785">
        <f t="shared" ref="O63:O80" ca="1" si="55">VLOOKUP($AD63,INDIRECT("'"&amp;$B63&amp;"'!"&amp;"$P$39:$AD$42"),6,FALSE)/1000</f>
        <v>3.7250000000000001</v>
      </c>
      <c r="P63" s="785">
        <f t="shared" ref="P63:P80" ca="1" si="56">VLOOKUP($AD63,INDIRECT("'"&amp;$B63&amp;"'!"&amp;"$P$39:$AD$42"),7,FALSE)/1000</f>
        <v>2.98E-3</v>
      </c>
      <c r="Q63" s="332">
        <f t="shared" ref="Q63:Q80" ca="1" si="57">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8">IF(VLOOKUP($AD63,INDIRECT("'"&amp;$B63&amp;"'!"&amp;"$P$39:$AD$42"),11,FALSE)="Cf. the utilized electricity",0,VLOOKUP($AD63,INDIRECT("'"&amp;$B63&amp;"'!"&amp;"$P$39:$AD$42"),11,FALSE))</f>
        <v>8.3000000000000007</v>
      </c>
      <c r="Y63" s="332">
        <f t="shared" ref="Y63:Y80" ca="1" si="59">VLOOKUP($AD63,INDIRECT("'"&amp;$B63&amp;"'!"&amp;"$P$39:$AD$42"),12,FALSE)</f>
        <v>56</v>
      </c>
      <c r="Z63" s="332">
        <f t="shared" ref="Z63:Z80" ca="1" si="60">VLOOKUP($AD63,INDIRECT("'"&amp;$B63&amp;"'!"&amp;"$P$39:$AD$42"),13,FALSE)</f>
        <v>0.1</v>
      </c>
      <c r="AA63" s="332">
        <f t="shared" ref="AA63:AA80" ca="1" si="61">VLOOKUP($AD63,INDIRECT("'"&amp;$B63&amp;"'!"&amp;"$P$39:$AD$42"),14,FALSE)</f>
        <v>1</v>
      </c>
      <c r="AB63" s="332">
        <f t="shared" ref="AB63:AB80" ca="1" si="62">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2"/>
        <v>INDNWH</v>
      </c>
      <c r="J64" s="239">
        <f t="shared" si="53"/>
        <v>2030</v>
      </c>
      <c r="K64" s="81"/>
      <c r="L64" s="206">
        <f t="shared" ca="1" si="54"/>
        <v>0.91</v>
      </c>
      <c r="M64" s="206"/>
      <c r="N64" s="81"/>
      <c r="O64" s="783">
        <f t="shared" ca="1" si="55"/>
        <v>3.4642500000000003</v>
      </c>
      <c r="P64" s="783">
        <f t="shared" ca="1" si="56"/>
        <v>2.98E-3</v>
      </c>
      <c r="Q64" s="81">
        <f t="shared" ca="1" si="57"/>
        <v>2.4729861111111116</v>
      </c>
      <c r="R64" s="333"/>
      <c r="S64" s="333"/>
      <c r="T64" s="333"/>
      <c r="U64" s="333"/>
      <c r="V64" s="759">
        <f ca="1">IF(IF(RIGHT(H63,2)="MT",(1-L64)+$W$2,IF(RIGHT(H63,2)="HT",(1-L64)+$W$1,IF(RIGHT(H63,2)="RH",(1-L64)+$W$3,"")))&lt;0,0,IF(RIGHT(H63,2)="MT",(1-L64)+$W$2,IF(RIGHT(H63,2)="HT",(1-L64)+$W$1,IF(RIGHT(H63,2)="RH",(1-L64)+$W$3,""))))</f>
        <v>0.38999999999999996</v>
      </c>
      <c r="W64" s="331"/>
      <c r="X64" s="758">
        <f t="shared" ca="1" si="58"/>
        <v>8.3000000000000007</v>
      </c>
      <c r="Y64" s="81">
        <f t="shared" ca="1" si="59"/>
        <v>45</v>
      </c>
      <c r="Z64" s="81">
        <f t="shared" ca="1" si="60"/>
        <v>0.1</v>
      </c>
      <c r="AA64" s="81">
        <f t="shared" ca="1" si="61"/>
        <v>1</v>
      </c>
      <c r="AB64" s="81">
        <f t="shared" ca="1" si="62"/>
        <v>0.28999999999999998</v>
      </c>
      <c r="AD64" s="81">
        <v>2030</v>
      </c>
      <c r="AE64" s="81"/>
      <c r="AF64" s="232"/>
    </row>
    <row r="65" spans="2:32">
      <c r="B65" s="393" t="s">
        <v>1045</v>
      </c>
      <c r="D65" s="223" t="str">
        <f ca="1">IF(T63=0,"*",IF(T65&gt;0,"IND"&amp;RIGHT(H63,4)&amp;RIGHT(G63,3)&amp;"N"&amp;RIGHT(E63,1),""))</f>
        <v>*</v>
      </c>
      <c r="E65" s="223"/>
      <c r="F65" s="239" t="s">
        <v>1274</v>
      </c>
      <c r="H65" s="177"/>
      <c r="I65" s="176" t="str">
        <f t="shared" si="52"/>
        <v>INDNWH</v>
      </c>
      <c r="J65" s="239">
        <f t="shared" si="53"/>
        <v>2050</v>
      </c>
      <c r="K65" s="81"/>
      <c r="L65" s="206">
        <f t="shared" ca="1" si="54"/>
        <v>0.93</v>
      </c>
      <c r="M65" s="206"/>
      <c r="N65" s="81"/>
      <c r="O65" s="783">
        <f t="shared" ca="1" si="55"/>
        <v>3.3525</v>
      </c>
      <c r="P65" s="783">
        <f t="shared" ca="1" si="56"/>
        <v>2.98E-3</v>
      </c>
      <c r="Q65" s="81">
        <f t="shared" ca="1" si="57"/>
        <v>2.4936805555555561</v>
      </c>
      <c r="R65" s="333"/>
      <c r="S65" s="333"/>
      <c r="T65" s="333"/>
      <c r="U65" s="333"/>
      <c r="V65" s="759">
        <f ca="1">IF(IF(RIGHT(H63,2)="MT",(1-L65)+$W$2,IF(RIGHT(H63,2)="HT",(1-L65)+$W$1,IF(RIGHT(H63,2)="RH",(1-L65)+$W$3,"")))&lt;0,0,IF(RIGHT(H63,2)="MT",(1-L65)+$W$2,IF(RIGHT(H63,2)="HT",(1-L65)+$W$1,IF(RIGHT(H63,2)="RH",(1-L65)+$W$3,""))))</f>
        <v>0.36999999999999994</v>
      </c>
      <c r="W65" s="331"/>
      <c r="X65" s="758">
        <f t="shared" ca="1" si="58"/>
        <v>8.3000000000000007</v>
      </c>
      <c r="Y65" s="81">
        <f t="shared" ca="1" si="59"/>
        <v>11</v>
      </c>
      <c r="Z65" s="81">
        <f t="shared" ca="1" si="60"/>
        <v>0.1</v>
      </c>
      <c r="AA65" s="81">
        <f t="shared" ca="1" si="61"/>
        <v>1</v>
      </c>
      <c r="AB65" s="81">
        <f t="shared" ca="1" si="62"/>
        <v>0.28999999999999998</v>
      </c>
      <c r="AD65" s="81">
        <v>2050</v>
      </c>
      <c r="AE65" s="81"/>
      <c r="AF65" s="232"/>
    </row>
    <row r="66" spans="2:32">
      <c r="B66" s="393" t="s">
        <v>1047</v>
      </c>
      <c r="D66" s="223" t="str">
        <f ca="1">IF(T66=0,"*",IF(T66&gt;0,"IND"&amp;RIGHT(H66,4)&amp;RIGHT(G66,3)&amp;"N"&amp;RIGHT(E66,1),""))</f>
        <v>INDNDMTELCN6</v>
      </c>
      <c r="E66" s="278" t="str">
        <f>"Industrial heating technology "&amp;$AJ$12&amp;" "&amp;RIGHT(H66,2)&amp;" - Dielectric heating - new 6"</f>
        <v>Industrial heating technology N MT - Dielectric heating - new 6</v>
      </c>
      <c r="F66" s="239" t="s">
        <v>1274</v>
      </c>
      <c r="G66" s="176" t="s">
        <v>500</v>
      </c>
      <c r="H66" s="177" t="str">
        <f>$AI$14</f>
        <v>INDMT</v>
      </c>
      <c r="I66" s="176" t="str">
        <f t="shared" si="52"/>
        <v>INDNWH</v>
      </c>
      <c r="J66" s="239">
        <f t="shared" si="53"/>
        <v>2011</v>
      </c>
      <c r="K66" s="332">
        <f>J66</f>
        <v>2011</v>
      </c>
      <c r="L66" s="206">
        <f t="shared" ca="1" si="54"/>
        <v>0.95</v>
      </c>
      <c r="M66" s="206"/>
      <c r="N66" s="81">
        <f ca="1">VLOOKUP($AD66,INDIRECT("'"&amp;$B66&amp;"'!"&amp;"$P$39:$AD$42"),5,FALSE)</f>
        <v>30</v>
      </c>
      <c r="O66" s="783">
        <f t="shared" ca="1" si="55"/>
        <v>20.115000000000002</v>
      </c>
      <c r="P66" s="783">
        <f t="shared" ca="1" si="56"/>
        <v>0</v>
      </c>
      <c r="Q66" s="81">
        <f t="shared" ca="1" si="57"/>
        <v>94.828152777777774</v>
      </c>
      <c r="R66" s="81">
        <v>3.1536000000000002E-2</v>
      </c>
      <c r="S66" s="206">
        <v>0.5</v>
      </c>
      <c r="T66" s="206">
        <f ca="1">IF(HLOOKUP($T$2,INDIRECT("'"&amp;$B66&amp;"'!"&amp;"$P$6:$AE$19"),IF(H66=$AI$13,6,IF(H66=$AI$14,9,14)),FALSE)&lt;0.03,0,HLOOKUP($T$2,INDIRECT("'"&amp;$B66&amp;"'!"&amp;"$P$6:$AE$19"),IF(H66=$AI$13,6,IF(H66=$AI$14,9,14)),FALSE))</f>
        <v>0.05</v>
      </c>
      <c r="U66" s="832"/>
      <c r="V66" s="759">
        <f ca="1">IF(IF(RIGHT(H66,2)="MT",(1-L66)+$W$2,IF(RIGHT(H66,2)="HT",(1-L66)+$W$1,IF(RIGHT(H66,2)="RH",(1-L66)+$W$3,"")))&lt;0,0,IF(RIGHT(H66,2)="MT",(1-L66)+$W$2,IF(RIGHT(H66,2)="HT",(1-L66)+$W$1,IF(RIGHT(H66,2)="RH",(1-L66)+$W$3,""))))</f>
        <v>0.25000000000000006</v>
      </c>
      <c r="W66" s="331"/>
      <c r="X66" s="758">
        <f t="shared" ca="1" si="58"/>
        <v>0</v>
      </c>
      <c r="Y66" s="81">
        <f t="shared" ca="1" si="59"/>
        <v>0</v>
      </c>
      <c r="Z66" s="81">
        <f t="shared" ca="1" si="60"/>
        <v>0</v>
      </c>
      <c r="AA66" s="81">
        <f t="shared" ca="1" si="61"/>
        <v>0</v>
      </c>
      <c r="AB66" s="81">
        <f t="shared" ca="1" si="62"/>
        <v>0</v>
      </c>
      <c r="AD66" s="81">
        <v>2020</v>
      </c>
      <c r="AE66" s="81"/>
      <c r="AF66" s="232"/>
    </row>
    <row r="67" spans="2:32">
      <c r="B67" s="393" t="s">
        <v>1047</v>
      </c>
      <c r="D67" s="223" t="str">
        <f ca="1">IF(T66=0,"*",IF(T67&gt;0,"IND"&amp;RIGHT(H66,4)&amp;RIGHT(G66,3)&amp;"N"&amp;RIGHT(E66,1),""))</f>
        <v/>
      </c>
      <c r="E67" s="223"/>
      <c r="F67" s="239" t="s">
        <v>1274</v>
      </c>
      <c r="H67" s="177"/>
      <c r="I67" s="176" t="str">
        <f t="shared" si="52"/>
        <v>INDNWH</v>
      </c>
      <c r="J67" s="239">
        <f t="shared" si="53"/>
        <v>2030</v>
      </c>
      <c r="K67" s="81"/>
      <c r="L67" s="206">
        <f t="shared" ca="1" si="54"/>
        <v>0.95</v>
      </c>
      <c r="M67" s="206"/>
      <c r="N67" s="81"/>
      <c r="O67" s="783">
        <f t="shared" ca="1" si="55"/>
        <v>19.511550000000003</v>
      </c>
      <c r="P67" s="783">
        <f t="shared" ca="1" si="56"/>
        <v>0</v>
      </c>
      <c r="Q67" s="81">
        <f t="shared" ca="1" si="57"/>
        <v>94.832291666666663</v>
      </c>
      <c r="R67" s="333"/>
      <c r="S67" s="333"/>
      <c r="T67" s="333"/>
      <c r="U67" s="333"/>
      <c r="V67" s="759">
        <f ca="1">IF(IF(RIGHT(H66,2)="MT",(1-L67)+$W$2,IF(RIGHT(H66,2)="HT",(1-L67)+$W$1,IF(RIGHT(H66,2)="RH",(1-L67)+$W$3,"")))&lt;0,0,IF(RIGHT(H66,2)="MT",(1-L67)+$W$2,IF(RIGHT(H66,2)="HT",(1-L67)+$W$1,IF(RIGHT(H66,2)="RH",(1-L67)+$W$3,""))))</f>
        <v>0.25000000000000006</v>
      </c>
      <c r="W67" s="331"/>
      <c r="X67" s="758">
        <f t="shared" ca="1" si="58"/>
        <v>0</v>
      </c>
      <c r="Y67" s="81">
        <f t="shared" ca="1" si="59"/>
        <v>0</v>
      </c>
      <c r="Z67" s="81">
        <f t="shared" ca="1" si="60"/>
        <v>0</v>
      </c>
      <c r="AA67" s="81">
        <f t="shared" ca="1" si="61"/>
        <v>0</v>
      </c>
      <c r="AB67" s="81">
        <f t="shared" ca="1" si="62"/>
        <v>0</v>
      </c>
      <c r="AD67" s="81">
        <v>2030</v>
      </c>
      <c r="AE67" s="81"/>
      <c r="AF67" s="232"/>
    </row>
    <row r="68" spans="2:32">
      <c r="B68" s="393" t="s">
        <v>1047</v>
      </c>
      <c r="D68" s="223" t="str">
        <f ca="1">IF(T66=0,"*",IF(T68&gt;0,"IND"&amp;RIGHT(H66,4)&amp;RIGHT(G66,3)&amp;"N"&amp;RIGHT(E66,1),""))</f>
        <v/>
      </c>
      <c r="E68" s="223"/>
      <c r="F68" s="239" t="s">
        <v>1274</v>
      </c>
      <c r="H68" s="177"/>
      <c r="I68" s="176" t="str">
        <f t="shared" si="52"/>
        <v>INDNWH</v>
      </c>
      <c r="J68" s="239">
        <f t="shared" si="53"/>
        <v>2050</v>
      </c>
      <c r="K68" s="81"/>
      <c r="L68" s="206">
        <f t="shared" ca="1" si="54"/>
        <v>0.95</v>
      </c>
      <c r="M68" s="206"/>
      <c r="N68" s="81"/>
      <c r="O68" s="783">
        <f t="shared" ca="1" si="55"/>
        <v>18.1035</v>
      </c>
      <c r="P68" s="783">
        <f t="shared" ca="1" si="56"/>
        <v>0</v>
      </c>
      <c r="Q68" s="81">
        <f t="shared" ca="1" si="57"/>
        <v>94.834361111111107</v>
      </c>
      <c r="R68" s="333"/>
      <c r="S68" s="333"/>
      <c r="T68" s="333"/>
      <c r="U68" s="333"/>
      <c r="V68" s="759">
        <f ca="1">IF(IF(RIGHT(H66,2)="MT",(1-L68)+$W$2,IF(RIGHT(H66,2)="HT",(1-L68)+$W$1,IF(RIGHT(H66,2)="RH",(1-L68)+$W$3,"")))&lt;0,0,IF(RIGHT(H66,2)="MT",(1-L68)+$W$2,IF(RIGHT(H66,2)="HT",(1-L68)+$W$1,IF(RIGHT(H66,2)="RH",(1-L68)+$W$3,""))))</f>
        <v>0.25000000000000006</v>
      </c>
      <c r="W68" s="331"/>
      <c r="X68" s="758">
        <f t="shared" ca="1" si="58"/>
        <v>0</v>
      </c>
      <c r="Y68" s="81">
        <f t="shared" ca="1" si="59"/>
        <v>0</v>
      </c>
      <c r="Z68" s="81">
        <f t="shared" ca="1" si="60"/>
        <v>0</v>
      </c>
      <c r="AA68" s="81">
        <f t="shared" ca="1" si="61"/>
        <v>0</v>
      </c>
      <c r="AB68" s="81">
        <f t="shared" ca="1" si="62"/>
        <v>0</v>
      </c>
      <c r="AD68" s="81">
        <v>2050</v>
      </c>
      <c r="AE68" s="81"/>
      <c r="AF68" s="232"/>
    </row>
    <row r="69" spans="2:32">
      <c r="B69" s="393" t="s">
        <v>1131</v>
      </c>
      <c r="D69" s="223" t="str">
        <f ca="1">IF(T69=0,"*",IF(T69&gt;0,"IND"&amp;RIGHT(H69,4)&amp;RIGHT(G69,3)&amp;"N"&amp;RIGHT(E69,1),""))</f>
        <v>INDNDMTELCN7</v>
      </c>
      <c r="E69" s="278" t="str">
        <f>"Industrial heating technology "&amp;$AJ$12&amp;" "&amp;RIGHT(H69,2)&amp;" - Infrared heating - new 7"</f>
        <v>Industrial heating technology N MT - Infrared heating - new 7</v>
      </c>
      <c r="F69" s="239" t="s">
        <v>1274</v>
      </c>
      <c r="G69" s="176" t="s">
        <v>500</v>
      </c>
      <c r="H69" s="177" t="str">
        <f>$AI$14</f>
        <v>INDMT</v>
      </c>
      <c r="I69" s="176" t="str">
        <f t="shared" si="52"/>
        <v>INDNWH</v>
      </c>
      <c r="J69" s="239">
        <f t="shared" si="53"/>
        <v>2011</v>
      </c>
      <c r="K69" s="332">
        <f>J69</f>
        <v>2011</v>
      </c>
      <c r="L69" s="206">
        <f t="shared" ca="1" si="54"/>
        <v>0.96</v>
      </c>
      <c r="M69" s="206"/>
      <c r="N69" s="81">
        <f ca="1">VLOOKUP($AD69,INDIRECT("'"&amp;$B69&amp;"'!"&amp;"$P$39:$AD$42"),5,FALSE)</f>
        <v>30</v>
      </c>
      <c r="O69" s="783">
        <f t="shared" ca="1" si="55"/>
        <v>2.6074999999999999</v>
      </c>
      <c r="P69" s="783">
        <f t="shared" ca="1" si="56"/>
        <v>0</v>
      </c>
      <c r="Q69" s="81">
        <f t="shared" ca="1" si="57"/>
        <v>242.27606944444443</v>
      </c>
      <c r="R69" s="81">
        <v>3.1536000000000002E-2</v>
      </c>
      <c r="S69" s="206">
        <v>0.5</v>
      </c>
      <c r="T69" s="206">
        <f ca="1">IF(HLOOKUP($T$2,INDIRECT("'"&amp;$B69&amp;"'!"&amp;"$P$6:$AE$19"),IF(H69=$AI$13,6,IF(H69=$AI$14,9,14)),FALSE)&lt;0.03,0,HLOOKUP($T$2,INDIRECT("'"&amp;$B69&amp;"'!"&amp;"$P$6:$AE$19"),IF(H69=$AI$13,6,IF(H69=$AI$14,9,14)),FALSE))</f>
        <v>0.05</v>
      </c>
      <c r="U69" s="832"/>
      <c r="V69" s="759">
        <f ca="1">IF(IF(RIGHT(H69,2)="MT",(1-L69)+$W$2,IF(RIGHT(H69,2)="HT",(1-L69)+$W$1,IF(RIGHT(H69,2)="RH",(1-L69)+$W$3,"")))&lt;0,0,IF(RIGHT(H69,2)="MT",(1-L69)+$W$2,IF(RIGHT(H69,2)="HT",(1-L69)+$W$1,IF(RIGHT(H69,2)="RH",(1-L69)+$W$3,""))))</f>
        <v>0.24000000000000005</v>
      </c>
      <c r="W69" s="331"/>
      <c r="X69" s="758">
        <f t="shared" ca="1" si="58"/>
        <v>0</v>
      </c>
      <c r="Y69" s="81">
        <f t="shared" ca="1" si="59"/>
        <v>0</v>
      </c>
      <c r="Z69" s="81">
        <f t="shared" ca="1" si="60"/>
        <v>0</v>
      </c>
      <c r="AA69" s="81">
        <f t="shared" ca="1" si="61"/>
        <v>0</v>
      </c>
      <c r="AB69" s="81">
        <f t="shared" ca="1" si="62"/>
        <v>0</v>
      </c>
      <c r="AD69" s="81">
        <v>2020</v>
      </c>
      <c r="AE69" s="81"/>
      <c r="AF69" s="232"/>
    </row>
    <row r="70" spans="2:32">
      <c r="B70" s="393" t="s">
        <v>1131</v>
      </c>
      <c r="D70" s="223" t="str">
        <f ca="1">IF(T69=0,"*",IF(T70&gt;0,"IND"&amp;RIGHT(H69,4)&amp;RIGHT(G69,3)&amp;"N"&amp;RIGHT(E69,1),""))</f>
        <v/>
      </c>
      <c r="E70" s="223"/>
      <c r="F70" s="239" t="s">
        <v>1274</v>
      </c>
      <c r="H70" s="177"/>
      <c r="I70" s="176" t="str">
        <f t="shared" si="52"/>
        <v>INDNWH</v>
      </c>
      <c r="J70" s="239">
        <f t="shared" si="53"/>
        <v>2030</v>
      </c>
      <c r="K70" s="81"/>
      <c r="L70" s="206">
        <f t="shared" ca="1" si="54"/>
        <v>0.96</v>
      </c>
      <c r="M70" s="206"/>
      <c r="N70" s="81"/>
      <c r="O70" s="783">
        <f t="shared" ca="1" si="55"/>
        <v>2.5330000000000004</v>
      </c>
      <c r="P70" s="783">
        <f t="shared" ca="1" si="56"/>
        <v>0</v>
      </c>
      <c r="Q70" s="81">
        <f t="shared" ca="1" si="57"/>
        <v>242.28020833333332</v>
      </c>
      <c r="R70" s="333"/>
      <c r="S70" s="333"/>
      <c r="T70" s="333"/>
      <c r="U70" s="333"/>
      <c r="V70" s="759">
        <f ca="1">IF(IF(RIGHT(H69,2)="MT",(1-L70)+$W$2,IF(RIGHT(H69,2)="HT",(1-L70)+$W$1,IF(RIGHT(H69,2)="RH",(1-L70)+$W$3,"")))&lt;0,0,IF(RIGHT(H69,2)="MT",(1-L70)+$W$2,IF(RIGHT(H69,2)="HT",(1-L70)+$W$1,IF(RIGHT(H69,2)="RH",(1-L70)+$W$3,""))))</f>
        <v>0.24000000000000005</v>
      </c>
      <c r="W70" s="331"/>
      <c r="X70" s="758">
        <f t="shared" ca="1" si="58"/>
        <v>0</v>
      </c>
      <c r="Y70" s="81">
        <f t="shared" ca="1" si="59"/>
        <v>0</v>
      </c>
      <c r="Z70" s="81">
        <f t="shared" ca="1" si="60"/>
        <v>0</v>
      </c>
      <c r="AA70" s="81">
        <f t="shared" ca="1" si="61"/>
        <v>0</v>
      </c>
      <c r="AB70" s="81">
        <f t="shared" ca="1" si="62"/>
        <v>0</v>
      </c>
      <c r="AD70" s="81">
        <v>2030</v>
      </c>
      <c r="AE70" s="81"/>
      <c r="AF70" s="232"/>
    </row>
    <row r="71" spans="2:32">
      <c r="B71" s="393" t="s">
        <v>1131</v>
      </c>
      <c r="D71" s="223" t="str">
        <f ca="1">IF(T69=0,"*",IF(T71&gt;0,"IND"&amp;RIGHT(H69,4)&amp;RIGHT(G69,3)&amp;"N"&amp;RIGHT(E69,1),""))</f>
        <v/>
      </c>
      <c r="E71" s="223"/>
      <c r="F71" s="239" t="s">
        <v>1274</v>
      </c>
      <c r="H71" s="177"/>
      <c r="I71" s="177" t="str">
        <f t="shared" si="52"/>
        <v>INDNWH</v>
      </c>
      <c r="J71" s="239">
        <f t="shared" si="53"/>
        <v>2050</v>
      </c>
      <c r="K71" s="81"/>
      <c r="L71" s="206">
        <f t="shared" ca="1" si="54"/>
        <v>0.96</v>
      </c>
      <c r="M71" s="206"/>
      <c r="N71" s="81"/>
      <c r="O71" s="783">
        <f t="shared" ca="1" si="55"/>
        <v>2.3467500000000001</v>
      </c>
      <c r="P71" s="783">
        <f t="shared" ca="1" si="56"/>
        <v>0</v>
      </c>
      <c r="Q71" s="81">
        <f t="shared" ca="1" si="57"/>
        <v>242.28227777777775</v>
      </c>
      <c r="R71" s="333"/>
      <c r="S71" s="333"/>
      <c r="T71" s="333"/>
      <c r="U71" s="333"/>
      <c r="V71" s="759">
        <f ca="1">IF(IF(RIGHT(H69,2)="MT",(1-L71)+$W$2,IF(RIGHT(H69,2)="HT",(1-L71)+$W$1,IF(RIGHT(H69,2)="RH",(1-L71)+$W$3,"")))&lt;0,0,IF(RIGHT(H69,2)="MT",(1-L71)+$W$2,IF(RIGHT(H69,2)="HT",(1-L71)+$W$1,IF(RIGHT(H69,2)="RH",(1-L71)+$W$3,""))))</f>
        <v>0.24000000000000005</v>
      </c>
      <c r="W71" s="331"/>
      <c r="X71" s="758">
        <f t="shared" ca="1" si="58"/>
        <v>0</v>
      </c>
      <c r="Y71" s="81">
        <f t="shared" ca="1" si="59"/>
        <v>0</v>
      </c>
      <c r="Z71" s="81">
        <f t="shared" ca="1" si="60"/>
        <v>0</v>
      </c>
      <c r="AA71" s="81">
        <f t="shared" ca="1" si="61"/>
        <v>0</v>
      </c>
      <c r="AB71" s="81">
        <f t="shared" ca="1" si="62"/>
        <v>0</v>
      </c>
      <c r="AD71" s="81">
        <v>2050</v>
      </c>
      <c r="AE71" s="81"/>
      <c r="AF71" s="232"/>
    </row>
    <row r="72" spans="2:32">
      <c r="B72" s="393" t="s">
        <v>1132</v>
      </c>
      <c r="D72" s="223" t="str">
        <f ca="1">IF(T72=0,"*",IF(T72&gt;0,"IND"&amp;RIGHT(H72,4)&amp;RIGHT(G72,3)&amp;"N"&amp;RIGHT(E72,1),""))</f>
        <v>INDNDHTELCN8</v>
      </c>
      <c r="E72" s="278" t="str">
        <f>"Industrial heating technology "&amp;$AJ$12&amp;" "&amp;RIGHT(H72,2)&amp;" - Electric boiler (Steam) - new 8"</f>
        <v>Industrial heating technology N HT - Electric boiler (Steam) - new 8</v>
      </c>
      <c r="F72" s="239" t="s">
        <v>1274</v>
      </c>
      <c r="G72" s="176" t="s">
        <v>500</v>
      </c>
      <c r="H72" s="177" t="str">
        <f>$AI$13</f>
        <v>INDHT</v>
      </c>
      <c r="I72" s="177" t="str">
        <f t="shared" si="52"/>
        <v>INDNWH</v>
      </c>
      <c r="J72" s="239">
        <f t="shared" si="53"/>
        <v>2011</v>
      </c>
      <c r="K72" s="332">
        <f>J72</f>
        <v>2011</v>
      </c>
      <c r="L72" s="206">
        <f t="shared" ca="1" si="54"/>
        <v>0.99</v>
      </c>
      <c r="M72" s="206"/>
      <c r="N72" s="81">
        <f ca="1">VLOOKUP($AD72,INDIRECT("'"&amp;$B72&amp;"'!"&amp;"$P$39:$AD$42"),5,FALSE)</f>
        <v>25</v>
      </c>
      <c r="O72" s="783">
        <f t="shared" ca="1" si="55"/>
        <v>0.59599999999999997</v>
      </c>
      <c r="P72" s="783">
        <f t="shared" ca="1" si="56"/>
        <v>7.9714999999999994E-3</v>
      </c>
      <c r="Q72" s="81">
        <f t="shared" ca="1" si="57"/>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8"/>
        <v>0</v>
      </c>
      <c r="Y72" s="81">
        <f t="shared" ca="1" si="59"/>
        <v>0</v>
      </c>
      <c r="Z72" s="81">
        <f t="shared" ca="1" si="60"/>
        <v>0</v>
      </c>
      <c r="AA72" s="81">
        <f t="shared" ca="1" si="61"/>
        <v>0</v>
      </c>
      <c r="AB72" s="81">
        <f t="shared" ca="1" si="62"/>
        <v>0</v>
      </c>
      <c r="AD72" s="81">
        <v>2020</v>
      </c>
      <c r="AE72" s="81"/>
      <c r="AF72" s="232"/>
    </row>
    <row r="73" spans="2:32">
      <c r="B73" s="393" t="s">
        <v>1132</v>
      </c>
      <c r="D73" s="223" t="str">
        <f ca="1">IF(T72=0,"*",IF(T73&gt;0,"IND"&amp;RIGHT(H72,4)&amp;RIGHT(G72,3)&amp;"N"&amp;RIGHT(E72,1),""))</f>
        <v/>
      </c>
      <c r="E73" s="223"/>
      <c r="F73" s="239" t="s">
        <v>1274</v>
      </c>
      <c r="H73" s="177"/>
      <c r="I73" s="177" t="str">
        <f t="shared" si="52"/>
        <v>INDNWH</v>
      </c>
      <c r="J73" s="239">
        <f t="shared" si="53"/>
        <v>2030</v>
      </c>
      <c r="K73" s="81"/>
      <c r="L73" s="206">
        <f t="shared" ca="1" si="54"/>
        <v>0.99</v>
      </c>
      <c r="M73" s="206"/>
      <c r="N73" s="81"/>
      <c r="O73" s="783">
        <f t="shared" ca="1" si="55"/>
        <v>0.52150000000000007</v>
      </c>
      <c r="P73" s="783">
        <f t="shared" ca="1" si="56"/>
        <v>7.5989999999999999E-3</v>
      </c>
      <c r="Q73" s="81">
        <f t="shared" ca="1" si="57"/>
        <v>1.8107638888888888</v>
      </c>
      <c r="R73" s="333"/>
      <c r="S73" s="333"/>
      <c r="T73" s="333"/>
      <c r="U73" s="333"/>
      <c r="V73" s="759">
        <f ca="1">IF(IF(RIGHT(H72,2)="MT",(1-L73)+$W$2,IF(RIGHT(H72,2)="HT",(1-L73)+$W$1,IF(RIGHT(H72,2)="RH",(1-L73)+$W$3,"")))&lt;0,0,IF(RIGHT(H72,2)="MT",(1-L73)+$W$2,IF(RIGHT(H72,2)="HT",(1-L73)+$W$1,IF(RIGHT(H72,2)="RH",(1-L73)+$W$3,""))))</f>
        <v>0.31</v>
      </c>
      <c r="W73" s="331"/>
      <c r="X73" s="758">
        <f t="shared" ca="1" si="58"/>
        <v>0</v>
      </c>
      <c r="Y73" s="81">
        <f t="shared" ca="1" si="59"/>
        <v>0</v>
      </c>
      <c r="Z73" s="81">
        <f t="shared" ca="1" si="60"/>
        <v>0</v>
      </c>
      <c r="AA73" s="81">
        <f t="shared" ca="1" si="61"/>
        <v>0</v>
      </c>
      <c r="AB73" s="81">
        <f t="shared" ca="1" si="62"/>
        <v>0</v>
      </c>
      <c r="AD73" s="81">
        <v>2030</v>
      </c>
      <c r="AE73" s="81"/>
      <c r="AF73" s="232"/>
    </row>
    <row r="74" spans="2:32">
      <c r="B74" s="393" t="s">
        <v>1132</v>
      </c>
      <c r="D74" s="223" t="str">
        <f ca="1">IF(T72=0,"*",IF(T74&gt;0,"IND"&amp;RIGHT(H72,4)&amp;RIGHT(G72,3)&amp;"N"&amp;RIGHT(E72,1),""))</f>
        <v/>
      </c>
      <c r="E74" s="223"/>
      <c r="F74" s="239" t="s">
        <v>1274</v>
      </c>
      <c r="H74" s="177"/>
      <c r="I74" s="177" t="str">
        <f t="shared" si="52"/>
        <v>INDNWH</v>
      </c>
      <c r="J74" s="239">
        <f t="shared" si="53"/>
        <v>2050</v>
      </c>
      <c r="K74" s="81"/>
      <c r="L74" s="206">
        <f t="shared" ca="1" si="54"/>
        <v>0.99</v>
      </c>
      <c r="M74" s="206"/>
      <c r="N74" s="81"/>
      <c r="O74" s="783">
        <f t="shared" ca="1" si="55"/>
        <v>0.52150000000000007</v>
      </c>
      <c r="P74" s="783">
        <f t="shared" ca="1" si="56"/>
        <v>6.8539999999999998E-3</v>
      </c>
      <c r="Q74" s="81">
        <f t="shared" ca="1" si="57"/>
        <v>1.6141666666666665</v>
      </c>
      <c r="R74" s="333"/>
      <c r="S74" s="333"/>
      <c r="T74" s="333"/>
      <c r="U74" s="333"/>
      <c r="V74" s="759">
        <f ca="1">IF(IF(RIGHT(H72,2)="MT",(1-L74)+$W$2,IF(RIGHT(H72,2)="HT",(1-L74)+$W$1,IF(RIGHT(H72,2)="RH",(1-L74)+$W$3,"")))&lt;0,0,IF(RIGHT(H72,2)="MT",(1-L74)+$W$2,IF(RIGHT(H72,2)="HT",(1-L74)+$W$1,IF(RIGHT(H72,2)="RH",(1-L74)+$W$3,""))))</f>
        <v>0.31</v>
      </c>
      <c r="W74" s="331"/>
      <c r="X74" s="758">
        <f t="shared" ca="1" si="58"/>
        <v>0</v>
      </c>
      <c r="Y74" s="81">
        <f t="shared" ca="1" si="59"/>
        <v>0</v>
      </c>
      <c r="Z74" s="81">
        <f t="shared" ca="1" si="60"/>
        <v>0</v>
      </c>
      <c r="AA74" s="81">
        <f t="shared" ca="1" si="61"/>
        <v>0</v>
      </c>
      <c r="AB74" s="81">
        <f t="shared" ca="1" si="62"/>
        <v>0</v>
      </c>
      <c r="AD74" s="81">
        <v>2050</v>
      </c>
      <c r="AE74" s="81"/>
      <c r="AF74" s="232"/>
    </row>
    <row r="75" spans="2:32">
      <c r="B75" s="393" t="s">
        <v>1132</v>
      </c>
      <c r="D75" s="223" t="str">
        <f ca="1">IF(T75=0,"*",IF(T75&gt;0,"IND"&amp;RIGHT(H75,4)&amp;RIGHT(G75,3)&amp;"N"&amp;RIGHT(E75,1),""))</f>
        <v>INDNDMTELCN8</v>
      </c>
      <c r="E75" s="278" t="str">
        <f>"Industrial heating technology "&amp;$AJ$12&amp;" "&amp;RIGHT(H75,2)&amp;" - Electric boiler (Steam) - new 8"</f>
        <v>Industrial heating technology N MT - Electric boiler (Steam) - new 8</v>
      </c>
      <c r="F75" s="239" t="s">
        <v>1274</v>
      </c>
      <c r="G75" s="176" t="s">
        <v>500</v>
      </c>
      <c r="H75" s="177" t="str">
        <f>$AI$14</f>
        <v>INDMT</v>
      </c>
      <c r="I75" s="177" t="str">
        <f t="shared" si="52"/>
        <v>INDNWH</v>
      </c>
      <c r="J75" s="239">
        <f t="shared" si="53"/>
        <v>2011</v>
      </c>
      <c r="K75" s="332">
        <f>J75</f>
        <v>2011</v>
      </c>
      <c r="L75" s="206">
        <f t="shared" ca="1" si="54"/>
        <v>0.99</v>
      </c>
      <c r="M75" s="206"/>
      <c r="N75" s="81">
        <f ca="1">VLOOKUP($AD75,INDIRECT("'"&amp;$B75&amp;"'!"&amp;"$P$39:$AD$42"),5,FALSE)</f>
        <v>25</v>
      </c>
      <c r="O75" s="783">
        <f t="shared" ca="1" si="55"/>
        <v>0.59599999999999997</v>
      </c>
      <c r="P75" s="783">
        <f t="shared" ca="1" si="56"/>
        <v>7.9714999999999994E-3</v>
      </c>
      <c r="Q75" s="81">
        <f t="shared" ca="1" si="57"/>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8"/>
        <v>0</v>
      </c>
      <c r="Y75" s="81">
        <f t="shared" ca="1" si="59"/>
        <v>0</v>
      </c>
      <c r="Z75" s="81">
        <f t="shared" ca="1" si="60"/>
        <v>0</v>
      </c>
      <c r="AA75" s="81">
        <f t="shared" ca="1" si="61"/>
        <v>0</v>
      </c>
      <c r="AB75" s="81">
        <f t="shared" ca="1" si="62"/>
        <v>0</v>
      </c>
      <c r="AD75" s="81">
        <v>2020</v>
      </c>
      <c r="AE75" s="81"/>
      <c r="AF75" s="232"/>
    </row>
    <row r="76" spans="2:32">
      <c r="B76" s="393" t="s">
        <v>1132</v>
      </c>
      <c r="D76" s="223" t="str">
        <f ca="1">IF(T75=0,"*",IF(T76&gt;0,"IND"&amp;RIGHT(H75,4)&amp;RIGHT(G75,3)&amp;"N"&amp;RIGHT(E75,1),""))</f>
        <v/>
      </c>
      <c r="E76" s="223"/>
      <c r="F76" s="239" t="s">
        <v>1274</v>
      </c>
      <c r="H76" s="177"/>
      <c r="I76" s="177" t="str">
        <f t="shared" si="52"/>
        <v>INDNWH</v>
      </c>
      <c r="J76" s="239">
        <f t="shared" si="53"/>
        <v>2030</v>
      </c>
      <c r="K76" s="81"/>
      <c r="L76" s="206">
        <f t="shared" ca="1" si="54"/>
        <v>0.99</v>
      </c>
      <c r="M76" s="206"/>
      <c r="N76" s="81"/>
      <c r="O76" s="783">
        <f t="shared" ca="1" si="55"/>
        <v>0.52150000000000007</v>
      </c>
      <c r="P76" s="783">
        <f t="shared" ca="1" si="56"/>
        <v>7.5989999999999999E-3</v>
      </c>
      <c r="Q76" s="81">
        <f t="shared" ca="1" si="57"/>
        <v>1.8107638888888888</v>
      </c>
      <c r="R76" s="333"/>
      <c r="S76" s="333"/>
      <c r="T76" s="333"/>
      <c r="U76" s="333"/>
      <c r="V76" s="759">
        <f ca="1">IF(IF(RIGHT(H75,2)="MT",(1-L76)+$W$2,IF(RIGHT(H75,2)="HT",(1-L76)+$W$1,IF(RIGHT(H75,2)="RH",(1-L76)+$W$3,"")))&lt;0,0,IF(RIGHT(H75,2)="MT",(1-L76)+$W$2,IF(RIGHT(H75,2)="HT",(1-L76)+$W$1,IF(RIGHT(H75,2)="RH",(1-L76)+$W$3,""))))</f>
        <v>0.21000000000000002</v>
      </c>
      <c r="W76" s="331"/>
      <c r="X76" s="758">
        <f t="shared" ca="1" si="58"/>
        <v>0</v>
      </c>
      <c r="Y76" s="81">
        <f t="shared" ca="1" si="59"/>
        <v>0</v>
      </c>
      <c r="Z76" s="81">
        <f t="shared" ca="1" si="60"/>
        <v>0</v>
      </c>
      <c r="AA76" s="81">
        <f t="shared" ca="1" si="61"/>
        <v>0</v>
      </c>
      <c r="AB76" s="81">
        <f t="shared" ca="1" si="62"/>
        <v>0</v>
      </c>
      <c r="AD76" s="81">
        <v>2030</v>
      </c>
      <c r="AE76" s="81"/>
      <c r="AF76" s="232"/>
    </row>
    <row r="77" spans="2:32">
      <c r="B77" s="393" t="s">
        <v>1132</v>
      </c>
      <c r="D77" s="223" t="str">
        <f ca="1">IF(T75=0,"*",IF(T77&gt;0,"IND"&amp;RIGHT(H75,4)&amp;RIGHT(G75,3)&amp;"N"&amp;RIGHT(E75,1),""))</f>
        <v/>
      </c>
      <c r="E77" s="223"/>
      <c r="F77" s="239" t="s">
        <v>1274</v>
      </c>
      <c r="H77" s="177"/>
      <c r="I77" s="177" t="str">
        <f t="shared" si="52"/>
        <v>INDNWH</v>
      </c>
      <c r="J77" s="239">
        <f t="shared" si="53"/>
        <v>2050</v>
      </c>
      <c r="K77" s="81"/>
      <c r="L77" s="206">
        <f t="shared" ca="1" si="54"/>
        <v>0.99</v>
      </c>
      <c r="M77" s="206"/>
      <c r="N77" s="81"/>
      <c r="O77" s="783">
        <f t="shared" ca="1" si="55"/>
        <v>0.52150000000000007</v>
      </c>
      <c r="P77" s="783">
        <f t="shared" ca="1" si="56"/>
        <v>6.8539999999999998E-3</v>
      </c>
      <c r="Q77" s="81">
        <f t="shared" ca="1" si="57"/>
        <v>1.6141666666666665</v>
      </c>
      <c r="R77" s="333"/>
      <c r="S77" s="333"/>
      <c r="T77" s="333"/>
      <c r="U77" s="333"/>
      <c r="V77" s="759">
        <f ca="1">IF(IF(RIGHT(H75,2)="MT",(1-L77)+$W$2,IF(RIGHT(H75,2)="HT",(1-L77)+$W$1,IF(RIGHT(H75,2)="RH",(1-L77)+$W$3,"")))&lt;0,0,IF(RIGHT(H75,2)="MT",(1-L77)+$W$2,IF(RIGHT(H75,2)="HT",(1-L77)+$W$1,IF(RIGHT(H75,2)="RH",(1-L77)+$W$3,""))))</f>
        <v>0.21000000000000002</v>
      </c>
      <c r="W77" s="331"/>
      <c r="X77" s="758">
        <f t="shared" ca="1" si="58"/>
        <v>0</v>
      </c>
      <c r="Y77" s="81">
        <f t="shared" ca="1" si="59"/>
        <v>0</v>
      </c>
      <c r="Z77" s="81">
        <f t="shared" ca="1" si="60"/>
        <v>0</v>
      </c>
      <c r="AA77" s="81">
        <f t="shared" ca="1" si="61"/>
        <v>0</v>
      </c>
      <c r="AB77" s="81">
        <f t="shared" ca="1" si="62"/>
        <v>0</v>
      </c>
      <c r="AD77" s="81">
        <v>2050</v>
      </c>
      <c r="AE77" s="766"/>
      <c r="AF77" s="232"/>
    </row>
    <row r="78" spans="2:32">
      <c r="B78" s="393" t="s">
        <v>1132</v>
      </c>
      <c r="D78" s="223" t="str">
        <f ca="1">IF(T78=0,"*",IF(T78&gt;0,"IND"&amp;RIGHT(H78,4)&amp;RIGHT(G78,3)&amp;"N"&amp;RIGHT(E78,1),""))</f>
        <v>INDNDRHELCN8</v>
      </c>
      <c r="E78" s="278" t="str">
        <f>"Industrial heating technology "&amp;$AJ$12&amp;" "&amp;RIGHT(H78,2)&amp;" - Electric boiler (Steam) - new 8"</f>
        <v>Industrial heating technology N RH - Electric boiler (Steam) - new 8</v>
      </c>
      <c r="F78" s="239" t="s">
        <v>1274</v>
      </c>
      <c r="G78" s="176" t="s">
        <v>500</v>
      </c>
      <c r="H78" s="177" t="str">
        <f>$AI$15</f>
        <v>INDRH</v>
      </c>
      <c r="I78" s="177" t="str">
        <f t="shared" si="52"/>
        <v>INDNWH</v>
      </c>
      <c r="J78" s="239">
        <f t="shared" si="53"/>
        <v>2011</v>
      </c>
      <c r="K78" s="332">
        <f>J78</f>
        <v>2011</v>
      </c>
      <c r="L78" s="206">
        <f t="shared" ca="1" si="54"/>
        <v>0.99</v>
      </c>
      <c r="M78" s="206"/>
      <c r="N78" s="81">
        <f ca="1">VLOOKUP($AD78,INDIRECT("'"&amp;$B78&amp;"'!"&amp;"$P$39:$AD$42"),5,FALSE)</f>
        <v>25</v>
      </c>
      <c r="O78" s="783">
        <f t="shared" ca="1" si="55"/>
        <v>0.59599999999999997</v>
      </c>
      <c r="P78" s="783">
        <f t="shared" ca="1" si="56"/>
        <v>7.9714999999999994E-3</v>
      </c>
      <c r="Q78" s="81">
        <f t="shared" ca="1" si="57"/>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8"/>
        <v>0</v>
      </c>
      <c r="Y78" s="81">
        <f t="shared" ca="1" si="59"/>
        <v>0</v>
      </c>
      <c r="Z78" s="81">
        <f t="shared" ca="1" si="60"/>
        <v>0</v>
      </c>
      <c r="AA78" s="81">
        <f t="shared" ca="1" si="61"/>
        <v>0</v>
      </c>
      <c r="AB78" s="81">
        <f t="shared" ca="1" si="62"/>
        <v>0</v>
      </c>
      <c r="AC78" s="329"/>
      <c r="AD78" s="81">
        <v>2020</v>
      </c>
      <c r="AE78" s="81"/>
      <c r="AF78" s="770"/>
    </row>
    <row r="79" spans="2:32">
      <c r="B79" s="393" t="s">
        <v>1132</v>
      </c>
      <c r="D79" s="223" t="str">
        <f ca="1">IF(T78=0,"*",IF(T79&gt;0,"IND"&amp;RIGHT(H78,4)&amp;RIGHT(G78,3)&amp;"N"&amp;RIGHT(E78,1),""))</f>
        <v/>
      </c>
      <c r="E79" s="223"/>
      <c r="F79" s="239" t="s">
        <v>1274</v>
      </c>
      <c r="H79" s="177"/>
      <c r="I79" s="177" t="str">
        <f t="shared" si="52"/>
        <v>INDNWH</v>
      </c>
      <c r="J79" s="239">
        <f t="shared" si="53"/>
        <v>2030</v>
      </c>
      <c r="K79" s="81"/>
      <c r="L79" s="206">
        <f t="shared" ca="1" si="54"/>
        <v>0.99</v>
      </c>
      <c r="M79" s="206"/>
      <c r="N79" s="81"/>
      <c r="O79" s="783">
        <f t="shared" ca="1" si="55"/>
        <v>0.52150000000000007</v>
      </c>
      <c r="P79" s="783">
        <f t="shared" ca="1" si="56"/>
        <v>7.5989999999999999E-3</v>
      </c>
      <c r="Q79" s="81">
        <f t="shared" ca="1" si="57"/>
        <v>1.8107638888888888</v>
      </c>
      <c r="R79" s="333"/>
      <c r="S79" s="333"/>
      <c r="T79" s="333"/>
      <c r="U79" s="333"/>
      <c r="V79" s="759">
        <f ca="1">IF(IF(RIGHT(H78,2)="MT",(1-L79)+$W$2,IF(RIGHT(H78,2)="HT",(1-L79)+$W$1,IF(RIGHT(H78,2)="RH",(1-L79)+$W$3,"")))&lt;0,0,IF(RIGHT(H78,2)="MT",(1-L79)+$W$2,IF(RIGHT(H78,2)="HT",(1-L79)+$W$1,IF(RIGHT(H78,2)="RH",(1-L79)+$W$3,""))))</f>
        <v>1.0000000000000009E-2</v>
      </c>
      <c r="W79" s="331"/>
      <c r="X79" s="758">
        <f t="shared" ca="1" si="58"/>
        <v>0</v>
      </c>
      <c r="Y79" s="81">
        <f t="shared" ca="1" si="59"/>
        <v>0</v>
      </c>
      <c r="Z79" s="81">
        <f t="shared" ca="1" si="60"/>
        <v>0</v>
      </c>
      <c r="AA79" s="81">
        <f t="shared" ca="1" si="61"/>
        <v>0</v>
      </c>
      <c r="AB79" s="81">
        <f t="shared" ca="1" si="62"/>
        <v>0</v>
      </c>
      <c r="AC79" s="55"/>
      <c r="AD79" s="81">
        <v>2030</v>
      </c>
      <c r="AE79" s="81"/>
      <c r="AF79" s="760"/>
    </row>
    <row r="80" spans="2:32">
      <c r="B80" s="393" t="s">
        <v>1132</v>
      </c>
      <c r="D80" s="223" t="str">
        <f ca="1">IF(T78=0,"*",IF(T80&gt;0,"IND"&amp;RIGHT(H78,4)&amp;RIGHT(G78,3)&amp;"N"&amp;RIGHT(E78,1),""))</f>
        <v/>
      </c>
      <c r="E80" s="223"/>
      <c r="F80" s="239" t="s">
        <v>1274</v>
      </c>
      <c r="H80" s="177"/>
      <c r="I80" s="177" t="str">
        <f t="shared" si="52"/>
        <v>INDNWH</v>
      </c>
      <c r="J80" s="239">
        <f t="shared" si="53"/>
        <v>2050</v>
      </c>
      <c r="K80" s="766"/>
      <c r="L80" s="206">
        <f t="shared" ca="1" si="54"/>
        <v>0.99</v>
      </c>
      <c r="M80" s="834"/>
      <c r="N80" s="766"/>
      <c r="O80" s="784">
        <f t="shared" ca="1" si="55"/>
        <v>0.52150000000000007</v>
      </c>
      <c r="P80" s="784">
        <f t="shared" ca="1" si="56"/>
        <v>6.8539999999999998E-3</v>
      </c>
      <c r="Q80" s="766">
        <f t="shared" ca="1" si="57"/>
        <v>1.6141666666666665</v>
      </c>
      <c r="R80" s="333"/>
      <c r="S80" s="333"/>
      <c r="T80" s="333"/>
      <c r="U80" s="333"/>
      <c r="V80" s="759">
        <f ca="1">IF(IF(RIGHT(H78,2)="MT",(1-L80)+$W$2,IF(RIGHT(H78,2)="HT",(1-L80)+$W$1,IF(RIGHT(H78,2)="RH",(1-L80)+$W$3,"")))&lt;0,0,IF(RIGHT(H78,2)="MT",(1-L80)+$W$2,IF(RIGHT(H78,2)="HT",(1-L80)+$W$1,IF(RIGHT(H78,2)="RH",(1-L80)+$W$3,""))))</f>
        <v>1.0000000000000009E-2</v>
      </c>
      <c r="W80" s="331"/>
      <c r="X80" s="758">
        <f t="shared" ca="1" si="58"/>
        <v>0</v>
      </c>
      <c r="Y80" s="766">
        <f t="shared" ca="1" si="59"/>
        <v>0</v>
      </c>
      <c r="Z80" s="766">
        <f t="shared" ca="1" si="60"/>
        <v>0</v>
      </c>
      <c r="AA80" s="766">
        <f t="shared" ca="1" si="61"/>
        <v>0</v>
      </c>
      <c r="AB80" s="766">
        <f t="shared" ca="1" si="62"/>
        <v>0</v>
      </c>
      <c r="AC80" s="55"/>
      <c r="AD80" s="766">
        <v>2050</v>
      </c>
      <c r="AE80" s="81"/>
      <c r="AF80" s="760"/>
    </row>
    <row r="81" spans="1:33">
      <c r="B81" s="776" t="s">
        <v>1132</v>
      </c>
      <c r="C81" s="329"/>
      <c r="D81" s="223" t="str">
        <f ca="1">IF(T81=0,"*",IF(T81&gt;0,"IND"&amp;RIGHT(H81,4)&amp;RIGHT(G81,3)&amp;"N"&amp;RIGHT(E81,1),""))</f>
        <v>INDNDMTELCN9</v>
      </c>
      <c r="E81" s="767" t="str">
        <f>"Industrial heating technology "&amp;$AJ$12&amp;" "&amp;RIGHT(H81,2)&amp;" - Electric boiler (Hot Water) - new 9"</f>
        <v>Industrial heating technology N MT - Electric boiler (Hot Water) - new 9</v>
      </c>
      <c r="F81" s="239" t="s">
        <v>1274</v>
      </c>
      <c r="G81" s="768" t="s">
        <v>500</v>
      </c>
      <c r="H81" s="768" t="str">
        <f>$AI$14</f>
        <v>INDMT</v>
      </c>
      <c r="I81" s="768" t="str">
        <f t="shared" si="52"/>
        <v>INDNWH</v>
      </c>
      <c r="J81" s="239">
        <f t="shared" si="53"/>
        <v>2011</v>
      </c>
      <c r="K81" s="332">
        <f>J81</f>
        <v>2011</v>
      </c>
      <c r="L81" s="206">
        <f t="shared" ref="L81:L86" ca="1" si="63">VLOOKUP($AD81,INDIRECT("'"&amp;$B81&amp;"'!"&amp;"$P$118:$AD$121"),3,FALSE)</f>
        <v>0.99</v>
      </c>
      <c r="M81" s="206"/>
      <c r="N81" s="81">
        <f ca="1">VLOOKUP($AD81,INDIRECT("'"&amp;$B81&amp;"'!"&amp;"$P$118:$AD$121"),5,FALSE)</f>
        <v>25</v>
      </c>
      <c r="O81" s="783">
        <f t="shared" ref="O81:O86" ca="1" si="64">VLOOKUP($AD81,INDIRECT("'"&amp;$B81&amp;"'!"&amp;"$P$118:$AD$121"),6,FALSE)/1000</f>
        <v>0.52150000000000007</v>
      </c>
      <c r="P81" s="783">
        <f t="shared" ref="P81:P86" ca="1" si="65">VLOOKUP($AD81,INDIRECT("'"&amp;$B81&amp;"'!"&amp;"$P$118:$AD$121"),7,FALSE)/1000</f>
        <v>7.9714999999999994E-3</v>
      </c>
      <c r="Q81" s="81">
        <f t="shared" ref="Q81:Q86" ca="1" si="66">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8"/>
        <v>0</v>
      </c>
      <c r="Y81" s="758">
        <f t="shared" ref="Y81:Y86" ca="1" si="67">VLOOKUP($AD81,INDIRECT("'"&amp;$B81&amp;"'!"&amp;"$P$118:$AD$121"),12,FALSE)</f>
        <v>0</v>
      </c>
      <c r="Z81" s="758">
        <f t="shared" ref="Z81:Z86" ca="1" si="68">VLOOKUP($AD81,INDIRECT("'"&amp;$B81&amp;"'!"&amp;"$P$118:$AD$121"),13,FALSE)</f>
        <v>0</v>
      </c>
      <c r="AA81" s="758">
        <f t="shared" ref="AA81:AA86" ca="1" si="69">VLOOKUP($AD81,INDIRECT("'"&amp;$B81&amp;"'!"&amp;"$P$118:$AD$121"),14,FALSE)</f>
        <v>0</v>
      </c>
      <c r="AB81" s="758">
        <f t="shared" ref="AB81:AB86" ca="1" si="70">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2"/>
        <v>INDNWH</v>
      </c>
      <c r="J82" s="239">
        <f t="shared" si="53"/>
        <v>2030</v>
      </c>
      <c r="K82" s="81"/>
      <c r="L82" s="206">
        <f t="shared" ca="1" si="63"/>
        <v>0.99</v>
      </c>
      <c r="M82" s="206"/>
      <c r="N82" s="81"/>
      <c r="O82" s="783">
        <f t="shared" ca="1" si="64"/>
        <v>0.44700000000000001</v>
      </c>
      <c r="P82" s="783">
        <f t="shared" ca="1" si="65"/>
        <v>7.5989999999999999E-3</v>
      </c>
      <c r="Q82" s="81">
        <f t="shared" ca="1" si="66"/>
        <v>1.8107638888888888</v>
      </c>
      <c r="R82" s="333"/>
      <c r="S82" s="333"/>
      <c r="T82" s="333"/>
      <c r="U82" s="333"/>
      <c r="V82" s="759">
        <f ca="1">IF(IF(RIGHT(H81,2)="MT",(1-L82)+$W$2,IF(RIGHT(H81,2)="HT",(1-L82)+$W$1,IF(RIGHT(H81,2)="RH",(1-L82)+$W$3,"")))&lt;0,0,IF(RIGHT(H81,2)="MT",(1-L82)+$W$2,IF(RIGHT(H81,2)="HT",(1-L82)+$W$1,IF(RIGHT(H81,2)="RH",(1-L82)+$W$3,""))))</f>
        <v>0.21000000000000002</v>
      </c>
      <c r="W82" s="331"/>
      <c r="X82" s="758">
        <f t="shared" ca="1" si="58"/>
        <v>0</v>
      </c>
      <c r="Y82" s="758">
        <f t="shared" ca="1" si="67"/>
        <v>0</v>
      </c>
      <c r="Z82" s="758">
        <f t="shared" ca="1" si="68"/>
        <v>0</v>
      </c>
      <c r="AA82" s="758">
        <f t="shared" ca="1" si="69"/>
        <v>0</v>
      </c>
      <c r="AB82" s="758">
        <f t="shared" ca="1" si="70"/>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2"/>
        <v>INDNWH</v>
      </c>
      <c r="J83" s="239">
        <f t="shared" si="53"/>
        <v>2050</v>
      </c>
      <c r="K83" s="81"/>
      <c r="L83" s="206">
        <f t="shared" ca="1" si="63"/>
        <v>0.99</v>
      </c>
      <c r="M83" s="206"/>
      <c r="N83" s="81"/>
      <c r="O83" s="783">
        <f t="shared" ca="1" si="64"/>
        <v>0.44700000000000001</v>
      </c>
      <c r="P83" s="783">
        <f t="shared" ca="1" si="65"/>
        <v>6.8539999999999998E-3</v>
      </c>
      <c r="Q83" s="81">
        <f t="shared" ca="1" si="66"/>
        <v>1.6141666666666665</v>
      </c>
      <c r="R83" s="333"/>
      <c r="S83" s="333"/>
      <c r="T83" s="333"/>
      <c r="U83" s="333"/>
      <c r="V83" s="759">
        <f ca="1">IF(IF(RIGHT(H81,2)="MT",(1-L83)+$W$2,IF(RIGHT(H81,2)="HT",(1-L83)+$W$1,IF(RIGHT(H81,2)="RH",(1-L83)+$W$3,"")))&lt;0,0,IF(RIGHT(H81,2)="MT",(1-L83)+$W$2,IF(RIGHT(H81,2)="HT",(1-L83)+$W$1,IF(RIGHT(H81,2)="RH",(1-L83)+$W$3,""))))</f>
        <v>0.21000000000000002</v>
      </c>
      <c r="W83" s="331"/>
      <c r="X83" s="758">
        <f t="shared" ca="1" si="58"/>
        <v>0</v>
      </c>
      <c r="Y83" s="758">
        <f t="shared" ca="1" si="67"/>
        <v>0</v>
      </c>
      <c r="Z83" s="758">
        <f t="shared" ca="1" si="68"/>
        <v>0</v>
      </c>
      <c r="AA83" s="758">
        <f t="shared" ca="1" si="69"/>
        <v>0</v>
      </c>
      <c r="AB83" s="758">
        <f t="shared" ca="1" si="70"/>
        <v>0</v>
      </c>
      <c r="AC83" s="211"/>
      <c r="AD83" s="81">
        <v>2050</v>
      </c>
      <c r="AE83" s="81"/>
      <c r="AF83" s="765"/>
    </row>
    <row r="84" spans="1:33">
      <c r="B84" s="393" t="s">
        <v>1132</v>
      </c>
      <c r="C84" s="55"/>
      <c r="D84" s="223" t="str">
        <f ca="1">IF(T84=0,"*",IF(T84&gt;0,"IND"&amp;RIGHT(H84,4)&amp;RIGHT(G84,3)&amp;"N"&amp;RIGHT(E84,1),""))</f>
        <v>INDNDRHELCN9</v>
      </c>
      <c r="E84" s="278" t="str">
        <f>"Industrial heating technology "&amp;$AJ$12&amp;" "&amp;RIGHT(H84,2)&amp;" - Electric boiler (Hot Water) - new 9"</f>
        <v>Industrial heating technology N RH - Electric boiler (Hot Water) - new 9</v>
      </c>
      <c r="F84" s="239" t="s">
        <v>1274</v>
      </c>
      <c r="G84" s="177" t="s">
        <v>500</v>
      </c>
      <c r="H84" s="177" t="str">
        <f>$AI$15</f>
        <v>INDRH</v>
      </c>
      <c r="I84" s="177" t="str">
        <f t="shared" si="52"/>
        <v>INDNWH</v>
      </c>
      <c r="J84" s="239">
        <f t="shared" si="53"/>
        <v>2011</v>
      </c>
      <c r="K84" s="332">
        <f>J84</f>
        <v>2011</v>
      </c>
      <c r="L84" s="206">
        <f t="shared" ca="1" si="63"/>
        <v>0.99</v>
      </c>
      <c r="M84" s="206"/>
      <c r="N84" s="81">
        <f ca="1">VLOOKUP($AD84,INDIRECT("'"&amp;$B84&amp;"'!"&amp;"$P$118:$AD$121"),5,FALSE)</f>
        <v>25</v>
      </c>
      <c r="O84" s="783">
        <f t="shared" ca="1" si="64"/>
        <v>0.52150000000000007</v>
      </c>
      <c r="P84" s="783">
        <f t="shared" ca="1" si="65"/>
        <v>7.9714999999999994E-3</v>
      </c>
      <c r="Q84" s="81">
        <f t="shared" ca="1" si="66"/>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8"/>
        <v>0</v>
      </c>
      <c r="Y84" s="758">
        <f t="shared" ca="1" si="67"/>
        <v>0</v>
      </c>
      <c r="Z84" s="758">
        <f t="shared" ca="1" si="68"/>
        <v>0</v>
      </c>
      <c r="AA84" s="758">
        <f t="shared" ca="1" si="69"/>
        <v>0</v>
      </c>
      <c r="AB84" s="758">
        <f t="shared" ca="1" si="70"/>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2"/>
        <v>INDNWH</v>
      </c>
      <c r="J85" s="239">
        <f t="shared" si="53"/>
        <v>2030</v>
      </c>
      <c r="K85" s="81"/>
      <c r="L85" s="206">
        <f t="shared" ca="1" si="63"/>
        <v>0.99</v>
      </c>
      <c r="M85" s="206"/>
      <c r="N85" s="81"/>
      <c r="O85" s="783">
        <f t="shared" ca="1" si="64"/>
        <v>0.44700000000000001</v>
      </c>
      <c r="P85" s="783">
        <f t="shared" ca="1" si="65"/>
        <v>7.5989999999999999E-3</v>
      </c>
      <c r="Q85" s="81">
        <f t="shared" ca="1" si="66"/>
        <v>1.8107638888888888</v>
      </c>
      <c r="R85" s="333"/>
      <c r="S85" s="333"/>
      <c r="T85" s="333"/>
      <c r="U85" s="333"/>
      <c r="V85" s="759">
        <f ca="1">IF(IF(RIGHT(H84,2)="MT",(1-L85)+$W$2,IF(RIGHT(H84,2)="HT",(1-L85)+$W$1,IF(RIGHT(H84,2)="RH",(1-L85)+$W$3,"")))&lt;0,0,IF(RIGHT(H84,2)="MT",(1-L85)+$W$2,IF(RIGHT(H84,2)="HT",(1-L85)+$W$1,IF(RIGHT(H84,2)="RH",(1-L85)+$W$3,""))))</f>
        <v>1.0000000000000009E-2</v>
      </c>
      <c r="W85" s="331"/>
      <c r="X85" s="758">
        <f t="shared" ca="1" si="58"/>
        <v>0</v>
      </c>
      <c r="Y85" s="758">
        <f t="shared" ca="1" si="67"/>
        <v>0</v>
      </c>
      <c r="Z85" s="758">
        <f t="shared" ca="1" si="68"/>
        <v>0</v>
      </c>
      <c r="AA85" s="758">
        <f t="shared" ca="1" si="69"/>
        <v>0</v>
      </c>
      <c r="AB85" s="758">
        <f t="shared" ca="1" si="70"/>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2"/>
        <v>INDNWH</v>
      </c>
      <c r="J86" s="239">
        <f t="shared" si="53"/>
        <v>2050</v>
      </c>
      <c r="K86" s="81"/>
      <c r="L86" s="206">
        <f t="shared" ca="1" si="63"/>
        <v>0.99</v>
      </c>
      <c r="M86" s="206"/>
      <c r="N86" s="81"/>
      <c r="O86" s="783">
        <f t="shared" ca="1" si="64"/>
        <v>0.44700000000000001</v>
      </c>
      <c r="P86" s="783">
        <f t="shared" ca="1" si="65"/>
        <v>6.8539999999999998E-3</v>
      </c>
      <c r="Q86" s="81">
        <f t="shared" ca="1" si="66"/>
        <v>1.6141666666666665</v>
      </c>
      <c r="R86" s="763"/>
      <c r="S86" s="763"/>
      <c r="T86" s="763"/>
      <c r="U86" s="763"/>
      <c r="V86" s="759">
        <f ca="1">IF(IF(RIGHT(H84,2)="MT",(1-L86)+$W$2,IF(RIGHT(H84,2)="HT",(1-L86)+$W$1,IF(RIGHT(H84,2)="RH",(1-L86)+$W$3,"")))&lt;0,0,IF(RIGHT(H84,2)="MT",(1-L86)+$W$2,IF(RIGHT(H84,2)="HT",(1-L86)+$W$1,IF(RIGHT(H84,2)="RH",(1-L86)+$W$3,""))))</f>
        <v>1.0000000000000009E-2</v>
      </c>
      <c r="W86" s="764"/>
      <c r="X86" s="758">
        <f t="shared" ca="1" si="58"/>
        <v>0</v>
      </c>
      <c r="Y86" s="758">
        <f t="shared" ca="1" si="67"/>
        <v>0</v>
      </c>
      <c r="Z86" s="758">
        <f t="shared" ca="1" si="68"/>
        <v>0</v>
      </c>
      <c r="AA86" s="758">
        <f t="shared" ca="1" si="69"/>
        <v>0</v>
      </c>
      <c r="AB86" s="758">
        <f t="shared" ca="1" si="70"/>
        <v>0</v>
      </c>
      <c r="AD86" s="81">
        <v>2050</v>
      </c>
      <c r="AE86" s="81"/>
      <c r="AF86" s="232"/>
    </row>
    <row r="87" spans="1:33">
      <c r="B87" s="393" t="s">
        <v>1133</v>
      </c>
      <c r="D87" s="223" t="str">
        <f ca="1">IF(T87=0,"*",IF(T87&gt;0,"IND"&amp;RIGHT(H87,4)&amp;RIGHT(G87,3)&amp;"N"&amp;RIGHT(E87,1),""))</f>
        <v>INDNDHTWCHN1</v>
      </c>
      <c r="E87" s="278" t="str">
        <f>"Industrial heating technology "&amp;$AJ$12&amp;" "&amp;RIGHT(H87,2)&amp;" - Wood chip boiler (Steam) - new 1"</f>
        <v>Industrial heating technology N HT - Wood chip boiler (Steam) - new 1</v>
      </c>
      <c r="F87" s="239" t="s">
        <v>1274</v>
      </c>
      <c r="G87" s="176" t="s">
        <v>499</v>
      </c>
      <c r="H87" s="177" t="str">
        <f>$AI$13</f>
        <v>INDHT</v>
      </c>
      <c r="I87" s="177" t="str">
        <f t="shared" si="52"/>
        <v>INDNWH</v>
      </c>
      <c r="J87" s="239">
        <f t="shared" si="53"/>
        <v>2011</v>
      </c>
      <c r="K87" s="332">
        <f>J87</f>
        <v>2011</v>
      </c>
      <c r="L87" s="206">
        <f t="shared" ref="L87:L95" ca="1" si="71">VLOOKUP($AD87,INDIRECT("'"&amp;$B87&amp;"'!"&amp;"$P$39:$AD$42"),3,FALSE)</f>
        <v>0.89</v>
      </c>
      <c r="M87" s="759"/>
      <c r="N87" s="332">
        <f ca="1">VLOOKUP($AD87,INDIRECT("'"&amp;$B87&amp;"'!"&amp;"$P$39:$AD$42"),5,FALSE)</f>
        <v>25</v>
      </c>
      <c r="O87" s="785">
        <f t="shared" ref="O87:O95" ca="1" si="72">VLOOKUP($AD87,INDIRECT("'"&amp;$B87&amp;"'!"&amp;"$P$39:$AD$42"),6,FALSE)/1000</f>
        <v>4.6054545454545455</v>
      </c>
      <c r="P87" s="785">
        <f t="shared" ref="P87:P95" ca="1" si="73">VLOOKUP($AD87,INDIRECT("'"&amp;$B87&amp;"'!"&amp;"$P$39:$AD$42"),7,FALSE)/1000</f>
        <v>0.25106499999999998</v>
      </c>
      <c r="Q87" s="332">
        <f t="shared" ref="Q87:Q95" ca="1" si="74">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8"/>
        <v>11</v>
      </c>
      <c r="Y87" s="332">
        <f t="shared" ref="Y87:Y95" ca="1" si="75">VLOOKUP($AD87,INDIRECT("'"&amp;$B87&amp;"'!"&amp;"$P$39:$AD$42"),12,FALSE)</f>
        <v>63</v>
      </c>
      <c r="Z87" s="332">
        <f t="shared" ref="Z87:Z95" ca="1" si="76">VLOOKUP($AD87,INDIRECT("'"&amp;$B87&amp;"'!"&amp;"$P$39:$AD$42"),13,FALSE)</f>
        <v>11</v>
      </c>
      <c r="AA87" s="332">
        <f t="shared" ref="AA87:AA95" ca="1" si="77">VLOOKUP($AD87,INDIRECT("'"&amp;$B87&amp;"'!"&amp;"$P$39:$AD$42"),14,FALSE)</f>
        <v>3</v>
      </c>
      <c r="AB87" s="332">
        <f t="shared" ref="AB87:AB95" ca="1" si="78">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2"/>
        <v>INDNWH</v>
      </c>
      <c r="J88" s="239">
        <f t="shared" si="53"/>
        <v>2030</v>
      </c>
      <c r="K88" s="81"/>
      <c r="L88" s="206">
        <f t="shared" ca="1" si="71"/>
        <v>0.89</v>
      </c>
      <c r="M88" s="206"/>
      <c r="N88" s="81"/>
      <c r="O88" s="783">
        <f t="shared" ca="1" si="72"/>
        <v>4.4022727272727264</v>
      </c>
      <c r="P88" s="783">
        <f t="shared" ca="1" si="73"/>
        <v>0.267455</v>
      </c>
      <c r="Q88" s="81">
        <f t="shared" ca="1" si="74"/>
        <v>5.8461805555555557</v>
      </c>
      <c r="R88" s="333"/>
      <c r="S88" s="333"/>
      <c r="T88" s="333"/>
      <c r="U88" s="333"/>
      <c r="V88" s="759">
        <f ca="1">IF(IF(RIGHT(H87,2)="MT",(1-L88)+$W$2,IF(RIGHT(H87,2)="HT",(1-L88)+$W$1,IF(RIGHT(H87,2)="RH",(1-L88)+$W$3,"")))&lt;0,0,IF(RIGHT(H87,2)="MT",(1-L88)+$W$2,IF(RIGHT(H87,2)="HT",(1-L88)+$W$1,IF(RIGHT(H87,2)="RH",(1-L88)+$W$3,""))))</f>
        <v>0.41</v>
      </c>
      <c r="W88" s="331"/>
      <c r="X88" s="758">
        <f t="shared" ca="1" si="58"/>
        <v>11</v>
      </c>
      <c r="Y88" s="81">
        <f t="shared" ca="1" si="75"/>
        <v>49</v>
      </c>
      <c r="Z88" s="81">
        <f t="shared" ca="1" si="76"/>
        <v>8</v>
      </c>
      <c r="AA88" s="81">
        <f t="shared" ca="1" si="77"/>
        <v>3</v>
      </c>
      <c r="AB88" s="81">
        <f t="shared" ca="1" si="78"/>
        <v>10</v>
      </c>
      <c r="AD88" s="81">
        <v>2030</v>
      </c>
      <c r="AE88" s="81"/>
      <c r="AF88" s="232"/>
    </row>
    <row r="89" spans="1:33">
      <c r="B89" s="393" t="s">
        <v>1133</v>
      </c>
      <c r="D89" s="223" t="str">
        <f ca="1">IF(T87=0,"*",IF(T89&gt;0,"IND"&amp;RIGHT(H87,4)&amp;RIGHT(G87,3)&amp;"N"&amp;RIGHT(E87,1),""))</f>
        <v/>
      </c>
      <c r="E89" s="223"/>
      <c r="F89" s="239" t="s">
        <v>1274</v>
      </c>
      <c r="H89" s="177"/>
      <c r="I89" s="177" t="str">
        <f t="shared" si="52"/>
        <v>INDNWH</v>
      </c>
      <c r="J89" s="239">
        <f t="shared" si="53"/>
        <v>2050</v>
      </c>
      <c r="K89" s="81"/>
      <c r="L89" s="206">
        <f t="shared" ca="1" si="71"/>
        <v>0.9</v>
      </c>
      <c r="M89" s="206"/>
      <c r="N89" s="81"/>
      <c r="O89" s="783">
        <f t="shared" ca="1" si="72"/>
        <v>3.9959090909090902</v>
      </c>
      <c r="P89" s="783">
        <f t="shared" ca="1" si="73"/>
        <v>0.25106499999999998</v>
      </c>
      <c r="Q89" s="81">
        <f t="shared" ca="1" si="74"/>
        <v>5.8937777777777782</v>
      </c>
      <c r="R89" s="333"/>
      <c r="S89" s="333"/>
      <c r="T89" s="333"/>
      <c r="U89" s="333"/>
      <c r="V89" s="759">
        <f ca="1">IF(IF(RIGHT(H87,2)="MT",(1-L89)+$W$2,IF(RIGHT(H87,2)="HT",(1-L89)+$W$1,IF(RIGHT(H87,2)="RH",(1-L89)+$W$3,"")))&lt;0,0,IF(RIGHT(H87,2)="MT",(1-L89)+$W$2,IF(RIGHT(H87,2)="HT",(1-L89)+$W$1,IF(RIGHT(H87,2)="RH",(1-L89)+$W$3,""))))</f>
        <v>0.39999999999999997</v>
      </c>
      <c r="W89" s="331"/>
      <c r="X89" s="758">
        <f t="shared" ca="1" si="58"/>
        <v>11</v>
      </c>
      <c r="Y89" s="81">
        <f t="shared" ca="1" si="75"/>
        <v>41</v>
      </c>
      <c r="Z89" s="81">
        <f t="shared" ca="1" si="76"/>
        <v>4</v>
      </c>
      <c r="AA89" s="81">
        <f t="shared" ca="1" si="77"/>
        <v>1</v>
      </c>
      <c r="AB89" s="81">
        <f t="shared" ca="1" si="78"/>
        <v>10</v>
      </c>
      <c r="AD89" s="81">
        <v>2050</v>
      </c>
      <c r="AE89" s="81"/>
      <c r="AF89" s="232"/>
    </row>
    <row r="90" spans="1:33" s="241" customFormat="1">
      <c r="A90" s="239"/>
      <c r="B90" s="393" t="s">
        <v>1133</v>
      </c>
      <c r="C90" s="239"/>
      <c r="D90" s="223" t="str">
        <f ca="1">IF(T90=0,"*",IF(T90&gt;0,"IND"&amp;RIGHT(H90,4)&amp;RIGHT(G90,3)&amp;"N"&amp;RIGHT(E90,1),""))</f>
        <v>INDNDMTWCHN1</v>
      </c>
      <c r="E90" s="278" t="str">
        <f>"Industrial heating technology "&amp;$AJ$12&amp;" "&amp;RIGHT(H90,2)&amp;" - Wood chip boiler (Steam) - new 1"</f>
        <v>Industrial heating technology N MT - Wood chip boiler (Steam) - new 1</v>
      </c>
      <c r="F90" s="239" t="s">
        <v>1274</v>
      </c>
      <c r="G90" s="176" t="s">
        <v>499</v>
      </c>
      <c r="H90" s="177" t="str">
        <f>$AI$14</f>
        <v>INDMT</v>
      </c>
      <c r="I90" s="177" t="str">
        <f t="shared" si="52"/>
        <v>INDNWH</v>
      </c>
      <c r="J90" s="239">
        <f t="shared" si="53"/>
        <v>2011</v>
      </c>
      <c r="K90" s="332">
        <f>J90</f>
        <v>2011</v>
      </c>
      <c r="L90" s="206">
        <f t="shared" ca="1" si="71"/>
        <v>0.89</v>
      </c>
      <c r="M90" s="206"/>
      <c r="N90" s="81">
        <f ca="1">VLOOKUP($AD90,INDIRECT("'"&amp;$B90&amp;"'!"&amp;"$P$39:$AD$42"),5,FALSE)</f>
        <v>25</v>
      </c>
      <c r="O90" s="783">
        <f t="shared" ca="1" si="72"/>
        <v>4.6054545454545455</v>
      </c>
      <c r="P90" s="783">
        <f t="shared" ca="1" si="73"/>
        <v>0.25106499999999998</v>
      </c>
      <c r="Q90" s="81">
        <f t="shared" ca="1" si="74"/>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8"/>
        <v>11</v>
      </c>
      <c r="Y90" s="81">
        <f t="shared" ca="1" si="75"/>
        <v>63</v>
      </c>
      <c r="Z90" s="81">
        <f t="shared" ca="1" si="76"/>
        <v>11</v>
      </c>
      <c r="AA90" s="81">
        <f t="shared" ca="1" si="77"/>
        <v>3</v>
      </c>
      <c r="AB90" s="81">
        <f t="shared" ca="1" si="78"/>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2"/>
        <v>INDNWH</v>
      </c>
      <c r="J91" s="239">
        <f t="shared" si="53"/>
        <v>2030</v>
      </c>
      <c r="K91" s="81"/>
      <c r="L91" s="206">
        <f t="shared" ca="1" si="71"/>
        <v>0.89</v>
      </c>
      <c r="M91" s="206"/>
      <c r="N91" s="81"/>
      <c r="O91" s="783">
        <f t="shared" ca="1" si="72"/>
        <v>4.4022727272727264</v>
      </c>
      <c r="P91" s="783">
        <f t="shared" ca="1" si="73"/>
        <v>0.267455</v>
      </c>
      <c r="Q91" s="81">
        <f t="shared" ca="1" si="74"/>
        <v>5.8461805555555557</v>
      </c>
      <c r="R91" s="333"/>
      <c r="S91" s="333"/>
      <c r="T91" s="333"/>
      <c r="U91" s="333"/>
      <c r="V91" s="759">
        <f ca="1">IF(IF(RIGHT(H90,2)="MT",(1-L91)+$W$2,IF(RIGHT(H90,2)="HT",(1-L91)+$W$1,IF(RIGHT(H90,2)="RH",(1-L91)+$W$3,"")))&lt;0,0,IF(RIGHT(H90,2)="MT",(1-L91)+$W$2,IF(RIGHT(H90,2)="HT",(1-L91)+$W$1,IF(RIGHT(H90,2)="RH",(1-L91)+$W$3,""))))</f>
        <v>0.31</v>
      </c>
      <c r="W91" s="331"/>
      <c r="X91" s="758">
        <f t="shared" ca="1" si="58"/>
        <v>11</v>
      </c>
      <c r="Y91" s="81">
        <f t="shared" ca="1" si="75"/>
        <v>49</v>
      </c>
      <c r="Z91" s="81">
        <f t="shared" ca="1" si="76"/>
        <v>8</v>
      </c>
      <c r="AA91" s="81">
        <f t="shared" ca="1" si="77"/>
        <v>3</v>
      </c>
      <c r="AB91" s="81">
        <f t="shared" ca="1" si="78"/>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2"/>
        <v>INDNWH</v>
      </c>
      <c r="J92" s="239">
        <f t="shared" si="53"/>
        <v>2050</v>
      </c>
      <c r="K92" s="81"/>
      <c r="L92" s="206">
        <f t="shared" ca="1" si="71"/>
        <v>0.9</v>
      </c>
      <c r="M92" s="206"/>
      <c r="N92" s="81"/>
      <c r="O92" s="783">
        <f t="shared" ca="1" si="72"/>
        <v>3.9959090909090902</v>
      </c>
      <c r="P92" s="783">
        <f t="shared" ca="1" si="73"/>
        <v>0.25106499999999998</v>
      </c>
      <c r="Q92" s="81">
        <f t="shared" ca="1" si="74"/>
        <v>5.8937777777777782</v>
      </c>
      <c r="R92" s="333"/>
      <c r="S92" s="333"/>
      <c r="T92" s="333"/>
      <c r="U92" s="333"/>
      <c r="V92" s="759">
        <f ca="1">IF(IF(RIGHT(H90,2)="MT",(1-L92)+$W$2,IF(RIGHT(H90,2)="HT",(1-L92)+$W$1,IF(RIGHT(H90,2)="RH",(1-L92)+$W$3,"")))&lt;0,0,IF(RIGHT(H90,2)="MT",(1-L92)+$W$2,IF(RIGHT(H90,2)="HT",(1-L92)+$W$1,IF(RIGHT(H90,2)="RH",(1-L92)+$W$3,""))))</f>
        <v>0.3</v>
      </c>
      <c r="W92" s="331"/>
      <c r="X92" s="758">
        <f t="shared" ca="1" si="58"/>
        <v>11</v>
      </c>
      <c r="Y92" s="81">
        <f t="shared" ca="1" si="75"/>
        <v>41</v>
      </c>
      <c r="Z92" s="81">
        <f t="shared" ca="1" si="76"/>
        <v>4</v>
      </c>
      <c r="AA92" s="81">
        <f t="shared" ca="1" si="77"/>
        <v>1</v>
      </c>
      <c r="AB92" s="81">
        <f t="shared" ca="1" si="78"/>
        <v>10</v>
      </c>
      <c r="AC92" s="239"/>
      <c r="AD92" s="81">
        <v>2050</v>
      </c>
      <c r="AE92" s="766"/>
      <c r="AF92" s="232"/>
    </row>
    <row r="93" spans="1:33" s="241" customFormat="1">
      <c r="A93" s="239"/>
      <c r="B93" s="393" t="s">
        <v>1133</v>
      </c>
      <c r="C93" s="239"/>
      <c r="D93" s="223" t="str">
        <f ca="1">IF(T93=0,"*",IF(T93&gt;0,"IND"&amp;RIGHT(H93,4)&amp;RIGHT(G93,3)&amp;"N"&amp;RIGHT(E93,1),""))</f>
        <v>INDNDRHWCHN1</v>
      </c>
      <c r="E93" s="278" t="str">
        <f>"Industrial heating technology "&amp;$AJ$12&amp;" "&amp;RIGHT(H93,2)&amp;" - Wood chip boiler (Steam) - new 1"</f>
        <v>Industrial heating technology N RH - Wood chip boiler (Steam) - new 1</v>
      </c>
      <c r="F93" s="239" t="s">
        <v>1274</v>
      </c>
      <c r="G93" s="176" t="s">
        <v>499</v>
      </c>
      <c r="H93" s="177" t="str">
        <f>$AI$15</f>
        <v>INDRH</v>
      </c>
      <c r="I93" s="177" t="str">
        <f t="shared" si="52"/>
        <v>INDNWH</v>
      </c>
      <c r="J93" s="239">
        <f t="shared" si="53"/>
        <v>2011</v>
      </c>
      <c r="K93" s="332">
        <f>J93</f>
        <v>2011</v>
      </c>
      <c r="L93" s="206">
        <f t="shared" ca="1" si="71"/>
        <v>0.89</v>
      </c>
      <c r="M93" s="206"/>
      <c r="N93" s="81">
        <f ca="1">VLOOKUP($AD93,INDIRECT("'"&amp;$B93&amp;"'!"&amp;"$P$39:$AD$42"),5,FALSE)</f>
        <v>25</v>
      </c>
      <c r="O93" s="783">
        <f t="shared" ca="1" si="72"/>
        <v>4.6054545454545455</v>
      </c>
      <c r="P93" s="783">
        <f t="shared" ca="1" si="73"/>
        <v>0.25106499999999998</v>
      </c>
      <c r="Q93" s="81">
        <f t="shared" ca="1" si="74"/>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8"/>
        <v>11</v>
      </c>
      <c r="Y93" s="81">
        <f t="shared" ca="1" si="75"/>
        <v>63</v>
      </c>
      <c r="Z93" s="81">
        <f t="shared" ca="1" si="76"/>
        <v>11</v>
      </c>
      <c r="AA93" s="81">
        <f t="shared" ca="1" si="77"/>
        <v>3</v>
      </c>
      <c r="AB93" s="81">
        <f t="shared" ca="1" si="78"/>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2"/>
        <v>INDNWH</v>
      </c>
      <c r="J94" s="239">
        <f t="shared" si="53"/>
        <v>2030</v>
      </c>
      <c r="K94" s="81"/>
      <c r="L94" s="206">
        <f t="shared" ca="1" si="71"/>
        <v>0.89</v>
      </c>
      <c r="M94" s="206"/>
      <c r="N94" s="81"/>
      <c r="O94" s="783">
        <f t="shared" ca="1" si="72"/>
        <v>4.4022727272727264</v>
      </c>
      <c r="P94" s="783">
        <f t="shared" ca="1" si="73"/>
        <v>0.267455</v>
      </c>
      <c r="Q94" s="81">
        <f t="shared" ca="1" si="74"/>
        <v>5.8461805555555557</v>
      </c>
      <c r="R94" s="333"/>
      <c r="S94" s="333"/>
      <c r="T94" s="333"/>
      <c r="U94" s="333"/>
      <c r="V94" s="759">
        <f ca="1">IF(IF(RIGHT(H93,2)="MT",(1-L94)+$W$2,IF(RIGHT(H93,2)="HT",(1-L94)+$W$1,IF(RIGHT(H93,2)="RH",(1-L94)+$W$3,"")))&lt;0,0,IF(RIGHT(H93,2)="MT",(1-L94)+$W$2,IF(RIGHT(H93,2)="HT",(1-L94)+$W$1,IF(RIGHT(H93,2)="RH",(1-L94)+$W$3,""))))</f>
        <v>0.10999999999999999</v>
      </c>
      <c r="W94" s="331"/>
      <c r="X94" s="758">
        <f t="shared" ca="1" si="58"/>
        <v>11</v>
      </c>
      <c r="Y94" s="81">
        <f t="shared" ca="1" si="75"/>
        <v>49</v>
      </c>
      <c r="Z94" s="81">
        <f t="shared" ca="1" si="76"/>
        <v>8</v>
      </c>
      <c r="AA94" s="81">
        <f t="shared" ca="1" si="77"/>
        <v>3</v>
      </c>
      <c r="AB94" s="81">
        <f t="shared" ca="1" si="78"/>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79">$AI$20</f>
        <v>INDNWH</v>
      </c>
      <c r="J95" s="239">
        <f t="shared" ref="J95:J126" si="80">IF(AD95=2020,2011,AD95)</f>
        <v>2050</v>
      </c>
      <c r="K95" s="766"/>
      <c r="L95" s="206">
        <f t="shared" ca="1" si="71"/>
        <v>0.9</v>
      </c>
      <c r="M95" s="834"/>
      <c r="N95" s="766"/>
      <c r="O95" s="784">
        <f t="shared" ca="1" si="72"/>
        <v>3.9959090909090902</v>
      </c>
      <c r="P95" s="784">
        <f t="shared" ca="1" si="73"/>
        <v>0.25106499999999998</v>
      </c>
      <c r="Q95" s="766">
        <f t="shared" ca="1" si="74"/>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1">IF(VLOOKUP($AD95,INDIRECT("'"&amp;$B95&amp;"'!"&amp;"$P$39:$AD$42"),11,FALSE)="Cf. the utilized electricity",0,VLOOKUP($AD95,INDIRECT("'"&amp;$B95&amp;"'!"&amp;"$P$39:$AD$42"),11,FALSE))</f>
        <v>11</v>
      </c>
      <c r="Y95" s="766">
        <f t="shared" ca="1" si="75"/>
        <v>41</v>
      </c>
      <c r="Z95" s="766">
        <f t="shared" ca="1" si="76"/>
        <v>4</v>
      </c>
      <c r="AA95" s="766">
        <f t="shared" ca="1" si="77"/>
        <v>1</v>
      </c>
      <c r="AB95" s="766">
        <f t="shared" ca="1" si="78"/>
        <v>10</v>
      </c>
      <c r="AC95" s="55"/>
      <c r="AD95" s="766">
        <v>2050</v>
      </c>
      <c r="AE95" s="81"/>
      <c r="AF95" s="760"/>
    </row>
    <row r="96" spans="1:33">
      <c r="B96" s="776" t="s">
        <v>1133</v>
      </c>
      <c r="C96" s="329"/>
      <c r="D96" s="223" t="str">
        <f ca="1">IF(T96=0,"*",IF(T96&gt;0,"IND"&amp;RIGHT(H96,4)&amp;RIGHT(G96,3)&amp;"N"&amp;RIGHT(E96,1),""))</f>
        <v>INDNDMTWCHN2</v>
      </c>
      <c r="E96" s="767" t="str">
        <f>"Industrial heating technology "&amp;$AJ$12&amp;" "&amp;RIGHT(H96,2)&amp;" - Wood chip boiler (Steam - condensing) - new 2"</f>
        <v>Industrial heating technology N MT - Wood chip boiler (Steam - condensing) - new 2</v>
      </c>
      <c r="F96" s="239" t="s">
        <v>1274</v>
      </c>
      <c r="G96" s="768" t="s">
        <v>499</v>
      </c>
      <c r="H96" s="768" t="str">
        <f>$AI$14</f>
        <v>INDMT</v>
      </c>
      <c r="I96" s="768" t="str">
        <f t="shared" si="79"/>
        <v>INDNWH</v>
      </c>
      <c r="J96" s="239">
        <f t="shared" si="80"/>
        <v>2011</v>
      </c>
      <c r="K96" s="332">
        <f>J96</f>
        <v>2011</v>
      </c>
      <c r="L96" s="206">
        <f t="shared" ref="L96:L101" ca="1" si="82">VLOOKUP($AD96,INDIRECT("'"&amp;$B96&amp;"'!"&amp;"$P$118:$AD$121"),3,FALSE)</f>
        <v>1.1618960947726835</v>
      </c>
      <c r="M96" s="206"/>
      <c r="N96" s="81">
        <f ca="1">VLOOKUP($AD96,INDIRECT("'"&amp;$B96&amp;"'!"&amp;"$P$118:$AD$121"),5,FALSE)</f>
        <v>25</v>
      </c>
      <c r="O96" s="783">
        <f t="shared" ref="O96:O101" ca="1" si="83">VLOOKUP($AD96,INDIRECT("'"&amp;$B96&amp;"'!"&amp;"$P$118:$AD$121"),6,FALSE)/1000</f>
        <v>5.0660000000000007</v>
      </c>
      <c r="P96" s="783">
        <f t="shared" ref="P96:P101" ca="1" si="84">VLOOKUP($AD96,INDIRECT("'"&amp;$B96&amp;"'!"&amp;"$P$118:$AD$121"),7,FALSE)/1000</f>
        <v>0.27564999999999995</v>
      </c>
      <c r="Q96" s="81">
        <f t="shared" ref="Q96:Q101" ca="1" si="85">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1"/>
        <v>11</v>
      </c>
      <c r="Y96" s="758">
        <f t="shared" ref="Y96:Y101" ca="1" si="86">VLOOKUP($AD96,INDIRECT("'"&amp;$B96&amp;"'!"&amp;"$P$118:$AD$121"),12,FALSE)</f>
        <v>63</v>
      </c>
      <c r="Z96" s="758">
        <f t="shared" ref="Z96:Z101" ca="1" si="87">VLOOKUP($AD96,INDIRECT("'"&amp;$B96&amp;"'!"&amp;"$P$118:$AD$121"),13,FALSE)</f>
        <v>11</v>
      </c>
      <c r="AA96" s="758">
        <f t="shared" ref="AA96:AA101" ca="1" si="88">VLOOKUP($AD96,INDIRECT("'"&amp;$B96&amp;"'!"&amp;"$P$118:$AD$121"),14,FALSE)</f>
        <v>3</v>
      </c>
      <c r="AB96" s="758">
        <f t="shared" ref="AB96:AB101" ca="1" si="89">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79"/>
        <v>INDNWH</v>
      </c>
      <c r="J97" s="239">
        <f t="shared" si="80"/>
        <v>2030</v>
      </c>
      <c r="K97" s="81"/>
      <c r="L97" s="206">
        <f t="shared" ca="1" si="82"/>
        <v>1.1618960947726835</v>
      </c>
      <c r="M97" s="206"/>
      <c r="N97" s="81"/>
      <c r="O97" s="783">
        <f t="shared" ca="1" si="83"/>
        <v>4.8425000000000002</v>
      </c>
      <c r="P97" s="783">
        <f t="shared" ca="1" si="84"/>
        <v>0.267455</v>
      </c>
      <c r="Q97" s="81">
        <f t="shared" ca="1" si="85"/>
        <v>5.8461805555555557</v>
      </c>
      <c r="R97" s="333"/>
      <c r="S97" s="333"/>
      <c r="T97" s="333"/>
      <c r="U97" s="333"/>
      <c r="V97" s="759">
        <f ca="1">IF(IF(RIGHT(H96,2)="MT",(1-L97)+$W$2,IF(RIGHT(H96,2)="HT",(1-L97)+$W$1,IF(RIGHT(H96,2)="RH",(1-L97)+$W$3,"")))&lt;0,0,IF(RIGHT(H96,2)="MT",(1-L97)+$W$2,IF(RIGHT(H96,2)="HT",(1-L97)+$W$1,IF(RIGHT(H96,2)="RH",(1-L97)+$W$3,""))))</f>
        <v>3.8103905227316492E-2</v>
      </c>
      <c r="W97" s="331"/>
      <c r="X97" s="758">
        <f t="shared" ca="1" si="81"/>
        <v>11</v>
      </c>
      <c r="Y97" s="758">
        <f t="shared" ca="1" si="86"/>
        <v>49</v>
      </c>
      <c r="Z97" s="758">
        <f t="shared" ca="1" si="87"/>
        <v>8</v>
      </c>
      <c r="AA97" s="758">
        <f t="shared" ca="1" si="88"/>
        <v>3</v>
      </c>
      <c r="AB97" s="758">
        <f t="shared" ca="1" si="89"/>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79"/>
        <v>INDNWH</v>
      </c>
      <c r="J98" s="239">
        <f t="shared" si="80"/>
        <v>2050</v>
      </c>
      <c r="K98" s="81"/>
      <c r="L98" s="206">
        <f t="shared" ca="1" si="82"/>
        <v>1.1618960947726835</v>
      </c>
      <c r="M98" s="206"/>
      <c r="N98" s="81"/>
      <c r="O98" s="783">
        <f t="shared" ca="1" si="83"/>
        <v>4.3955000000000002</v>
      </c>
      <c r="P98" s="783">
        <f t="shared" ca="1" si="84"/>
        <v>0.25106499999999998</v>
      </c>
      <c r="Q98" s="81">
        <f t="shared" ca="1" si="85"/>
        <v>5.8937777777777782</v>
      </c>
      <c r="R98" s="333"/>
      <c r="S98" s="333"/>
      <c r="T98" s="333"/>
      <c r="U98" s="333"/>
      <c r="V98" s="759">
        <f ca="1">IF(IF(RIGHT(H96,2)="MT",(1-L98)+$W$2,IF(RIGHT(H96,2)="HT",(1-L98)+$W$1,IF(RIGHT(H96,2)="RH",(1-L98)+$W$3,"")))&lt;0,0,IF(RIGHT(H96,2)="MT",(1-L98)+$W$2,IF(RIGHT(H96,2)="HT",(1-L98)+$W$1,IF(RIGHT(H96,2)="RH",(1-L98)+$W$3,""))))</f>
        <v>3.8103905227316492E-2</v>
      </c>
      <c r="W98" s="331"/>
      <c r="X98" s="758">
        <f t="shared" ca="1" si="81"/>
        <v>11</v>
      </c>
      <c r="Y98" s="758">
        <f t="shared" ca="1" si="86"/>
        <v>41</v>
      </c>
      <c r="Z98" s="758">
        <f t="shared" ca="1" si="87"/>
        <v>4</v>
      </c>
      <c r="AA98" s="758">
        <f t="shared" ca="1" si="88"/>
        <v>1</v>
      </c>
      <c r="AB98" s="758">
        <f t="shared" ca="1" si="89"/>
        <v>10</v>
      </c>
      <c r="AC98" s="211"/>
      <c r="AD98" s="81">
        <v>2050</v>
      </c>
      <c r="AE98" s="81"/>
      <c r="AF98" s="765"/>
    </row>
    <row r="99" spans="2:32">
      <c r="B99" s="393" t="s">
        <v>1133</v>
      </c>
      <c r="C99" s="55"/>
      <c r="D99" s="223" t="str">
        <f ca="1">IF(T99=0,"*",IF(T99&gt;0,"IND"&amp;RIGHT(H99,4)&amp;RIGHT(G99,3)&amp;"N"&amp;RIGHT(E99,1),""))</f>
        <v>INDNDRHWCHN2</v>
      </c>
      <c r="E99" s="278" t="str">
        <f>"Industrial heating technology "&amp;$AJ$12&amp;" "&amp;RIGHT(H99,2)&amp;" - Wood chip boiler (Steam - condensing) - new 2"</f>
        <v>Industrial heating technology N RH - Wood chip boiler (Steam - condensing) - new 2</v>
      </c>
      <c r="F99" s="239" t="s">
        <v>1274</v>
      </c>
      <c r="G99" s="177" t="s">
        <v>499</v>
      </c>
      <c r="H99" s="177" t="str">
        <f>$AI$15</f>
        <v>INDRH</v>
      </c>
      <c r="I99" s="177" t="str">
        <f t="shared" si="79"/>
        <v>INDNWH</v>
      </c>
      <c r="J99" s="239">
        <f t="shared" si="80"/>
        <v>2011</v>
      </c>
      <c r="K99" s="332">
        <f>J99</f>
        <v>2011</v>
      </c>
      <c r="L99" s="206">
        <f t="shared" ca="1" si="82"/>
        <v>1.1618960947726835</v>
      </c>
      <c r="M99" s="206"/>
      <c r="N99" s="81">
        <f ca="1">VLOOKUP($AD99,INDIRECT("'"&amp;$B99&amp;"'!"&amp;"$P$118:$AD$121"),5,FALSE)</f>
        <v>25</v>
      </c>
      <c r="O99" s="783">
        <f t="shared" ca="1" si="83"/>
        <v>5.0660000000000007</v>
      </c>
      <c r="P99" s="783">
        <f t="shared" ca="1" si="84"/>
        <v>0.27564999999999995</v>
      </c>
      <c r="Q99" s="81">
        <f t="shared" ca="1" si="85"/>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1"/>
        <v>11</v>
      </c>
      <c r="Y99" s="758">
        <f t="shared" ca="1" si="86"/>
        <v>63</v>
      </c>
      <c r="Z99" s="758">
        <f t="shared" ca="1" si="87"/>
        <v>11</v>
      </c>
      <c r="AA99" s="758">
        <f t="shared" ca="1" si="88"/>
        <v>3</v>
      </c>
      <c r="AB99" s="758">
        <f t="shared" ca="1" si="89"/>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79"/>
        <v>INDNWH</v>
      </c>
      <c r="J100" s="239">
        <f t="shared" si="80"/>
        <v>2030</v>
      </c>
      <c r="K100" s="81"/>
      <c r="L100" s="206">
        <f t="shared" ca="1" si="82"/>
        <v>1.1618960947726835</v>
      </c>
      <c r="M100" s="206"/>
      <c r="N100" s="81"/>
      <c r="O100" s="783">
        <f t="shared" ca="1" si="83"/>
        <v>4.8425000000000002</v>
      </c>
      <c r="P100" s="783">
        <f t="shared" ca="1" si="84"/>
        <v>0.267455</v>
      </c>
      <c r="Q100" s="81">
        <f t="shared" ca="1" si="85"/>
        <v>5.8461805555555557</v>
      </c>
      <c r="R100" s="333"/>
      <c r="S100" s="333"/>
      <c r="T100" s="333"/>
      <c r="U100" s="333"/>
      <c r="V100" s="759">
        <f ca="1">IF(IF(RIGHT(H99,2)="MT",(1-L100)+$W$2,IF(RIGHT(H99,2)="HT",(1-L100)+$W$1,IF(RIGHT(H99,2)="RH",(1-L100)+$W$3,"")))&lt;0,0,IF(RIGHT(H99,2)="MT",(1-L100)+$W$2,IF(RIGHT(H99,2)="HT",(1-L100)+$W$1,IF(RIGHT(H99,2)="RH",(1-L100)+$W$3,""))))</f>
        <v>0</v>
      </c>
      <c r="W100" s="331"/>
      <c r="X100" s="758">
        <f t="shared" ca="1" si="81"/>
        <v>11</v>
      </c>
      <c r="Y100" s="758">
        <f t="shared" ca="1" si="86"/>
        <v>49</v>
      </c>
      <c r="Z100" s="758">
        <f t="shared" ca="1" si="87"/>
        <v>8</v>
      </c>
      <c r="AA100" s="758">
        <f t="shared" ca="1" si="88"/>
        <v>3</v>
      </c>
      <c r="AB100" s="758">
        <f t="shared" ca="1" si="89"/>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79"/>
        <v>INDNWH</v>
      </c>
      <c r="J101" s="239">
        <f t="shared" si="80"/>
        <v>2050</v>
      </c>
      <c r="K101" s="81"/>
      <c r="L101" s="206">
        <f t="shared" ca="1" si="82"/>
        <v>1.1618960947726835</v>
      </c>
      <c r="M101" s="206"/>
      <c r="N101" s="81"/>
      <c r="O101" s="783">
        <f t="shared" ca="1" si="83"/>
        <v>4.3955000000000002</v>
      </c>
      <c r="P101" s="783">
        <f t="shared" ca="1" si="84"/>
        <v>0.25106499999999998</v>
      </c>
      <c r="Q101" s="81">
        <f t="shared" ca="1" si="85"/>
        <v>5.8937777777777782</v>
      </c>
      <c r="R101" s="763"/>
      <c r="S101" s="763"/>
      <c r="T101" s="763"/>
      <c r="U101" s="763"/>
      <c r="V101" s="759">
        <f ca="1">IF(IF(RIGHT(H99,2)="MT",(1-L101)+$W$2,IF(RIGHT(H99,2)="HT",(1-L101)+$W$1,IF(RIGHT(H99,2)="RH",(1-L101)+$W$3,"")))&lt;0,0,IF(RIGHT(H99,2)="MT",(1-L101)+$W$2,IF(RIGHT(H99,2)="HT",(1-L101)+$W$1,IF(RIGHT(H99,2)="RH",(1-L101)+$W$3,""))))</f>
        <v>0</v>
      </c>
      <c r="W101" s="764"/>
      <c r="X101" s="758">
        <f t="shared" ca="1" si="81"/>
        <v>11</v>
      </c>
      <c r="Y101" s="758">
        <f t="shared" ca="1" si="86"/>
        <v>41</v>
      </c>
      <c r="Z101" s="758">
        <f t="shared" ca="1" si="87"/>
        <v>4</v>
      </c>
      <c r="AA101" s="758">
        <f t="shared" ca="1" si="88"/>
        <v>1</v>
      </c>
      <c r="AB101" s="758">
        <f t="shared" ca="1" si="89"/>
        <v>10</v>
      </c>
      <c r="AC101" s="55"/>
      <c r="AD101" s="81">
        <v>2050</v>
      </c>
      <c r="AE101" s="81"/>
      <c r="AF101" s="760"/>
    </row>
    <row r="102" spans="2:32">
      <c r="B102" s="777" t="s">
        <v>1133</v>
      </c>
      <c r="C102" s="772"/>
      <c r="D102" s="223" t="str">
        <f ca="1">IF(T102=0,"*",IF(T102&gt;0,"IND"&amp;RIGHT(H102,4)&amp;RIGHT(G102,3)&amp;"N"&amp;RIGHT(E102,1),""))</f>
        <v>INDNDMTWCHN3</v>
      </c>
      <c r="E102" s="767" t="str">
        <f>"Industrial heating technology "&amp;$AJ$12&amp;" "&amp;RIGHT(H102,2)&amp;" - Wood chip boiler (Hot Water) - new 3"</f>
        <v>Industrial heating technology N MT - Wood chip boiler (Hot Water) - new 3</v>
      </c>
      <c r="F102" s="239" t="s">
        <v>1274</v>
      </c>
      <c r="G102" s="768" t="s">
        <v>499</v>
      </c>
      <c r="H102" s="768" t="str">
        <f>$AI$14</f>
        <v>INDMT</v>
      </c>
      <c r="I102" s="768" t="str">
        <f t="shared" si="79"/>
        <v>INDNWH</v>
      </c>
      <c r="J102" s="239">
        <f t="shared" si="80"/>
        <v>2011</v>
      </c>
      <c r="K102" s="332">
        <f>J102</f>
        <v>2011</v>
      </c>
      <c r="L102" s="206">
        <f t="shared" ref="L102:L107" ca="1" si="90">VLOOKUP($AD102,INDIRECT("'"&amp;$B102&amp;"'!"&amp;"$P$200:$AD$203"),3,FALSE)</f>
        <v>0.9</v>
      </c>
      <c r="M102" s="206"/>
      <c r="N102" s="81">
        <f ca="1">VLOOKUP($AD102,INDIRECT("'"&amp;$B102&amp;"'!"&amp;"$P$200:$AD$203"),5,FALSE)</f>
        <v>25</v>
      </c>
      <c r="O102" s="783">
        <f t="shared" ref="O102:O107" ca="1" si="91">VLOOKUP($AD102,INDIRECT("'"&amp;$B102&amp;"'!"&amp;"$P$200:$AD$203"),6,FALSE)/1000</f>
        <v>4.6054545454545437</v>
      </c>
      <c r="P102" s="783">
        <f t="shared" ref="P102:P107" ca="1" si="92">VLOOKUP($AD102,INDIRECT("'"&amp;$B102&amp;"'!"&amp;"$P$200:$AD$203"),7,FALSE)/1000</f>
        <v>0.25106499999999998</v>
      </c>
      <c r="Q102" s="81">
        <f t="shared" ref="Q102:Q107" ca="1" si="93">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1"/>
        <v>11</v>
      </c>
      <c r="Y102" s="758">
        <f t="shared" ref="Y102:Y107" ca="1" si="94">VLOOKUP($AD102,INDIRECT("'"&amp;$B102&amp;"'!"&amp;"$P$200:$AD$203"),12,FALSE)</f>
        <v>63</v>
      </c>
      <c r="Z102" s="758">
        <f t="shared" ref="Z102:Z107" ca="1" si="95">VLOOKUP($AD102,INDIRECT("'"&amp;$B102&amp;"'!"&amp;"$P$200:$AD$203"),13,FALSE)</f>
        <v>11</v>
      </c>
      <c r="AA102" s="758">
        <f t="shared" ref="AA102:AA107" ca="1" si="96">VLOOKUP($AD102,INDIRECT("'"&amp;$B102&amp;"'!"&amp;"$P$200:$AD$203"),14,FALSE)</f>
        <v>3</v>
      </c>
      <c r="AB102" s="758">
        <f t="shared" ref="AB102:AB107" ca="1" si="97">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79"/>
        <v>INDNWH</v>
      </c>
      <c r="J103" s="239">
        <f t="shared" si="80"/>
        <v>2030</v>
      </c>
      <c r="K103" s="81"/>
      <c r="L103" s="206">
        <f t="shared" ca="1" si="90"/>
        <v>0.9</v>
      </c>
      <c r="M103" s="206"/>
      <c r="N103" s="81"/>
      <c r="O103" s="783">
        <f t="shared" ca="1" si="91"/>
        <v>4.4022727272727282</v>
      </c>
      <c r="P103" s="783">
        <f t="shared" ca="1" si="92"/>
        <v>0.267455</v>
      </c>
      <c r="Q103" s="81">
        <f t="shared" ca="1" si="93"/>
        <v>5.8461805555555557</v>
      </c>
      <c r="R103" s="333"/>
      <c r="S103" s="333"/>
      <c r="T103" s="333"/>
      <c r="U103" s="333"/>
      <c r="V103" s="759">
        <f ca="1">IF(IF(RIGHT(H102,2)="MT",(1-L103)+$W$2,IF(RIGHT(H102,2)="HT",(1-L103)+$W$1,IF(RIGHT(H102,2)="RH",(1-L103)+$W$3,"")))&lt;0,0,IF(RIGHT(H102,2)="MT",(1-L103)+$W$2,IF(RIGHT(H102,2)="HT",(1-L103)+$W$1,IF(RIGHT(H102,2)="RH",(1-L103)+$W$3,""))))</f>
        <v>0.3</v>
      </c>
      <c r="W103" s="331"/>
      <c r="X103" s="758">
        <f t="shared" ca="1" si="81"/>
        <v>11</v>
      </c>
      <c r="Y103" s="758">
        <f t="shared" ca="1" si="94"/>
        <v>49</v>
      </c>
      <c r="Z103" s="758">
        <f t="shared" ca="1" si="95"/>
        <v>8</v>
      </c>
      <c r="AA103" s="758">
        <f t="shared" ca="1" si="96"/>
        <v>3</v>
      </c>
      <c r="AB103" s="758">
        <f t="shared" ca="1" si="97"/>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79"/>
        <v>INDNWH</v>
      </c>
      <c r="J104" s="239">
        <f t="shared" si="80"/>
        <v>2050</v>
      </c>
      <c r="K104" s="81"/>
      <c r="L104" s="206">
        <f t="shared" ca="1" si="90"/>
        <v>0.91</v>
      </c>
      <c r="M104" s="206"/>
      <c r="N104" s="81"/>
      <c r="O104" s="783">
        <f t="shared" ca="1" si="91"/>
        <v>3.9959090909090884</v>
      </c>
      <c r="P104" s="783">
        <f t="shared" ca="1" si="92"/>
        <v>0.25106499999999998</v>
      </c>
      <c r="Q104" s="81">
        <f t="shared" ca="1" si="93"/>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1"/>
        <v>11</v>
      </c>
      <c r="Y104" s="758">
        <f t="shared" ca="1" si="94"/>
        <v>41</v>
      </c>
      <c r="Z104" s="758">
        <f t="shared" ca="1" si="95"/>
        <v>4</v>
      </c>
      <c r="AA104" s="758">
        <f t="shared" ca="1" si="96"/>
        <v>1</v>
      </c>
      <c r="AB104" s="758">
        <f t="shared" ca="1" si="97"/>
        <v>10</v>
      </c>
      <c r="AC104" s="211"/>
      <c r="AD104" s="81">
        <v>2050</v>
      </c>
      <c r="AE104" s="81"/>
      <c r="AF104" s="765"/>
    </row>
    <row r="105" spans="2:32">
      <c r="B105" s="778" t="s">
        <v>1133</v>
      </c>
      <c r="C105" s="241"/>
      <c r="D105" s="223" t="str">
        <f ca="1">IF(T105=0,"*",IF(T105&gt;0,"IND"&amp;RIGHT(H105,4)&amp;RIGHT(G105,3)&amp;"N"&amp;RIGHT(E105,1),""))</f>
        <v>INDNDRHWCHN3</v>
      </c>
      <c r="E105" s="278" t="str">
        <f>"Industrial heating technology "&amp;$AJ$12&amp;" "&amp;RIGHT(H105,2)&amp;" - Wood chip boiler (Hot Water) - new 3"</f>
        <v>Industrial heating technology N RH - Wood chip boiler (Hot Water) - new 3</v>
      </c>
      <c r="F105" s="239" t="s">
        <v>1274</v>
      </c>
      <c r="G105" s="177" t="s">
        <v>499</v>
      </c>
      <c r="H105" s="177" t="str">
        <f>$AI$15</f>
        <v>INDRH</v>
      </c>
      <c r="I105" s="177" t="str">
        <f t="shared" si="79"/>
        <v>INDNWH</v>
      </c>
      <c r="J105" s="239">
        <f t="shared" si="80"/>
        <v>2011</v>
      </c>
      <c r="K105" s="332">
        <f>J105</f>
        <v>2011</v>
      </c>
      <c r="L105" s="206">
        <f t="shared" ca="1" si="90"/>
        <v>0.9</v>
      </c>
      <c r="M105" s="206"/>
      <c r="N105" s="81">
        <f ca="1">VLOOKUP($AD105,INDIRECT("'"&amp;$B105&amp;"'!"&amp;"$P$200:$AD$203"),5,FALSE)</f>
        <v>25</v>
      </c>
      <c r="O105" s="783">
        <f t="shared" ca="1" si="91"/>
        <v>4.6054545454545437</v>
      </c>
      <c r="P105" s="783">
        <f t="shared" ca="1" si="92"/>
        <v>0.25106499999999998</v>
      </c>
      <c r="Q105" s="81">
        <f t="shared" ca="1" si="93"/>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1"/>
        <v>11</v>
      </c>
      <c r="Y105" s="758">
        <f t="shared" ca="1" si="94"/>
        <v>63</v>
      </c>
      <c r="Z105" s="758">
        <f t="shared" ca="1" si="95"/>
        <v>11</v>
      </c>
      <c r="AA105" s="758">
        <f t="shared" ca="1" si="96"/>
        <v>3</v>
      </c>
      <c r="AB105" s="758">
        <f t="shared" ca="1" si="97"/>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79"/>
        <v>INDNWH</v>
      </c>
      <c r="J106" s="239">
        <f t="shared" si="80"/>
        <v>2030</v>
      </c>
      <c r="K106" s="81"/>
      <c r="L106" s="206">
        <f t="shared" ca="1" si="90"/>
        <v>0.9</v>
      </c>
      <c r="M106" s="206"/>
      <c r="N106" s="81"/>
      <c r="O106" s="783">
        <f t="shared" ca="1" si="91"/>
        <v>4.4022727272727282</v>
      </c>
      <c r="P106" s="783">
        <f t="shared" ca="1" si="92"/>
        <v>0.267455</v>
      </c>
      <c r="Q106" s="81">
        <f t="shared" ca="1" si="93"/>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1"/>
        <v>11</v>
      </c>
      <c r="Y106" s="758">
        <f t="shared" ca="1" si="94"/>
        <v>49</v>
      </c>
      <c r="Z106" s="758">
        <f t="shared" ca="1" si="95"/>
        <v>8</v>
      </c>
      <c r="AA106" s="758">
        <f t="shared" ca="1" si="96"/>
        <v>3</v>
      </c>
      <c r="AB106" s="758">
        <f t="shared" ca="1" si="97"/>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79"/>
        <v>INDNWH</v>
      </c>
      <c r="J107" s="239">
        <f t="shared" si="80"/>
        <v>2050</v>
      </c>
      <c r="K107" s="81"/>
      <c r="L107" s="206">
        <f t="shared" ca="1" si="90"/>
        <v>0.91</v>
      </c>
      <c r="M107" s="206"/>
      <c r="N107" s="81"/>
      <c r="O107" s="783">
        <f t="shared" ca="1" si="91"/>
        <v>3.9959090909090884</v>
      </c>
      <c r="P107" s="783">
        <f t="shared" ca="1" si="92"/>
        <v>0.25106499999999998</v>
      </c>
      <c r="Q107" s="81">
        <f t="shared" ca="1" si="93"/>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1"/>
        <v>11</v>
      </c>
      <c r="Y107" s="758">
        <f t="shared" ca="1" si="94"/>
        <v>41</v>
      </c>
      <c r="Z107" s="758">
        <f t="shared" ca="1" si="95"/>
        <v>4</v>
      </c>
      <c r="AA107" s="758">
        <f t="shared" ca="1" si="96"/>
        <v>1</v>
      </c>
      <c r="AB107" s="758">
        <f t="shared" ca="1" si="97"/>
        <v>10</v>
      </c>
      <c r="AC107" s="55"/>
      <c r="AD107" s="81">
        <v>2050</v>
      </c>
      <c r="AE107" s="81"/>
      <c r="AF107" s="760"/>
    </row>
    <row r="108" spans="2:32">
      <c r="B108" s="777" t="s">
        <v>1133</v>
      </c>
      <c r="C108" s="772"/>
      <c r="D108" s="223" t="str">
        <f ca="1">IF(T108=0,"*",IF(T108&gt;0,"IND"&amp;RIGHT(H108,4)&amp;RIGHT(G108,3)&amp;"N"&amp;RIGHT(E108,1),""))</f>
        <v>INDNDMTWCHN4</v>
      </c>
      <c r="E108" s="767" t="str">
        <f>"Industrial heating technology "&amp;$AJ$12&amp;" "&amp;RIGHT(H108,2)&amp;" - Wood chip boiler (Hot Water - condensing) - new 4"</f>
        <v>Industrial heating technology N MT - Wood chip boiler (Hot Water - condensing) - new 4</v>
      </c>
      <c r="F108" s="239" t="s">
        <v>1274</v>
      </c>
      <c r="G108" s="768" t="s">
        <v>499</v>
      </c>
      <c r="H108" s="768" t="str">
        <f>$AI$14</f>
        <v>INDMT</v>
      </c>
      <c r="I108" s="768" t="str">
        <f t="shared" si="79"/>
        <v>INDNWH</v>
      </c>
      <c r="J108" s="239">
        <f t="shared" si="80"/>
        <v>2011</v>
      </c>
      <c r="K108" s="332">
        <f>J108</f>
        <v>2011</v>
      </c>
      <c r="L108" s="206">
        <f t="shared" ref="L108:L113" ca="1" si="98">VLOOKUP($AD108,INDIRECT("'"&amp;$B108&amp;"'!"&amp;"$P$279:$AD$282"),3,FALSE)</f>
        <v>1.1618960947726835</v>
      </c>
      <c r="M108" s="206"/>
      <c r="N108" s="81">
        <f ca="1">VLOOKUP($AD108,INDIRECT("'"&amp;$B108&amp;"'!"&amp;"$P$279:$AD$282"),5,FALSE)</f>
        <v>25</v>
      </c>
      <c r="O108" s="783">
        <f t="shared" ref="O108:O113" ca="1" si="99">VLOOKUP($AD108,INDIRECT("'"&amp;$B108&amp;"'!"&amp;"$P$279:$AD$282"),6,FALSE)/1000</f>
        <v>5.0660000000000007</v>
      </c>
      <c r="P108" s="783">
        <f t="shared" ref="P108:P113" ca="1" si="100">VLOOKUP($AD108,INDIRECT("'"&amp;$B108&amp;"'!"&amp;"$P$279:$AD$282"),7,FALSE)/1000</f>
        <v>0.27564999999999995</v>
      </c>
      <c r="Q108" s="81">
        <f t="shared" ref="Q108:Q113" ca="1" si="101">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1"/>
        <v>11</v>
      </c>
      <c r="Y108" s="758">
        <f t="shared" ref="Y108:Y113" ca="1" si="102">VLOOKUP($AD108,INDIRECT("'"&amp;$B108&amp;"'!"&amp;"$P$279:$AD$282"),12,FALSE)</f>
        <v>63</v>
      </c>
      <c r="Z108" s="758">
        <f t="shared" ref="Z108:Z113" ca="1" si="103">VLOOKUP($AD108,INDIRECT("'"&amp;$B108&amp;"'!"&amp;"$P$279:$AD$282"),13,FALSE)</f>
        <v>11</v>
      </c>
      <c r="AA108" s="758">
        <f t="shared" ref="AA108:AA113" ca="1" si="104">VLOOKUP($AD108,INDIRECT("'"&amp;$B108&amp;"'!"&amp;"$P$279:$AD$282"),14,FALSE)</f>
        <v>3</v>
      </c>
      <c r="AB108" s="758">
        <f t="shared" ref="AB108:AB113" ca="1" si="105">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79"/>
        <v>INDNWH</v>
      </c>
      <c r="J109" s="239">
        <f t="shared" si="80"/>
        <v>2030</v>
      </c>
      <c r="K109" s="81"/>
      <c r="L109" s="206">
        <f t="shared" ca="1" si="98"/>
        <v>1.1618960947726835</v>
      </c>
      <c r="M109" s="206"/>
      <c r="N109" s="81"/>
      <c r="O109" s="783">
        <f t="shared" ca="1" si="99"/>
        <v>4.8425000000000002</v>
      </c>
      <c r="P109" s="783">
        <f t="shared" ca="1" si="100"/>
        <v>0.267455</v>
      </c>
      <c r="Q109" s="81">
        <f t="shared" ca="1" si="101"/>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1"/>
        <v>11</v>
      </c>
      <c r="Y109" s="758">
        <f t="shared" ca="1" si="102"/>
        <v>49</v>
      </c>
      <c r="Z109" s="758">
        <f t="shared" ca="1" si="103"/>
        <v>8</v>
      </c>
      <c r="AA109" s="758">
        <f t="shared" ca="1" si="104"/>
        <v>3</v>
      </c>
      <c r="AB109" s="758">
        <f t="shared" ca="1" si="105"/>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79"/>
        <v>INDNWH</v>
      </c>
      <c r="J110" s="239">
        <f t="shared" si="80"/>
        <v>2050</v>
      </c>
      <c r="K110" s="81"/>
      <c r="L110" s="206">
        <f t="shared" ca="1" si="98"/>
        <v>1.1618960947726835</v>
      </c>
      <c r="M110" s="206"/>
      <c r="N110" s="81"/>
      <c r="O110" s="783">
        <f t="shared" ca="1" si="99"/>
        <v>4.3955000000000002</v>
      </c>
      <c r="P110" s="783">
        <f t="shared" ca="1" si="100"/>
        <v>0.25106499999999998</v>
      </c>
      <c r="Q110" s="81">
        <f t="shared" ca="1" si="101"/>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1"/>
        <v>11</v>
      </c>
      <c r="Y110" s="758">
        <f t="shared" ca="1" si="102"/>
        <v>41</v>
      </c>
      <c r="Z110" s="758">
        <f t="shared" ca="1" si="103"/>
        <v>4</v>
      </c>
      <c r="AA110" s="758">
        <f t="shared" ca="1" si="104"/>
        <v>1</v>
      </c>
      <c r="AB110" s="758">
        <f t="shared" ca="1" si="105"/>
        <v>10</v>
      </c>
      <c r="AC110" s="211"/>
      <c r="AD110" s="81">
        <v>2050</v>
      </c>
      <c r="AE110" s="81"/>
      <c r="AF110" s="765"/>
    </row>
    <row r="111" spans="2:32">
      <c r="B111" s="778" t="s">
        <v>1133</v>
      </c>
      <c r="C111" s="241"/>
      <c r="D111" s="223" t="str">
        <f ca="1">IF(T111=0,"*",IF(T111&gt;0,"IND"&amp;RIGHT(H111,4)&amp;RIGHT(G111,3)&amp;"N"&amp;RIGHT(E111,1),""))</f>
        <v>INDNDRHWCHN4</v>
      </c>
      <c r="E111" s="278" t="str">
        <f>"Industrial heating technology "&amp;$AJ$12&amp;" "&amp;RIGHT(H111,2)&amp;" - Wood chip boiler (Hot Water- condensing) - new 4"</f>
        <v>Industrial heating technology N RH - Wood chip boiler (Hot Water- condensing) - new 4</v>
      </c>
      <c r="F111" s="239" t="s">
        <v>1274</v>
      </c>
      <c r="G111" s="177" t="s">
        <v>499</v>
      </c>
      <c r="H111" s="177" t="str">
        <f>$AI$15</f>
        <v>INDRH</v>
      </c>
      <c r="I111" s="177" t="str">
        <f t="shared" si="79"/>
        <v>INDNWH</v>
      </c>
      <c r="J111" s="239">
        <f t="shared" si="80"/>
        <v>2011</v>
      </c>
      <c r="K111" s="332">
        <f>J111</f>
        <v>2011</v>
      </c>
      <c r="L111" s="206">
        <f t="shared" ca="1" si="98"/>
        <v>1.1618960947726835</v>
      </c>
      <c r="M111" s="206"/>
      <c r="N111" s="81">
        <f ca="1">VLOOKUP($AD111,INDIRECT("'"&amp;$B111&amp;"'!"&amp;"$P$279:$AD$282"),5,FALSE)</f>
        <v>25</v>
      </c>
      <c r="O111" s="783">
        <f t="shared" ca="1" si="99"/>
        <v>5.0660000000000007</v>
      </c>
      <c r="P111" s="783">
        <f t="shared" ca="1" si="100"/>
        <v>0.27564999999999995</v>
      </c>
      <c r="Q111" s="81">
        <f t="shared" ca="1" si="101"/>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1"/>
        <v>11</v>
      </c>
      <c r="Y111" s="758">
        <f t="shared" ca="1" si="102"/>
        <v>63</v>
      </c>
      <c r="Z111" s="758">
        <f t="shared" ca="1" si="103"/>
        <v>11</v>
      </c>
      <c r="AA111" s="758">
        <f t="shared" ca="1" si="104"/>
        <v>3</v>
      </c>
      <c r="AB111" s="758">
        <f t="shared" ca="1" si="105"/>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79"/>
        <v>INDNWH</v>
      </c>
      <c r="J112" s="239">
        <f t="shared" si="80"/>
        <v>2030</v>
      </c>
      <c r="K112" s="81"/>
      <c r="L112" s="206">
        <f t="shared" ca="1" si="98"/>
        <v>1.1618960947726835</v>
      </c>
      <c r="M112" s="206"/>
      <c r="N112" s="81"/>
      <c r="O112" s="783">
        <f t="shared" ca="1" si="99"/>
        <v>4.8425000000000002</v>
      </c>
      <c r="P112" s="783">
        <f t="shared" ca="1" si="100"/>
        <v>0.267455</v>
      </c>
      <c r="Q112" s="81">
        <f t="shared" ca="1" si="101"/>
        <v>5.8461805555555557</v>
      </c>
      <c r="R112" s="333"/>
      <c r="S112" s="333"/>
      <c r="T112" s="333"/>
      <c r="U112" s="333"/>
      <c r="V112" s="759">
        <f ca="1">IF(IF(RIGHT(H111,2)="MT",(1-L112)+$W$2,IF(RIGHT(H111,2)="HT",(1-L112)+$W$1,IF(RIGHT(H111,2)="RH",(1-L112)+$W$3,"")))&lt;0,0,IF(RIGHT(H111,2)="MT",(1-L112)+$W$2,IF(RIGHT(H111,2)="HT",(1-L112)+$W$1,IF(RIGHT(H111,2)="RH",(1-L112)+$W$3,""))))</f>
        <v>0</v>
      </c>
      <c r="W112" s="331"/>
      <c r="X112" s="758">
        <f t="shared" ca="1" si="81"/>
        <v>11</v>
      </c>
      <c r="Y112" s="758">
        <f t="shared" ca="1" si="102"/>
        <v>49</v>
      </c>
      <c r="Z112" s="758">
        <f t="shared" ca="1" si="103"/>
        <v>8</v>
      </c>
      <c r="AA112" s="758">
        <f t="shared" ca="1" si="104"/>
        <v>3</v>
      </c>
      <c r="AB112" s="758">
        <f t="shared" ca="1" si="105"/>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79"/>
        <v>INDNWH</v>
      </c>
      <c r="J113" s="239">
        <f t="shared" si="80"/>
        <v>2050</v>
      </c>
      <c r="K113" s="81"/>
      <c r="L113" s="206">
        <f t="shared" ca="1" si="98"/>
        <v>1.1618960947726835</v>
      </c>
      <c r="M113" s="206"/>
      <c r="N113" s="81"/>
      <c r="O113" s="783">
        <f t="shared" ca="1" si="99"/>
        <v>4.3955000000000002</v>
      </c>
      <c r="P113" s="783">
        <f t="shared" ca="1" si="100"/>
        <v>0.25106499999999998</v>
      </c>
      <c r="Q113" s="81">
        <f t="shared" ca="1" si="101"/>
        <v>5.8937777777777782</v>
      </c>
      <c r="R113" s="333"/>
      <c r="S113" s="333"/>
      <c r="T113" s="333"/>
      <c r="U113" s="333"/>
      <c r="V113" s="759">
        <f ca="1">IF(IF(RIGHT(H111,2)="MT",(1-L113)+$W$2,IF(RIGHT(H111,2)="HT",(1-L113)+$W$1,IF(RIGHT(H111,2)="RH",(1-L113)+$W$3,"")))&lt;0,0,IF(RIGHT(H111,2)="MT",(1-L113)+$W$2,IF(RIGHT(H111,2)="HT",(1-L113)+$W$1,IF(RIGHT(H111,2)="RH",(1-L113)+$W$3,""))))</f>
        <v>0</v>
      </c>
      <c r="W113" s="774"/>
      <c r="X113" s="758">
        <f t="shared" ca="1" si="81"/>
        <v>11</v>
      </c>
      <c r="Y113" s="758">
        <f t="shared" ca="1" si="102"/>
        <v>41</v>
      </c>
      <c r="Z113" s="758">
        <f t="shared" ca="1" si="103"/>
        <v>4</v>
      </c>
      <c r="AA113" s="758">
        <f t="shared" ca="1" si="104"/>
        <v>1</v>
      </c>
      <c r="AB113" s="758">
        <f t="shared" ca="1" si="105"/>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N HT - Direct electric heating - new 10</v>
      </c>
      <c r="F114" s="239" t="s">
        <v>1274</v>
      </c>
      <c r="G114" s="176" t="s">
        <v>500</v>
      </c>
      <c r="H114" s="177" t="str">
        <f>$AI$13</f>
        <v>INDHT</v>
      </c>
      <c r="I114" s="177" t="str">
        <f t="shared" si="79"/>
        <v>INDNWH</v>
      </c>
      <c r="J114" s="239">
        <f t="shared" si="80"/>
        <v>2011</v>
      </c>
      <c r="K114" s="332">
        <f>J114</f>
        <v>2011</v>
      </c>
      <c r="L114" s="206">
        <f t="shared" ref="L114:L128" ca="1" si="106">VLOOKUP($AD114,INDIRECT("'"&amp;$B114&amp;"'!"&amp;"$P$39:$AD$42"),3,FALSE)</f>
        <v>1</v>
      </c>
      <c r="M114" s="206"/>
      <c r="N114" s="81">
        <f ca="1">VLOOKUP($AD114,INDIRECT("'"&amp;$B114&amp;"'!"&amp;"$P$39:$AD$42"),5,FALSE)</f>
        <v>12.5</v>
      </c>
      <c r="O114" s="783">
        <f t="shared" ref="O114:O128" ca="1" si="107">VLOOKUP($AD114,INDIRECT("'"&amp;$B114&amp;"'!"&amp;"$P$39:$AD$42"),6,FALSE)/1000</f>
        <v>0.44700000000000001</v>
      </c>
      <c r="P114" s="783">
        <f t="shared" ref="P114:P128" ca="1" si="108">VLOOKUP($AD114,INDIRECT("'"&amp;$B114&amp;"'!"&amp;"$P$39:$AD$42"),7,FALSE)/1000</f>
        <v>0</v>
      </c>
      <c r="Q114" s="81">
        <f t="shared" ref="Q114:Q128" ca="1" si="109">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1"/>
        <v>0</v>
      </c>
      <c r="Y114" s="81">
        <f t="shared" ref="Y114:Y128" ca="1" si="110">VLOOKUP($AD114,INDIRECT("'"&amp;$B114&amp;"'!"&amp;"$P$39:$AD$42"),12,FALSE)</f>
        <v>0</v>
      </c>
      <c r="Z114" s="81">
        <f t="shared" ref="Z114:Z128" ca="1" si="111">VLOOKUP($AD114,INDIRECT("'"&amp;$B114&amp;"'!"&amp;"$P$39:$AD$42"),13,FALSE)</f>
        <v>0</v>
      </c>
      <c r="AA114" s="81">
        <f t="shared" ref="AA114:AA128" ca="1" si="112">VLOOKUP($AD114,INDIRECT("'"&amp;$B114&amp;"'!"&amp;"$P$39:$AD$42"),14,FALSE)</f>
        <v>0</v>
      </c>
      <c r="AB114" s="81">
        <f t="shared" ref="AB114:AB128" ca="1" si="113">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79"/>
        <v>INDNWH</v>
      </c>
      <c r="J115" s="239">
        <f t="shared" si="80"/>
        <v>2030</v>
      </c>
      <c r="K115" s="81"/>
      <c r="L115" s="206">
        <f t="shared" ca="1" si="106"/>
        <v>1</v>
      </c>
      <c r="M115" s="206"/>
      <c r="N115" s="81"/>
      <c r="O115" s="783">
        <f t="shared" ca="1" si="107"/>
        <v>0.44700000000000001</v>
      </c>
      <c r="P115" s="783">
        <f t="shared" ca="1" si="108"/>
        <v>0</v>
      </c>
      <c r="Q115" s="81">
        <f t="shared" ca="1" si="109"/>
        <v>0.38802083333333331</v>
      </c>
      <c r="R115" s="333"/>
      <c r="S115" s="333"/>
      <c r="T115" s="333"/>
      <c r="U115" s="333"/>
      <c r="V115" s="759">
        <f ca="1">IF(IF(RIGHT(H114,2)="MT",(1-L115)+$W$2,IF(RIGHT(H114,2)="HT",(1-L115)+$W$1,IF(RIGHT(H114,2)="RH",(1-L115)+$W$3,"")))&lt;0,0,IF(RIGHT(H114,2)="MT",(1-L115)+$W$2,IF(RIGHT(H114,2)="HT",(1-L115)+$W$1,IF(RIGHT(H114,2)="RH",(1-L115)+$W$3,""))))</f>
        <v>0.3</v>
      </c>
      <c r="W115" s="331"/>
      <c r="X115" s="758">
        <f t="shared" ca="1" si="81"/>
        <v>0</v>
      </c>
      <c r="Y115" s="81">
        <f t="shared" ca="1" si="110"/>
        <v>0</v>
      </c>
      <c r="Z115" s="81">
        <f t="shared" ca="1" si="111"/>
        <v>0</v>
      </c>
      <c r="AA115" s="81">
        <f t="shared" ca="1" si="112"/>
        <v>0</v>
      </c>
      <c r="AB115" s="81">
        <f t="shared" ca="1" si="113"/>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79"/>
        <v>INDNWH</v>
      </c>
      <c r="J116" s="239">
        <f t="shared" si="80"/>
        <v>2050</v>
      </c>
      <c r="K116" s="81"/>
      <c r="L116" s="206">
        <f t="shared" ca="1" si="106"/>
        <v>1</v>
      </c>
      <c r="M116" s="206"/>
      <c r="N116" s="81"/>
      <c r="O116" s="783">
        <f t="shared" ca="1" si="107"/>
        <v>0.44700000000000001</v>
      </c>
      <c r="P116" s="783">
        <f t="shared" ca="1" si="108"/>
        <v>0</v>
      </c>
      <c r="Q116" s="81">
        <f t="shared" ca="1" si="109"/>
        <v>0.39319444444444446</v>
      </c>
      <c r="R116" s="333"/>
      <c r="S116" s="333"/>
      <c r="T116" s="333"/>
      <c r="U116" s="333"/>
      <c r="V116" s="759">
        <f ca="1">IF(IF(RIGHT(H114,2)="MT",(1-L116)+$W$2,IF(RIGHT(H114,2)="HT",(1-L116)+$W$1,IF(RIGHT(H114,2)="RH",(1-L116)+$W$3,"")))&lt;0,0,IF(RIGHT(H114,2)="MT",(1-L116)+$W$2,IF(RIGHT(H114,2)="HT",(1-L116)+$W$1,IF(RIGHT(H114,2)="RH",(1-L116)+$W$3,""))))</f>
        <v>0.3</v>
      </c>
      <c r="W116" s="331"/>
      <c r="X116" s="758">
        <f t="shared" ca="1" si="81"/>
        <v>0</v>
      </c>
      <c r="Y116" s="81">
        <f t="shared" ca="1" si="110"/>
        <v>0</v>
      </c>
      <c r="Z116" s="81">
        <f t="shared" ca="1" si="111"/>
        <v>0</v>
      </c>
      <c r="AA116" s="81">
        <f t="shared" ca="1" si="112"/>
        <v>0</v>
      </c>
      <c r="AB116" s="81">
        <f t="shared" ca="1" si="113"/>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N MT - Direct electric heating - new 10</v>
      </c>
      <c r="F117" s="239" t="s">
        <v>1274</v>
      </c>
      <c r="G117" s="176" t="s">
        <v>500</v>
      </c>
      <c r="H117" s="177" t="str">
        <f>$AI$14</f>
        <v>INDMT</v>
      </c>
      <c r="I117" s="177" t="str">
        <f t="shared" si="79"/>
        <v>INDNWH</v>
      </c>
      <c r="J117" s="239">
        <f t="shared" si="80"/>
        <v>2011</v>
      </c>
      <c r="K117" s="332">
        <f>J117</f>
        <v>2011</v>
      </c>
      <c r="L117" s="206">
        <f t="shared" ca="1" si="106"/>
        <v>1</v>
      </c>
      <c r="M117" s="206"/>
      <c r="N117" s="81">
        <f ca="1">VLOOKUP($AD117,INDIRECT("'"&amp;$B117&amp;"'!"&amp;"$P$39:$AD$42"),5,FALSE)</f>
        <v>12.5</v>
      </c>
      <c r="O117" s="783">
        <f t="shared" ca="1" si="107"/>
        <v>0.44700000000000001</v>
      </c>
      <c r="P117" s="783">
        <f t="shared" ca="1" si="108"/>
        <v>0</v>
      </c>
      <c r="Q117" s="81">
        <f t="shared" ca="1" si="109"/>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1"/>
        <v>0</v>
      </c>
      <c r="Y117" s="81">
        <f t="shared" ca="1" si="110"/>
        <v>0</v>
      </c>
      <c r="Z117" s="81">
        <f t="shared" ca="1" si="111"/>
        <v>0</v>
      </c>
      <c r="AA117" s="81">
        <f t="shared" ca="1" si="112"/>
        <v>0</v>
      </c>
      <c r="AB117" s="81">
        <f t="shared" ca="1" si="113"/>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79"/>
        <v>INDNWH</v>
      </c>
      <c r="J118" s="239">
        <f t="shared" si="80"/>
        <v>2030</v>
      </c>
      <c r="K118" s="81"/>
      <c r="L118" s="206">
        <f t="shared" ca="1" si="106"/>
        <v>1</v>
      </c>
      <c r="M118" s="206"/>
      <c r="N118" s="81"/>
      <c r="O118" s="783">
        <f t="shared" ca="1" si="107"/>
        <v>0.44700000000000001</v>
      </c>
      <c r="P118" s="783">
        <f t="shared" ca="1" si="108"/>
        <v>0</v>
      </c>
      <c r="Q118" s="81">
        <f t="shared" ca="1" si="109"/>
        <v>0.38802083333333331</v>
      </c>
      <c r="R118" s="333"/>
      <c r="S118" s="333"/>
      <c r="T118" s="333"/>
      <c r="U118" s="333"/>
      <c r="V118" s="759">
        <f ca="1">IF(IF(RIGHT(H117,2)="MT",(1-L118)+$W$2,IF(RIGHT(H117,2)="HT",(1-L118)+$W$1,IF(RIGHT(H117,2)="RH",(1-L118)+$W$3,"")))&lt;0,0,IF(RIGHT(H117,2)="MT",(1-L118)+$W$2,IF(RIGHT(H117,2)="HT",(1-L118)+$W$1,IF(RIGHT(H117,2)="RH",(1-L118)+$W$3,""))))</f>
        <v>0.2</v>
      </c>
      <c r="W118" s="331"/>
      <c r="X118" s="758">
        <f t="shared" ca="1" si="81"/>
        <v>0</v>
      </c>
      <c r="Y118" s="81">
        <f t="shared" ca="1" si="110"/>
        <v>0</v>
      </c>
      <c r="Z118" s="81">
        <f t="shared" ca="1" si="111"/>
        <v>0</v>
      </c>
      <c r="AA118" s="81">
        <f t="shared" ca="1" si="112"/>
        <v>0</v>
      </c>
      <c r="AB118" s="81">
        <f t="shared" ca="1" si="113"/>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79"/>
        <v>INDNWH</v>
      </c>
      <c r="J119" s="239">
        <f t="shared" si="80"/>
        <v>2050</v>
      </c>
      <c r="K119" s="81"/>
      <c r="L119" s="206">
        <f t="shared" ca="1" si="106"/>
        <v>1</v>
      </c>
      <c r="M119" s="206"/>
      <c r="N119" s="81"/>
      <c r="O119" s="783">
        <f t="shared" ca="1" si="107"/>
        <v>0.44700000000000001</v>
      </c>
      <c r="P119" s="783">
        <f t="shared" ca="1" si="108"/>
        <v>0</v>
      </c>
      <c r="Q119" s="81">
        <f t="shared" ca="1" si="109"/>
        <v>0.39319444444444446</v>
      </c>
      <c r="R119" s="763"/>
      <c r="S119" s="763"/>
      <c r="T119" s="763"/>
      <c r="U119" s="763"/>
      <c r="V119" s="759">
        <f ca="1">IF(IF(RIGHT(H117,2)="MT",(1-L119)+$W$2,IF(RIGHT(H117,2)="HT",(1-L119)+$W$1,IF(RIGHT(H117,2)="RH",(1-L119)+$W$3,"")))&lt;0,0,IF(RIGHT(H117,2)="MT",(1-L119)+$W$2,IF(RIGHT(H117,2)="HT",(1-L119)+$W$1,IF(RIGHT(H117,2)="RH",(1-L119)+$W$3,""))))</f>
        <v>0.2</v>
      </c>
      <c r="W119" s="764"/>
      <c r="X119" s="758">
        <f t="shared" ca="1" si="81"/>
        <v>0</v>
      </c>
      <c r="Y119" s="81">
        <f t="shared" ca="1" si="110"/>
        <v>0</v>
      </c>
      <c r="Z119" s="81">
        <f t="shared" ca="1" si="111"/>
        <v>0</v>
      </c>
      <c r="AA119" s="81">
        <f t="shared" ca="1" si="112"/>
        <v>0</v>
      </c>
      <c r="AB119" s="81">
        <f t="shared" ca="1" si="113"/>
        <v>0</v>
      </c>
      <c r="AD119" s="81">
        <v>2050</v>
      </c>
      <c r="AE119" s="81"/>
      <c r="AF119" s="232"/>
    </row>
    <row r="120" spans="2:32">
      <c r="B120" s="778" t="s">
        <v>1134</v>
      </c>
      <c r="C120" s="241"/>
      <c r="D120" s="223" t="str">
        <f ca="1">IF(T120=0,"*",IF(T120&gt;0,"IND"&amp;RIGHT(H120,4)&amp;RIGHT(G120,3)&amp;"N"&amp;RIGHT(E120,1),""))</f>
        <v>INDNDHTDSEN1</v>
      </c>
      <c r="E120" s="278" t="str">
        <f>"Industrial heating technology "&amp;$AJ$12&amp;" "&amp;RIGHT(H120,2)&amp;" - Oil boiler (Steam) - new 1"</f>
        <v>Industrial heating technology N HT - Oil boiler (Steam) - new 1</v>
      </c>
      <c r="F120" s="239" t="s">
        <v>1274</v>
      </c>
      <c r="G120" s="176" t="s">
        <v>1437</v>
      </c>
      <c r="H120" s="177" t="str">
        <f>$AI$13</f>
        <v>INDHT</v>
      </c>
      <c r="I120" s="177" t="str">
        <f t="shared" si="79"/>
        <v>INDNWH</v>
      </c>
      <c r="J120" s="239">
        <f t="shared" si="80"/>
        <v>2011</v>
      </c>
      <c r="K120" s="332">
        <f>J120</f>
        <v>2011</v>
      </c>
      <c r="L120" s="206">
        <f t="shared" ca="1" si="106"/>
        <v>0.94</v>
      </c>
      <c r="M120" s="759"/>
      <c r="N120" s="332">
        <f ca="1">VLOOKUP($AD120,INDIRECT("'"&amp;$B120&amp;"'!"&amp;"$P$39:$AD$42"),5,FALSE)</f>
        <v>25</v>
      </c>
      <c r="O120" s="785">
        <f t="shared" ca="1" si="107"/>
        <v>0.40975</v>
      </c>
      <c r="P120" s="785">
        <f t="shared" ca="1" si="108"/>
        <v>1.341E-2</v>
      </c>
      <c r="Q120" s="332">
        <f t="shared" ca="1" si="109"/>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1"/>
        <v>0.5</v>
      </c>
      <c r="Y120" s="332">
        <f t="shared" ca="1" si="110"/>
        <v>25</v>
      </c>
      <c r="Z120" s="332">
        <f t="shared" ca="1" si="111"/>
        <v>0</v>
      </c>
      <c r="AA120" s="332">
        <f t="shared" ca="1" si="112"/>
        <v>0</v>
      </c>
      <c r="AB120" s="332">
        <f t="shared" ca="1" si="113"/>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79"/>
        <v>INDNWH</v>
      </c>
      <c r="J121" s="239">
        <f t="shared" si="80"/>
        <v>2030</v>
      </c>
      <c r="K121" s="81"/>
      <c r="L121" s="206">
        <f t="shared" ca="1" si="106"/>
        <v>0.95</v>
      </c>
      <c r="M121" s="206"/>
      <c r="N121" s="81"/>
      <c r="O121" s="783">
        <f t="shared" ca="1" si="107"/>
        <v>0.3469940346244772</v>
      </c>
      <c r="P121" s="783">
        <f t="shared" ca="1" si="108"/>
        <v>1.2664999999999999E-2</v>
      </c>
      <c r="Q121" s="81">
        <f t="shared" ca="1" si="109"/>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1"/>
        <v>0.5</v>
      </c>
      <c r="Y121" s="81">
        <f t="shared" ca="1" si="110"/>
        <v>20</v>
      </c>
      <c r="Z121" s="81">
        <f t="shared" ca="1" si="111"/>
        <v>0</v>
      </c>
      <c r="AA121" s="81">
        <f t="shared" ca="1" si="112"/>
        <v>0</v>
      </c>
      <c r="AB121" s="81">
        <f t="shared" ca="1" si="113"/>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79"/>
        <v>INDNWH</v>
      </c>
      <c r="J122" s="239">
        <f t="shared" si="80"/>
        <v>2050</v>
      </c>
      <c r="K122" s="81"/>
      <c r="L122" s="206">
        <f t="shared" ca="1" si="106"/>
        <v>0.96</v>
      </c>
      <c r="M122" s="206"/>
      <c r="N122" s="81"/>
      <c r="O122" s="783">
        <f t="shared" ca="1" si="107"/>
        <v>0.32813985758696651</v>
      </c>
      <c r="P122" s="783">
        <f t="shared" ca="1" si="108"/>
        <v>1.1175000000000001E-2</v>
      </c>
      <c r="Q122" s="81">
        <f t="shared" ca="1" si="109"/>
        <v>1.8625</v>
      </c>
      <c r="R122" s="333"/>
      <c r="S122" s="333"/>
      <c r="T122" s="333"/>
      <c r="U122" s="333"/>
      <c r="V122" s="759">
        <f ca="1">IF(IF(RIGHT(H120,2)="MT",(1-L122)+$W$2,IF(RIGHT(H120,2)="HT",(1-L122)+$W$1,IF(RIGHT(H120,2)="RH",(1-L122)+$W$3,"")))&lt;0,0,IF(RIGHT(H120,2)="MT",(1-L122)+$W$2,IF(RIGHT(H120,2)="HT",(1-L122)+$W$1,IF(RIGHT(H120,2)="RH",(1-L122)+$W$3,""))))</f>
        <v>0.34</v>
      </c>
      <c r="W122" s="331"/>
      <c r="X122" s="758">
        <f t="shared" ca="1" si="81"/>
        <v>0.5</v>
      </c>
      <c r="Y122" s="81">
        <f t="shared" ca="1" si="110"/>
        <v>15</v>
      </c>
      <c r="Z122" s="81">
        <f t="shared" ca="1" si="111"/>
        <v>0</v>
      </c>
      <c r="AA122" s="81">
        <f t="shared" ca="1" si="112"/>
        <v>0</v>
      </c>
      <c r="AB122" s="81">
        <f t="shared" ca="1" si="113"/>
        <v>0.1</v>
      </c>
      <c r="AD122" s="81">
        <v>2050</v>
      </c>
      <c r="AE122" s="81"/>
      <c r="AF122" s="232"/>
    </row>
    <row r="123" spans="2:32">
      <c r="B123" s="778" t="s">
        <v>1134</v>
      </c>
      <c r="C123" s="241"/>
      <c r="D123" s="223" t="str">
        <f ca="1">IF(T123=0,"*",IF(T123&gt;0,"IND"&amp;RIGHT(H123,4)&amp;RIGHT(G123,3)&amp;"N"&amp;RIGHT(E123,1),""))</f>
        <v>INDNDMTDSEN1</v>
      </c>
      <c r="E123" s="278" t="str">
        <f>"Industrial heating technology "&amp;$AJ$12&amp;" "&amp;RIGHT(H123,2)&amp;" - Oil boiler (Steam) - new 1"</f>
        <v>Industrial heating technology N MT - Oil boiler (Steam) - new 1</v>
      </c>
      <c r="F123" s="239" t="s">
        <v>1274</v>
      </c>
      <c r="G123" s="176" t="s">
        <v>1437</v>
      </c>
      <c r="H123" s="177" t="str">
        <f>$AI$14</f>
        <v>INDMT</v>
      </c>
      <c r="I123" s="177" t="str">
        <f t="shared" si="79"/>
        <v>INDNWH</v>
      </c>
      <c r="J123" s="239">
        <f t="shared" si="80"/>
        <v>2011</v>
      </c>
      <c r="K123" s="332">
        <f>J123</f>
        <v>2011</v>
      </c>
      <c r="L123" s="206">
        <f t="shared" ca="1" si="106"/>
        <v>0.94</v>
      </c>
      <c r="M123" s="206"/>
      <c r="N123" s="81">
        <f ca="1">VLOOKUP($AD123,INDIRECT("'"&amp;$B123&amp;"'!"&amp;"$P$39:$AD$42"),5,FALSE)</f>
        <v>25</v>
      </c>
      <c r="O123" s="783">
        <f t="shared" ca="1" si="107"/>
        <v>0.40975</v>
      </c>
      <c r="P123" s="783">
        <f t="shared" ca="1" si="108"/>
        <v>1.341E-2</v>
      </c>
      <c r="Q123" s="81">
        <f t="shared" ca="1" si="109"/>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1"/>
        <v>0.5</v>
      </c>
      <c r="Y123" s="81">
        <f t="shared" ca="1" si="110"/>
        <v>25</v>
      </c>
      <c r="Z123" s="81">
        <f t="shared" ca="1" si="111"/>
        <v>0</v>
      </c>
      <c r="AA123" s="81">
        <f t="shared" ca="1" si="112"/>
        <v>0</v>
      </c>
      <c r="AB123" s="81">
        <f t="shared" ca="1" si="113"/>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79"/>
        <v>INDNWH</v>
      </c>
      <c r="J124" s="239">
        <f t="shared" si="80"/>
        <v>2030</v>
      </c>
      <c r="K124" s="81"/>
      <c r="L124" s="206">
        <f t="shared" ca="1" si="106"/>
        <v>0.95</v>
      </c>
      <c r="M124" s="206"/>
      <c r="N124" s="81"/>
      <c r="O124" s="783">
        <f t="shared" ca="1" si="107"/>
        <v>0.3469940346244772</v>
      </c>
      <c r="P124" s="783">
        <f t="shared" ca="1" si="108"/>
        <v>1.2664999999999999E-2</v>
      </c>
      <c r="Q124" s="81">
        <f t="shared" ca="1" si="109"/>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1"/>
        <v>0.5</v>
      </c>
      <c r="Y124" s="81">
        <f t="shared" ca="1" si="110"/>
        <v>20</v>
      </c>
      <c r="Z124" s="81">
        <f t="shared" ca="1" si="111"/>
        <v>0</v>
      </c>
      <c r="AA124" s="81">
        <f t="shared" ca="1" si="112"/>
        <v>0</v>
      </c>
      <c r="AB124" s="81">
        <f t="shared" ca="1" si="113"/>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79"/>
        <v>INDNWH</v>
      </c>
      <c r="J125" s="239">
        <f t="shared" si="80"/>
        <v>2050</v>
      </c>
      <c r="K125" s="81"/>
      <c r="L125" s="206">
        <f t="shared" ca="1" si="106"/>
        <v>0.96</v>
      </c>
      <c r="M125" s="206"/>
      <c r="N125" s="81"/>
      <c r="O125" s="783">
        <f t="shared" ca="1" si="107"/>
        <v>0.32813985758696651</v>
      </c>
      <c r="P125" s="783">
        <f t="shared" ca="1" si="108"/>
        <v>1.1175000000000001E-2</v>
      </c>
      <c r="Q125" s="81">
        <f t="shared" ca="1" si="109"/>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1"/>
        <v>0.5</v>
      </c>
      <c r="Y125" s="81">
        <f t="shared" ca="1" si="110"/>
        <v>15</v>
      </c>
      <c r="Z125" s="81">
        <f t="shared" ca="1" si="111"/>
        <v>0</v>
      </c>
      <c r="AA125" s="81">
        <f t="shared" ca="1" si="112"/>
        <v>0</v>
      </c>
      <c r="AB125" s="81">
        <f t="shared" ca="1" si="113"/>
        <v>0.1</v>
      </c>
      <c r="AC125" s="211"/>
      <c r="AD125" s="81">
        <v>2050</v>
      </c>
      <c r="AE125" s="81"/>
      <c r="AF125" s="765"/>
    </row>
    <row r="126" spans="2:32">
      <c r="B126" s="778" t="s">
        <v>1134</v>
      </c>
      <c r="C126" s="241"/>
      <c r="D126" s="223" t="str">
        <f ca="1">IF(T126=0,"*",IF(T126&gt;0,"IND"&amp;RIGHT(H126,4)&amp;RIGHT(G126,3)&amp;"N"&amp;RIGHT(E126,1),""))</f>
        <v>INDNDRHDSEN1</v>
      </c>
      <c r="E126" s="278" t="str">
        <f>"Industrial heating technology "&amp;$AJ$12&amp;" "&amp;RIGHT(H126,2)&amp;" - Oil boiler (Steam) - new 1"</f>
        <v>Industrial heating technology N RH - Oil boiler (Steam) - new 1</v>
      </c>
      <c r="F126" s="239" t="s">
        <v>1274</v>
      </c>
      <c r="G126" s="176" t="s">
        <v>1437</v>
      </c>
      <c r="H126" s="177" t="str">
        <f>$AI$15</f>
        <v>INDRH</v>
      </c>
      <c r="I126" s="177" t="str">
        <f t="shared" si="79"/>
        <v>INDNWH</v>
      </c>
      <c r="J126" s="239">
        <f t="shared" si="80"/>
        <v>2011</v>
      </c>
      <c r="K126" s="332">
        <f>J126</f>
        <v>2011</v>
      </c>
      <c r="L126" s="206">
        <f t="shared" ca="1" si="106"/>
        <v>0.94</v>
      </c>
      <c r="M126" s="206"/>
      <c r="N126" s="81">
        <f ca="1">VLOOKUP($AD126,INDIRECT("'"&amp;$B126&amp;"'!"&amp;"$P$39:$AD$42"),5,FALSE)</f>
        <v>25</v>
      </c>
      <c r="O126" s="783">
        <f t="shared" ca="1" si="107"/>
        <v>0.40975</v>
      </c>
      <c r="P126" s="783">
        <f t="shared" ca="1" si="108"/>
        <v>1.341E-2</v>
      </c>
      <c r="Q126" s="81">
        <f t="shared" ca="1" si="109"/>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1"/>
        <v>0.5</v>
      </c>
      <c r="Y126" s="81">
        <f t="shared" ca="1" si="110"/>
        <v>25</v>
      </c>
      <c r="Z126" s="81">
        <f t="shared" ca="1" si="111"/>
        <v>0</v>
      </c>
      <c r="AA126" s="81">
        <f t="shared" ca="1" si="112"/>
        <v>0</v>
      </c>
      <c r="AB126" s="81">
        <f t="shared" ca="1" si="113"/>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4">$AI$20</f>
        <v>INDNWH</v>
      </c>
      <c r="J127" s="239">
        <f t="shared" ref="J127:J158" si="115">IF(AD127=2020,2011,AD127)</f>
        <v>2030</v>
      </c>
      <c r="K127" s="81"/>
      <c r="L127" s="206">
        <f t="shared" ca="1" si="106"/>
        <v>0.95</v>
      </c>
      <c r="M127" s="206"/>
      <c r="N127" s="81"/>
      <c r="O127" s="783">
        <f t="shared" ca="1" si="107"/>
        <v>0.3469940346244772</v>
      </c>
      <c r="P127" s="783">
        <f t="shared" ca="1" si="108"/>
        <v>1.2664999999999999E-2</v>
      </c>
      <c r="Q127" s="81">
        <f t="shared" ca="1" si="109"/>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6">IF(VLOOKUP($AD127,INDIRECT("'"&amp;$B127&amp;"'!"&amp;"$P$39:$AD$42"),11,FALSE)="Cf. the utilized electricity",0,VLOOKUP($AD127,INDIRECT("'"&amp;$B127&amp;"'!"&amp;"$P$39:$AD$42"),11,FALSE))</f>
        <v>0.5</v>
      </c>
      <c r="Y127" s="81">
        <f t="shared" ca="1" si="110"/>
        <v>20</v>
      </c>
      <c r="Z127" s="81">
        <f t="shared" ca="1" si="111"/>
        <v>0</v>
      </c>
      <c r="AA127" s="81">
        <f t="shared" ca="1" si="112"/>
        <v>0</v>
      </c>
      <c r="AB127" s="81">
        <f t="shared" ca="1" si="113"/>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4"/>
        <v>INDNWH</v>
      </c>
      <c r="J128" s="239">
        <f t="shared" si="115"/>
        <v>2050</v>
      </c>
      <c r="K128" s="81"/>
      <c r="L128" s="206">
        <f t="shared" ca="1" si="106"/>
        <v>0.96</v>
      </c>
      <c r="M128" s="206"/>
      <c r="N128" s="81"/>
      <c r="O128" s="783">
        <f t="shared" ca="1" si="107"/>
        <v>0.32813985758696651</v>
      </c>
      <c r="P128" s="783">
        <f t="shared" ca="1" si="108"/>
        <v>1.1175000000000001E-2</v>
      </c>
      <c r="Q128" s="81">
        <f t="shared" ca="1" si="109"/>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6"/>
        <v>0.5</v>
      </c>
      <c r="Y128" s="81">
        <f t="shared" ca="1" si="110"/>
        <v>15</v>
      </c>
      <c r="Z128" s="81">
        <f t="shared" ca="1" si="111"/>
        <v>0</v>
      </c>
      <c r="AA128" s="81">
        <f t="shared" ca="1" si="112"/>
        <v>0</v>
      </c>
      <c r="AB128" s="81">
        <f t="shared" ca="1" si="113"/>
        <v>0.1</v>
      </c>
      <c r="AC128" s="55"/>
      <c r="AD128" s="81">
        <v>2050</v>
      </c>
      <c r="AE128" s="81"/>
      <c r="AF128" s="760"/>
    </row>
    <row r="129" spans="2:32">
      <c r="B129" s="778" t="s">
        <v>1134</v>
      </c>
      <c r="C129" s="241"/>
      <c r="D129" s="223" t="str">
        <f ca="1">IF(T129=0,"*",IF(T129&gt;0,"IND"&amp;RIGHT(H129,4)&amp;RIGHT(G129,3)&amp;"N"&amp;RIGHT(E129,1),""))</f>
        <v>INDNDMTDSEN2</v>
      </c>
      <c r="E129" s="767" t="str">
        <f>"Industrial heating technology "&amp;$AJ$12&amp;" "&amp;RIGHT(H129,2)&amp;" - Oil boiler (Steam - condensing) - new 2"</f>
        <v>Industrial heating technology N MT - Oil boiler (Steam - condensing) - new 2</v>
      </c>
      <c r="F129" s="239" t="s">
        <v>1274</v>
      </c>
      <c r="G129" s="176" t="s">
        <v>1437</v>
      </c>
      <c r="H129" s="768" t="str">
        <f>$AI$14</f>
        <v>INDMT</v>
      </c>
      <c r="I129" s="768" t="str">
        <f t="shared" si="114"/>
        <v>INDNWH</v>
      </c>
      <c r="J129" s="239">
        <f t="shared" si="115"/>
        <v>2011</v>
      </c>
      <c r="K129" s="332">
        <f>J129</f>
        <v>2011</v>
      </c>
      <c r="L129" s="206">
        <f t="shared" ref="L129:L134" ca="1" si="117">VLOOKUP($AD129,INDIRECT("'"&amp;$B129&amp;"'!"&amp;"$P$118:$AD$121"),3,FALSE)</f>
        <v>0.95</v>
      </c>
      <c r="M129" s="206"/>
      <c r="N129" s="81">
        <f ca="1">VLOOKUP($AD129,INDIRECT("'"&amp;$B129&amp;"'!"&amp;"$P$118:$AD$121"),5,FALSE)</f>
        <v>25</v>
      </c>
      <c r="O129" s="783">
        <f t="shared" ref="O129:O134" ca="1" si="118">VLOOKUP($AD129,INDIRECT("'"&amp;$B129&amp;"'!"&amp;"$P$118:$AD$121"),6,FALSE)/1000</f>
        <v>0.32780000000000004</v>
      </c>
      <c r="P129" s="783">
        <f t="shared" ref="P129:P134" ca="1" si="119">VLOOKUP($AD129,INDIRECT("'"&amp;$B129&amp;"'!"&amp;"$P$118:$AD$121"),7,FALSE)/1000</f>
        <v>1.341E-2</v>
      </c>
      <c r="Q129" s="81">
        <f t="shared" ref="Q129:Q134" ca="1" si="120">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6"/>
        <v>0.5</v>
      </c>
      <c r="Y129" s="758">
        <f t="shared" ref="Y129:Y134" ca="1" si="121">VLOOKUP($AD129,INDIRECT("'"&amp;$B129&amp;"'!"&amp;"$P$118:$AD$121"),12,FALSE)</f>
        <v>25</v>
      </c>
      <c r="Z129" s="758">
        <f t="shared" ref="Z129:Z134" ca="1" si="122">VLOOKUP($AD129,INDIRECT("'"&amp;$B129&amp;"'!"&amp;"$P$118:$AD$121"),13,FALSE)</f>
        <v>0</v>
      </c>
      <c r="AA129" s="758">
        <f t="shared" ref="AA129:AA134" ca="1" si="123">VLOOKUP($AD129,INDIRECT("'"&amp;$B129&amp;"'!"&amp;"$P$118:$AD$121"),14,FALSE)</f>
        <v>0</v>
      </c>
      <c r="AB129" s="758">
        <f t="shared" ref="AB129:AB134" ca="1" si="124">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4"/>
        <v>INDNWH</v>
      </c>
      <c r="J130" s="239">
        <f t="shared" si="115"/>
        <v>2030</v>
      </c>
      <c r="K130" s="81"/>
      <c r="L130" s="206">
        <f t="shared" ca="1" si="117"/>
        <v>0.96</v>
      </c>
      <c r="M130" s="206"/>
      <c r="N130" s="81"/>
      <c r="O130" s="783">
        <f t="shared" ca="1" si="118"/>
        <v>0.27759522769958173</v>
      </c>
      <c r="P130" s="783">
        <f t="shared" ca="1" si="119"/>
        <v>1.2664999999999999E-2</v>
      </c>
      <c r="Q130" s="81">
        <f t="shared" ca="1" si="120"/>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6"/>
        <v>0.5</v>
      </c>
      <c r="Y130" s="758">
        <f t="shared" ca="1" si="121"/>
        <v>20</v>
      </c>
      <c r="Z130" s="758">
        <f t="shared" ca="1" si="122"/>
        <v>0</v>
      </c>
      <c r="AA130" s="758">
        <f t="shared" ca="1" si="123"/>
        <v>0</v>
      </c>
      <c r="AB130" s="758">
        <f t="shared" ca="1" si="124"/>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4"/>
        <v>INDNWH</v>
      </c>
      <c r="J131" s="239">
        <f t="shared" si="115"/>
        <v>2050</v>
      </c>
      <c r="K131" s="81"/>
      <c r="L131" s="206">
        <f t="shared" ca="1" si="117"/>
        <v>0.97</v>
      </c>
      <c r="M131" s="206"/>
      <c r="N131" s="81"/>
      <c r="O131" s="783">
        <f t="shared" ca="1" si="118"/>
        <v>0.26251188606957326</v>
      </c>
      <c r="P131" s="783">
        <f t="shared" ca="1" si="119"/>
        <v>1.1175000000000001E-2</v>
      </c>
      <c r="Q131" s="81">
        <f t="shared" ca="1" si="120"/>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6"/>
        <v>0.5</v>
      </c>
      <c r="Y131" s="758">
        <f t="shared" ca="1" si="121"/>
        <v>15</v>
      </c>
      <c r="Z131" s="758">
        <f t="shared" ca="1" si="122"/>
        <v>0</v>
      </c>
      <c r="AA131" s="758">
        <f t="shared" ca="1" si="123"/>
        <v>0</v>
      </c>
      <c r="AB131" s="758">
        <f t="shared" ca="1" si="124"/>
        <v>0.1</v>
      </c>
      <c r="AC131" s="211"/>
      <c r="AD131" s="81">
        <v>2050</v>
      </c>
      <c r="AE131" s="81"/>
      <c r="AF131" s="765"/>
    </row>
    <row r="132" spans="2:32">
      <c r="B132" s="778" t="s">
        <v>1134</v>
      </c>
      <c r="C132" s="241"/>
      <c r="D132" s="223" t="str">
        <f ca="1">IF(T132=0,"*",IF(T132&gt;0,"IND"&amp;RIGHT(H132,4)&amp;RIGHT(G132,3)&amp;"N"&amp;RIGHT(E132,1),""))</f>
        <v>INDNDRHDSEN2</v>
      </c>
      <c r="E132" s="278" t="str">
        <f>"Industrial heating technology "&amp;$AJ$12&amp;" "&amp;RIGHT(H132,2)&amp;" - Oil boiler (Steam - condensing) - new 2"</f>
        <v>Industrial heating technology N RH - Oil boiler (Steam - condensing) - new 2</v>
      </c>
      <c r="F132" s="239" t="s">
        <v>1274</v>
      </c>
      <c r="G132" s="176" t="s">
        <v>1437</v>
      </c>
      <c r="H132" s="177" t="str">
        <f>$AI$15</f>
        <v>INDRH</v>
      </c>
      <c r="I132" s="177" t="str">
        <f t="shared" si="114"/>
        <v>INDNWH</v>
      </c>
      <c r="J132" s="239">
        <f t="shared" si="115"/>
        <v>2011</v>
      </c>
      <c r="K132" s="332">
        <f>J132</f>
        <v>2011</v>
      </c>
      <c r="L132" s="206">
        <f t="shared" ca="1" si="117"/>
        <v>0.95</v>
      </c>
      <c r="M132" s="206"/>
      <c r="N132" s="81">
        <f ca="1">VLOOKUP($AD132,INDIRECT("'"&amp;$B132&amp;"'!"&amp;"$P$118:$AD$121"),5,FALSE)</f>
        <v>25</v>
      </c>
      <c r="O132" s="783">
        <f t="shared" ca="1" si="118"/>
        <v>0.32780000000000004</v>
      </c>
      <c r="P132" s="783">
        <f t="shared" ca="1" si="119"/>
        <v>1.341E-2</v>
      </c>
      <c r="Q132" s="81">
        <f t="shared" ca="1" si="120"/>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6"/>
        <v>0.5</v>
      </c>
      <c r="Y132" s="758">
        <f t="shared" ca="1" si="121"/>
        <v>25</v>
      </c>
      <c r="Z132" s="758">
        <f t="shared" ca="1" si="122"/>
        <v>0</v>
      </c>
      <c r="AA132" s="758">
        <f t="shared" ca="1" si="123"/>
        <v>0</v>
      </c>
      <c r="AB132" s="758">
        <f t="shared" ca="1" si="124"/>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4"/>
        <v>INDNWH</v>
      </c>
      <c r="J133" s="239">
        <f t="shared" si="115"/>
        <v>2030</v>
      </c>
      <c r="K133" s="81"/>
      <c r="L133" s="206">
        <f t="shared" ca="1" si="117"/>
        <v>0.96</v>
      </c>
      <c r="M133" s="206"/>
      <c r="N133" s="81"/>
      <c r="O133" s="783">
        <f t="shared" ca="1" si="118"/>
        <v>0.27759522769958173</v>
      </c>
      <c r="P133" s="783">
        <f t="shared" ca="1" si="119"/>
        <v>1.2664999999999999E-2</v>
      </c>
      <c r="Q133" s="81">
        <f t="shared" ca="1" si="120"/>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6"/>
        <v>0.5</v>
      </c>
      <c r="Y133" s="758">
        <f t="shared" ca="1" si="121"/>
        <v>20</v>
      </c>
      <c r="Z133" s="758">
        <f t="shared" ca="1" si="122"/>
        <v>0</v>
      </c>
      <c r="AA133" s="758">
        <f t="shared" ca="1" si="123"/>
        <v>0</v>
      </c>
      <c r="AB133" s="758">
        <f t="shared" ca="1" si="124"/>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4"/>
        <v>INDNWH</v>
      </c>
      <c r="J134" s="239">
        <f t="shared" si="115"/>
        <v>2050</v>
      </c>
      <c r="K134" s="81"/>
      <c r="L134" s="206">
        <f t="shared" ca="1" si="117"/>
        <v>0.97</v>
      </c>
      <c r="M134" s="206"/>
      <c r="N134" s="81"/>
      <c r="O134" s="783">
        <f t="shared" ca="1" si="118"/>
        <v>0.26251188606957326</v>
      </c>
      <c r="P134" s="783">
        <f t="shared" ca="1" si="119"/>
        <v>1.1175000000000001E-2</v>
      </c>
      <c r="Q134" s="81">
        <f t="shared" ca="1" si="120"/>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6"/>
        <v>0.5</v>
      </c>
      <c r="Y134" s="758">
        <f t="shared" ca="1" si="121"/>
        <v>15</v>
      </c>
      <c r="Z134" s="758">
        <f t="shared" ca="1" si="122"/>
        <v>0</v>
      </c>
      <c r="AA134" s="758">
        <f t="shared" ca="1" si="123"/>
        <v>0</v>
      </c>
      <c r="AB134" s="758">
        <f t="shared" ca="1" si="124"/>
        <v>0.1</v>
      </c>
      <c r="AD134" s="81">
        <v>2050</v>
      </c>
      <c r="AE134" s="81"/>
      <c r="AF134" s="232"/>
    </row>
    <row r="135" spans="2:32">
      <c r="B135" s="778" t="s">
        <v>1135</v>
      </c>
      <c r="C135" s="241"/>
      <c r="D135" s="223" t="str">
        <f ca="1">IF(T135=0,"*",IF(T135&gt;0,"IND"&amp;RIGHT(H135,4)&amp;RIGHT(G135,3)&amp;"N"&amp;RIGHT(E135,1),""))</f>
        <v>INDNDHTDH2N1</v>
      </c>
      <c r="E135" s="278" t="str">
        <f>"Industrial heating technology "&amp;$AJ$12&amp;" "&amp;RIGHT(H135,2)&amp;" - Gas boiler (Steam) - new 1"</f>
        <v>Industrial heating technology N HT - Gas boiler (Steam) - new 1</v>
      </c>
      <c r="F135" s="239" t="s">
        <v>1274</v>
      </c>
      <c r="G135" s="176" t="s">
        <v>1438</v>
      </c>
      <c r="H135" s="177" t="str">
        <f>$AI$13</f>
        <v>INDHT</v>
      </c>
      <c r="I135" s="177" t="str">
        <f t="shared" si="114"/>
        <v>INDNWH</v>
      </c>
      <c r="J135" s="239">
        <f t="shared" si="115"/>
        <v>2011</v>
      </c>
      <c r="K135" s="332">
        <f>J135</f>
        <v>2011</v>
      </c>
      <c r="L135" s="206">
        <f t="shared" ref="L135:L143" ca="1" si="125">VLOOKUP($AD135,INDIRECT("'"&amp;$B135&amp;"'!"&amp;"$P$39:$AD$42"),3,FALSE)</f>
        <v>0.92</v>
      </c>
      <c r="M135" s="759"/>
      <c r="N135" s="332">
        <f ca="1">VLOOKUP($AD135,INDIRECT("'"&amp;$B135&amp;"'!"&amp;"$P$39:$AD$42"),5,FALSE)</f>
        <v>25</v>
      </c>
      <c r="O135" s="785">
        <f t="shared" ref="O135:O143" ca="1" si="126">VLOOKUP($AD135,INDIRECT("'"&amp;$B135&amp;"'!"&amp;"$P$39:$AD$42"),6,FALSE)/1000</f>
        <v>0.40636363636363632</v>
      </c>
      <c r="P135" s="785">
        <f t="shared" ref="P135:P143" ca="1" si="127">VLOOKUP($AD135,INDIRECT("'"&amp;$B135&amp;"'!"&amp;"$P$39:$AD$42"),7,FALSE)/1000</f>
        <v>1.49E-2</v>
      </c>
      <c r="Q135" s="332">
        <f t="shared" ref="Q135:Q143" ca="1" si="128">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6"/>
        <v>0.3</v>
      </c>
      <c r="Y135" s="332">
        <f t="shared" ref="Y135:Y143" ca="1" si="129">VLOOKUP($AD135,INDIRECT("'"&amp;$B135&amp;"'!"&amp;"$P$39:$AD$42"),12,FALSE)</f>
        <v>9</v>
      </c>
      <c r="Z135" s="332">
        <f t="shared" ref="Z135:Z143" ca="1" si="130">VLOOKUP($AD135,INDIRECT("'"&amp;$B135&amp;"'!"&amp;"$P$39:$AD$42"),13,FALSE)</f>
        <v>3</v>
      </c>
      <c r="AA135" s="332">
        <f t="shared" ref="AA135:AA143" ca="1" si="131">VLOOKUP($AD135,INDIRECT("'"&amp;$B135&amp;"'!"&amp;"$P$39:$AD$42"),14,FALSE)</f>
        <v>1</v>
      </c>
      <c r="AB135" s="332">
        <f t="shared" ref="AB135:AB143" ca="1" si="132">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4"/>
        <v>INDNWH</v>
      </c>
      <c r="J136" s="239">
        <f t="shared" si="115"/>
        <v>2030</v>
      </c>
      <c r="K136" s="81"/>
      <c r="L136" s="206">
        <f t="shared" ca="1" si="125"/>
        <v>0.93</v>
      </c>
      <c r="M136" s="206"/>
      <c r="N136" s="81"/>
      <c r="O136" s="783">
        <f t="shared" ca="1" si="126"/>
        <v>0.33863636363636368</v>
      </c>
      <c r="P136" s="783">
        <f t="shared" ca="1" si="127"/>
        <v>1.4154999999999999E-2</v>
      </c>
      <c r="Q136" s="81">
        <f t="shared" ca="1" si="128"/>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6"/>
        <v>0.3</v>
      </c>
      <c r="Y136" s="81">
        <f t="shared" ca="1" si="129"/>
        <v>7</v>
      </c>
      <c r="Z136" s="81">
        <f t="shared" ca="1" si="130"/>
        <v>2</v>
      </c>
      <c r="AA136" s="81">
        <f t="shared" ca="1" si="131"/>
        <v>1</v>
      </c>
      <c r="AB136" s="81">
        <f t="shared" ca="1" si="132"/>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4"/>
        <v>INDNWH</v>
      </c>
      <c r="J137" s="239">
        <f t="shared" si="115"/>
        <v>2050</v>
      </c>
      <c r="K137" s="81"/>
      <c r="L137" s="206">
        <f t="shared" ca="1" si="125"/>
        <v>0.94</v>
      </c>
      <c r="M137" s="206"/>
      <c r="N137" s="81"/>
      <c r="O137" s="783">
        <f t="shared" ca="1" si="126"/>
        <v>0.33863636363636368</v>
      </c>
      <c r="P137" s="783">
        <f t="shared" ca="1" si="127"/>
        <v>1.2664999999999999E-2</v>
      </c>
      <c r="Q137" s="81">
        <f t="shared" ca="1" si="128"/>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6"/>
        <v>0.3</v>
      </c>
      <c r="Y137" s="81">
        <f t="shared" ca="1" si="129"/>
        <v>6</v>
      </c>
      <c r="Z137" s="81">
        <f t="shared" ca="1" si="130"/>
        <v>2</v>
      </c>
      <c r="AA137" s="81">
        <f t="shared" ca="1" si="131"/>
        <v>1</v>
      </c>
      <c r="AB137" s="81">
        <f t="shared" ca="1" si="132"/>
        <v>0.1</v>
      </c>
      <c r="AD137" s="81">
        <v>2050</v>
      </c>
      <c r="AE137" s="81"/>
      <c r="AF137" s="232"/>
    </row>
    <row r="138" spans="2:32">
      <c r="B138" s="778" t="s">
        <v>1135</v>
      </c>
      <c r="C138" s="241"/>
      <c r="D138" s="223" t="str">
        <f ca="1">IF(T138=0,"*",IF(T138&gt;0,"IND"&amp;RIGHT(H138,4)&amp;RIGHT(G138,3)&amp;"N"&amp;RIGHT(E138,1),""))</f>
        <v>INDNDMTDH2N1</v>
      </c>
      <c r="E138" s="278" t="str">
        <f>"Industrial heating technology "&amp;$AJ$12&amp;" "&amp;RIGHT(H138,2)&amp;" - Gas boiler (Steam) - new 1"</f>
        <v>Industrial heating technology N MT - Gas boiler (Steam) - new 1</v>
      </c>
      <c r="F138" s="239" t="s">
        <v>1274</v>
      </c>
      <c r="G138" s="176" t="s">
        <v>1438</v>
      </c>
      <c r="H138" s="177" t="str">
        <f>$AI$14</f>
        <v>INDMT</v>
      </c>
      <c r="I138" s="177" t="str">
        <f t="shared" si="114"/>
        <v>INDNWH</v>
      </c>
      <c r="J138" s="239">
        <f t="shared" si="115"/>
        <v>2011</v>
      </c>
      <c r="K138" s="332">
        <f>J138</f>
        <v>2011</v>
      </c>
      <c r="L138" s="206">
        <f t="shared" ca="1" si="125"/>
        <v>0.92</v>
      </c>
      <c r="M138" s="206"/>
      <c r="N138" s="81">
        <f ca="1">VLOOKUP($AD138,INDIRECT("'"&amp;$B138&amp;"'!"&amp;"$P$39:$AD$42"),5,FALSE)</f>
        <v>25</v>
      </c>
      <c r="O138" s="783">
        <f t="shared" ca="1" si="126"/>
        <v>0.40636363636363632</v>
      </c>
      <c r="P138" s="783">
        <f t="shared" ca="1" si="127"/>
        <v>1.49E-2</v>
      </c>
      <c r="Q138" s="81">
        <f t="shared" ca="1" si="128"/>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6"/>
        <v>0.3</v>
      </c>
      <c r="Y138" s="81">
        <f t="shared" ca="1" si="129"/>
        <v>9</v>
      </c>
      <c r="Z138" s="81">
        <f t="shared" ca="1" si="130"/>
        <v>3</v>
      </c>
      <c r="AA138" s="81">
        <f t="shared" ca="1" si="131"/>
        <v>1</v>
      </c>
      <c r="AB138" s="81">
        <f t="shared" ca="1" si="132"/>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4"/>
        <v>INDNWH</v>
      </c>
      <c r="J139" s="239">
        <f t="shared" si="115"/>
        <v>2030</v>
      </c>
      <c r="K139" s="81"/>
      <c r="L139" s="206">
        <f t="shared" ca="1" si="125"/>
        <v>0.93</v>
      </c>
      <c r="M139" s="206"/>
      <c r="N139" s="81"/>
      <c r="O139" s="783">
        <f t="shared" ca="1" si="126"/>
        <v>0.33863636363636368</v>
      </c>
      <c r="P139" s="783">
        <f t="shared" ca="1" si="127"/>
        <v>1.4154999999999999E-2</v>
      </c>
      <c r="Q139" s="81">
        <f t="shared" ca="1" si="128"/>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6"/>
        <v>0.3</v>
      </c>
      <c r="Y139" s="81">
        <f t="shared" ca="1" si="129"/>
        <v>7</v>
      </c>
      <c r="Z139" s="81">
        <f t="shared" ca="1" si="130"/>
        <v>2</v>
      </c>
      <c r="AA139" s="81">
        <f t="shared" ca="1" si="131"/>
        <v>1</v>
      </c>
      <c r="AB139" s="81">
        <f t="shared" ca="1" si="132"/>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4"/>
        <v>INDNWH</v>
      </c>
      <c r="J140" s="239">
        <f t="shared" si="115"/>
        <v>2050</v>
      </c>
      <c r="K140" s="81"/>
      <c r="L140" s="206">
        <f t="shared" ca="1" si="125"/>
        <v>0.94</v>
      </c>
      <c r="M140" s="206"/>
      <c r="N140" s="81"/>
      <c r="O140" s="783">
        <f t="shared" ca="1" si="126"/>
        <v>0.33863636363636368</v>
      </c>
      <c r="P140" s="783">
        <f t="shared" ca="1" si="127"/>
        <v>1.2664999999999999E-2</v>
      </c>
      <c r="Q140" s="81">
        <f t="shared" ca="1" si="128"/>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6"/>
        <v>0.3</v>
      </c>
      <c r="Y140" s="81">
        <f t="shared" ca="1" si="129"/>
        <v>6</v>
      </c>
      <c r="Z140" s="81">
        <f t="shared" ca="1" si="130"/>
        <v>2</v>
      </c>
      <c r="AA140" s="81">
        <f t="shared" ca="1" si="131"/>
        <v>1</v>
      </c>
      <c r="AB140" s="81">
        <f t="shared" ca="1" si="132"/>
        <v>0.1</v>
      </c>
      <c r="AC140" s="211"/>
      <c r="AD140" s="81">
        <v>2050</v>
      </c>
      <c r="AE140" s="81"/>
      <c r="AF140" s="765"/>
    </row>
    <row r="141" spans="2:32">
      <c r="B141" s="778" t="s">
        <v>1135</v>
      </c>
      <c r="C141" s="241"/>
      <c r="D141" s="223" t="str">
        <f ca="1">IF(T141=0,"*",IF(T141&gt;0,"IND"&amp;RIGHT(H141,4)&amp;RIGHT(G141,3)&amp;"N"&amp;RIGHT(E141,1),""))</f>
        <v>INDNDRHDH2N1</v>
      </c>
      <c r="E141" s="278" t="str">
        <f>"Industrial heating technology "&amp;$AJ$12&amp;" "&amp;RIGHT(H141,2)&amp;" - Gas boiler (Steam) - new 1"</f>
        <v>Industrial heating technology N RH - Gas boiler (Steam) - new 1</v>
      </c>
      <c r="F141" s="239" t="s">
        <v>1274</v>
      </c>
      <c r="G141" s="176" t="s">
        <v>1438</v>
      </c>
      <c r="H141" s="177" t="str">
        <f>$AI$15</f>
        <v>INDRH</v>
      </c>
      <c r="I141" s="177" t="str">
        <f t="shared" si="114"/>
        <v>INDNWH</v>
      </c>
      <c r="J141" s="239">
        <f t="shared" si="115"/>
        <v>2011</v>
      </c>
      <c r="K141" s="332">
        <f>J141</f>
        <v>2011</v>
      </c>
      <c r="L141" s="206">
        <f t="shared" ca="1" si="125"/>
        <v>0.92</v>
      </c>
      <c r="M141" s="206"/>
      <c r="N141" s="81">
        <f ca="1">VLOOKUP($AD141,INDIRECT("'"&amp;$B141&amp;"'!"&amp;"$P$39:$AD$42"),5,FALSE)</f>
        <v>25</v>
      </c>
      <c r="O141" s="783">
        <f t="shared" ca="1" si="126"/>
        <v>0.40636363636363632</v>
      </c>
      <c r="P141" s="783">
        <f t="shared" ca="1" si="127"/>
        <v>1.49E-2</v>
      </c>
      <c r="Q141" s="81">
        <f t="shared" ca="1" si="128"/>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6"/>
        <v>0.3</v>
      </c>
      <c r="Y141" s="81">
        <f t="shared" ca="1" si="129"/>
        <v>9</v>
      </c>
      <c r="Z141" s="81">
        <f t="shared" ca="1" si="130"/>
        <v>3</v>
      </c>
      <c r="AA141" s="81">
        <f t="shared" ca="1" si="131"/>
        <v>1</v>
      </c>
      <c r="AB141" s="81">
        <f t="shared" ca="1" si="132"/>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4"/>
        <v>INDNWH</v>
      </c>
      <c r="J142" s="239">
        <f t="shared" si="115"/>
        <v>2030</v>
      </c>
      <c r="K142" s="81"/>
      <c r="L142" s="206">
        <f t="shared" ca="1" si="125"/>
        <v>0.93</v>
      </c>
      <c r="M142" s="206"/>
      <c r="N142" s="81"/>
      <c r="O142" s="783">
        <f t="shared" ca="1" si="126"/>
        <v>0.33863636363636368</v>
      </c>
      <c r="P142" s="783">
        <f t="shared" ca="1" si="127"/>
        <v>1.4154999999999999E-2</v>
      </c>
      <c r="Q142" s="81">
        <f t="shared" ca="1" si="128"/>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6"/>
        <v>0.3</v>
      </c>
      <c r="Y142" s="81">
        <f t="shared" ca="1" si="129"/>
        <v>7</v>
      </c>
      <c r="Z142" s="81">
        <f t="shared" ca="1" si="130"/>
        <v>2</v>
      </c>
      <c r="AA142" s="81">
        <f t="shared" ca="1" si="131"/>
        <v>1</v>
      </c>
      <c r="AB142" s="81">
        <f t="shared" ca="1" si="132"/>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4"/>
        <v>INDNWH</v>
      </c>
      <c r="J143" s="239">
        <f t="shared" si="115"/>
        <v>2050</v>
      </c>
      <c r="K143" s="81"/>
      <c r="L143" s="206">
        <f t="shared" ca="1" si="125"/>
        <v>0.94</v>
      </c>
      <c r="M143" s="206"/>
      <c r="N143" s="81"/>
      <c r="O143" s="783">
        <f t="shared" ca="1" si="126"/>
        <v>0.33863636363636368</v>
      </c>
      <c r="P143" s="783">
        <f t="shared" ca="1" si="127"/>
        <v>1.2664999999999999E-2</v>
      </c>
      <c r="Q143" s="81">
        <f t="shared" ca="1" si="128"/>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6"/>
        <v>0.3</v>
      </c>
      <c r="Y143" s="81">
        <f t="shared" ca="1" si="129"/>
        <v>6</v>
      </c>
      <c r="Z143" s="81">
        <f t="shared" ca="1" si="130"/>
        <v>2</v>
      </c>
      <c r="AA143" s="81">
        <f t="shared" ca="1" si="131"/>
        <v>1</v>
      </c>
      <c r="AB143" s="81">
        <f t="shared" ca="1" si="132"/>
        <v>0.1</v>
      </c>
      <c r="AC143" s="55"/>
      <c r="AD143" s="81">
        <v>2050</v>
      </c>
      <c r="AE143" s="81"/>
      <c r="AF143" s="760"/>
    </row>
    <row r="144" spans="2:32">
      <c r="B144" s="778" t="s">
        <v>1135</v>
      </c>
      <c r="C144" s="241"/>
      <c r="D144" s="223" t="str">
        <f ca="1">IF(T144=0,"*",IF(T144&gt;0,"IND"&amp;RIGHT(H144,4)&amp;RIGHT(G144,3)&amp;"N"&amp;RIGHT(E144,1),""))</f>
        <v>INDNDMTDH2N2</v>
      </c>
      <c r="E144" s="767" t="str">
        <f>"Industrial heating technology "&amp;$AJ$12&amp;" "&amp;RIGHT(H144,2)&amp;" - Gas boiler (Steam - condensing) - new 2"</f>
        <v>Industrial heating technology N MT - Gas boiler (Steam - condensing) - new 2</v>
      </c>
      <c r="F144" s="239" t="s">
        <v>1274</v>
      </c>
      <c r="G144" s="176" t="s">
        <v>1438</v>
      </c>
      <c r="H144" s="768" t="str">
        <f>$AI$14</f>
        <v>INDMT</v>
      </c>
      <c r="I144" s="768" t="str">
        <f t="shared" si="114"/>
        <v>INDNWH</v>
      </c>
      <c r="J144" s="239">
        <f t="shared" si="115"/>
        <v>2011</v>
      </c>
      <c r="K144" s="332">
        <f>J144</f>
        <v>2011</v>
      </c>
      <c r="L144" s="206">
        <f t="shared" ref="L144:L149" ca="1" si="133">VLOOKUP($AD144,INDIRECT("'"&amp;$B144&amp;"'!"&amp;"$P$118:$AD$121"),3,FALSE)</f>
        <v>1.01</v>
      </c>
      <c r="M144" s="206"/>
      <c r="N144" s="81">
        <f ca="1">VLOOKUP($AD144,INDIRECT("'"&amp;$B144&amp;"'!"&amp;"$P$118:$AD$121"),5,FALSE)</f>
        <v>25</v>
      </c>
      <c r="O144" s="783">
        <f t="shared" ref="O144:O149" ca="1" si="134">VLOOKUP($AD144,INDIRECT("'"&amp;$B144&amp;"'!"&amp;"$P$118:$AD$121"),6,FALSE)/1000</f>
        <v>0.44700000000000001</v>
      </c>
      <c r="P144" s="783">
        <f t="shared" ref="P144:P149" ca="1" si="135">VLOOKUP($AD144,INDIRECT("'"&amp;$B144&amp;"'!"&amp;"$P$118:$AD$121"),7,FALSE)/1000</f>
        <v>1.49E-2</v>
      </c>
      <c r="Q144" s="81">
        <f t="shared" ref="Q144:Q149" ca="1" si="136">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6"/>
        <v>0.3</v>
      </c>
      <c r="Y144" s="758">
        <f t="shared" ref="Y144:Y149" ca="1" si="137">VLOOKUP($AD144,INDIRECT("'"&amp;$B144&amp;"'!"&amp;"$P$118:$AD$121"),12,FALSE)</f>
        <v>9</v>
      </c>
      <c r="Z144" s="758">
        <f t="shared" ref="Z144:Z149" ca="1" si="138">VLOOKUP($AD144,INDIRECT("'"&amp;$B144&amp;"'!"&amp;"$P$118:$AD$121"),13,FALSE)</f>
        <v>3</v>
      </c>
      <c r="AA144" s="758">
        <f t="shared" ref="AA144:AA149" ca="1" si="139">VLOOKUP($AD144,INDIRECT("'"&amp;$B144&amp;"'!"&amp;"$P$118:$AD$121"),14,FALSE)</f>
        <v>1</v>
      </c>
      <c r="AB144" s="758">
        <f t="shared" ref="AB144:AB149" ca="1" si="140">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4"/>
        <v>INDNWH</v>
      </c>
      <c r="J145" s="239">
        <f t="shared" si="115"/>
        <v>2030</v>
      </c>
      <c r="K145" s="81"/>
      <c r="L145" s="206">
        <f t="shared" ca="1" si="133"/>
        <v>1.03</v>
      </c>
      <c r="M145" s="206"/>
      <c r="N145" s="81"/>
      <c r="O145" s="783">
        <f t="shared" ca="1" si="134"/>
        <v>0.37250000000000005</v>
      </c>
      <c r="P145" s="783">
        <f t="shared" ca="1" si="135"/>
        <v>1.4154999999999999E-2</v>
      </c>
      <c r="Q145" s="81">
        <f t="shared" ca="1" si="136"/>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6"/>
        <v>0.3</v>
      </c>
      <c r="Y145" s="758">
        <f t="shared" ca="1" si="137"/>
        <v>7</v>
      </c>
      <c r="Z145" s="758">
        <f t="shared" ca="1" si="138"/>
        <v>2</v>
      </c>
      <c r="AA145" s="758">
        <f t="shared" ca="1" si="139"/>
        <v>1</v>
      </c>
      <c r="AB145" s="758">
        <f t="shared" ca="1" si="140"/>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4"/>
        <v>INDNWH</v>
      </c>
      <c r="J146" s="239">
        <f t="shared" si="115"/>
        <v>2050</v>
      </c>
      <c r="K146" s="81"/>
      <c r="L146" s="206">
        <f t="shared" ca="1" si="133"/>
        <v>1.03</v>
      </c>
      <c r="M146" s="206"/>
      <c r="N146" s="81"/>
      <c r="O146" s="783">
        <f t="shared" ca="1" si="134"/>
        <v>0.37250000000000005</v>
      </c>
      <c r="P146" s="783">
        <f t="shared" ca="1" si="135"/>
        <v>1.2664999999999999E-2</v>
      </c>
      <c r="Q146" s="81">
        <f t="shared" ca="1" si="136"/>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6"/>
        <v>0.3</v>
      </c>
      <c r="Y146" s="758">
        <f t="shared" ca="1" si="137"/>
        <v>6</v>
      </c>
      <c r="Z146" s="758">
        <f t="shared" ca="1" si="138"/>
        <v>2</v>
      </c>
      <c r="AA146" s="758">
        <f t="shared" ca="1" si="139"/>
        <v>1</v>
      </c>
      <c r="AB146" s="758">
        <f t="shared" ca="1" si="140"/>
        <v>0.1</v>
      </c>
      <c r="AC146" s="211"/>
      <c r="AD146" s="81">
        <v>2050</v>
      </c>
      <c r="AE146" s="81"/>
      <c r="AF146" s="765"/>
    </row>
    <row r="147" spans="1:32">
      <c r="A147" s="241"/>
      <c r="B147" s="778" t="s">
        <v>1135</v>
      </c>
      <c r="C147" s="241"/>
      <c r="D147" s="223" t="str">
        <f ca="1">IF(T147=0,"*",IF(T147&gt;0,"IND"&amp;RIGHT(H147,4)&amp;RIGHT(G147,3)&amp;"N"&amp;RIGHT(E147,1),""))</f>
        <v>INDNDRHDH2N2</v>
      </c>
      <c r="E147" s="278" t="str">
        <f>"Industrial heating technology "&amp;$AJ$12&amp;" "&amp;RIGHT(H147,2)&amp;" - Gas boiler (Steam - condensing) - new 2"</f>
        <v>Industrial heating technology N RH - Gas boiler (Steam - condensing) - new 2</v>
      </c>
      <c r="F147" s="239" t="s">
        <v>1274</v>
      </c>
      <c r="G147" s="176" t="s">
        <v>1438</v>
      </c>
      <c r="H147" s="177" t="str">
        <f>$AI$15</f>
        <v>INDRH</v>
      </c>
      <c r="I147" s="177" t="str">
        <f t="shared" si="114"/>
        <v>INDNWH</v>
      </c>
      <c r="J147" s="239">
        <f t="shared" si="115"/>
        <v>2011</v>
      </c>
      <c r="K147" s="332">
        <f>J147</f>
        <v>2011</v>
      </c>
      <c r="L147" s="206">
        <f t="shared" ca="1" si="133"/>
        <v>1.01</v>
      </c>
      <c r="M147" s="206"/>
      <c r="N147" s="81">
        <f ca="1">VLOOKUP($AD147,INDIRECT("'"&amp;$B147&amp;"'!"&amp;"$P$118:$AD$121"),5,FALSE)</f>
        <v>25</v>
      </c>
      <c r="O147" s="783">
        <f t="shared" ca="1" si="134"/>
        <v>0.44700000000000001</v>
      </c>
      <c r="P147" s="783">
        <f t="shared" ca="1" si="135"/>
        <v>1.49E-2</v>
      </c>
      <c r="Q147" s="81">
        <f t="shared" ca="1" si="136"/>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6"/>
        <v>0.3</v>
      </c>
      <c r="Y147" s="758">
        <f t="shared" ca="1" si="137"/>
        <v>9</v>
      </c>
      <c r="Z147" s="758">
        <f t="shared" ca="1" si="138"/>
        <v>3</v>
      </c>
      <c r="AA147" s="758">
        <f t="shared" ca="1" si="139"/>
        <v>1</v>
      </c>
      <c r="AB147" s="758">
        <f t="shared" ca="1" si="140"/>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4"/>
        <v>INDNWH</v>
      </c>
      <c r="J148" s="239">
        <f t="shared" si="115"/>
        <v>2030</v>
      </c>
      <c r="K148" s="81"/>
      <c r="L148" s="206">
        <f t="shared" ca="1" si="133"/>
        <v>1.03</v>
      </c>
      <c r="M148" s="206"/>
      <c r="N148" s="81"/>
      <c r="O148" s="783">
        <f t="shared" ca="1" si="134"/>
        <v>0.37250000000000005</v>
      </c>
      <c r="P148" s="783">
        <f t="shared" ca="1" si="135"/>
        <v>1.4154999999999999E-2</v>
      </c>
      <c r="Q148" s="81">
        <f t="shared" ca="1" si="136"/>
        <v>2.0694444444444446</v>
      </c>
      <c r="R148" s="333"/>
      <c r="S148" s="333"/>
      <c r="T148" s="333"/>
      <c r="U148" s="333"/>
      <c r="V148" s="759">
        <f ca="1">IF(IF(RIGHT(H147,2)="MT",(1-L148)+$W$2,IF(RIGHT(H147,2)="HT",(1-L148)+$W$1,IF(RIGHT(H147,2)="RH",(1-L148)+$W$3,"")))&lt;0,0,IF(RIGHT(H147,2)="MT",(1-L148)+$W$2,IF(RIGHT(H147,2)="HT",(1-L148)+$W$1,IF(RIGHT(H147,2)="RH",(1-L148)+$W$3,""))))</f>
        <v>0</v>
      </c>
      <c r="W148" s="331"/>
      <c r="X148" s="758">
        <f t="shared" ca="1" si="116"/>
        <v>0.3</v>
      </c>
      <c r="Y148" s="758">
        <f t="shared" ca="1" si="137"/>
        <v>7</v>
      </c>
      <c r="Z148" s="758">
        <f t="shared" ca="1" si="138"/>
        <v>2</v>
      </c>
      <c r="AA148" s="758">
        <f t="shared" ca="1" si="139"/>
        <v>1</v>
      </c>
      <c r="AB148" s="758">
        <f t="shared" ca="1" si="140"/>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4"/>
        <v>INDNWH</v>
      </c>
      <c r="J149" s="239">
        <f t="shared" si="115"/>
        <v>2050</v>
      </c>
      <c r="K149" s="81"/>
      <c r="L149" s="206">
        <f t="shared" ca="1" si="133"/>
        <v>1.03</v>
      </c>
      <c r="M149" s="206"/>
      <c r="N149" s="81"/>
      <c r="O149" s="783">
        <f t="shared" ca="1" si="134"/>
        <v>0.37250000000000005</v>
      </c>
      <c r="P149" s="783">
        <f t="shared" ca="1" si="135"/>
        <v>1.2664999999999999E-2</v>
      </c>
      <c r="Q149" s="81">
        <f t="shared" ca="1" si="136"/>
        <v>2.0694444444444446</v>
      </c>
      <c r="R149" s="763"/>
      <c r="S149" s="763"/>
      <c r="T149" s="763"/>
      <c r="U149" s="763"/>
      <c r="V149" s="759">
        <f ca="1">IF(IF(RIGHT(H147,2)="MT",(1-L149)+$W$2,IF(RIGHT(H147,2)="HT",(1-L149)+$W$1,IF(RIGHT(H147,2)="RH",(1-L149)+$W$3,"")))&lt;0,0,IF(RIGHT(H147,2)="MT",(1-L149)+$W$2,IF(RIGHT(H147,2)="HT",(1-L149)+$W$1,IF(RIGHT(H147,2)="RH",(1-L149)+$W$3,""))))</f>
        <v>0</v>
      </c>
      <c r="W149" s="764"/>
      <c r="X149" s="758">
        <f t="shared" ca="1" si="116"/>
        <v>0.3</v>
      </c>
      <c r="Y149" s="758">
        <f t="shared" ca="1" si="137"/>
        <v>6</v>
      </c>
      <c r="Z149" s="758">
        <f t="shared" ca="1" si="138"/>
        <v>2</v>
      </c>
      <c r="AA149" s="758">
        <f t="shared" ca="1" si="139"/>
        <v>1</v>
      </c>
      <c r="AB149" s="758">
        <f t="shared" ca="1" si="140"/>
        <v>0.1</v>
      </c>
      <c r="AC149" s="55"/>
      <c r="AD149" s="81">
        <v>2050</v>
      </c>
      <c r="AE149" s="81"/>
      <c r="AF149" s="760"/>
    </row>
    <row r="150" spans="1:32">
      <c r="A150" s="241"/>
      <c r="B150" s="778" t="s">
        <v>1135</v>
      </c>
      <c r="C150" s="241"/>
      <c r="D150" s="223" t="str">
        <f ca="1">IF(T150=0,"*",IF(T150&gt;0,"IND"&amp;RIGHT(H150,4)&amp;RIGHT(G150,3)&amp;"N"&amp;RIGHT(E150,1),""))</f>
        <v>INDNDMTDH2N3</v>
      </c>
      <c r="E150" s="767" t="str">
        <f>"Industrial heating technology "&amp;$AJ$12&amp;" "&amp;RIGHT(H150,2)&amp;" - Gas boiler (Hot Water) - new 3"</f>
        <v>Industrial heating technology N MT - Gas boiler (Hot Water) - new 3</v>
      </c>
      <c r="F150" s="239" t="s">
        <v>1274</v>
      </c>
      <c r="G150" s="176" t="s">
        <v>1438</v>
      </c>
      <c r="H150" s="768" t="str">
        <f>$AI$14</f>
        <v>INDMT</v>
      </c>
      <c r="I150" s="768" t="str">
        <f t="shared" si="114"/>
        <v>INDNWH</v>
      </c>
      <c r="J150" s="239">
        <f t="shared" si="115"/>
        <v>2011</v>
      </c>
      <c r="K150" s="332">
        <f>J150</f>
        <v>2011</v>
      </c>
      <c r="L150" s="206">
        <f t="shared" ref="L150:L155" ca="1" si="141">VLOOKUP($AD150,INDIRECT("'"&amp;$B150&amp;"'!"&amp;"$P$200:$AD$203"),3,FALSE)</f>
        <v>0.93</v>
      </c>
      <c r="M150" s="206"/>
      <c r="N150" s="81">
        <f ca="1">VLOOKUP($AD150,INDIRECT("'"&amp;$B150&amp;"'!"&amp;"$P$200:$AD$203"),5,FALSE)</f>
        <v>25</v>
      </c>
      <c r="O150" s="783">
        <f t="shared" ref="O150:O155" ca="1" si="142">VLOOKUP($AD150,INDIRECT("'"&amp;$B150&amp;"'!"&amp;"$P$200:$AD$203"),6,FALSE)/1000</f>
        <v>0.3250909090909091</v>
      </c>
      <c r="P150" s="783">
        <f t="shared" ref="P150:P155" ca="1" si="143">VLOOKUP($AD150,INDIRECT("'"&amp;$B150&amp;"'!"&amp;"$P$200:$AD$203"),7,FALSE)/1000</f>
        <v>1.49E-2</v>
      </c>
      <c r="Q150" s="81">
        <f t="shared" ref="Q150:Q155" ca="1" si="144">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6"/>
        <v>0.3</v>
      </c>
      <c r="Y150" s="758">
        <f t="shared" ref="Y150:Y155" ca="1" si="145">VLOOKUP($AD150,INDIRECT("'"&amp;$B150&amp;"'!"&amp;"$P$200:$AD$203"),12,FALSE)</f>
        <v>9</v>
      </c>
      <c r="Z150" s="758">
        <f t="shared" ref="Z150:Z155" ca="1" si="146">VLOOKUP($AD150,INDIRECT("'"&amp;$B150&amp;"'!"&amp;"$P$200:$AD$203"),13,FALSE)</f>
        <v>3</v>
      </c>
      <c r="AA150" s="758">
        <f t="shared" ref="AA150:AA155" ca="1" si="147">VLOOKUP($AD150,INDIRECT("'"&amp;$B150&amp;"'!"&amp;"$P$200:$AD$203"),14,FALSE)</f>
        <v>1</v>
      </c>
      <c r="AB150" s="758">
        <f t="shared" ref="AB150:AB155" ca="1" si="148">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4"/>
        <v>INDNWH</v>
      </c>
      <c r="J151" s="239">
        <f t="shared" si="115"/>
        <v>2030</v>
      </c>
      <c r="K151" s="81"/>
      <c r="L151" s="206">
        <f t="shared" ca="1" si="141"/>
        <v>0.94</v>
      </c>
      <c r="M151" s="206"/>
      <c r="N151" s="81"/>
      <c r="O151" s="783">
        <f t="shared" ca="1" si="142"/>
        <v>0.27090909090909093</v>
      </c>
      <c r="P151" s="783">
        <f t="shared" ca="1" si="143"/>
        <v>1.4154999999999999E-2</v>
      </c>
      <c r="Q151" s="81">
        <f t="shared" ca="1" si="144"/>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6"/>
        <v>0.3</v>
      </c>
      <c r="Y151" s="758">
        <f t="shared" ca="1" si="145"/>
        <v>7</v>
      </c>
      <c r="Z151" s="758">
        <f t="shared" ca="1" si="146"/>
        <v>2</v>
      </c>
      <c r="AA151" s="758">
        <f t="shared" ca="1" si="147"/>
        <v>1</v>
      </c>
      <c r="AB151" s="758">
        <f t="shared" ca="1" si="148"/>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4"/>
        <v>INDNWH</v>
      </c>
      <c r="J152" s="239">
        <f t="shared" si="115"/>
        <v>2050</v>
      </c>
      <c r="K152" s="81"/>
      <c r="L152" s="206">
        <f t="shared" ca="1" si="141"/>
        <v>0.95</v>
      </c>
      <c r="M152" s="206"/>
      <c r="N152" s="81"/>
      <c r="O152" s="783">
        <f t="shared" ca="1" si="142"/>
        <v>0.27090909090909093</v>
      </c>
      <c r="P152" s="783">
        <f t="shared" ca="1" si="143"/>
        <v>1.2664999999999999E-2</v>
      </c>
      <c r="Q152" s="81">
        <f t="shared" ca="1" si="144"/>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6"/>
        <v>0.3</v>
      </c>
      <c r="Y152" s="758">
        <f t="shared" ca="1" si="145"/>
        <v>6</v>
      </c>
      <c r="Z152" s="758">
        <f t="shared" ca="1" si="146"/>
        <v>2</v>
      </c>
      <c r="AA152" s="758">
        <f t="shared" ca="1" si="147"/>
        <v>1</v>
      </c>
      <c r="AB152" s="758">
        <f t="shared" ca="1" si="148"/>
        <v>0.1</v>
      </c>
      <c r="AC152" s="211"/>
      <c r="AD152" s="81">
        <v>2050</v>
      </c>
      <c r="AE152" s="81"/>
      <c r="AF152" s="765"/>
    </row>
    <row r="153" spans="1:32">
      <c r="B153" s="778" t="s">
        <v>1135</v>
      </c>
      <c r="C153" s="64"/>
      <c r="D153" s="223" t="str">
        <f ca="1">IF(T153=0,"*",IF(T153&gt;0,"IND"&amp;RIGHT(H153,4)&amp;RIGHT(G153,3)&amp;"N"&amp;RIGHT(E153,1),""))</f>
        <v>INDNDRHDH2N3</v>
      </c>
      <c r="E153" s="278" t="str">
        <f>"Industrial heating technology "&amp;$AJ$12&amp;" "&amp;RIGHT(H153,2)&amp;" - Gas boiler (Hot Water) - new 3"</f>
        <v>Industrial heating technology N RH - Gas boiler (Hot Water) - new 3</v>
      </c>
      <c r="F153" s="239" t="s">
        <v>1274</v>
      </c>
      <c r="G153" s="176" t="s">
        <v>1438</v>
      </c>
      <c r="H153" s="177" t="str">
        <f>$AI$15</f>
        <v>INDRH</v>
      </c>
      <c r="I153" s="177" t="str">
        <f t="shared" si="114"/>
        <v>INDNWH</v>
      </c>
      <c r="J153" s="239">
        <f t="shared" si="115"/>
        <v>2011</v>
      </c>
      <c r="K153" s="332">
        <f>J153</f>
        <v>2011</v>
      </c>
      <c r="L153" s="206">
        <f t="shared" ca="1" si="141"/>
        <v>0.93</v>
      </c>
      <c r="M153" s="206"/>
      <c r="N153" s="81">
        <f ca="1">VLOOKUP($AD153,INDIRECT("'"&amp;$B153&amp;"'!"&amp;"$P$200:$AD$203"),5,FALSE)</f>
        <v>25</v>
      </c>
      <c r="O153" s="783">
        <f t="shared" ca="1" si="142"/>
        <v>0.3250909090909091</v>
      </c>
      <c r="P153" s="783">
        <f t="shared" ca="1" si="143"/>
        <v>1.49E-2</v>
      </c>
      <c r="Q153" s="81">
        <f t="shared" ca="1" si="144"/>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6"/>
        <v>0.3</v>
      </c>
      <c r="Y153" s="758">
        <f t="shared" ca="1" si="145"/>
        <v>9</v>
      </c>
      <c r="Z153" s="758">
        <f t="shared" ca="1" si="146"/>
        <v>3</v>
      </c>
      <c r="AA153" s="758">
        <f t="shared" ca="1" si="147"/>
        <v>1</v>
      </c>
      <c r="AB153" s="758">
        <f t="shared" ca="1" si="148"/>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4"/>
        <v>INDNWH</v>
      </c>
      <c r="J154" s="239">
        <f t="shared" si="115"/>
        <v>2030</v>
      </c>
      <c r="K154" s="81"/>
      <c r="L154" s="206">
        <f t="shared" ca="1" si="141"/>
        <v>0.94</v>
      </c>
      <c r="M154" s="206"/>
      <c r="N154" s="81"/>
      <c r="O154" s="783">
        <f t="shared" ca="1" si="142"/>
        <v>0.27090909090909093</v>
      </c>
      <c r="P154" s="783">
        <f t="shared" ca="1" si="143"/>
        <v>1.4154999999999999E-2</v>
      </c>
      <c r="Q154" s="81">
        <f t="shared" ca="1" si="144"/>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6"/>
        <v>0.3</v>
      </c>
      <c r="Y154" s="758">
        <f t="shared" ca="1" si="145"/>
        <v>7</v>
      </c>
      <c r="Z154" s="758">
        <f t="shared" ca="1" si="146"/>
        <v>2</v>
      </c>
      <c r="AA154" s="758">
        <f t="shared" ca="1" si="147"/>
        <v>1</v>
      </c>
      <c r="AB154" s="758">
        <f t="shared" ca="1" si="148"/>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4"/>
        <v>INDNWH</v>
      </c>
      <c r="J155" s="239">
        <f t="shared" si="115"/>
        <v>2050</v>
      </c>
      <c r="K155" s="81"/>
      <c r="L155" s="206">
        <f t="shared" ca="1" si="141"/>
        <v>0.95</v>
      </c>
      <c r="M155" s="206"/>
      <c r="N155" s="81"/>
      <c r="O155" s="783">
        <f t="shared" ca="1" si="142"/>
        <v>0.27090909090909093</v>
      </c>
      <c r="P155" s="783">
        <f t="shared" ca="1" si="143"/>
        <v>1.2664999999999999E-2</v>
      </c>
      <c r="Q155" s="81">
        <f t="shared" ca="1" si="144"/>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6"/>
        <v>0.3</v>
      </c>
      <c r="Y155" s="758">
        <f t="shared" ca="1" si="145"/>
        <v>6</v>
      </c>
      <c r="Z155" s="758">
        <f t="shared" ca="1" si="146"/>
        <v>2</v>
      </c>
      <c r="AA155" s="758">
        <f t="shared" ca="1" si="147"/>
        <v>1</v>
      </c>
      <c r="AB155" s="758">
        <f t="shared" ca="1" si="148"/>
        <v>0.1</v>
      </c>
      <c r="AC155" s="55"/>
      <c r="AD155" s="81">
        <v>2050</v>
      </c>
      <c r="AE155" s="81"/>
      <c r="AF155" s="760"/>
    </row>
    <row r="156" spans="1:32">
      <c r="B156" s="778" t="s">
        <v>1135</v>
      </c>
      <c r="C156" s="64"/>
      <c r="D156" s="223" t="str">
        <f ca="1">IF(T156=0,"*",IF(T156&gt;0,"IND"&amp;RIGHT(H156,4)&amp;RIGHT(G156,3)&amp;"N"&amp;RIGHT(E156,1),""))</f>
        <v>INDNDMTDH2N4</v>
      </c>
      <c r="E156" s="767" t="str">
        <f>"Industrial heating technology "&amp;$AJ$12&amp;" "&amp;RIGHT(H156,2)&amp;" - Gas boiler (Hot Water - condensing) - new 4"</f>
        <v>Industrial heating technology N MT - Gas boiler (Hot Water - condensing) - new 4</v>
      </c>
      <c r="F156" s="239" t="s">
        <v>1274</v>
      </c>
      <c r="G156" s="176" t="s">
        <v>1438</v>
      </c>
      <c r="H156" s="768" t="str">
        <f>$AI$14</f>
        <v>INDMT</v>
      </c>
      <c r="I156" s="768" t="str">
        <f t="shared" si="114"/>
        <v>INDNWH</v>
      </c>
      <c r="J156" s="239">
        <f t="shared" si="115"/>
        <v>2011</v>
      </c>
      <c r="K156" s="332">
        <f>J156</f>
        <v>2011</v>
      </c>
      <c r="L156" s="206">
        <f t="shared" ref="L156:L161" ca="1" si="149">VLOOKUP($AD156,INDIRECT("'"&amp;$B156&amp;"'!"&amp;"$P$279:$AD$282"),3,FALSE)</f>
        <v>1.01</v>
      </c>
      <c r="M156" s="206"/>
      <c r="N156" s="81">
        <f ca="1">VLOOKUP($AD156,INDIRECT("'"&amp;$B156&amp;"'!"&amp;"$P$279:$AD$282"),5,FALSE)</f>
        <v>25</v>
      </c>
      <c r="O156" s="783">
        <f t="shared" ref="O156:O161" ca="1" si="150">VLOOKUP($AD156,INDIRECT("'"&amp;$B156&amp;"'!"&amp;"$P$279:$AD$282"),6,FALSE)/1000</f>
        <v>0.35760000000000003</v>
      </c>
      <c r="P156" s="783">
        <f t="shared" ref="P156:P161" ca="1" si="151">VLOOKUP($AD156,INDIRECT("'"&amp;$B156&amp;"'!"&amp;"$P$279:$AD$282"),7,FALSE)/1000</f>
        <v>1.49E-2</v>
      </c>
      <c r="Q156" s="81">
        <f t="shared" ref="Q156:Q161" ca="1" si="152">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6"/>
        <v>0.3</v>
      </c>
      <c r="Y156" s="758">
        <f t="shared" ref="Y156:Y161" ca="1" si="153">VLOOKUP($AD156,INDIRECT("'"&amp;$B156&amp;"'!"&amp;"$P$279:$AD$282"),12,FALSE)</f>
        <v>9</v>
      </c>
      <c r="Z156" s="758">
        <f t="shared" ref="Z156:Z161" ca="1" si="154">VLOOKUP($AD156,INDIRECT("'"&amp;$B156&amp;"'!"&amp;"$P$279:$AD$282"),13,FALSE)</f>
        <v>3</v>
      </c>
      <c r="AA156" s="758">
        <f t="shared" ref="AA156:AA161" ca="1" si="155">VLOOKUP($AD156,INDIRECT("'"&amp;$B156&amp;"'!"&amp;"$P$279:$AD$282"),14,FALSE)</f>
        <v>1</v>
      </c>
      <c r="AB156" s="758">
        <f t="shared" ref="AB156:AB161" ca="1" si="156">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4"/>
        <v>INDNWH</v>
      </c>
      <c r="J157" s="239">
        <f t="shared" si="115"/>
        <v>2030</v>
      </c>
      <c r="K157" s="81"/>
      <c r="L157" s="206">
        <f t="shared" ca="1" si="149"/>
        <v>1.03</v>
      </c>
      <c r="M157" s="206"/>
      <c r="N157" s="81"/>
      <c r="O157" s="783">
        <f t="shared" ca="1" si="150"/>
        <v>0.29800000000000004</v>
      </c>
      <c r="P157" s="783">
        <f t="shared" ca="1" si="151"/>
        <v>1.4154999999999999E-2</v>
      </c>
      <c r="Q157" s="81">
        <f t="shared" ca="1" si="152"/>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6"/>
        <v>0.3</v>
      </c>
      <c r="Y157" s="758">
        <f t="shared" ca="1" si="153"/>
        <v>7</v>
      </c>
      <c r="Z157" s="758">
        <f t="shared" ca="1" si="154"/>
        <v>2</v>
      </c>
      <c r="AA157" s="758">
        <f t="shared" ca="1" si="155"/>
        <v>1</v>
      </c>
      <c r="AB157" s="758">
        <f t="shared" ca="1" si="156"/>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4"/>
        <v>INDNWH</v>
      </c>
      <c r="J158" s="239">
        <f t="shared" si="115"/>
        <v>2050</v>
      </c>
      <c r="K158" s="81"/>
      <c r="L158" s="206">
        <f t="shared" ca="1" si="149"/>
        <v>1.03</v>
      </c>
      <c r="M158" s="206"/>
      <c r="N158" s="81"/>
      <c r="O158" s="783">
        <f t="shared" ca="1" si="150"/>
        <v>0.29800000000000004</v>
      </c>
      <c r="P158" s="783">
        <f t="shared" ca="1" si="151"/>
        <v>1.2664999999999999E-2</v>
      </c>
      <c r="Q158" s="81">
        <f t="shared" ca="1" si="152"/>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6"/>
        <v>0.3</v>
      </c>
      <c r="Y158" s="758">
        <f t="shared" ca="1" si="153"/>
        <v>6</v>
      </c>
      <c r="Z158" s="758">
        <f t="shared" ca="1" si="154"/>
        <v>2</v>
      </c>
      <c r="AA158" s="758">
        <f t="shared" ca="1" si="155"/>
        <v>1</v>
      </c>
      <c r="AB158" s="758">
        <f t="shared" ca="1" si="156"/>
        <v>0.1</v>
      </c>
      <c r="AC158" s="211"/>
      <c r="AD158" s="81">
        <v>2050</v>
      </c>
      <c r="AE158" s="81"/>
      <c r="AF158" s="765"/>
    </row>
    <row r="159" spans="1:32">
      <c r="A159" s="241"/>
      <c r="B159" s="778" t="s">
        <v>1135</v>
      </c>
      <c r="C159" s="64"/>
      <c r="D159" s="223" t="str">
        <f ca="1">IF(T159=0,"*",IF(T159&gt;0,"IND"&amp;RIGHT(H159,4)&amp;RIGHT(G159,3)&amp;"N"&amp;RIGHT(E159,1),""))</f>
        <v>INDNDRHDH2N4</v>
      </c>
      <c r="E159" s="278" t="str">
        <f>"Industrial heating technology "&amp;$AJ$12&amp;" "&amp;RIGHT(H159,2)&amp;" - Gas boiler (Hot Water- condensing) - new 4"</f>
        <v>Industrial heating technology N RH - Gas boiler (Hot Water- condensing) - new 4</v>
      </c>
      <c r="F159" s="239" t="s">
        <v>1274</v>
      </c>
      <c r="G159" s="176" t="s">
        <v>1438</v>
      </c>
      <c r="H159" s="177" t="str">
        <f>$AI$15</f>
        <v>INDRH</v>
      </c>
      <c r="I159" s="177" t="str">
        <f t="shared" ref="I159:I182" si="157">$AI$20</f>
        <v>INDNWH</v>
      </c>
      <c r="J159" s="239">
        <f t="shared" ref="J159:J185" si="158">IF(AD159=2020,2011,AD159)</f>
        <v>2011</v>
      </c>
      <c r="K159" s="332">
        <f>J159</f>
        <v>2011</v>
      </c>
      <c r="L159" s="206">
        <f t="shared" ca="1" si="149"/>
        <v>1.01</v>
      </c>
      <c r="M159" s="206"/>
      <c r="N159" s="81">
        <f ca="1">VLOOKUP($AD159,INDIRECT("'"&amp;$B159&amp;"'!"&amp;"$P$279:$AD$282"),5,FALSE)</f>
        <v>25</v>
      </c>
      <c r="O159" s="783">
        <f t="shared" ca="1" si="150"/>
        <v>0.35760000000000003</v>
      </c>
      <c r="P159" s="783">
        <f t="shared" ca="1" si="151"/>
        <v>1.49E-2</v>
      </c>
      <c r="Q159" s="81">
        <f t="shared" ca="1" si="152"/>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59">IF(VLOOKUP($AD159,INDIRECT("'"&amp;$B159&amp;"'!"&amp;"$P$39:$AD$42"),11,FALSE)="Cf. the utilized electricity",0,VLOOKUP($AD159,INDIRECT("'"&amp;$B159&amp;"'!"&amp;"$P$39:$AD$42"),11,FALSE))</f>
        <v>0.3</v>
      </c>
      <c r="Y159" s="758">
        <f t="shared" ca="1" si="153"/>
        <v>9</v>
      </c>
      <c r="Z159" s="758">
        <f t="shared" ca="1" si="154"/>
        <v>3</v>
      </c>
      <c r="AA159" s="758">
        <f t="shared" ca="1" si="155"/>
        <v>1</v>
      </c>
      <c r="AB159" s="758">
        <f t="shared" ca="1" si="156"/>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7"/>
        <v>INDNWH</v>
      </c>
      <c r="J160" s="239">
        <f t="shared" si="158"/>
        <v>2030</v>
      </c>
      <c r="K160" s="81"/>
      <c r="L160" s="206">
        <f t="shared" ca="1" si="149"/>
        <v>1.03</v>
      </c>
      <c r="M160" s="206"/>
      <c r="N160" s="81"/>
      <c r="O160" s="783">
        <f t="shared" ca="1" si="150"/>
        <v>0.29800000000000004</v>
      </c>
      <c r="P160" s="783">
        <f t="shared" ca="1" si="151"/>
        <v>1.4154999999999999E-2</v>
      </c>
      <c r="Q160" s="81">
        <f t="shared" ca="1" si="152"/>
        <v>2.0694444444444446</v>
      </c>
      <c r="R160" s="333"/>
      <c r="S160" s="333"/>
      <c r="T160" s="333"/>
      <c r="U160" s="333"/>
      <c r="V160" s="759">
        <f ca="1">IF(IF(RIGHT(H159,2)="MT",(1-L160)+$W$2,IF(RIGHT(H159,2)="HT",(1-L160)+$W$1,IF(RIGHT(H159,2)="RH",(1-L160)+$W$3,"")))&lt;0,0,IF(RIGHT(H159,2)="MT",(1-L160)+$W$2,IF(RIGHT(H159,2)="HT",(1-L160)+$W$1,IF(RIGHT(H159,2)="RH",(1-L160)+$W$3,""))))</f>
        <v>0</v>
      </c>
      <c r="W160" s="331"/>
      <c r="X160" s="758">
        <f t="shared" ca="1" si="159"/>
        <v>0.3</v>
      </c>
      <c r="Y160" s="758">
        <f t="shared" ca="1" si="153"/>
        <v>7</v>
      </c>
      <c r="Z160" s="758">
        <f t="shared" ca="1" si="154"/>
        <v>2</v>
      </c>
      <c r="AA160" s="758">
        <f t="shared" ca="1" si="155"/>
        <v>1</v>
      </c>
      <c r="AB160" s="758">
        <f t="shared" ca="1" si="156"/>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7"/>
        <v>INDNWH</v>
      </c>
      <c r="J161" s="239">
        <f t="shared" si="158"/>
        <v>2050</v>
      </c>
      <c r="K161" s="81"/>
      <c r="L161" s="206">
        <f t="shared" ca="1" si="149"/>
        <v>1.03</v>
      </c>
      <c r="M161" s="206"/>
      <c r="N161" s="81"/>
      <c r="O161" s="783">
        <f t="shared" ca="1" si="150"/>
        <v>0.29800000000000004</v>
      </c>
      <c r="P161" s="783">
        <f t="shared" ca="1" si="151"/>
        <v>1.2664999999999999E-2</v>
      </c>
      <c r="Q161" s="81">
        <f t="shared" ca="1" si="152"/>
        <v>2.0694444444444446</v>
      </c>
      <c r="R161" s="333"/>
      <c r="S161" s="333"/>
      <c r="T161" s="333"/>
      <c r="U161" s="333"/>
      <c r="V161" s="759">
        <f ca="1">IF(IF(RIGHT(H159,2)="MT",(1-L161)+$W$2,IF(RIGHT(H159,2)="HT",(1-L161)+$W$1,IF(RIGHT(H159,2)="RH",(1-L161)+$W$3,"")))&lt;0,0,IF(RIGHT(H159,2)="MT",(1-L161)+$W$2,IF(RIGHT(H159,2)="HT",(1-L161)+$W$1,IF(RIGHT(H159,2)="RH",(1-L161)+$W$3,""))))</f>
        <v>0</v>
      </c>
      <c r="W161" s="774"/>
      <c r="X161" s="758">
        <f t="shared" ca="1" si="159"/>
        <v>0.3</v>
      </c>
      <c r="Y161" s="758">
        <f t="shared" ca="1" si="153"/>
        <v>6</v>
      </c>
      <c r="Z161" s="758">
        <f t="shared" ca="1" si="154"/>
        <v>2</v>
      </c>
      <c r="AA161" s="758">
        <f t="shared" ca="1" si="155"/>
        <v>1</v>
      </c>
      <c r="AB161" s="758">
        <f t="shared" ca="1" si="156"/>
        <v>0.1</v>
      </c>
      <c r="AC161" s="55"/>
      <c r="AD161" s="81">
        <v>2050</v>
      </c>
      <c r="AE161" s="81"/>
      <c r="AF161" s="760"/>
    </row>
    <row r="162" spans="1:32">
      <c r="B162" s="778" t="s">
        <v>1135</v>
      </c>
      <c r="C162" s="64"/>
      <c r="D162" s="223" t="str">
        <f ca="1">IF(T162=0,"*",IF(T162&gt;0,"IND"&amp;RIGHT(H162,4)&amp;RIGHT(G162,3)&amp;"N"&amp;RIGHT(E162,1),""))</f>
        <v>INDNDHTDH2N5</v>
      </c>
      <c r="E162" s="767" t="str">
        <f>"Industrial heating technology "&amp;$AJ$12&amp;" "&amp;RIGHT(H162,2)&amp;" - Gas boiler (Direct firing) - new 5"</f>
        <v>Industrial heating technology N HT - Gas boiler (Direct firing) - new 5</v>
      </c>
      <c r="F162" s="239" t="s">
        <v>1274</v>
      </c>
      <c r="G162" s="176" t="s">
        <v>1438</v>
      </c>
      <c r="H162" s="177" t="str">
        <f>$AI$13</f>
        <v>INDHT</v>
      </c>
      <c r="I162" s="177" t="str">
        <f t="shared" si="157"/>
        <v>INDNWH</v>
      </c>
      <c r="J162" s="239">
        <f t="shared" si="158"/>
        <v>2011</v>
      </c>
      <c r="K162" s="332">
        <f>J162</f>
        <v>2011</v>
      </c>
      <c r="L162" s="206">
        <f t="shared" ref="L162:L167" ca="1" si="160">VLOOKUP($AD162,INDIRECT("'"&amp;$B162&amp;"'!"&amp;"$P$345:$AD$348"),3,FALSE)</f>
        <v>1</v>
      </c>
      <c r="M162" s="206"/>
      <c r="N162" s="81">
        <f ca="1">VLOOKUP($AD162,INDIRECT("'"&amp;$B162&amp;"'!"&amp;"$P$345:$AD$348"),5,FALSE)</f>
        <v>15</v>
      </c>
      <c r="O162" s="783">
        <f t="shared" ref="O162:O167" ca="1" si="161">VLOOKUP($AD162,INDIRECT("'"&amp;$B162&amp;"'!"&amp;"$P$345:$AD$348"),6,FALSE)/1000</f>
        <v>0.11175</v>
      </c>
      <c r="P162" s="783">
        <f t="shared" ref="P162:P167" ca="1" si="162">VLOOKUP($AD162,INDIRECT("'"&amp;$B162&amp;"'!"&amp;"$P$345:$AD$348"),7,FALSE)/1000</f>
        <v>1.3545454545454561E-3</v>
      </c>
      <c r="Q162" s="81">
        <f t="shared" ref="Q162:Q167" ca="1" si="163">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59"/>
        <v>0.3</v>
      </c>
      <c r="Y162" s="758">
        <f t="shared" ref="Y162:Y167" ca="1" si="164">VLOOKUP($AD162,INDIRECT("'"&amp;$B162&amp;"'!"&amp;"$P$345:$AD$348"),12,FALSE)</f>
        <v>9</v>
      </c>
      <c r="Z162" s="758">
        <f t="shared" ref="Z162:Z167" ca="1" si="165">VLOOKUP($AD162,INDIRECT("'"&amp;$B162&amp;"'!"&amp;"$P$345:$AD$348"),13,FALSE)</f>
        <v>3</v>
      </c>
      <c r="AA162" s="758">
        <f t="shared" ref="AA162:AA167" ca="1" si="166">VLOOKUP($AD162,INDIRECT("'"&amp;$B162&amp;"'!"&amp;"$P$345:$AD$348"),14,FALSE)</f>
        <v>1</v>
      </c>
      <c r="AB162" s="758">
        <f t="shared" ref="AB162:AB167" ca="1" si="167">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7"/>
        <v>INDNWH</v>
      </c>
      <c r="J163" s="239">
        <f t="shared" si="158"/>
        <v>2030</v>
      </c>
      <c r="K163" s="81"/>
      <c r="L163" s="206">
        <f t="shared" ca="1" si="160"/>
        <v>1</v>
      </c>
      <c r="M163" s="206"/>
      <c r="N163" s="81"/>
      <c r="O163" s="783">
        <f t="shared" ca="1" si="161"/>
        <v>0.11175</v>
      </c>
      <c r="P163" s="783">
        <f t="shared" ca="1" si="162"/>
        <v>1.3206818181818161E-3</v>
      </c>
      <c r="Q163" s="81">
        <f t="shared" ca="1" si="163"/>
        <v>0.5742708333333334</v>
      </c>
      <c r="R163" s="333"/>
      <c r="S163" s="333"/>
      <c r="T163" s="333"/>
      <c r="U163" s="333"/>
      <c r="V163" s="759">
        <f ca="1">IF(IF(RIGHT(H162,2)="MT",(1-L163)+$W$2,IF(RIGHT(H162,2)="HT",(1-L163)+$W$1,IF(RIGHT(H162,2)="RH",(1-L163)+$W$3,"")))&lt;0,0,IF(RIGHT(H162,2)="MT",(1-L163)+$W$2,IF(RIGHT(H162,2)="HT",(1-L163)+$W$1,IF(RIGHT(H162,2)="RH",(1-L163)+$W$3,""))))</f>
        <v>0.3</v>
      </c>
      <c r="W163" s="331"/>
      <c r="X163" s="758">
        <f t="shared" ca="1" si="159"/>
        <v>0.3</v>
      </c>
      <c r="Y163" s="758">
        <f t="shared" ca="1" si="164"/>
        <v>7</v>
      </c>
      <c r="Z163" s="758">
        <f t="shared" ca="1" si="165"/>
        <v>2</v>
      </c>
      <c r="AA163" s="758">
        <f t="shared" ca="1" si="166"/>
        <v>1</v>
      </c>
      <c r="AB163" s="758">
        <f t="shared" ca="1" si="167"/>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7"/>
        <v>INDNWH</v>
      </c>
      <c r="J164" s="239">
        <f t="shared" si="158"/>
        <v>2050</v>
      </c>
      <c r="K164" s="81"/>
      <c r="L164" s="206">
        <f t="shared" ca="1" si="160"/>
        <v>1</v>
      </c>
      <c r="M164" s="206"/>
      <c r="N164" s="81"/>
      <c r="O164" s="783">
        <f t="shared" ca="1" si="161"/>
        <v>0.11175</v>
      </c>
      <c r="P164" s="783">
        <f t="shared" ca="1" si="162"/>
        <v>1.1513636363636396E-3</v>
      </c>
      <c r="Q164" s="81">
        <f t="shared" ca="1" si="163"/>
        <v>0.57944444444444443</v>
      </c>
      <c r="R164" s="333"/>
      <c r="S164" s="333"/>
      <c r="T164" s="333"/>
      <c r="U164" s="333"/>
      <c r="V164" s="759">
        <f ca="1">IF(IF(RIGHT(H162,2)="MT",(1-L164)+$W$2,IF(RIGHT(H162,2)="HT",(1-L164)+$W$1,IF(RIGHT(H162,2)="RH",(1-L164)+$W$3,"")))&lt;0,0,IF(RIGHT(H162,2)="MT",(1-L164)+$W$2,IF(RIGHT(H162,2)="HT",(1-L164)+$W$1,IF(RIGHT(H162,2)="RH",(1-L164)+$W$3,""))))</f>
        <v>0.3</v>
      </c>
      <c r="W164" s="331"/>
      <c r="X164" s="758">
        <f t="shared" ca="1" si="159"/>
        <v>0.3</v>
      </c>
      <c r="Y164" s="758">
        <f t="shared" ca="1" si="164"/>
        <v>6</v>
      </c>
      <c r="Z164" s="758">
        <f t="shared" ca="1" si="165"/>
        <v>2</v>
      </c>
      <c r="AA164" s="758">
        <f t="shared" ca="1" si="166"/>
        <v>1</v>
      </c>
      <c r="AB164" s="758">
        <f t="shared" ca="1" si="167"/>
        <v>0.1</v>
      </c>
      <c r="AC164" s="211"/>
      <c r="AD164" s="81">
        <v>2050</v>
      </c>
      <c r="AE164" s="81"/>
      <c r="AF164" s="760"/>
    </row>
    <row r="165" spans="1:32">
      <c r="B165" s="778" t="s">
        <v>1135</v>
      </c>
      <c r="C165" s="64"/>
      <c r="D165" s="223" t="str">
        <f ca="1">IF(T165=0,"*",IF(T165&gt;0,"IND"&amp;RIGHT(H165,4)&amp;RIGHT(G165,3)&amp;"N"&amp;RIGHT(E165,1),""))</f>
        <v>INDNDMTDH2N5</v>
      </c>
      <c r="E165" s="278" t="str">
        <f>"Industrial heating technology "&amp;$AJ$12&amp;" "&amp;RIGHT(H165,2)&amp;" - Gas boiler (Direct firing) - new 5"</f>
        <v>Industrial heating technology N MT - Gas boiler (Direct firing) - new 5</v>
      </c>
      <c r="F165" s="239" t="s">
        <v>1274</v>
      </c>
      <c r="G165" s="176" t="s">
        <v>1438</v>
      </c>
      <c r="H165" s="177" t="str">
        <f>$AI$14</f>
        <v>INDMT</v>
      </c>
      <c r="I165" s="781" t="str">
        <f t="shared" si="157"/>
        <v>INDNWH</v>
      </c>
      <c r="J165" s="239">
        <f t="shared" si="158"/>
        <v>2011</v>
      </c>
      <c r="K165" s="332">
        <f>J165</f>
        <v>2011</v>
      </c>
      <c r="L165" s="206">
        <f t="shared" ca="1" si="160"/>
        <v>1</v>
      </c>
      <c r="M165" s="206"/>
      <c r="N165" s="81">
        <f ca="1">VLOOKUP($AD165,INDIRECT("'"&amp;$B165&amp;"'!"&amp;"$P$279:$AD$282"),5,FALSE)</f>
        <v>25</v>
      </c>
      <c r="O165" s="783">
        <f t="shared" ca="1" si="161"/>
        <v>0.11175</v>
      </c>
      <c r="P165" s="783">
        <f t="shared" ca="1" si="162"/>
        <v>1.3545454545454561E-3</v>
      </c>
      <c r="Q165" s="81">
        <f t="shared" ca="1" si="163"/>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59"/>
        <v>0.3</v>
      </c>
      <c r="Y165" s="758">
        <f t="shared" ca="1" si="164"/>
        <v>9</v>
      </c>
      <c r="Z165" s="758">
        <f t="shared" ca="1" si="165"/>
        <v>3</v>
      </c>
      <c r="AA165" s="758">
        <f t="shared" ca="1" si="166"/>
        <v>1</v>
      </c>
      <c r="AB165" s="758">
        <f t="shared" ca="1" si="167"/>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7"/>
        <v>INDNWH</v>
      </c>
      <c r="J166" s="239">
        <f t="shared" si="158"/>
        <v>2030</v>
      </c>
      <c r="K166" s="81"/>
      <c r="L166" s="206">
        <f t="shared" ca="1" si="160"/>
        <v>1</v>
      </c>
      <c r="M166" s="206"/>
      <c r="N166" s="81"/>
      <c r="O166" s="783">
        <f t="shared" ca="1" si="161"/>
        <v>0.11175</v>
      </c>
      <c r="P166" s="783">
        <f t="shared" ca="1" si="162"/>
        <v>1.3206818181818161E-3</v>
      </c>
      <c r="Q166" s="81">
        <f t="shared" ca="1" si="163"/>
        <v>0.5742708333333334</v>
      </c>
      <c r="R166" s="333"/>
      <c r="S166" s="333"/>
      <c r="T166" s="333"/>
      <c r="U166" s="333"/>
      <c r="V166" s="759">
        <f ca="1">IF(IF(RIGHT(H165,2)="MT",(1-L166)+$W$2,IF(RIGHT(H165,2)="HT",(1-L166)+$W$1,IF(RIGHT(H165,2)="RH",(1-L166)+$W$3,"")))&lt;0,0,IF(RIGHT(H165,2)="MT",(1-L166)+$W$2,IF(RIGHT(H165,2)="HT",(1-L166)+$W$1,IF(RIGHT(H165,2)="RH",(1-L166)+$W$3,""))))</f>
        <v>0.2</v>
      </c>
      <c r="W166" s="331"/>
      <c r="X166" s="758">
        <f t="shared" ca="1" si="159"/>
        <v>0.3</v>
      </c>
      <c r="Y166" s="758">
        <f t="shared" ca="1" si="164"/>
        <v>7</v>
      </c>
      <c r="Z166" s="758">
        <f t="shared" ca="1" si="165"/>
        <v>2</v>
      </c>
      <c r="AA166" s="758">
        <f t="shared" ca="1" si="166"/>
        <v>1</v>
      </c>
      <c r="AB166" s="758">
        <f t="shared" ca="1" si="167"/>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7"/>
        <v>INDNWH</v>
      </c>
      <c r="J167" s="239">
        <f t="shared" si="158"/>
        <v>2050</v>
      </c>
      <c r="K167" s="81"/>
      <c r="L167" s="206">
        <f t="shared" ca="1" si="160"/>
        <v>1</v>
      </c>
      <c r="M167" s="206"/>
      <c r="N167" s="81"/>
      <c r="O167" s="783">
        <f t="shared" ca="1" si="161"/>
        <v>0.11175</v>
      </c>
      <c r="P167" s="783">
        <f t="shared" ca="1" si="162"/>
        <v>1.1513636363636396E-3</v>
      </c>
      <c r="Q167" s="81">
        <f t="shared" ca="1" si="163"/>
        <v>0.57944444444444443</v>
      </c>
      <c r="R167" s="782"/>
      <c r="S167" s="763"/>
      <c r="T167" s="763"/>
      <c r="U167" s="763"/>
      <c r="V167" s="759">
        <f ca="1">IF(IF(RIGHT(H165,2)="MT",(1-L167)+$W$2,IF(RIGHT(H165,2)="HT",(1-L167)+$W$1,IF(RIGHT(H165,2)="RH",(1-L167)+$W$3,"")))&lt;0,0,IF(RIGHT(H165,2)="MT",(1-L167)+$W$2,IF(RIGHT(H165,2)="HT",(1-L167)+$W$1,IF(RIGHT(H165,2)="RH",(1-L167)+$W$3,""))))</f>
        <v>0.2</v>
      </c>
      <c r="W167" s="774"/>
      <c r="X167" s="758">
        <f t="shared" ca="1" si="159"/>
        <v>0.3</v>
      </c>
      <c r="Y167" s="758">
        <f t="shared" ca="1" si="164"/>
        <v>6</v>
      </c>
      <c r="Z167" s="758">
        <f t="shared" ca="1" si="165"/>
        <v>2</v>
      </c>
      <c r="AA167" s="758">
        <f t="shared" ca="1" si="166"/>
        <v>1</v>
      </c>
      <c r="AB167" s="758">
        <f t="shared" ca="1" si="167"/>
        <v>0.1</v>
      </c>
      <c r="AD167" s="81">
        <v>2050</v>
      </c>
      <c r="AE167" s="290"/>
      <c r="AF167" s="888"/>
    </row>
    <row r="168" spans="1:32">
      <c r="A168" s="172"/>
      <c r="B168" s="778" t="s">
        <v>1224</v>
      </c>
      <c r="C168" s="241"/>
      <c r="D168" s="223" t="str">
        <f ca="1">IF(T168=0,"*",IF(T168&gt;0,"IND"&amp;RIGHT(H168,4)&amp;RIGHT(G168,3)&amp;"N"&amp;RIGHT(E168,1),""))</f>
        <v>INDNDHTCOAN1</v>
      </c>
      <c r="E168" s="278" t="str">
        <f>"Industrial heating technology "&amp;$AJ$12&amp;" "&amp;RIGHT(H168,2)&amp;" - Coal boiler (Steam) - new 1"</f>
        <v>Industrial heating technology N HT - Coal boiler (Steam) - new 1</v>
      </c>
      <c r="F168" s="239" t="s">
        <v>1274</v>
      </c>
      <c r="G168" s="55" t="s">
        <v>662</v>
      </c>
      <c r="H168" s="177" t="str">
        <f>$AI$13</f>
        <v>INDHT</v>
      </c>
      <c r="I168" s="177" t="str">
        <f t="shared" si="157"/>
        <v>INDNWH</v>
      </c>
      <c r="J168" s="239">
        <f t="shared" si="158"/>
        <v>2011</v>
      </c>
      <c r="K168" s="332">
        <f>J168</f>
        <v>2011</v>
      </c>
      <c r="L168" s="206">
        <f t="shared" ref="L168:L176" ca="1" si="168">VLOOKUP($AD168,INDIRECT("'"&amp;$B168&amp;"'!"&amp;"$P$39:$AD$42"),3,FALSE)</f>
        <v>0.89</v>
      </c>
      <c r="M168" s="759"/>
      <c r="N168" s="332">
        <f ca="1">VLOOKUP($AD168,INDIRECT("'"&amp;$B168&amp;"'!"&amp;"$P$39:$AD$42"),5,FALSE)</f>
        <v>25</v>
      </c>
      <c r="O168" s="785">
        <f t="shared" ref="O168:O176" ca="1" si="169">VLOOKUP($AD168,INDIRECT("'"&amp;$B168&amp;"'!"&amp;"$P$39:$AD$42"),6,FALSE)/1000</f>
        <v>3.7250000000000001</v>
      </c>
      <c r="P168" s="785">
        <f t="shared" ref="P168:P176" ca="1" si="170">VLOOKUP($AD168,INDIRECT("'"&amp;$B168&amp;"'!"&amp;"$P$39:$AD$42"),7,FALSE)/1000</f>
        <v>0.25106499999999998</v>
      </c>
      <c r="Q168" s="332">
        <f t="shared" ref="Q168:Q176" ca="1" si="171">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59"/>
        <v>8</v>
      </c>
      <c r="Y168" s="332">
        <f t="shared" ref="Y168:Y176" ca="1" si="172">VLOOKUP($AD168,INDIRECT("'"&amp;$B168&amp;"'!"&amp;"$P$39:$AD$42"),12,FALSE)</f>
        <v>35</v>
      </c>
      <c r="Z168" s="332">
        <f t="shared" ref="Z168:Z176" ca="1" si="173">VLOOKUP($AD168,INDIRECT("'"&amp;$B168&amp;"'!"&amp;"$P$39:$AD$42"),13,FALSE)</f>
        <v>1.5</v>
      </c>
      <c r="AA168" s="332">
        <f t="shared" ref="AA168:AA176" ca="1" si="174">VLOOKUP($AD168,INDIRECT("'"&amp;$B168&amp;"'!"&amp;"$P$39:$AD$42"),14,FALSE)</f>
        <v>0.8</v>
      </c>
      <c r="AB168" s="332">
        <f t="shared" ref="AB168:AB176" ca="1" si="175">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7"/>
        <v>INDNWH</v>
      </c>
      <c r="J169" s="239">
        <f t="shared" si="158"/>
        <v>2030</v>
      </c>
      <c r="K169" s="81"/>
      <c r="L169" s="206">
        <f t="shared" ca="1" si="168"/>
        <v>0.89</v>
      </c>
      <c r="M169" s="832"/>
      <c r="N169" s="208"/>
      <c r="O169" s="785">
        <f t="shared" ca="1" si="169"/>
        <v>3.4699403462447704</v>
      </c>
      <c r="P169" s="785">
        <f t="shared" ca="1" si="170"/>
        <v>0.24287</v>
      </c>
      <c r="Q169" s="332">
        <f t="shared" ca="1" si="171"/>
        <v>3.9836805555555559</v>
      </c>
      <c r="R169" s="883"/>
      <c r="S169" s="333"/>
      <c r="T169" s="333"/>
      <c r="U169" s="333"/>
      <c r="V169" s="759">
        <f ca="1">IF(IF(RIGHT(H168,2)="MT",(1-L169)+$W$2,IF(RIGHT(H168,2)="HT",(1-L169)+$W$1,IF(RIGHT(H168,2)="RH",(1-L169)+$W$3,"")))&lt;0,0,IF(RIGHT(H168,2)="MT",(1-L169)+$W$2,IF(RIGHT(H168,2)="HT",(1-L169)+$W$1,IF(RIGHT(H168,2)="RH",(1-L169)+$W$3,""))))</f>
        <v>0.41</v>
      </c>
      <c r="W169" s="331"/>
      <c r="X169" s="758">
        <f t="shared" ca="1" si="159"/>
        <v>8</v>
      </c>
      <c r="Y169" s="332">
        <f t="shared" ca="1" si="172"/>
        <v>35</v>
      </c>
      <c r="Z169" s="332">
        <f t="shared" ca="1" si="173"/>
        <v>1.5</v>
      </c>
      <c r="AA169" s="332">
        <f t="shared" ca="1" si="174"/>
        <v>0.8</v>
      </c>
      <c r="AB169" s="332">
        <f t="shared" ca="1" si="175"/>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7"/>
        <v>INDNWH</v>
      </c>
      <c r="J170" s="239">
        <f t="shared" si="158"/>
        <v>2050</v>
      </c>
      <c r="K170" s="81"/>
      <c r="L170" s="206">
        <f t="shared" ca="1" si="168"/>
        <v>0.91</v>
      </c>
      <c r="M170" s="832"/>
      <c r="N170" s="208"/>
      <c r="O170" s="785">
        <f t="shared" ca="1" si="169"/>
        <v>3.2813985758696647</v>
      </c>
      <c r="P170" s="785">
        <f t="shared" ca="1" si="170"/>
        <v>0.22797000000000001</v>
      </c>
      <c r="Q170" s="332">
        <f t="shared" ca="1" si="171"/>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59"/>
        <v>8</v>
      </c>
      <c r="Y170" s="332">
        <f t="shared" ca="1" si="172"/>
        <v>35</v>
      </c>
      <c r="Z170" s="332">
        <f t="shared" ca="1" si="173"/>
        <v>1.5</v>
      </c>
      <c r="AA170" s="332">
        <f t="shared" ca="1" si="174"/>
        <v>0.8</v>
      </c>
      <c r="AB170" s="332">
        <f t="shared" ca="1" si="175"/>
        <v>2.1</v>
      </c>
      <c r="AD170" s="81">
        <v>2050</v>
      </c>
      <c r="AE170" s="290"/>
      <c r="AF170" s="888"/>
    </row>
    <row r="171" spans="1:32">
      <c r="A171" s="172"/>
      <c r="B171" s="778" t="s">
        <v>1224</v>
      </c>
      <c r="C171" s="241"/>
      <c r="D171" s="223" t="str">
        <f ca="1">IF(T171=0,"*",IF(T171&gt;0,"IND"&amp;RIGHT(H171,4)&amp;RIGHT(G171,3)&amp;"N"&amp;RIGHT(E171,1),""))</f>
        <v>INDNDMTCOAN1</v>
      </c>
      <c r="E171" s="278" t="str">
        <f>"Industrial heating technology "&amp;$AJ$12&amp;" "&amp;RIGHT(H171,2)&amp;" - Coal boiler (Steam) - new 1"</f>
        <v>Industrial heating technology N MT - Coal boiler (Steam) - new 1</v>
      </c>
      <c r="F171" s="239" t="s">
        <v>1274</v>
      </c>
      <c r="G171" s="55" t="s">
        <v>662</v>
      </c>
      <c r="H171" s="177" t="str">
        <f>$AI$14</f>
        <v>INDMT</v>
      </c>
      <c r="I171" s="177" t="str">
        <f t="shared" si="157"/>
        <v>INDNWH</v>
      </c>
      <c r="J171" s="239">
        <f t="shared" si="158"/>
        <v>2011</v>
      </c>
      <c r="K171" s="332">
        <f>J171</f>
        <v>2011</v>
      </c>
      <c r="L171" s="206">
        <f t="shared" ca="1" si="168"/>
        <v>0.89</v>
      </c>
      <c r="M171" s="206"/>
      <c r="N171" s="81">
        <f ca="1">VLOOKUP($AD171,INDIRECT("'"&amp;$B171&amp;"'!"&amp;"$P$39:$AD$42"),5,FALSE)</f>
        <v>25</v>
      </c>
      <c r="O171" s="785">
        <f t="shared" ca="1" si="169"/>
        <v>3.7250000000000001</v>
      </c>
      <c r="P171" s="785">
        <f t="shared" ca="1" si="170"/>
        <v>0.25106499999999998</v>
      </c>
      <c r="Q171" s="332">
        <f t="shared" ca="1" si="171"/>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59"/>
        <v>8</v>
      </c>
      <c r="Y171" s="332">
        <f t="shared" ca="1" si="172"/>
        <v>35</v>
      </c>
      <c r="Z171" s="332">
        <f t="shared" ca="1" si="173"/>
        <v>1.5</v>
      </c>
      <c r="AA171" s="332">
        <f t="shared" ca="1" si="174"/>
        <v>0.8</v>
      </c>
      <c r="AB171" s="332">
        <f t="shared" ca="1" si="175"/>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7"/>
        <v>INDNWH</v>
      </c>
      <c r="J172" s="239">
        <f t="shared" si="158"/>
        <v>2030</v>
      </c>
      <c r="K172" s="81"/>
      <c r="L172" s="206">
        <f t="shared" ca="1" si="168"/>
        <v>0.89</v>
      </c>
      <c r="M172" s="832"/>
      <c r="N172" s="208"/>
      <c r="O172" s="785">
        <f t="shared" ca="1" si="169"/>
        <v>3.4699403462447704</v>
      </c>
      <c r="P172" s="785">
        <f t="shared" ca="1" si="170"/>
        <v>0.24287</v>
      </c>
      <c r="Q172" s="332">
        <f t="shared" ca="1" si="171"/>
        <v>3.9836805555555559</v>
      </c>
      <c r="R172" s="883"/>
      <c r="S172" s="333"/>
      <c r="T172" s="333"/>
      <c r="U172" s="333"/>
      <c r="V172" s="759">
        <f ca="1">IF(IF(RIGHT(H171,2)="MT",(1-L172)+$W$2,IF(RIGHT(H171,2)="HT",(1-L172)+$W$1,IF(RIGHT(H171,2)="RH",(1-L172)+$W$3,"")))&lt;0,0,IF(RIGHT(H171,2)="MT",(1-L172)+$W$2,IF(RIGHT(H171,2)="HT",(1-L172)+$W$1,IF(RIGHT(H171,2)="RH",(1-L172)+$W$3,""))))</f>
        <v>0.31</v>
      </c>
      <c r="W172" s="331"/>
      <c r="X172" s="758">
        <f t="shared" ca="1" si="159"/>
        <v>8</v>
      </c>
      <c r="Y172" s="332">
        <f t="shared" ca="1" si="172"/>
        <v>35</v>
      </c>
      <c r="Z172" s="332">
        <f t="shared" ca="1" si="173"/>
        <v>1.5</v>
      </c>
      <c r="AA172" s="332">
        <f t="shared" ca="1" si="174"/>
        <v>0.8</v>
      </c>
      <c r="AB172" s="332">
        <f t="shared" ca="1" si="175"/>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7"/>
        <v>INDNWH</v>
      </c>
      <c r="J173" s="239">
        <f t="shared" si="158"/>
        <v>2050</v>
      </c>
      <c r="K173" s="81"/>
      <c r="L173" s="206">
        <f t="shared" ca="1" si="168"/>
        <v>0.91</v>
      </c>
      <c r="M173" s="832"/>
      <c r="N173" s="208"/>
      <c r="O173" s="785">
        <f t="shared" ca="1" si="169"/>
        <v>3.2813985758696647</v>
      </c>
      <c r="P173" s="785">
        <f t="shared" ca="1" si="170"/>
        <v>0.22797000000000001</v>
      </c>
      <c r="Q173" s="332">
        <f t="shared" ca="1" si="171"/>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59"/>
        <v>8</v>
      </c>
      <c r="Y173" s="332">
        <f t="shared" ca="1" si="172"/>
        <v>35</v>
      </c>
      <c r="Z173" s="332">
        <f t="shared" ca="1" si="173"/>
        <v>1.5</v>
      </c>
      <c r="AA173" s="332">
        <f t="shared" ca="1" si="174"/>
        <v>0.8</v>
      </c>
      <c r="AB173" s="332">
        <f t="shared" ca="1" si="175"/>
        <v>2.1</v>
      </c>
      <c r="AD173" s="81">
        <v>2050</v>
      </c>
      <c r="AE173" s="290"/>
      <c r="AF173" s="888"/>
    </row>
    <row r="174" spans="1:32">
      <c r="A174" s="172"/>
      <c r="B174" s="778" t="s">
        <v>1224</v>
      </c>
      <c r="C174" s="241"/>
      <c r="D174" s="223" t="str">
        <f ca="1">IF(T174=0,"*",IF(T174&gt;0,"IND"&amp;RIGHT(H174,4)&amp;RIGHT(G174,3)&amp;"N"&amp;RIGHT(E174,1),""))</f>
        <v>INDNDRHCOAN1</v>
      </c>
      <c r="E174" s="278" t="str">
        <f>"Industrial heating technology "&amp;$AJ$12&amp;" "&amp;RIGHT(H174,2)&amp;" - Coal boiler (Steam) - new 1"</f>
        <v>Industrial heating technology N RH - Coal boiler (Steam) - new 1</v>
      </c>
      <c r="F174" s="239" t="s">
        <v>1274</v>
      </c>
      <c r="G174" s="55" t="s">
        <v>662</v>
      </c>
      <c r="H174" s="177" t="str">
        <f>$AI$15</f>
        <v>INDRH</v>
      </c>
      <c r="I174" s="177" t="str">
        <f t="shared" si="157"/>
        <v>INDNWH</v>
      </c>
      <c r="J174" s="239">
        <f t="shared" si="158"/>
        <v>2011</v>
      </c>
      <c r="K174" s="332">
        <f>J174</f>
        <v>2011</v>
      </c>
      <c r="L174" s="206">
        <f t="shared" ca="1" si="168"/>
        <v>0.89</v>
      </c>
      <c r="M174" s="206"/>
      <c r="N174" s="81">
        <f ca="1">VLOOKUP($AD174,INDIRECT("'"&amp;$B174&amp;"'!"&amp;"$P$39:$AD$42"),5,FALSE)</f>
        <v>25</v>
      </c>
      <c r="O174" s="785">
        <f t="shared" ca="1" si="169"/>
        <v>3.7250000000000001</v>
      </c>
      <c r="P174" s="785">
        <f t="shared" ca="1" si="170"/>
        <v>0.25106499999999998</v>
      </c>
      <c r="Q174" s="332">
        <f t="shared" ca="1" si="171"/>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59"/>
        <v>8</v>
      </c>
      <c r="Y174" s="332">
        <f t="shared" ca="1" si="172"/>
        <v>35</v>
      </c>
      <c r="Z174" s="332">
        <f t="shared" ca="1" si="173"/>
        <v>1.5</v>
      </c>
      <c r="AA174" s="332">
        <f t="shared" ca="1" si="174"/>
        <v>0.8</v>
      </c>
      <c r="AB174" s="332">
        <f t="shared" ca="1" si="175"/>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7"/>
        <v>INDNWH</v>
      </c>
      <c r="J175" s="239">
        <f t="shared" si="158"/>
        <v>2030</v>
      </c>
      <c r="K175" s="81"/>
      <c r="L175" s="206">
        <f t="shared" ca="1" si="168"/>
        <v>0.89</v>
      </c>
      <c r="M175" s="832"/>
      <c r="N175" s="208"/>
      <c r="O175" s="785">
        <f t="shared" ca="1" si="169"/>
        <v>3.4699403462447704</v>
      </c>
      <c r="P175" s="785">
        <f t="shared" ca="1" si="170"/>
        <v>0.24287</v>
      </c>
      <c r="Q175" s="332">
        <f t="shared" ca="1" si="171"/>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59"/>
        <v>8</v>
      </c>
      <c r="Y175" s="332">
        <f t="shared" ca="1" si="172"/>
        <v>35</v>
      </c>
      <c r="Z175" s="332">
        <f t="shared" ca="1" si="173"/>
        <v>1.5</v>
      </c>
      <c r="AA175" s="332">
        <f t="shared" ca="1" si="174"/>
        <v>0.8</v>
      </c>
      <c r="AB175" s="332">
        <f t="shared" ca="1" si="175"/>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7"/>
        <v>INDNWH</v>
      </c>
      <c r="J176" s="239">
        <f t="shared" si="158"/>
        <v>2050</v>
      </c>
      <c r="K176" s="81"/>
      <c r="L176" s="206">
        <f t="shared" ca="1" si="168"/>
        <v>0.91</v>
      </c>
      <c r="M176" s="886"/>
      <c r="N176" s="885"/>
      <c r="O176" s="785">
        <f t="shared" ca="1" si="169"/>
        <v>3.2813985758696647</v>
      </c>
      <c r="P176" s="785">
        <f t="shared" ca="1" si="170"/>
        <v>0.22797000000000001</v>
      </c>
      <c r="Q176" s="332">
        <f t="shared" ca="1" si="171"/>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59"/>
        <v>8</v>
      </c>
      <c r="Y176" s="332">
        <f t="shared" ca="1" si="172"/>
        <v>35</v>
      </c>
      <c r="Z176" s="332">
        <f t="shared" ca="1" si="173"/>
        <v>1.5</v>
      </c>
      <c r="AA176" s="332">
        <f t="shared" ca="1" si="174"/>
        <v>0.8</v>
      </c>
      <c r="AB176" s="332">
        <f t="shared" ca="1" si="175"/>
        <v>2.1</v>
      </c>
      <c r="AC176" s="211"/>
      <c r="AD176" s="81">
        <v>2050</v>
      </c>
      <c r="AE176" s="290"/>
      <c r="AF176" s="889"/>
    </row>
    <row r="177" spans="1:32">
      <c r="A177" s="172"/>
      <c r="B177" s="778" t="s">
        <v>1224</v>
      </c>
      <c r="C177" s="241"/>
      <c r="D177" s="223" t="str">
        <f ca="1">IF(T177=0,"*",IF(T177&gt;0,"IND"&amp;RIGHT(H177,4)&amp;RIGHT(G177,3)&amp;"N"&amp;RIGHT(E177,1),""))</f>
        <v>INDNDMTCOAN2</v>
      </c>
      <c r="E177" s="278" t="str">
        <f>"Industrial heating technology "&amp;$AJ$12&amp;" "&amp;RIGHT(H177,2)&amp;" - Coal boiler (Hot Water) - new 2"</f>
        <v>Industrial heating technology N MT - Coal boiler (Hot Water) - new 2</v>
      </c>
      <c r="F177" s="239" t="s">
        <v>1274</v>
      </c>
      <c r="G177" s="55" t="s">
        <v>662</v>
      </c>
      <c r="H177" s="177" t="str">
        <f>$AI$14</f>
        <v>INDMT</v>
      </c>
      <c r="I177" s="177" t="str">
        <f t="shared" si="157"/>
        <v>INDNWH</v>
      </c>
      <c r="J177" s="239">
        <f t="shared" si="158"/>
        <v>2011</v>
      </c>
      <c r="K177" s="332">
        <f>J177</f>
        <v>2011</v>
      </c>
      <c r="L177" s="206">
        <f t="shared" ref="L177:L182" ca="1" si="176">VLOOKUP($AD177,INDIRECT("'"&amp;$B177&amp;"'!"&amp;"$P$118:$AD$121"),3,FALSE)</f>
        <v>0.89</v>
      </c>
      <c r="M177" s="206"/>
      <c r="N177" s="81">
        <f ca="1">VLOOKUP($AD177,INDIRECT("'"&amp;$B177&amp;"'!"&amp;"$P$118:$AD$121"),5,FALSE)</f>
        <v>25</v>
      </c>
      <c r="O177" s="783">
        <f t="shared" ref="O177:O182" ca="1" si="177">VLOOKUP($AD177,INDIRECT("'"&amp;$B177&amp;"'!"&amp;"$P$118:$AD$121"),6,FALSE)/1000</f>
        <v>3.7250000000000001</v>
      </c>
      <c r="P177" s="783">
        <f t="shared" ref="P177:P182" ca="1" si="178">VLOOKUP($AD177,INDIRECT("'"&amp;$B177&amp;"'!"&amp;"$P$118:$AD$121"),7,FALSE)/1000</f>
        <v>0.25106499999999998</v>
      </c>
      <c r="Q177" s="81">
        <f t="shared" ref="Q177:Q182" ca="1" si="179">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59"/>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7"/>
        <v>INDNWH</v>
      </c>
      <c r="J178" s="239">
        <f t="shared" si="158"/>
        <v>2030</v>
      </c>
      <c r="K178" s="81"/>
      <c r="L178" s="206">
        <f t="shared" ca="1" si="176"/>
        <v>0.89</v>
      </c>
      <c r="M178" s="832"/>
      <c r="N178" s="208"/>
      <c r="O178" s="783">
        <f t="shared" ca="1" si="177"/>
        <v>3.7250000000000001</v>
      </c>
      <c r="P178" s="783">
        <f t="shared" ca="1" si="178"/>
        <v>0.24287</v>
      </c>
      <c r="Q178" s="81">
        <f t="shared" ca="1" si="179"/>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7"/>
        <v>INDNWH</v>
      </c>
      <c r="J179" s="239">
        <f t="shared" si="158"/>
        <v>2050</v>
      </c>
      <c r="K179" s="81"/>
      <c r="L179" s="206">
        <f t="shared" ca="1" si="176"/>
        <v>0.91</v>
      </c>
      <c r="M179" s="832"/>
      <c r="N179" s="208"/>
      <c r="O179" s="783">
        <f t="shared" ca="1" si="177"/>
        <v>3.7250000000000001</v>
      </c>
      <c r="P179" s="783">
        <f t="shared" ca="1" si="178"/>
        <v>0.22797000000000001</v>
      </c>
      <c r="Q179" s="81">
        <f t="shared" ca="1" si="179"/>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INDNDRHCOAN2</v>
      </c>
      <c r="E180" s="278" t="str">
        <f>"Industrial heating technology "&amp;$AJ$12&amp;" "&amp;RIGHT(H180,2)&amp;" - Coal boiler (Hot Water) - new 2"</f>
        <v>Industrial heating technology N RH - Coal boiler (Hot Water) - new 2</v>
      </c>
      <c r="F180" s="239" t="s">
        <v>1274</v>
      </c>
      <c r="G180" s="55" t="s">
        <v>662</v>
      </c>
      <c r="H180" s="177" t="str">
        <f>$AI$15</f>
        <v>INDRH</v>
      </c>
      <c r="I180" s="177" t="str">
        <f t="shared" si="157"/>
        <v>INDNWH</v>
      </c>
      <c r="J180" s="239">
        <f t="shared" si="158"/>
        <v>2011</v>
      </c>
      <c r="K180" s="332">
        <f>J180</f>
        <v>2011</v>
      </c>
      <c r="L180" s="206">
        <f t="shared" ca="1" si="176"/>
        <v>0.89</v>
      </c>
      <c r="M180" s="206"/>
      <c r="N180" s="81">
        <f ca="1">VLOOKUP($AD180,INDIRECT("'"&amp;$B180&amp;"'!"&amp;"$P$118:$AD$121"),5,FALSE)</f>
        <v>25</v>
      </c>
      <c r="O180" s="783">
        <f t="shared" ca="1" si="177"/>
        <v>3.7250000000000001</v>
      </c>
      <c r="P180" s="783">
        <f t="shared" ca="1" si="178"/>
        <v>0.25106499999999998</v>
      </c>
      <c r="Q180" s="81">
        <f t="shared" ca="1" si="179"/>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7"/>
        <v>INDNWH</v>
      </c>
      <c r="J181" s="239">
        <f t="shared" si="158"/>
        <v>2030</v>
      </c>
      <c r="K181" s="208"/>
      <c r="L181" s="206">
        <f t="shared" ca="1" si="176"/>
        <v>0.89</v>
      </c>
      <c r="M181" s="832"/>
      <c r="N181" s="208"/>
      <c r="O181" s="783">
        <f t="shared" ca="1" si="177"/>
        <v>3.7250000000000001</v>
      </c>
      <c r="P181" s="783">
        <f t="shared" ca="1" si="178"/>
        <v>0.24287</v>
      </c>
      <c r="Q181" s="81">
        <f t="shared" ca="1" si="179"/>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7"/>
        <v>INDNWH</v>
      </c>
      <c r="J182" s="239">
        <f t="shared" si="158"/>
        <v>2050</v>
      </c>
      <c r="K182" s="885"/>
      <c r="L182" s="206">
        <f t="shared" ca="1" si="176"/>
        <v>0.91</v>
      </c>
      <c r="M182" s="886"/>
      <c r="N182" s="885"/>
      <c r="O182" s="783">
        <f t="shared" ca="1" si="177"/>
        <v>3.7250000000000001</v>
      </c>
      <c r="P182" s="783">
        <f t="shared" ca="1" si="178"/>
        <v>0.22797000000000001</v>
      </c>
      <c r="Q182" s="81">
        <f t="shared" ca="1" si="179"/>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INDNDRHSOLN1</v>
      </c>
      <c r="E183" s="278" t="str">
        <f>"Industrial heating technology "&amp;$AJ$12&amp;" "&amp;RIGHT(H183,2)&amp;" - Solar - new 1"</f>
        <v>Industrial heating technology N RH - Solar - new 1</v>
      </c>
      <c r="F183" s="239" t="s">
        <v>1274</v>
      </c>
      <c r="G183" s="55" t="s">
        <v>501</v>
      </c>
      <c r="H183" s="177" t="str">
        <f>$AI$15</f>
        <v>INDRH</v>
      </c>
      <c r="I183" s="177"/>
      <c r="J183" s="239">
        <f t="shared" si="158"/>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8"/>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8"/>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INDNDRHHCEN1</v>
      </c>
      <c r="E187" s="239" t="str">
        <f>"Industrial heating technology "&amp;$AJ$12&amp;" "&amp;RIGHT(H187,2)&amp;" - central district heating - within DH area - new 1"</f>
        <v>Industrial heating technology N RH - central district heating - within DH area - new 1</v>
      </c>
      <c r="F187" s="239" t="s">
        <v>1274</v>
      </c>
      <c r="G187" s="240" t="s">
        <v>502</v>
      </c>
      <c r="H187" s="240" t="str">
        <f>AI15</f>
        <v>INDRH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INDNDRHHDEN1</v>
      </c>
      <c r="E188" s="239" t="str">
        <f>"Industrial heating technology "&amp;$AJ$12&amp;" "&amp;RIGHT(H188,2)&amp;" - decentral district heating - within DH area - new 1"</f>
        <v>Industrial heating technology N RH - decentral district heating - within DH area - new 1</v>
      </c>
      <c r="F188" s="239" t="s">
        <v>1274</v>
      </c>
      <c r="G188" s="276" t="s">
        <v>503</v>
      </c>
      <c r="H188" s="282" t="str">
        <f>AI15</f>
        <v>INDRH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INDNDLAELCN1</v>
      </c>
      <c r="E190" s="239" t="str">
        <f>"Industry "&amp;$AJ$12&amp;" "&amp;RIGHT(H190,2)&amp;" Electricity Light Appliance - New 1"</f>
        <v>Industry N LA Electricity Light Appliance - New 1</v>
      </c>
      <c r="F190" s="239" t="s">
        <v>1274</v>
      </c>
      <c r="G190" s="240" t="s">
        <v>500</v>
      </c>
      <c r="H190" s="240" t="str">
        <f>AI16</f>
        <v>INDLA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INDNDEMELCN1</v>
      </c>
      <c r="E194" s="239" t="str">
        <f>"Industry "&amp;$AJ$12&amp;" "&amp;RIGHT(H194,2)&amp;" Electricity Motors - New 1"</f>
        <v>Industry N EM Electricity Motors - New 1</v>
      </c>
      <c r="F194" s="239" t="s">
        <v>1274</v>
      </c>
      <c r="G194" s="240" t="s">
        <v>500</v>
      </c>
      <c r="H194" s="240" t="str">
        <f>AI17</f>
        <v>INDEM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INDNDTFDSLN1</v>
      </c>
      <c r="E198" s="239" t="str">
        <f>"Industry "&amp;$AJ$12&amp;" "&amp;RIGHT(H198,2)&amp;" Tractors, Trucks, Fishing boats - New 1"</f>
        <v>Industry N TF Tractors, Trucks, Fishing boats - New 1</v>
      </c>
      <c r="F198" s="239" t="s">
        <v>1274</v>
      </c>
      <c r="G198" s="176" t="s">
        <v>1437</v>
      </c>
      <c r="H198" s="177" t="str">
        <f>AI18</f>
        <v>INDTF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INDNDFLDH2N1</v>
      </c>
      <c r="E202" s="239" t="str">
        <f>"Industry "&amp;$AJ$12&amp;" "&amp;RIGHT(H198,2)&amp;" Forklifts - New 1"</f>
        <v>Industry N TF Forklifts - New 1</v>
      </c>
      <c r="F202" s="239" t="s">
        <v>1274</v>
      </c>
      <c r="G202" s="176" t="s">
        <v>1438</v>
      </c>
      <c r="H202" s="239" t="str">
        <f>AI19</f>
        <v>INDFL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INDNDMTELCN1</v>
      </c>
      <c r="E213" s="223" t="str">
        <f t="shared" ref="E213:E244" ca="1" si="180">VLOOKUP(D213,$D$9:$E$206,2,FALSE)</f>
        <v>Industrial heating technology N MT - Heat pump utilizing waste heat - new 1</v>
      </c>
      <c r="F213" s="222" t="s">
        <v>450</v>
      </c>
      <c r="G213" s="222" t="s">
        <v>449</v>
      </c>
      <c r="H213" s="334" t="s">
        <v>665</v>
      </c>
      <c r="I213" s="334"/>
      <c r="J213" s="219" t="s">
        <v>469</v>
      </c>
    </row>
    <row r="214" spans="1:11">
      <c r="A214" s="172"/>
      <c r="B214" s="334"/>
      <c r="C214" s="222" t="str">
        <f t="shared" ref="C214:C268" ca="1" si="181">IF(D214="*","*","DMD")</f>
        <v>DMD</v>
      </c>
      <c r="D214" s="223" t="str">
        <f t="shared" ref="D214:D222" ca="1" si="182">OFFSET($D$9,(ROW(D1)*6),0)</f>
        <v>INDNDRHELCN1</v>
      </c>
      <c r="E214" s="223" t="str">
        <f t="shared" ca="1" si="180"/>
        <v>Industrial heating technology N RH - Heat pump utilizing waste heat - new 1</v>
      </c>
      <c r="F214" s="279" t="s">
        <v>450</v>
      </c>
      <c r="G214" s="279" t="s">
        <v>449</v>
      </c>
      <c r="H214" s="334" t="s">
        <v>665</v>
      </c>
      <c r="I214" s="334"/>
      <c r="J214" s="281" t="s">
        <v>469</v>
      </c>
    </row>
    <row r="215" spans="1:11">
      <c r="A215" s="172"/>
      <c r="C215" s="222" t="str">
        <f t="shared" ca="1" si="181"/>
        <v>*</v>
      </c>
      <c r="D215" s="223" t="str">
        <f t="shared" ca="1" si="182"/>
        <v>*</v>
      </c>
      <c r="E215" s="223" t="str">
        <f t="shared" ca="1" si="180"/>
        <v>Industrial heating technology N MT - Heat pump utilizing waste heat - new 1</v>
      </c>
      <c r="F215" s="222" t="s">
        <v>450</v>
      </c>
      <c r="G215" s="222" t="s">
        <v>449</v>
      </c>
      <c r="H215" s="334" t="s">
        <v>665</v>
      </c>
      <c r="I215" s="219"/>
      <c r="J215" s="281" t="s">
        <v>469</v>
      </c>
    </row>
    <row r="216" spans="1:11">
      <c r="A216" s="172"/>
      <c r="B216" s="222"/>
      <c r="C216" s="222" t="str">
        <f t="shared" ca="1" si="181"/>
        <v>DMD</v>
      </c>
      <c r="D216" s="223" t="str">
        <f t="shared" ca="1" si="182"/>
        <v>INDNDRHELCN2</v>
      </c>
      <c r="E216" s="223" t="str">
        <f t="shared" ca="1" si="180"/>
        <v>Industrial heating technology N RH - Heat driven heat pump utilizing waste heat - new 2</v>
      </c>
      <c r="F216" s="279" t="s">
        <v>450</v>
      </c>
      <c r="G216" s="279" t="s">
        <v>449</v>
      </c>
      <c r="H216" s="334" t="s">
        <v>665</v>
      </c>
      <c r="I216" s="281"/>
      <c r="J216" s="281" t="s">
        <v>469</v>
      </c>
    </row>
    <row r="217" spans="1:11">
      <c r="A217" s="172"/>
      <c r="B217" s="222"/>
      <c r="C217" s="222" t="str">
        <f t="shared" ca="1" si="181"/>
        <v>DMD</v>
      </c>
      <c r="D217" s="223" t="str">
        <f t="shared" ca="1" si="182"/>
        <v>INDNDMTELCN3</v>
      </c>
      <c r="E217" s="223" t="str">
        <f t="shared" ca="1" si="180"/>
        <v>Industrial heating technology N MT - High Temp abs. Heat pump utilizing waste heat - new 3</v>
      </c>
      <c r="F217" s="279" t="s">
        <v>450</v>
      </c>
      <c r="G217" s="279" t="s">
        <v>449</v>
      </c>
      <c r="H217" s="334" t="s">
        <v>665</v>
      </c>
      <c r="I217" s="281"/>
      <c r="J217" s="281" t="s">
        <v>469</v>
      </c>
    </row>
    <row r="218" spans="1:11">
      <c r="A218" s="172"/>
      <c r="B218" s="222"/>
      <c r="C218" s="222" t="str">
        <f t="shared" ca="1" si="181"/>
        <v>DMD</v>
      </c>
      <c r="D218" s="223" t="str">
        <f t="shared" ca="1" si="182"/>
        <v>INDNDRHELCN3</v>
      </c>
      <c r="E218" s="223" t="str">
        <f t="shared" ca="1" si="180"/>
        <v>Industrial heating technology N RH - High Temp abs. Heat pump utilizing waste heat - new 3</v>
      </c>
      <c r="F218" s="279" t="s">
        <v>450</v>
      </c>
      <c r="G218" s="279" t="s">
        <v>449</v>
      </c>
      <c r="H218" s="334" t="s">
        <v>665</v>
      </c>
      <c r="I218" s="281"/>
      <c r="J218" s="281" t="s">
        <v>469</v>
      </c>
    </row>
    <row r="219" spans="1:11">
      <c r="A219" s="172"/>
      <c r="B219" s="222"/>
      <c r="C219" s="222" t="str">
        <f t="shared" ca="1" si="181"/>
        <v>DMD</v>
      </c>
      <c r="D219" s="223" t="str">
        <f t="shared" ca="1" si="182"/>
        <v>INDNDMTELCN4</v>
      </c>
      <c r="E219" s="223" t="str">
        <f t="shared" ca="1" si="180"/>
        <v>Industrial heating technology N MT - Booster Heat pump utilizing waste heat - new 4</v>
      </c>
      <c r="F219" s="279" t="s">
        <v>450</v>
      </c>
      <c r="G219" s="279" t="s">
        <v>449</v>
      </c>
      <c r="H219" s="334" t="s">
        <v>665</v>
      </c>
      <c r="I219" s="281"/>
      <c r="J219" s="281" t="s">
        <v>469</v>
      </c>
    </row>
    <row r="220" spans="1:11">
      <c r="A220" s="172"/>
      <c r="B220" s="222"/>
      <c r="C220" s="222" t="str">
        <f t="shared" ca="1" si="181"/>
        <v>DMD</v>
      </c>
      <c r="D220" s="223" t="str">
        <f t="shared" ca="1" si="182"/>
        <v>INDNDRHELCN4</v>
      </c>
      <c r="E220" s="223" t="str">
        <f t="shared" ca="1" si="180"/>
        <v>Industrial heating technology N RH - Booster Heat pump utilizing waste heat - new 4</v>
      </c>
      <c r="F220" s="279" t="s">
        <v>450</v>
      </c>
      <c r="G220" s="279" t="s">
        <v>449</v>
      </c>
      <c r="H220" s="334" t="s">
        <v>665</v>
      </c>
      <c r="I220" s="281"/>
      <c r="J220" s="281" t="s">
        <v>469</v>
      </c>
    </row>
    <row r="221" spans="1:11">
      <c r="A221" s="172"/>
      <c r="B221" s="222"/>
      <c r="C221" s="222" t="str">
        <f t="shared" ca="1" si="181"/>
        <v>DMD</v>
      </c>
      <c r="D221" s="223" t="str">
        <f t="shared" ca="1" si="182"/>
        <v>INDNDMTELCN5</v>
      </c>
      <c r="E221" s="223" t="str">
        <f t="shared" ca="1" si="180"/>
        <v>Industrial heating technology N MT - MVR utilizing waste heat - new 5</v>
      </c>
      <c r="F221" s="279" t="s">
        <v>450</v>
      </c>
      <c r="G221" s="279" t="s">
        <v>449</v>
      </c>
      <c r="H221" s="280"/>
      <c r="I221" s="281"/>
      <c r="J221" s="281" t="s">
        <v>469</v>
      </c>
    </row>
    <row r="222" spans="1:11">
      <c r="A222" s="172"/>
      <c r="B222" s="222"/>
      <c r="C222" s="222" t="str">
        <f t="shared" ca="1" si="181"/>
        <v>*</v>
      </c>
      <c r="D222" s="223" t="str">
        <f t="shared" ca="1" si="182"/>
        <v>*</v>
      </c>
      <c r="E222" s="223" t="str">
        <f t="shared" ca="1" si="180"/>
        <v>Industrial heating technology N MT - Heat pump utilizing waste heat - new 1</v>
      </c>
      <c r="F222" s="279" t="s">
        <v>450</v>
      </c>
      <c r="G222" s="279" t="s">
        <v>449</v>
      </c>
      <c r="H222" s="334" t="s">
        <v>665</v>
      </c>
      <c r="I222" s="281"/>
      <c r="J222" s="281" t="s">
        <v>469</v>
      </c>
    </row>
    <row r="223" spans="1:11">
      <c r="A223" s="172"/>
      <c r="B223" s="222"/>
      <c r="C223" s="222" t="str">
        <f t="shared" ca="1" si="181"/>
        <v>DMD</v>
      </c>
      <c r="D223" s="223" t="str">
        <f t="shared" ref="D223:D262" ca="1" si="183">OFFSET($D$9,(ROW(D19)*3),0)</f>
        <v>INDNDMTELCN6</v>
      </c>
      <c r="E223" s="223" t="str">
        <f t="shared" ca="1" si="180"/>
        <v>Industrial heating technology N MT - Dielectric heating - new 6</v>
      </c>
      <c r="F223" s="279" t="s">
        <v>450</v>
      </c>
      <c r="G223" s="279" t="s">
        <v>449</v>
      </c>
      <c r="H223" s="334" t="s">
        <v>665</v>
      </c>
      <c r="I223" s="281"/>
      <c r="J223" s="281" t="s">
        <v>469</v>
      </c>
    </row>
    <row r="224" spans="1:11">
      <c r="A224" s="172"/>
      <c r="B224" s="222"/>
      <c r="C224" s="222" t="str">
        <f t="shared" ca="1" si="181"/>
        <v>DMD</v>
      </c>
      <c r="D224" s="223" t="str">
        <f t="shared" ca="1" si="183"/>
        <v>INDNDMTELCN7</v>
      </c>
      <c r="E224" s="223" t="str">
        <f t="shared" ca="1" si="180"/>
        <v>Industrial heating technology N MT - Infrared heating - new 7</v>
      </c>
      <c r="F224" s="279" t="s">
        <v>450</v>
      </c>
      <c r="G224" s="279" t="s">
        <v>449</v>
      </c>
      <c r="H224" s="334" t="s">
        <v>665</v>
      </c>
      <c r="I224" s="281"/>
      <c r="J224" s="281" t="s">
        <v>469</v>
      </c>
    </row>
    <row r="225" spans="1:16">
      <c r="A225" s="172"/>
      <c r="B225" s="222"/>
      <c r="C225" s="222" t="str">
        <f t="shared" ca="1" si="181"/>
        <v>DMD</v>
      </c>
      <c r="D225" s="223" t="str">
        <f t="shared" ca="1" si="183"/>
        <v>INDNDHTELCN8</v>
      </c>
      <c r="E225" s="223" t="str">
        <f t="shared" ca="1" si="180"/>
        <v>Industrial heating technology N HT - Electric boiler (Steam) - new 8</v>
      </c>
      <c r="F225" s="279" t="s">
        <v>450</v>
      </c>
      <c r="G225" s="279" t="s">
        <v>449</v>
      </c>
      <c r="H225" s="334" t="s">
        <v>665</v>
      </c>
      <c r="I225" s="281"/>
      <c r="J225" s="281" t="s">
        <v>469</v>
      </c>
    </row>
    <row r="226" spans="1:16">
      <c r="A226" s="172"/>
      <c r="B226" s="222"/>
      <c r="C226" s="222" t="str">
        <f t="shared" ca="1" si="181"/>
        <v>DMD</v>
      </c>
      <c r="D226" s="223" t="str">
        <f t="shared" ca="1" si="183"/>
        <v>INDNDMTELCN8</v>
      </c>
      <c r="E226" s="223" t="str">
        <f t="shared" ca="1" si="180"/>
        <v>Industrial heating technology N MT - Electric boiler (Steam) - new 8</v>
      </c>
      <c r="F226" s="279" t="s">
        <v>450</v>
      </c>
      <c r="G226" s="279" t="s">
        <v>449</v>
      </c>
      <c r="H226" s="334" t="s">
        <v>665</v>
      </c>
      <c r="I226" s="281"/>
      <c r="J226" s="281" t="s">
        <v>469</v>
      </c>
    </row>
    <row r="227" spans="1:16">
      <c r="A227" s="172"/>
      <c r="B227" s="222"/>
      <c r="C227" s="222" t="str">
        <f t="shared" ca="1" si="181"/>
        <v>DMD</v>
      </c>
      <c r="D227" s="223" t="str">
        <f t="shared" ca="1" si="183"/>
        <v>INDNDRHELCN8</v>
      </c>
      <c r="E227" s="223" t="str">
        <f t="shared" ca="1" si="180"/>
        <v>Industrial heating technology N RH - Electric boiler (Steam) - new 8</v>
      </c>
      <c r="F227" s="279" t="s">
        <v>450</v>
      </c>
      <c r="G227" s="279" t="s">
        <v>449</v>
      </c>
      <c r="H227" s="334" t="s">
        <v>665</v>
      </c>
      <c r="I227" s="281"/>
      <c r="J227" s="281" t="s">
        <v>469</v>
      </c>
      <c r="P227" s="176"/>
    </row>
    <row r="228" spans="1:16">
      <c r="A228" s="172"/>
      <c r="B228" s="222"/>
      <c r="C228" s="222" t="str">
        <f t="shared" ca="1" si="181"/>
        <v>DMD</v>
      </c>
      <c r="D228" s="223" t="str">
        <f t="shared" ca="1" si="183"/>
        <v>INDNDMTELCN9</v>
      </c>
      <c r="E228" s="223" t="str">
        <f t="shared" ca="1" si="180"/>
        <v>Industrial heating technology N MT - Electric boiler (Hot Water) - new 9</v>
      </c>
      <c r="F228" s="279" t="s">
        <v>450</v>
      </c>
      <c r="G228" s="279" t="s">
        <v>449</v>
      </c>
      <c r="H228" s="334" t="s">
        <v>665</v>
      </c>
      <c r="I228" s="281"/>
      <c r="J228" s="281" t="s">
        <v>469</v>
      </c>
      <c r="P228" s="176"/>
    </row>
    <row r="229" spans="1:16">
      <c r="A229" s="172"/>
      <c r="B229" s="222"/>
      <c r="C229" s="222" t="str">
        <f t="shared" ca="1" si="181"/>
        <v>DMD</v>
      </c>
      <c r="D229" s="223" t="str">
        <f t="shared" ca="1" si="183"/>
        <v>INDNDRHELCN9</v>
      </c>
      <c r="E229" s="223" t="str">
        <f t="shared" ca="1" si="180"/>
        <v>Industrial heating technology N RH - Electric boiler (Hot Water) - new 9</v>
      </c>
      <c r="F229" s="279" t="s">
        <v>450</v>
      </c>
      <c r="G229" s="279" t="s">
        <v>449</v>
      </c>
      <c r="H229" s="334" t="s">
        <v>665</v>
      </c>
      <c r="I229" s="281"/>
      <c r="J229" s="281" t="s">
        <v>469</v>
      </c>
      <c r="P229" s="176"/>
    </row>
    <row r="230" spans="1:16">
      <c r="A230" s="172"/>
      <c r="B230" s="222"/>
      <c r="C230" s="222" t="str">
        <f t="shared" ca="1" si="181"/>
        <v>DMD</v>
      </c>
      <c r="D230" s="223" t="str">
        <f t="shared" ca="1" si="183"/>
        <v>INDNDHTWCHN1</v>
      </c>
      <c r="E230" s="223" t="str">
        <f t="shared" ca="1" si="180"/>
        <v>Industrial heating technology N HT - Wood chip boiler (Steam) - new 1</v>
      </c>
      <c r="F230" s="279" t="s">
        <v>450</v>
      </c>
      <c r="G230" s="279" t="s">
        <v>449</v>
      </c>
      <c r="H230" s="280"/>
      <c r="I230" s="281"/>
      <c r="J230" s="281" t="s">
        <v>469</v>
      </c>
      <c r="P230" s="176"/>
    </row>
    <row r="231" spans="1:16">
      <c r="A231" s="172"/>
      <c r="B231" s="222"/>
      <c r="C231" s="222" t="str">
        <f t="shared" ca="1" si="181"/>
        <v>DMD</v>
      </c>
      <c r="D231" s="223" t="str">
        <f t="shared" ca="1" si="183"/>
        <v>INDNDMTWCHN1</v>
      </c>
      <c r="E231" s="223" t="str">
        <f t="shared" ca="1" si="180"/>
        <v>Industrial heating technology N MT - Wood chip boiler (Steam) - new 1</v>
      </c>
      <c r="F231" s="279" t="s">
        <v>450</v>
      </c>
      <c r="G231" s="279" t="s">
        <v>449</v>
      </c>
      <c r="H231" s="280"/>
      <c r="I231" s="281"/>
      <c r="J231" s="281" t="s">
        <v>469</v>
      </c>
      <c r="M231" s="174"/>
      <c r="N231" s="174"/>
      <c r="P231" s="176"/>
    </row>
    <row r="232" spans="1:16">
      <c r="A232" s="172"/>
      <c r="B232" s="222"/>
      <c r="C232" s="222" t="str">
        <f t="shared" ca="1" si="181"/>
        <v>DMD</v>
      </c>
      <c r="D232" s="223" t="str">
        <f t="shared" ca="1" si="183"/>
        <v>INDNDRHWCHN1</v>
      </c>
      <c r="E232" s="223" t="str">
        <f t="shared" ca="1" si="180"/>
        <v>Industrial heating technology N RH - Wood chip boiler (Steam) - new 1</v>
      </c>
      <c r="F232" s="279" t="s">
        <v>450</v>
      </c>
      <c r="G232" s="279" t="s">
        <v>449</v>
      </c>
      <c r="H232" s="280"/>
      <c r="I232" s="281"/>
      <c r="J232" s="281" t="s">
        <v>469</v>
      </c>
      <c r="M232" s="174"/>
      <c r="N232" s="174"/>
      <c r="P232" s="176"/>
    </row>
    <row r="233" spans="1:16">
      <c r="A233" s="172"/>
      <c r="B233" s="222"/>
      <c r="C233" s="222" t="str">
        <f t="shared" ca="1" si="181"/>
        <v>DMD</v>
      </c>
      <c r="D233" s="223" t="str">
        <f t="shared" ca="1" si="183"/>
        <v>INDNDMTWCHN2</v>
      </c>
      <c r="E233" s="223" t="str">
        <f t="shared" ca="1" si="180"/>
        <v>Industrial heating technology N MT - Wood chip boiler (Steam - condensing) - new 2</v>
      </c>
      <c r="F233" s="279" t="s">
        <v>450</v>
      </c>
      <c r="G233" s="279" t="s">
        <v>449</v>
      </c>
      <c r="H233" s="280"/>
      <c r="I233" s="281"/>
      <c r="J233" s="281" t="s">
        <v>469</v>
      </c>
      <c r="M233" s="174"/>
      <c r="N233" s="174"/>
      <c r="P233" s="176"/>
    </row>
    <row r="234" spans="1:16">
      <c r="A234" s="172"/>
      <c r="B234" s="223"/>
      <c r="C234" s="222" t="str">
        <f t="shared" ca="1" si="181"/>
        <v>DMD</v>
      </c>
      <c r="D234" s="223" t="str">
        <f t="shared" ca="1" si="183"/>
        <v>INDNDRHWCHN2</v>
      </c>
      <c r="E234" s="223" t="str">
        <f t="shared" ca="1" si="180"/>
        <v>Industrial heating technology N RH - Wood chip boiler (Steam - condensing) - new 2</v>
      </c>
      <c r="F234" s="279" t="s">
        <v>450</v>
      </c>
      <c r="G234" s="279" t="s">
        <v>449</v>
      </c>
      <c r="H234" s="280"/>
      <c r="I234" s="281"/>
      <c r="J234" s="281" t="s">
        <v>469</v>
      </c>
    </row>
    <row r="235" spans="1:16">
      <c r="A235" s="172"/>
      <c r="B235" s="223"/>
      <c r="C235" s="222" t="str">
        <f t="shared" ca="1" si="181"/>
        <v>DMD</v>
      </c>
      <c r="D235" s="223" t="str">
        <f t="shared" ca="1" si="183"/>
        <v>INDNDMTWCHN3</v>
      </c>
      <c r="E235" s="223" t="str">
        <f t="shared" ca="1" si="180"/>
        <v>Industrial heating technology N MT - Wood chip boiler (Hot Water) - new 3</v>
      </c>
      <c r="F235" s="279" t="s">
        <v>450</v>
      </c>
      <c r="G235" s="279" t="s">
        <v>449</v>
      </c>
      <c r="H235" s="278"/>
      <c r="I235" s="278"/>
      <c r="J235" s="281" t="s">
        <v>469</v>
      </c>
    </row>
    <row r="236" spans="1:16">
      <c r="A236" s="172"/>
      <c r="B236" s="223"/>
      <c r="C236" s="222" t="str">
        <f t="shared" ca="1" si="181"/>
        <v>DMD</v>
      </c>
      <c r="D236" s="223" t="str">
        <f t="shared" ca="1" si="183"/>
        <v>INDNDRHWCHN3</v>
      </c>
      <c r="E236" s="223" t="str">
        <f t="shared" ca="1" si="180"/>
        <v>Industrial heating technology N RH - Wood chip boiler (Hot Water) - new 3</v>
      </c>
      <c r="F236" s="279" t="s">
        <v>450</v>
      </c>
      <c r="G236" s="279" t="s">
        <v>449</v>
      </c>
      <c r="H236" s="278"/>
      <c r="I236" s="278"/>
      <c r="J236" s="281" t="s">
        <v>469</v>
      </c>
    </row>
    <row r="237" spans="1:16">
      <c r="A237" s="172"/>
      <c r="B237" s="223"/>
      <c r="C237" s="222" t="str">
        <f t="shared" ca="1" si="181"/>
        <v>DMD</v>
      </c>
      <c r="D237" s="223" t="str">
        <f t="shared" ca="1" si="183"/>
        <v>INDNDMTWCHN4</v>
      </c>
      <c r="E237" s="223" t="str">
        <f t="shared" ca="1" si="180"/>
        <v>Industrial heating technology N MT - Wood chip boiler (Hot Water - condensing) - new 4</v>
      </c>
      <c r="F237" s="279" t="s">
        <v>450</v>
      </c>
      <c r="G237" s="279" t="s">
        <v>449</v>
      </c>
      <c r="H237" s="278"/>
      <c r="I237" s="278"/>
      <c r="J237" s="281" t="s">
        <v>469</v>
      </c>
    </row>
    <row r="238" spans="1:16">
      <c r="A238" s="172"/>
      <c r="B238" s="223"/>
      <c r="C238" s="222" t="str">
        <f t="shared" ca="1" si="181"/>
        <v>DMD</v>
      </c>
      <c r="D238" s="223" t="str">
        <f t="shared" ca="1" si="183"/>
        <v>INDNDRHWCHN4</v>
      </c>
      <c r="E238" s="223" t="str">
        <f t="shared" ca="1" si="180"/>
        <v>Industrial heating technology N RH - Wood chip boiler (Hot Water- condensing) - new 4</v>
      </c>
      <c r="F238" s="279" t="s">
        <v>450</v>
      </c>
      <c r="G238" s="279" t="s">
        <v>449</v>
      </c>
      <c r="H238" s="278"/>
      <c r="I238" s="278"/>
      <c r="J238" s="281" t="s">
        <v>469</v>
      </c>
    </row>
    <row r="239" spans="1:16">
      <c r="B239" s="223"/>
      <c r="C239" s="222" t="str">
        <f t="shared" ca="1" si="181"/>
        <v>*</v>
      </c>
      <c r="D239" s="223" t="str">
        <f t="shared" ca="1" si="183"/>
        <v>*</v>
      </c>
      <c r="E239" s="223" t="str">
        <f t="shared" ca="1" si="180"/>
        <v>Industrial heating technology N MT - Heat pump utilizing waste heat - new 1</v>
      </c>
      <c r="F239" s="279" t="s">
        <v>450</v>
      </c>
      <c r="G239" s="279" t="s">
        <v>449</v>
      </c>
      <c r="H239" s="334" t="s">
        <v>665</v>
      </c>
      <c r="I239" s="278"/>
      <c r="J239" s="281" t="s">
        <v>469</v>
      </c>
    </row>
    <row r="240" spans="1:16">
      <c r="B240" s="223"/>
      <c r="C240" s="222" t="str">
        <f t="shared" ca="1" si="181"/>
        <v>*</v>
      </c>
      <c r="D240" s="223" t="str">
        <f t="shared" ca="1" si="183"/>
        <v>*</v>
      </c>
      <c r="E240" s="223" t="str">
        <f t="shared" ca="1" si="180"/>
        <v>Industrial heating technology N MT - Heat pump utilizing waste heat - new 1</v>
      </c>
      <c r="F240" s="279" t="s">
        <v>450</v>
      </c>
      <c r="G240" s="279" t="s">
        <v>449</v>
      </c>
      <c r="H240" s="334" t="s">
        <v>665</v>
      </c>
      <c r="I240" s="278"/>
      <c r="J240" s="281" t="s">
        <v>469</v>
      </c>
    </row>
    <row r="241" spans="1:10">
      <c r="B241" s="223"/>
      <c r="C241" s="222" t="str">
        <f t="shared" ca="1" si="181"/>
        <v>DMD</v>
      </c>
      <c r="D241" s="223" t="str">
        <f t="shared" ca="1" si="183"/>
        <v>INDNDHTDSEN1</v>
      </c>
      <c r="E241" s="223" t="str">
        <f t="shared" ca="1" si="180"/>
        <v>Industrial heating technology N HT - Oil boiler (Steam) - new 1</v>
      </c>
      <c r="F241" s="279" t="s">
        <v>450</v>
      </c>
      <c r="G241" s="279" t="s">
        <v>449</v>
      </c>
      <c r="H241" s="278"/>
      <c r="I241" s="278"/>
      <c r="J241" s="281" t="s">
        <v>469</v>
      </c>
    </row>
    <row r="242" spans="1:10">
      <c r="B242" s="223"/>
      <c r="C242" s="222" t="str">
        <f t="shared" ca="1" si="181"/>
        <v>DMD</v>
      </c>
      <c r="D242" s="223" t="str">
        <f t="shared" ca="1" si="183"/>
        <v>INDNDMTDSEN1</v>
      </c>
      <c r="E242" s="223" t="str">
        <f t="shared" ca="1" si="180"/>
        <v>Industrial heating technology N MT - Oil boiler (Steam) - new 1</v>
      </c>
      <c r="F242" s="279" t="s">
        <v>450</v>
      </c>
      <c r="G242" s="279" t="s">
        <v>449</v>
      </c>
      <c r="H242" s="278"/>
      <c r="I242" s="278"/>
      <c r="J242" s="281" t="s">
        <v>469</v>
      </c>
    </row>
    <row r="243" spans="1:10">
      <c r="B243" s="223"/>
      <c r="C243" s="222" t="str">
        <f t="shared" ca="1" si="181"/>
        <v>DMD</v>
      </c>
      <c r="D243" s="223" t="str">
        <f t="shared" ca="1" si="183"/>
        <v>INDNDRHDSEN1</v>
      </c>
      <c r="E243" s="223" t="str">
        <f t="shared" ca="1" si="180"/>
        <v>Industrial heating technology N RH - Oil boiler (Steam) - new 1</v>
      </c>
      <c r="F243" s="279" t="s">
        <v>450</v>
      </c>
      <c r="G243" s="279" t="s">
        <v>449</v>
      </c>
      <c r="H243" s="278"/>
      <c r="I243" s="278"/>
      <c r="J243" s="281" t="s">
        <v>469</v>
      </c>
    </row>
    <row r="244" spans="1:10">
      <c r="A244" s="226"/>
      <c r="B244" s="223"/>
      <c r="C244" s="222" t="str">
        <f t="shared" ca="1" si="181"/>
        <v>DMD</v>
      </c>
      <c r="D244" s="223" t="str">
        <f t="shared" ca="1" si="183"/>
        <v>INDNDMTDSEN2</v>
      </c>
      <c r="E244" s="223" t="str">
        <f t="shared" ca="1" si="180"/>
        <v>Industrial heating technology N MT - Oil boiler (Steam - condensing) - new 2</v>
      </c>
      <c r="F244" s="279" t="s">
        <v>450</v>
      </c>
      <c r="G244" s="279" t="s">
        <v>449</v>
      </c>
      <c r="H244" s="278"/>
      <c r="I244" s="278"/>
      <c r="J244" s="281" t="s">
        <v>469</v>
      </c>
    </row>
    <row r="245" spans="1:10">
      <c r="A245" s="226"/>
      <c r="B245" s="223"/>
      <c r="C245" s="222" t="str">
        <f t="shared" ca="1" si="181"/>
        <v>DMD</v>
      </c>
      <c r="D245" s="223" t="str">
        <f t="shared" ca="1" si="183"/>
        <v>INDNDRHDSEN2</v>
      </c>
      <c r="E245" s="223" t="str">
        <f t="shared" ref="E245:E268" ca="1" si="184">VLOOKUP(D245,$D$9:$E$206,2,FALSE)</f>
        <v>Industrial heating technology N RH - Oil boiler (Steam - condensing) - new 2</v>
      </c>
      <c r="F245" s="279" t="s">
        <v>450</v>
      </c>
      <c r="G245" s="279" t="s">
        <v>449</v>
      </c>
      <c r="H245" s="278"/>
      <c r="I245" s="278"/>
      <c r="J245" s="281" t="s">
        <v>469</v>
      </c>
    </row>
    <row r="246" spans="1:10">
      <c r="A246" s="226"/>
      <c r="B246" s="223"/>
      <c r="C246" s="222" t="str">
        <f t="shared" ca="1" si="181"/>
        <v>DMD</v>
      </c>
      <c r="D246" s="223" t="str">
        <f t="shared" ca="1" si="183"/>
        <v>INDNDHTDH2N1</v>
      </c>
      <c r="E246" s="223" t="str">
        <f t="shared" ca="1" si="184"/>
        <v>Industrial heating technology N HT - Gas boiler (Steam) - new 1</v>
      </c>
      <c r="F246" s="279" t="s">
        <v>450</v>
      </c>
      <c r="G246" s="279" t="s">
        <v>449</v>
      </c>
      <c r="H246" s="278"/>
      <c r="I246" s="278"/>
      <c r="J246" s="281" t="s">
        <v>469</v>
      </c>
    </row>
    <row r="247" spans="1:10">
      <c r="A247" s="226"/>
      <c r="B247" s="223"/>
      <c r="C247" s="222" t="str">
        <f t="shared" ca="1" si="181"/>
        <v>DMD</v>
      </c>
      <c r="D247" s="223" t="str">
        <f t="shared" ca="1" si="183"/>
        <v>INDNDMTDH2N1</v>
      </c>
      <c r="E247" s="223" t="str">
        <f t="shared" ca="1" si="184"/>
        <v>Industrial heating technology N MT - Gas boiler (Steam) - new 1</v>
      </c>
      <c r="F247" s="279" t="s">
        <v>450</v>
      </c>
      <c r="G247" s="279" t="s">
        <v>449</v>
      </c>
      <c r="H247" s="278"/>
      <c r="I247" s="278"/>
      <c r="J247" s="281" t="s">
        <v>469</v>
      </c>
    </row>
    <row r="248" spans="1:10">
      <c r="B248" s="223"/>
      <c r="C248" s="222" t="str">
        <f t="shared" ca="1" si="181"/>
        <v>DMD</v>
      </c>
      <c r="D248" s="223" t="str">
        <f t="shared" ca="1" si="183"/>
        <v>INDNDRHDH2N1</v>
      </c>
      <c r="E248" s="223" t="str">
        <f t="shared" ca="1" si="184"/>
        <v>Industrial heating technology N RH - Gas boiler (Steam) - new 1</v>
      </c>
      <c r="F248" s="279" t="s">
        <v>450</v>
      </c>
      <c r="G248" s="279" t="s">
        <v>449</v>
      </c>
      <c r="H248" s="278"/>
      <c r="I248" s="278"/>
      <c r="J248" s="281" t="s">
        <v>469</v>
      </c>
    </row>
    <row r="249" spans="1:10">
      <c r="B249" s="223"/>
      <c r="C249" s="222" t="str">
        <f t="shared" ca="1" si="181"/>
        <v>DMD</v>
      </c>
      <c r="D249" s="223" t="str">
        <f t="shared" ca="1" si="183"/>
        <v>INDNDMTDH2N2</v>
      </c>
      <c r="E249" s="223" t="str">
        <f t="shared" ca="1" si="184"/>
        <v>Industrial heating technology N MT - Gas boiler (Steam - condensing) - new 2</v>
      </c>
      <c r="F249" s="279" t="s">
        <v>450</v>
      </c>
      <c r="G249" s="279" t="s">
        <v>449</v>
      </c>
      <c r="H249" s="278"/>
      <c r="I249" s="278"/>
      <c r="J249" s="281" t="s">
        <v>469</v>
      </c>
    </row>
    <row r="250" spans="1:10">
      <c r="B250" s="223"/>
      <c r="C250" s="222" t="str">
        <f t="shared" ca="1" si="181"/>
        <v>DMD</v>
      </c>
      <c r="D250" s="223" t="str">
        <f t="shared" ca="1" si="183"/>
        <v>INDNDRHDH2N2</v>
      </c>
      <c r="E250" s="223" t="str">
        <f t="shared" ca="1" si="184"/>
        <v>Industrial heating technology N RH - Gas boiler (Steam - condensing) - new 2</v>
      </c>
      <c r="F250" s="279" t="s">
        <v>450</v>
      </c>
      <c r="G250" s="279" t="s">
        <v>449</v>
      </c>
      <c r="H250" s="278"/>
      <c r="I250" s="278"/>
      <c r="J250" s="281" t="s">
        <v>469</v>
      </c>
    </row>
    <row r="251" spans="1:10">
      <c r="B251" s="223"/>
      <c r="C251" s="222" t="str">
        <f t="shared" ca="1" si="181"/>
        <v>DMD</v>
      </c>
      <c r="D251" s="223" t="str">
        <f t="shared" ca="1" si="183"/>
        <v>INDNDMTDH2N3</v>
      </c>
      <c r="E251" s="223" t="str">
        <f t="shared" ca="1" si="184"/>
        <v>Industrial heating technology N MT - Gas boiler (Hot Water) - new 3</v>
      </c>
      <c r="F251" s="279" t="s">
        <v>450</v>
      </c>
      <c r="G251" s="279" t="s">
        <v>449</v>
      </c>
      <c r="H251" s="278"/>
      <c r="I251" s="278"/>
      <c r="J251" s="281" t="s">
        <v>469</v>
      </c>
    </row>
    <row r="252" spans="1:10">
      <c r="B252" s="223"/>
      <c r="C252" s="222" t="str">
        <f t="shared" ca="1" si="181"/>
        <v>DMD</v>
      </c>
      <c r="D252" s="223" t="str">
        <f t="shared" ca="1" si="183"/>
        <v>INDNDRHDH2N3</v>
      </c>
      <c r="E252" s="223" t="str">
        <f t="shared" ca="1" si="184"/>
        <v>Industrial heating technology N RH - Gas boiler (Hot Water) - new 3</v>
      </c>
      <c r="F252" s="279" t="s">
        <v>450</v>
      </c>
      <c r="G252" s="279" t="s">
        <v>449</v>
      </c>
      <c r="H252" s="278"/>
      <c r="I252" s="278"/>
      <c r="J252" s="281" t="s">
        <v>469</v>
      </c>
    </row>
    <row r="253" spans="1:10">
      <c r="B253" s="223"/>
      <c r="C253" s="222" t="str">
        <f t="shared" ca="1" si="181"/>
        <v>DMD</v>
      </c>
      <c r="D253" s="223" t="str">
        <f t="shared" ca="1" si="183"/>
        <v>INDNDMTDH2N4</v>
      </c>
      <c r="E253" s="223" t="str">
        <f t="shared" ca="1" si="184"/>
        <v>Industrial heating technology N MT - Gas boiler (Hot Water - condensing) - new 4</v>
      </c>
      <c r="F253" s="279" t="s">
        <v>450</v>
      </c>
      <c r="G253" s="279" t="s">
        <v>449</v>
      </c>
      <c r="H253" s="278"/>
      <c r="I253" s="278"/>
      <c r="J253" s="281" t="s">
        <v>469</v>
      </c>
    </row>
    <row r="254" spans="1:10">
      <c r="B254" s="223"/>
      <c r="C254" s="222" t="str">
        <f t="shared" ca="1" si="181"/>
        <v>DMD</v>
      </c>
      <c r="D254" s="223" t="str">
        <f t="shared" ca="1" si="183"/>
        <v>INDNDRHDH2N4</v>
      </c>
      <c r="E254" s="223" t="str">
        <f t="shared" ca="1" si="184"/>
        <v>Industrial heating technology N RH - Gas boiler (Hot Water- condensing) - new 4</v>
      </c>
      <c r="F254" s="279" t="s">
        <v>450</v>
      </c>
      <c r="G254" s="279" t="s">
        <v>449</v>
      </c>
      <c r="H254" s="278"/>
      <c r="I254" s="278"/>
      <c r="J254" s="281" t="s">
        <v>469</v>
      </c>
    </row>
    <row r="255" spans="1:10">
      <c r="B255" s="223"/>
      <c r="C255" s="222" t="str">
        <f t="shared" ca="1" si="181"/>
        <v>DMD</v>
      </c>
      <c r="D255" s="223" t="str">
        <f t="shared" ca="1" si="183"/>
        <v>INDNDHTDH2N5</v>
      </c>
      <c r="E255" s="223" t="str">
        <f t="shared" ca="1" si="184"/>
        <v>Industrial heating technology N HT - Gas boiler (Direct firing) - new 5</v>
      </c>
      <c r="F255" s="279" t="s">
        <v>450</v>
      </c>
      <c r="G255" s="279" t="s">
        <v>449</v>
      </c>
      <c r="H255" s="278"/>
      <c r="I255" s="278"/>
      <c r="J255" s="281" t="s">
        <v>469</v>
      </c>
    </row>
    <row r="256" spans="1:10">
      <c r="B256" s="223"/>
      <c r="C256" s="222" t="str">
        <f t="shared" ca="1" si="181"/>
        <v>DMD</v>
      </c>
      <c r="D256" s="223" t="str">
        <f t="shared" ca="1" si="183"/>
        <v>INDNDMTDH2N5</v>
      </c>
      <c r="E256" s="223" t="str">
        <f t="shared" ca="1" si="184"/>
        <v>Industrial heating technology N MT - Gas boiler (Direct firing) - new 5</v>
      </c>
      <c r="F256" s="279" t="s">
        <v>450</v>
      </c>
      <c r="G256" s="279" t="s">
        <v>449</v>
      </c>
      <c r="H256" s="278"/>
      <c r="I256" s="278"/>
      <c r="J256" s="281" t="s">
        <v>469</v>
      </c>
    </row>
    <row r="257" spans="2:10">
      <c r="B257" s="223"/>
      <c r="C257" s="222" t="str">
        <f t="shared" ca="1" si="181"/>
        <v>DMD</v>
      </c>
      <c r="D257" s="223" t="str">
        <f t="shared" ca="1" si="183"/>
        <v>INDNDHTCOAN1</v>
      </c>
      <c r="E257" s="223" t="str">
        <f t="shared" ca="1" si="184"/>
        <v>Industrial heating technology N HT - Coal boiler (Steam) - new 1</v>
      </c>
      <c r="F257" s="279" t="s">
        <v>450</v>
      </c>
      <c r="G257" s="279" t="s">
        <v>449</v>
      </c>
      <c r="H257" s="278"/>
      <c r="I257" s="278"/>
      <c r="J257" s="281" t="s">
        <v>469</v>
      </c>
    </row>
    <row r="258" spans="2:10">
      <c r="B258" s="223"/>
      <c r="C258" s="222" t="str">
        <f t="shared" ca="1" si="181"/>
        <v>DMD</v>
      </c>
      <c r="D258" s="223" t="str">
        <f t="shared" ca="1" si="183"/>
        <v>INDNDMTCOAN1</v>
      </c>
      <c r="E258" s="223" t="str">
        <f t="shared" ca="1" si="184"/>
        <v>Industrial heating technology N MT - Coal boiler (Steam) - new 1</v>
      </c>
      <c r="F258" s="279" t="s">
        <v>450</v>
      </c>
      <c r="G258" s="279" t="s">
        <v>449</v>
      </c>
      <c r="H258" s="278"/>
      <c r="I258" s="278"/>
      <c r="J258" s="281" t="s">
        <v>469</v>
      </c>
    </row>
    <row r="259" spans="2:10">
      <c r="B259" s="223"/>
      <c r="C259" s="222" t="str">
        <f t="shared" ca="1" si="181"/>
        <v>DMD</v>
      </c>
      <c r="D259" s="223" t="str">
        <f t="shared" ca="1" si="183"/>
        <v>INDNDRHCOAN1</v>
      </c>
      <c r="E259" s="223" t="str">
        <f t="shared" ca="1" si="184"/>
        <v>Industrial heating technology N RH - Coal boiler (Steam) - new 1</v>
      </c>
      <c r="F259" s="279" t="s">
        <v>450</v>
      </c>
      <c r="G259" s="279" t="s">
        <v>449</v>
      </c>
      <c r="H259" s="278"/>
      <c r="I259" s="278"/>
      <c r="J259" s="281" t="s">
        <v>469</v>
      </c>
    </row>
    <row r="260" spans="2:10">
      <c r="B260" s="223"/>
      <c r="C260" s="222" t="str">
        <f t="shared" ca="1" si="181"/>
        <v>DMD</v>
      </c>
      <c r="D260" s="223" t="str">
        <f t="shared" ca="1" si="183"/>
        <v>INDNDMTCOAN2</v>
      </c>
      <c r="E260" s="223" t="str">
        <f t="shared" ca="1" si="184"/>
        <v>Industrial heating technology N MT - Coal boiler (Hot Water) - new 2</v>
      </c>
      <c r="F260" s="279" t="s">
        <v>450</v>
      </c>
      <c r="G260" s="279" t="s">
        <v>449</v>
      </c>
      <c r="H260" s="278"/>
      <c r="I260" s="278"/>
      <c r="J260" s="281" t="s">
        <v>469</v>
      </c>
    </row>
    <row r="261" spans="2:10">
      <c r="B261" s="223"/>
      <c r="C261" s="222" t="str">
        <f t="shared" ca="1" si="181"/>
        <v>DMD</v>
      </c>
      <c r="D261" s="223" t="str">
        <f t="shared" ca="1" si="183"/>
        <v>INDNDRHCOAN2</v>
      </c>
      <c r="E261" s="223" t="str">
        <f t="shared" ca="1" si="184"/>
        <v>Industrial heating technology N RH - Coal boiler (Hot Water) - new 2</v>
      </c>
      <c r="F261" s="279" t="s">
        <v>450</v>
      </c>
      <c r="G261" s="279" t="s">
        <v>449</v>
      </c>
      <c r="H261" s="278"/>
      <c r="I261" s="278"/>
      <c r="J261" s="281" t="s">
        <v>469</v>
      </c>
    </row>
    <row r="262" spans="2:10">
      <c r="B262" s="223"/>
      <c r="C262" s="222" t="str">
        <f t="shared" ca="1" si="181"/>
        <v>DMD</v>
      </c>
      <c r="D262" s="223" t="str">
        <f t="shared" ca="1" si="183"/>
        <v>INDNDRHSOLN1</v>
      </c>
      <c r="E262" s="223" t="str">
        <f t="shared" ca="1" si="184"/>
        <v>Industrial heating technology N RH - Solar - new 1</v>
      </c>
      <c r="F262" s="279" t="s">
        <v>450</v>
      </c>
      <c r="G262" s="279" t="s">
        <v>449</v>
      </c>
      <c r="H262" s="334" t="s">
        <v>665</v>
      </c>
      <c r="I262" s="278"/>
      <c r="J262" s="281" t="s">
        <v>469</v>
      </c>
    </row>
    <row r="263" spans="2:10">
      <c r="B263" s="223"/>
      <c r="C263" s="222" t="str">
        <f t="shared" si="181"/>
        <v>DMD</v>
      </c>
      <c r="D263" s="949" t="str">
        <f>D187</f>
        <v>INDNDRHHCEN1</v>
      </c>
      <c r="E263" s="949" t="str">
        <f t="shared" ca="1" si="184"/>
        <v>Industrial heating technology N RH - central district heating - within DH area - new 1</v>
      </c>
      <c r="F263" s="279" t="s">
        <v>450</v>
      </c>
      <c r="G263" s="279" t="s">
        <v>449</v>
      </c>
      <c r="H263" s="334" t="s">
        <v>665</v>
      </c>
      <c r="I263" s="950"/>
      <c r="J263" s="280" t="s">
        <v>469</v>
      </c>
    </row>
    <row r="264" spans="2:10">
      <c r="B264" s="223"/>
      <c r="C264" s="222" t="str">
        <f t="shared" si="181"/>
        <v>DMD</v>
      </c>
      <c r="D264" s="223" t="str">
        <f t="shared" ref="D264" si="185">D188</f>
        <v>INDNDRHHDEN1</v>
      </c>
      <c r="E264" s="223" t="str">
        <f t="shared" ca="1" si="184"/>
        <v>Industrial heating technology N RH - decentral district heating - within DH area - new 1</v>
      </c>
      <c r="F264" s="279" t="s">
        <v>450</v>
      </c>
      <c r="G264" s="279" t="s">
        <v>449</v>
      </c>
      <c r="H264" s="334" t="s">
        <v>665</v>
      </c>
      <c r="I264" s="278"/>
      <c r="J264" s="281" t="s">
        <v>469</v>
      </c>
    </row>
    <row r="265" spans="2:10">
      <c r="B265" s="223"/>
      <c r="C265" s="222" t="str">
        <f t="shared" si="181"/>
        <v>DMD</v>
      </c>
      <c r="D265" s="223" t="str">
        <f>D190</f>
        <v>INDNDLAELCN1</v>
      </c>
      <c r="E265" s="223" t="str">
        <f t="shared" ca="1" si="184"/>
        <v>Industry N LA Electricity Light Appliance - New 1</v>
      </c>
      <c r="F265" s="279" t="s">
        <v>450</v>
      </c>
      <c r="G265" s="279" t="s">
        <v>449</v>
      </c>
      <c r="H265" s="334" t="s">
        <v>665</v>
      </c>
      <c r="I265" s="278"/>
      <c r="J265" s="281" t="s">
        <v>469</v>
      </c>
    </row>
    <row r="266" spans="2:10">
      <c r="B266" s="223"/>
      <c r="C266" s="222" t="str">
        <f t="shared" si="181"/>
        <v>DMD</v>
      </c>
      <c r="D266" s="223" t="str">
        <f>D194</f>
        <v>INDNDEMELCN1</v>
      </c>
      <c r="E266" s="223" t="str">
        <f t="shared" ca="1" si="184"/>
        <v>Industry N EM Electricity Motors - New 1</v>
      </c>
      <c r="F266" s="279" t="s">
        <v>450</v>
      </c>
      <c r="G266" s="279" t="s">
        <v>449</v>
      </c>
      <c r="H266" s="334" t="s">
        <v>665</v>
      </c>
      <c r="I266" s="278"/>
      <c r="J266" s="281" t="s">
        <v>469</v>
      </c>
    </row>
    <row r="267" spans="2:10">
      <c r="B267" s="223"/>
      <c r="C267" s="222" t="str">
        <f t="shared" si="181"/>
        <v>DMD</v>
      </c>
      <c r="D267" s="223" t="str">
        <f>D198</f>
        <v>INDNDTFDSLN1</v>
      </c>
      <c r="E267" s="223" t="str">
        <f t="shared" ca="1" si="184"/>
        <v>Industry N TF Tractors, Trucks, Fishing boats - New 1</v>
      </c>
      <c r="F267" s="279" t="s">
        <v>450</v>
      </c>
      <c r="G267" s="279" t="s">
        <v>449</v>
      </c>
      <c r="H267" s="278"/>
      <c r="I267" s="278"/>
      <c r="J267" s="281" t="s">
        <v>469</v>
      </c>
    </row>
    <row r="268" spans="2:10">
      <c r="B268" s="223"/>
      <c r="C268" s="222" t="str">
        <f t="shared" si="181"/>
        <v>DMD</v>
      </c>
      <c r="D268" s="223" t="str">
        <f>D202</f>
        <v>INDNDFLDH2N1</v>
      </c>
      <c r="E268" s="223" t="str">
        <f t="shared" ca="1" si="184"/>
        <v>Industry N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INDSOx</v>
      </c>
      <c r="E273" s="287" t="str">
        <f>"Industrial heating  heating technology "&amp;$AJ$12&amp;" - SOx emission"</f>
        <v>Industrial heating  heating technology N - SOx emission</v>
      </c>
      <c r="F273" s="231" t="s">
        <v>352</v>
      </c>
      <c r="G273" s="222"/>
      <c r="H273" s="222"/>
      <c r="I273" s="222"/>
      <c r="J273" s="222"/>
    </row>
    <row r="274" spans="2:10">
      <c r="B274" s="226"/>
      <c r="C274" s="226"/>
      <c r="D274" s="277" t="str">
        <f>"I"&amp;LEFT($AJ$12,1)&amp;"DNOx"</f>
        <v>INDNOx</v>
      </c>
      <c r="E274" s="287" t="str">
        <f>"Industrial heating  heating technology "&amp;$AJ$12&amp;" - NOx emission"</f>
        <v>Industrial heating  heating technology N - NOx emission</v>
      </c>
      <c r="F274" s="231" t="s">
        <v>352</v>
      </c>
      <c r="G274" s="222"/>
      <c r="H274" s="226"/>
      <c r="I274" s="226"/>
      <c r="J274" s="226"/>
    </row>
    <row r="275" spans="2:10">
      <c r="B275" s="226"/>
      <c r="C275" s="226"/>
      <c r="D275" s="277" t="str">
        <f>"I"&amp;LEFT($AJ$12,1)&amp;"DCH4"</f>
        <v>INDCH4</v>
      </c>
      <c r="E275" s="287" t="str">
        <f>"Industrial heating  heating technology "&amp;$AJ$12&amp;" - CH4 emission"</f>
        <v>Industrial heating  heating technology N - CH4 emission</v>
      </c>
      <c r="F275" s="231" t="s">
        <v>352</v>
      </c>
      <c r="G275" s="222"/>
      <c r="H275" s="226"/>
      <c r="I275" s="226"/>
      <c r="J275" s="226"/>
    </row>
    <row r="276" spans="2:10">
      <c r="B276" s="226"/>
      <c r="C276" s="226"/>
      <c r="D276" s="277" t="str">
        <f>"I"&amp;LEFT($AJ$12,1)&amp;"DNO2"</f>
        <v>INDNO2</v>
      </c>
      <c r="E276" s="287" t="str">
        <f>"Industrial heating  heating technology "&amp;$AJ$12&amp;" - NO2 emission"</f>
        <v>Industrial heating  heating technology N - NO2 emission</v>
      </c>
      <c r="F276" s="231" t="s">
        <v>352</v>
      </c>
      <c r="G276" s="222"/>
      <c r="H276" s="226"/>
      <c r="I276" s="226"/>
      <c r="J276" s="226"/>
    </row>
    <row r="277" spans="2:10">
      <c r="B277" s="226"/>
      <c r="C277" s="226"/>
      <c r="D277" s="277" t="str">
        <f>"I"&amp;LEFT($AJ$12,1)&amp;"DPM"</f>
        <v>INDPM</v>
      </c>
      <c r="E277" s="287" t="str">
        <f>"Industrial heating  heating technology "&amp;$AJ$12&amp;" - Particle emission"</f>
        <v>Industrial heating  heating technology N - Particle emission</v>
      </c>
      <c r="F277" s="231" t="s">
        <v>352</v>
      </c>
      <c r="G277" s="222"/>
      <c r="H277" s="226"/>
      <c r="I277" s="226"/>
      <c r="J277" s="226"/>
    </row>
    <row r="278" spans="2:10">
      <c r="B278" s="239" t="s">
        <v>1182</v>
      </c>
      <c r="D278" s="239" t="str">
        <f>AI20</f>
        <v>INDNWH</v>
      </c>
      <c r="E278" s="287" t="str">
        <f>"Industrial heating technology "&amp;$AJ$12&amp;" - Waste heat"</f>
        <v>Industrial heating technology N - Waste heat</v>
      </c>
      <c r="F278" s="280" t="s">
        <v>450</v>
      </c>
      <c r="H278" s="334"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812FA3C-87B0-4C13-8602-A84FFC857FA3}">
          <x14:formula1>
            <xm:f>'Oil-fired boiler_NEW'!$T$4:$X$4</xm:f>
          </x14:formula1>
          <xm:sqref>E1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685B1-BC59-4F9C-AF5E-53EE4A5BB6DA}">
  <sheetPr>
    <tabColor rgb="FF00B050"/>
  </sheetPr>
  <dimension ref="A1:AJ278"/>
  <sheetViews>
    <sheetView topLeftCell="D1"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36" ht="14.7" customHeight="1">
      <c r="D1" s="788" t="s">
        <v>1141</v>
      </c>
      <c r="E1" s="789" t="s">
        <v>841</v>
      </c>
      <c r="N1" s="64"/>
      <c r="O1" s="64"/>
      <c r="P1" s="64"/>
      <c r="S1" s="787" t="s">
        <v>1129</v>
      </c>
      <c r="T1" s="836" t="s">
        <v>1128</v>
      </c>
      <c r="U1" s="835" t="s">
        <v>1178</v>
      </c>
      <c r="V1" s="836" t="s">
        <v>1179</v>
      </c>
      <c r="W1" s="840">
        <v>0.3</v>
      </c>
    </row>
    <row r="2" spans="2:36" ht="15" thickBot="1">
      <c r="E2" s="790" t="s">
        <v>1273</v>
      </c>
      <c r="N2" s="791"/>
      <c r="O2" s="791"/>
      <c r="P2" s="791"/>
      <c r="S2" s="786">
        <f>MATCH($E$1,$AJ$22:$AJ$35)</f>
        <v>7</v>
      </c>
      <c r="T2" s="838">
        <f>MATCH($E$1,$AJ$22:$AJ$35)+1</f>
        <v>8</v>
      </c>
      <c r="U2" s="839"/>
      <c r="V2" s="828" t="s">
        <v>1180</v>
      </c>
      <c r="W2" s="841">
        <v>0.2</v>
      </c>
    </row>
    <row r="3" spans="2:36" ht="15" thickBot="1">
      <c r="N3" s="791"/>
      <c r="O3" s="791"/>
      <c r="P3" s="791"/>
      <c r="S3" s="828"/>
      <c r="T3" s="828"/>
      <c r="U3" s="837"/>
      <c r="V3" s="838" t="s">
        <v>1181</v>
      </c>
      <c r="W3" s="842">
        <v>0</v>
      </c>
    </row>
    <row r="4" spans="2:36">
      <c r="N4" s="791"/>
      <c r="O4" s="791"/>
      <c r="P4" s="791"/>
      <c r="S4" s="828"/>
      <c r="T4" s="828"/>
      <c r="U4" s="828"/>
      <c r="V4" s="828"/>
    </row>
    <row r="5" spans="2:36">
      <c r="J5" s="175" t="s">
        <v>468</v>
      </c>
      <c r="N5" s="791"/>
      <c r="O5" s="791"/>
      <c r="P5" s="791"/>
      <c r="S5" s="828"/>
      <c r="T5" s="828"/>
      <c r="U5" s="828"/>
      <c r="V5" s="828"/>
    </row>
    <row r="6" spans="2:36"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FEMIS~ILDSOx</v>
      </c>
      <c r="Y6" s="299" t="str">
        <f>"FEMIS~"&amp;D274</f>
        <v>FEMIS~ILDNOx</v>
      </c>
      <c r="Z6" s="299" t="str">
        <f>"FEMIS~"&amp;D275</f>
        <v>FEMIS~ILDCH4</v>
      </c>
      <c r="AA6" s="299" t="str">
        <f>"FEMIS~"&amp;D276</f>
        <v>FEMIS~ILDNO2</v>
      </c>
      <c r="AB6" s="299" t="str">
        <f>"FEMIS~"&amp;D277</f>
        <v>FEMIS~ILDPM</v>
      </c>
      <c r="AC6" s="239" t="s">
        <v>424</v>
      </c>
      <c r="AD6" s="239" t="s">
        <v>1428</v>
      </c>
      <c r="AE6" s="47" t="s">
        <v>338</v>
      </c>
      <c r="AF6" s="233" t="s">
        <v>473</v>
      </c>
    </row>
    <row r="7" spans="2:36"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36">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36">
      <c r="B9" s="393" t="s">
        <v>1123</v>
      </c>
      <c r="D9" s="223" t="str">
        <f ca="1">IF(T9=0,"*",IF(T9&gt;0,"IND"&amp;RIGHT(H9,4)&amp;RIGHT(G9,3)&amp;"N"&amp;RIGHT(E9,1),""))</f>
        <v>INDLDMTELCN1</v>
      </c>
      <c r="E9" s="278" t="str">
        <f>"Industrial heating technology "&amp;$AJ$12&amp;" "&amp;RIGHT(H9,2)&amp;" - Heat pump utilizing waste heat - new 1"</f>
        <v>Industrial heating technology L MT - Heat pump utilizing waste heat - new 1</v>
      </c>
      <c r="F9" s="239" t="s">
        <v>1274</v>
      </c>
      <c r="G9" s="176" t="s">
        <v>500</v>
      </c>
      <c r="H9" s="177" t="str">
        <f>$AI$14</f>
        <v>ILDMT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0.22</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36">
      <c r="B10" s="393" t="s">
        <v>1123</v>
      </c>
      <c r="D10" s="223" t="str">
        <f ca="1">IF(T9=0,"*",IF(T10&gt;0,"IND"&amp;RIGHT(H9,4)&amp;RIGHT(G9,3)&amp;"N"&amp;RIGHT(E9,1),""))</f>
        <v/>
      </c>
      <c r="E10" s="278"/>
      <c r="F10" s="239" t="s">
        <v>1274</v>
      </c>
      <c r="G10" s="176" t="str">
        <f>$AI$20</f>
        <v>INDLWH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36">
      <c r="B11" s="393" t="s">
        <v>1123</v>
      </c>
      <c r="D11" s="223" t="str">
        <f ca="1">IF(T9=0,"*",IF(T11&gt;0,"IND"&amp;RIGHT(H9,4)&amp;RIGHT(G9,3)&amp;"N"&amp;RIGHT(E9,1),""))</f>
        <v/>
      </c>
      <c r="E11" s="223"/>
      <c r="F11" s="239" t="s">
        <v>1274</v>
      </c>
      <c r="G11" s="176" t="s">
        <v>500</v>
      </c>
      <c r="H11" s="177" t="str">
        <f>$AI$14</f>
        <v>ILDMT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36">
      <c r="B12" s="393" t="s">
        <v>1123</v>
      </c>
      <c r="D12" s="223" t="str">
        <f ca="1">IF(T9=0,"*",IF(T12&gt;0,"IND"&amp;RIGHT(H9,4)&amp;RIGHT(G9,3)&amp;"N"&amp;RIGHT(E9,1),""))</f>
        <v/>
      </c>
      <c r="E12" s="223"/>
      <c r="F12" s="239" t="s">
        <v>1274</v>
      </c>
      <c r="G12" s="176" t="str">
        <f>$AI$20</f>
        <v>INDLWH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
        <v>374</v>
      </c>
    </row>
    <row r="13" spans="2:36">
      <c r="B13" s="393" t="s">
        <v>1123</v>
      </c>
      <c r="D13" s="223" t="str">
        <f ca="1">IF(T9=0,"*",IF(T13&gt;0,"IND"&amp;RIGHT(H9,4)&amp;RIGHT(G9,3)&amp;"N"&amp;RIGHT(E9,1),""))</f>
        <v/>
      </c>
      <c r="E13" s="223"/>
      <c r="F13" s="239" t="s">
        <v>1274</v>
      </c>
      <c r="G13" s="176" t="s">
        <v>500</v>
      </c>
      <c r="H13" s="177" t="str">
        <f>$AI$14</f>
        <v>ILDMT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"I"&amp;LEFT($AJ$12,1)&amp;"DHT"</f>
        <v>ILDHT</v>
      </c>
      <c r="AJ13" s="239" t="str">
        <f>"Industry "&amp;$AJ$12&amp;" Demand Heat High Temp. over 150C"</f>
        <v>Industry L Demand Heat High Temp. over 150C</v>
      </c>
    </row>
    <row r="14" spans="2:36">
      <c r="B14" s="393" t="s">
        <v>1123</v>
      </c>
      <c r="D14" s="223" t="str">
        <f ca="1">IF(T9=0,"*",IF(T14&gt;0,"IND"&amp;RIGHT(H9,4)&amp;RIGHT(G9,3)&amp;"N"&amp;RIGHT(E9,1),""))</f>
        <v/>
      </c>
      <c r="E14" s="223"/>
      <c r="F14" s="239" t="s">
        <v>1274</v>
      </c>
      <c r="G14" s="176" t="str">
        <f>$AI$20</f>
        <v>INDLWH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"I"&amp;LEFT($AJ$12,1)&amp;"DMT"</f>
        <v>ILDMT</v>
      </c>
      <c r="AJ14" s="239" t="str">
        <f>"Industry "&amp;$AJ$12&amp;" Demand Heat Medium Temp. up to 150C"</f>
        <v>Industry L Demand Heat Medium Temp. up to 150C</v>
      </c>
    </row>
    <row r="15" spans="2:36">
      <c r="B15" s="393" t="s">
        <v>1123</v>
      </c>
      <c r="D15" s="223" t="str">
        <f ca="1">IF(T15=0,"*",IF(T15&gt;0,"IND"&amp;RIGHT(H15,4)&amp;RIGHT(G15,3)&amp;"N"&amp;RIGHT(E15,1),""))</f>
        <v>INDLDRHELCN1</v>
      </c>
      <c r="E15" s="278" t="str">
        <f>"Industrial heating technology "&amp;$AJ$12&amp;" "&amp;RIGHT(H15,2)&amp;" - Heat pump utilizing waste heat - new 1"</f>
        <v>Industrial heating technology L RH - Heat pump utilizing waste heat - new 1</v>
      </c>
      <c r="F15" s="239" t="s">
        <v>1274</v>
      </c>
      <c r="G15" s="176" t="s">
        <v>500</v>
      </c>
      <c r="H15" s="177" t="str">
        <f>$AI$15</f>
        <v>ILDRH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"I"&amp;LEFT($AJ$12,1)&amp;"DRH"</f>
        <v>ILDRH</v>
      </c>
      <c r="AJ15" s="239" t="str">
        <f>"Industry "&amp;$AJ$12&amp;" Demand Heat Room Heat"</f>
        <v>Industry L Demand Heat Room Heat</v>
      </c>
    </row>
    <row r="16" spans="2:36">
      <c r="B16" s="393" t="s">
        <v>1123</v>
      </c>
      <c r="D16" s="223" t="str">
        <f ca="1">IF(T15=0,"*",IF(T16&gt;0,"IND"&amp;RIGHT(H15,4)&amp;RIGHT(G15,3)&amp;"N"&amp;RIGHT(E15,1),""))</f>
        <v/>
      </c>
      <c r="E16" s="278"/>
      <c r="F16" s="239" t="s">
        <v>1274</v>
      </c>
      <c r="G16" s="176" t="str">
        <f>$AI$20</f>
        <v>INDLWH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64" t="str">
        <f>"I"&amp;LEFT($AJ$12,1)&amp;"DLA"</f>
        <v>ILDLA</v>
      </c>
      <c r="AJ16" s="239" t="str">
        <f>"Industry "&amp;$AJ$12&amp;" Demand Light Appliances"</f>
        <v>Industry L Demand Light Appliances</v>
      </c>
    </row>
    <row r="17" spans="2:36">
      <c r="B17" s="393" t="s">
        <v>1123</v>
      </c>
      <c r="D17" s="223" t="str">
        <f ca="1">IF(T15=0,"*",IF(T17&gt;0,"IND"&amp;RIGHT(H15,4)&amp;RIGHT(G15,3)&amp;"N"&amp;RIGHT(E15,1),""))</f>
        <v/>
      </c>
      <c r="E17" s="223"/>
      <c r="F17" s="239" t="s">
        <v>1274</v>
      </c>
      <c r="G17" s="176" t="s">
        <v>500</v>
      </c>
      <c r="H17" s="177" t="str">
        <f>$AI$15</f>
        <v>ILDRH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6">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"I"&amp;LEFT($AJ$12,1)&amp;"DEM"</f>
        <v>ILDEM</v>
      </c>
      <c r="AJ17" s="239" t="str">
        <f>"Industry "&amp;$AJ$12&amp;" Demand Electric Motors"</f>
        <v>Industry L Demand Electric Motors</v>
      </c>
    </row>
    <row r="18" spans="2:36">
      <c r="B18" s="393" t="s">
        <v>1123</v>
      </c>
      <c r="D18" s="223" t="str">
        <f ca="1">IF(T15=0,"*",IF(T18&gt;0,"IND"&amp;RIGHT(H15,4)&amp;RIGHT(G15,3)&amp;"N"&amp;RIGHT(E15,1),""))</f>
        <v/>
      </c>
      <c r="E18" s="223"/>
      <c r="F18" s="239" t="s">
        <v>1274</v>
      </c>
      <c r="G18" s="176" t="str">
        <f>$AI$20</f>
        <v>INDLWH</v>
      </c>
      <c r="H18" s="177"/>
      <c r="I18" s="177"/>
      <c r="K18" s="81"/>
      <c r="L18" s="366"/>
      <c r="M18" s="206"/>
      <c r="N18" s="81"/>
      <c r="O18" s="783"/>
      <c r="P18" s="783"/>
      <c r="Q18" s="81"/>
      <c r="R18" s="333"/>
      <c r="S18" s="333"/>
      <c r="T18" s="333"/>
      <c r="U18" s="206">
        <f t="shared" ref="U18" ca="1" si="7">1-1/M17*1.01</f>
        <v>0.77944218682915767</v>
      </c>
      <c r="V18" s="333"/>
      <c r="W18" s="331"/>
      <c r="X18" s="758"/>
      <c r="Y18" s="81"/>
      <c r="Z18" s="81"/>
      <c r="AA18" s="81"/>
      <c r="AB18" s="81"/>
      <c r="AC18" s="241"/>
      <c r="AD18" s="81"/>
      <c r="AE18" s="81"/>
      <c r="AF18" s="232"/>
      <c r="AI18" s="239" t="str">
        <f>"I"&amp;LEFT($AJ$12,1)&amp;"DTF"</f>
        <v>ILDTF</v>
      </c>
      <c r="AJ18" s="239" t="str">
        <f>"Industry "&amp;$AJ$12&amp;" Demand Tractors, Trucks, Fishing boats, Forest machines"</f>
        <v>Industry L Demand Tractors, Trucks, Fishing boats, Forest machines</v>
      </c>
    </row>
    <row r="19" spans="2:36">
      <c r="B19" s="393" t="s">
        <v>1123</v>
      </c>
      <c r="D19" s="223" t="str">
        <f ca="1">IF(T15=0,"*",IF(T19&gt;0,"IND"&amp;RIGHT(H15,4)&amp;RIGHT(G15,3)&amp;"N"&amp;RIGHT(E15,1),""))</f>
        <v/>
      </c>
      <c r="E19" s="223"/>
      <c r="F19" s="239" t="s">
        <v>1274</v>
      </c>
      <c r="G19" s="176" t="s">
        <v>500</v>
      </c>
      <c r="H19" s="177" t="str">
        <f>$AI$15</f>
        <v>ILDRH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8">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"I"&amp;LEFT($AJ$12,1)&amp;"DFL"</f>
        <v>ILDFL</v>
      </c>
      <c r="AJ19" s="239" t="str">
        <f>"Industry "&amp;$AJ$12&amp;" Demand Forklifts"</f>
        <v>Industry L Demand Forklifts</v>
      </c>
    </row>
    <row r="20" spans="2:36">
      <c r="B20" s="393" t="s">
        <v>1123</v>
      </c>
      <c r="D20" s="223" t="str">
        <f ca="1">IF(T15=0,"*",IF(T20&gt;0,"IND"&amp;RIGHT(H15,4)&amp;RIGHT(G15,3)&amp;"N"&amp;RIGHT(E15,1),""))</f>
        <v/>
      </c>
      <c r="E20" s="223"/>
      <c r="F20" s="239" t="s">
        <v>1274</v>
      </c>
      <c r="G20" s="176" t="str">
        <f>$AI$20</f>
        <v>INDLWH</v>
      </c>
      <c r="H20" s="177"/>
      <c r="I20" s="177"/>
      <c r="K20" s="81"/>
      <c r="L20" s="366"/>
      <c r="M20" s="206"/>
      <c r="N20" s="81"/>
      <c r="O20" s="783"/>
      <c r="P20" s="783"/>
      <c r="Q20" s="81"/>
      <c r="R20" s="333"/>
      <c r="S20" s="333"/>
      <c r="T20" s="333"/>
      <c r="U20" s="206">
        <f t="shared" ref="U20" ca="1" si="9">1-1/M19*1.01</f>
        <v>0.78597627649934987</v>
      </c>
      <c r="V20" s="333"/>
      <c r="W20" s="331"/>
      <c r="X20" s="758"/>
      <c r="Y20" s="81"/>
      <c r="Z20" s="81"/>
      <c r="AA20" s="81"/>
      <c r="AB20" s="81"/>
      <c r="AC20" s="241"/>
      <c r="AD20" s="81"/>
      <c r="AE20" s="81"/>
      <c r="AF20" s="232"/>
      <c r="AI20" s="36" t="str">
        <f>"IND"&amp;LEFT($AJ$12,1)&amp;"WH"</f>
        <v>INDLWH</v>
      </c>
      <c r="AJ20" s="239" t="str">
        <f>"Industry "&amp;$AJ$12&amp;" Waste Heat"</f>
        <v>Industry L Waste Heat</v>
      </c>
    </row>
    <row r="21" spans="2:36">
      <c r="B21" s="393" t="s">
        <v>1124</v>
      </c>
      <c r="D21" s="223" t="str">
        <f ca="1">IF(T21=0,"*",IF(T21&gt;0,"IND"&amp;RIGHT(H21,4)&amp;RIGHT(G21,3)&amp;"N"&amp;RIGHT(E21,1),""))</f>
        <v>*</v>
      </c>
      <c r="E21" s="278" t="str">
        <f>"Industrial heating technology "&amp;$AJ$12&amp;" "&amp;RIGHT(H21,2)&amp;" - Heat driven heat pump utilizing waste heat - new 2"</f>
        <v>Industrial heating technology L MT - Heat driven heat pump utilizing waste heat - new 2</v>
      </c>
      <c r="F21" s="239" t="s">
        <v>1274</v>
      </c>
      <c r="G21" s="176" t="s">
        <v>500</v>
      </c>
      <c r="H21" s="177" t="str">
        <f>$AI$14</f>
        <v>ILDMT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0">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36">
      <c r="B22" s="393" t="s">
        <v>1124</v>
      </c>
      <c r="D22" s="223" t="str">
        <f ca="1">IF(T21=0,"*",IF(T22&gt;0,"IND"&amp;RIGHT(H21,4)&amp;RIGHT(G21,3)&amp;"N"&amp;RIGHT(E21,1),""))</f>
        <v>*</v>
      </c>
      <c r="E22" s="278"/>
      <c r="F22" s="239" t="s">
        <v>1274</v>
      </c>
      <c r="G22" s="176" t="str">
        <f>$AI$20</f>
        <v>INDLWH</v>
      </c>
      <c r="H22" s="177"/>
      <c r="I22" s="177"/>
      <c r="K22" s="81"/>
      <c r="L22" s="366"/>
      <c r="M22" s="206"/>
      <c r="N22" s="81"/>
      <c r="O22" s="783"/>
      <c r="P22" s="783"/>
      <c r="Q22" s="81"/>
      <c r="R22" s="208"/>
      <c r="S22" s="832"/>
      <c r="T22" s="832"/>
      <c r="U22" s="206">
        <f t="shared" ref="U22" ca="1" si="11">1-1/M21*1.01</f>
        <v>0.39880952380952384</v>
      </c>
      <c r="V22" s="832"/>
      <c r="W22" s="331"/>
      <c r="X22" s="758"/>
      <c r="Y22" s="81"/>
      <c r="Z22" s="81"/>
      <c r="AA22" s="81"/>
      <c r="AB22" s="81"/>
      <c r="AC22" s="241"/>
      <c r="AD22" s="81"/>
      <c r="AE22" s="81"/>
      <c r="AF22" s="232"/>
      <c r="AI22" s="239">
        <v>1</v>
      </c>
    </row>
    <row r="23" spans="2:36">
      <c r="B23" s="393" t="s">
        <v>1124</v>
      </c>
      <c r="D23" s="223" t="str">
        <f ca="1">IF(T21=0,"*",IF(T23&gt;0,"IND"&amp;RIGHT(H21,4)&amp;RIGHT(G21,3)&amp;"N"&amp;RIGHT(E21,1),""))</f>
        <v>*</v>
      </c>
      <c r="E23" s="223"/>
      <c r="F23" s="239" t="s">
        <v>1274</v>
      </c>
      <c r="G23" s="176" t="s">
        <v>500</v>
      </c>
      <c r="H23" s="177" t="str">
        <f>$AI$14</f>
        <v>ILDMT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2">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36" ht="14.7" customHeight="1">
      <c r="B24" s="393" t="s">
        <v>1124</v>
      </c>
      <c r="D24" s="223" t="str">
        <f ca="1">IF(T21=0,"*",IF(T24&gt;0,"IND"&amp;RIGHT(H21,4)&amp;RIGHT(G21,3)&amp;"N"&amp;RIGHT(E21,1),""))</f>
        <v>*</v>
      </c>
      <c r="E24" s="223"/>
      <c r="F24" s="239" t="s">
        <v>1274</v>
      </c>
      <c r="G24" s="176" t="str">
        <f>$AI$20</f>
        <v>INDLWH</v>
      </c>
      <c r="H24" s="177"/>
      <c r="I24" s="177"/>
      <c r="K24" s="81"/>
      <c r="L24" s="366"/>
      <c r="M24" s="206"/>
      <c r="N24" s="81"/>
      <c r="O24" s="783"/>
      <c r="P24" s="783"/>
      <c r="Q24" s="81"/>
      <c r="R24" s="333"/>
      <c r="S24" s="333"/>
      <c r="T24" s="333"/>
      <c r="U24" s="206">
        <f t="shared" ref="U24" ca="1" si="13">1-1/M23*1.01</f>
        <v>0.40236686390532539</v>
      </c>
      <c r="V24" s="333"/>
      <c r="W24" s="331"/>
      <c r="X24" s="758"/>
      <c r="Y24" s="81"/>
      <c r="Z24" s="81"/>
      <c r="AA24" s="81"/>
      <c r="AB24" s="81"/>
      <c r="AC24" s="241"/>
      <c r="AD24" s="81"/>
      <c r="AE24" s="81"/>
      <c r="AF24" s="232"/>
      <c r="AI24" s="239">
        <v>3</v>
      </c>
    </row>
    <row r="25" spans="2:36" ht="14.7" customHeight="1">
      <c r="B25" s="393" t="s">
        <v>1124</v>
      </c>
      <c r="D25" s="223" t="str">
        <f ca="1">IF(T21=0,"*",IF(T25&gt;0,"IND"&amp;RIGHT(H21,4)&amp;RIGHT(G21,3)&amp;"N"&amp;RIGHT(E21,1),""))</f>
        <v>*</v>
      </c>
      <c r="E25" s="223"/>
      <c r="F25" s="239" t="s">
        <v>1274</v>
      </c>
      <c r="G25" s="176" t="s">
        <v>500</v>
      </c>
      <c r="H25" s="177" t="str">
        <f>$AI$14</f>
        <v>ILDMT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4">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36" ht="15" customHeight="1">
      <c r="B26" s="393" t="s">
        <v>1124</v>
      </c>
      <c r="D26" s="223" t="str">
        <f ca="1">IF(T21=0,"*",IF(T26&gt;0,"IND"&amp;RIGHT(H21,4)&amp;RIGHT(G21,3)&amp;"N"&amp;RIGHT(E21,1),""))</f>
        <v>*</v>
      </c>
      <c r="E26" s="223"/>
      <c r="F26" s="239" t="s">
        <v>1274</v>
      </c>
      <c r="G26" s="176" t="str">
        <f>$AI$20</f>
        <v>INDLWH</v>
      </c>
      <c r="H26" s="177"/>
      <c r="I26" s="177"/>
      <c r="K26" s="81"/>
      <c r="L26" s="366"/>
      <c r="M26" s="206"/>
      <c r="N26" s="81"/>
      <c r="O26" s="783"/>
      <c r="P26" s="783"/>
      <c r="Q26" s="81"/>
      <c r="R26" s="333"/>
      <c r="S26" s="333"/>
      <c r="T26" s="333"/>
      <c r="U26" s="206">
        <f t="shared" ref="U26" ca="1" si="15">1-1/M25*1.01</f>
        <v>0.40935672514619881</v>
      </c>
      <c r="V26" s="333"/>
      <c r="W26" s="331"/>
      <c r="X26" s="758"/>
      <c r="Y26" s="81"/>
      <c r="Z26" s="81"/>
      <c r="AA26" s="81"/>
      <c r="AB26" s="81"/>
      <c r="AC26" s="241"/>
      <c r="AD26" s="81"/>
      <c r="AE26" s="81"/>
      <c r="AF26" s="232"/>
      <c r="AI26" s="239">
        <v>5</v>
      </c>
      <c r="AJ26" s="239" t="s">
        <v>840</v>
      </c>
    </row>
    <row r="27" spans="2:36">
      <c r="B27" s="393" t="s">
        <v>1124</v>
      </c>
      <c r="D27" s="223" t="str">
        <f ca="1">IF(T27=0,"*",IF(T27&gt;0,"IND"&amp;RIGHT(H27,4)&amp;RIGHT(G27,3)&amp;"N"&amp;RIGHT(E27,1),""))</f>
        <v>INDLDRHELCN2</v>
      </c>
      <c r="E27" s="278" t="str">
        <f>"Industrial heating technology "&amp;$AJ$12&amp;" "&amp;RIGHT(H27,2)&amp;" - Heat driven heat pump utilizing waste heat - new 2"</f>
        <v>Industrial heating technology L RH - Heat driven heat pump utilizing waste heat - new 2</v>
      </c>
      <c r="F27" s="239" t="s">
        <v>1274</v>
      </c>
      <c r="G27" s="176" t="s">
        <v>500</v>
      </c>
      <c r="H27" s="177" t="str">
        <f>$AI$15</f>
        <v>ILDRH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6">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36" ht="15" customHeight="1">
      <c r="B28" s="393" t="s">
        <v>1124</v>
      </c>
      <c r="D28" s="223" t="str">
        <f ca="1">IF(T27=0,"*",IF(T28&gt;0,"IND"&amp;RIGHT(H27,4)&amp;RIGHT(G27,3)&amp;"N"&amp;RIGHT(E27,1),""))</f>
        <v/>
      </c>
      <c r="E28" s="278"/>
      <c r="F28" s="239" t="s">
        <v>1274</v>
      </c>
      <c r="G28" s="176" t="str">
        <f>$AI$20</f>
        <v>INDLWH</v>
      </c>
      <c r="H28" s="177"/>
      <c r="I28" s="177"/>
      <c r="K28" s="81"/>
      <c r="L28" s="366"/>
      <c r="M28" s="206"/>
      <c r="N28" s="81"/>
      <c r="O28" s="783"/>
      <c r="P28" s="783"/>
      <c r="Q28" s="81"/>
      <c r="R28" s="208"/>
      <c r="S28" s="832"/>
      <c r="T28" s="832"/>
      <c r="U28" s="206">
        <f t="shared" ref="U28" ca="1" si="17">1-1/M27*1.01</f>
        <v>0.39880952380952384</v>
      </c>
      <c r="V28" s="832"/>
      <c r="W28" s="331"/>
      <c r="X28" s="758"/>
      <c r="Y28" s="81"/>
      <c r="Z28" s="81"/>
      <c r="AA28" s="81"/>
      <c r="AB28" s="81"/>
      <c r="AD28" s="81"/>
      <c r="AE28" s="81"/>
      <c r="AF28" s="232"/>
      <c r="AI28" s="239">
        <v>7</v>
      </c>
      <c r="AJ28" s="239" t="s">
        <v>841</v>
      </c>
    </row>
    <row r="29" spans="2:36">
      <c r="B29" s="393" t="s">
        <v>1124</v>
      </c>
      <c r="D29" s="223" t="str">
        <f ca="1">IF(T27=0,"*",IF(T29&gt;0,"IND"&amp;RIGHT(H27,4)&amp;RIGHT(G27,3)&amp;"N"&amp;RIGHT(E27,1),""))</f>
        <v/>
      </c>
      <c r="E29" s="223"/>
      <c r="F29" s="239" t="s">
        <v>1274</v>
      </c>
      <c r="G29" s="176" t="s">
        <v>500</v>
      </c>
      <c r="H29" s="177" t="str">
        <f>$AI$15</f>
        <v>ILDRH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8">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36" ht="15" customHeight="1">
      <c r="B30" s="393" t="s">
        <v>1124</v>
      </c>
      <c r="D30" s="223" t="str">
        <f ca="1">IF(T27=0,"*",IF(T30&gt;0,"IND"&amp;RIGHT(H27,4)&amp;RIGHT(G27,3)&amp;"N"&amp;RIGHT(E27,1),""))</f>
        <v/>
      </c>
      <c r="E30" s="223"/>
      <c r="F30" s="239" t="s">
        <v>1274</v>
      </c>
      <c r="G30" s="176" t="str">
        <f>$AI$20</f>
        <v>INDLWH</v>
      </c>
      <c r="H30" s="177"/>
      <c r="I30" s="177"/>
      <c r="K30" s="81"/>
      <c r="L30" s="366"/>
      <c r="M30" s="206"/>
      <c r="N30" s="81"/>
      <c r="O30" s="783"/>
      <c r="P30" s="783"/>
      <c r="Q30" s="81"/>
      <c r="R30" s="333"/>
      <c r="S30" s="333"/>
      <c r="T30" s="333"/>
      <c r="U30" s="206">
        <f t="shared" ref="U30" ca="1" si="19">1-1/M29*1.01</f>
        <v>0.40236686390532539</v>
      </c>
      <c r="V30" s="333"/>
      <c r="W30" s="331"/>
      <c r="X30" s="758"/>
      <c r="Y30" s="81"/>
      <c r="Z30" s="81"/>
      <c r="AA30" s="81"/>
      <c r="AB30" s="81"/>
      <c r="AD30" s="81"/>
      <c r="AE30" s="81"/>
      <c r="AF30" s="232"/>
      <c r="AI30" s="239">
        <v>9</v>
      </c>
      <c r="AJ30" s="239" t="s">
        <v>842</v>
      </c>
    </row>
    <row r="31" spans="2:36">
      <c r="B31" s="393" t="s">
        <v>1124</v>
      </c>
      <c r="D31" s="223" t="str">
        <f ca="1">IF(T27=0,"*",IF(T31&gt;0,"IND"&amp;RIGHT(H27,4)&amp;RIGHT(G27,3)&amp;"N"&amp;RIGHT(E27,1),""))</f>
        <v/>
      </c>
      <c r="E31" s="223"/>
      <c r="F31" s="239" t="s">
        <v>1274</v>
      </c>
      <c r="G31" s="176" t="s">
        <v>500</v>
      </c>
      <c r="H31" s="177" t="str">
        <f>$AI$15</f>
        <v>ILDRH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0">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36">
      <c r="B32" s="393" t="s">
        <v>1124</v>
      </c>
      <c r="D32" s="223" t="str">
        <f ca="1">IF(T27=0,"*",IF(T32&gt;0,"IND"&amp;RIGHT(H27,4)&amp;RIGHT(G27,3)&amp;"N"&amp;RIGHT(E27,1),""))</f>
        <v/>
      </c>
      <c r="E32" s="223"/>
      <c r="F32" s="239" t="s">
        <v>1274</v>
      </c>
      <c r="G32" s="176" t="str">
        <f>$AI$20</f>
        <v>INDLWH</v>
      </c>
      <c r="H32" s="177"/>
      <c r="I32" s="177"/>
      <c r="K32" s="81"/>
      <c r="L32" s="366"/>
      <c r="M32" s="206"/>
      <c r="N32" s="81"/>
      <c r="O32" s="783"/>
      <c r="P32" s="783"/>
      <c r="Q32" s="81"/>
      <c r="R32" s="333"/>
      <c r="S32" s="333"/>
      <c r="T32" s="333"/>
      <c r="U32" s="206">
        <f t="shared" ref="U32" ca="1" si="21">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INDLDMTELCN3</v>
      </c>
      <c r="E33" s="278" t="str">
        <f>"Industrial heating technology "&amp;$AJ$12&amp;" "&amp;RIGHT(H33,2)&amp;" - High Temp abs. Heat pump utilizing waste heat - new 3"</f>
        <v>Industrial heating technology L MT - High Temp abs. Heat pump utilizing waste heat - new 3</v>
      </c>
      <c r="F33" s="239" t="s">
        <v>1274</v>
      </c>
      <c r="G33" s="176" t="s">
        <v>500</v>
      </c>
      <c r="H33" s="177" t="str">
        <f>$AI$14</f>
        <v>ILDMT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0.26</v>
      </c>
      <c r="U33" s="206">
        <f t="shared" ref="U33" ca="1" si="22">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INDLWH</v>
      </c>
      <c r="H34" s="177"/>
      <c r="I34" s="177"/>
      <c r="K34" s="81"/>
      <c r="L34" s="366"/>
      <c r="M34" s="206"/>
      <c r="N34" s="81"/>
      <c r="O34" s="783"/>
      <c r="P34" s="783"/>
      <c r="Q34" s="81"/>
      <c r="R34" s="208"/>
      <c r="S34" s="832"/>
      <c r="T34" s="832"/>
      <c r="U34" s="206">
        <f t="shared" ref="U34" ca="1" si="23">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ILDMT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4">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INDLWH</v>
      </c>
      <c r="H36" s="177"/>
      <c r="I36" s="177"/>
      <c r="K36" s="81"/>
      <c r="L36" s="366"/>
      <c r="M36" s="206"/>
      <c r="N36" s="81"/>
      <c r="O36" s="783"/>
      <c r="P36" s="783"/>
      <c r="Q36" s="81"/>
      <c r="R36" s="333"/>
      <c r="S36" s="333"/>
      <c r="T36" s="333"/>
      <c r="U36" s="206">
        <f t="shared" ref="U36" ca="1" si="25">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ILDMT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6">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INDLWH</v>
      </c>
      <c r="H38" s="177"/>
      <c r="I38" s="177"/>
      <c r="K38" s="81"/>
      <c r="L38" s="366"/>
      <c r="M38" s="206"/>
      <c r="N38" s="81"/>
      <c r="O38" s="783"/>
      <c r="P38" s="783"/>
      <c r="Q38" s="81"/>
      <c r="R38" s="333"/>
      <c r="S38" s="333"/>
      <c r="T38" s="333"/>
      <c r="U38" s="206">
        <f t="shared" ref="U38" ca="1" si="27">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INDLDRHELCN3</v>
      </c>
      <c r="E39" s="278" t="str">
        <f>"Industrial heating technology "&amp;$AJ$12&amp;" "&amp;RIGHT(H39,2)&amp;" - High Temp abs. Heat pump utilizing waste heat - new 3"</f>
        <v>Industrial heating technology L RH - High Temp abs. Heat pump utilizing waste heat - new 3</v>
      </c>
      <c r="F39" s="239" t="s">
        <v>1274</v>
      </c>
      <c r="G39" s="176" t="s">
        <v>500</v>
      </c>
      <c r="H39" s="177" t="str">
        <f>$AI$15</f>
        <v>ILDRH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8">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INDLWH</v>
      </c>
      <c r="H40" s="177"/>
      <c r="I40" s="177"/>
      <c r="K40" s="81"/>
      <c r="L40" s="366"/>
      <c r="M40" s="206"/>
      <c r="N40" s="81"/>
      <c r="O40" s="783"/>
      <c r="P40" s="783"/>
      <c r="Q40" s="81"/>
      <c r="R40" s="208"/>
      <c r="S40" s="832"/>
      <c r="T40" s="832"/>
      <c r="U40" s="206">
        <f t="shared" ref="U40" ca="1" si="29">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ILDRH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0">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INDLWH</v>
      </c>
      <c r="H42" s="177"/>
      <c r="I42" s="177"/>
      <c r="K42" s="81"/>
      <c r="L42" s="366"/>
      <c r="M42" s="206"/>
      <c r="N42" s="81"/>
      <c r="O42" s="783"/>
      <c r="P42" s="783"/>
      <c r="Q42" s="81"/>
      <c r="R42" s="333"/>
      <c r="S42" s="333"/>
      <c r="T42" s="333"/>
      <c r="U42" s="206">
        <f t="shared" ref="U42" ca="1" si="31">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ILDRH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2">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INDLWH</v>
      </c>
      <c r="H44" s="177"/>
      <c r="I44" s="177"/>
      <c r="K44" s="81"/>
      <c r="L44" s="366"/>
      <c r="M44" s="206"/>
      <c r="N44" s="81"/>
      <c r="O44" s="783"/>
      <c r="P44" s="783"/>
      <c r="Q44" s="81"/>
      <c r="R44" s="333"/>
      <c r="S44" s="333"/>
      <c r="T44" s="333"/>
      <c r="U44" s="206">
        <f t="shared" ref="U44" ca="1" si="33">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INDLDMTELCN4</v>
      </c>
      <c r="E45" s="278" t="str">
        <f>"Industrial heating technology "&amp;$AJ$12&amp;" "&amp;RIGHT(H45,2)&amp;" - Booster Heat pump utilizing waste heat - new 4"</f>
        <v>Industrial heating technology L MT - Booster Heat pump utilizing waste heat - new 4</v>
      </c>
      <c r="F45" s="239" t="s">
        <v>1274</v>
      </c>
      <c r="G45" s="176" t="s">
        <v>500</v>
      </c>
      <c r="H45" s="177" t="str">
        <f>$AI$14</f>
        <v>ILDMT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0.36</v>
      </c>
      <c r="U45" s="206">
        <f t="shared" ref="U45" ca="1" si="34">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INDLWH</v>
      </c>
      <c r="H46" s="177"/>
      <c r="I46" s="177"/>
      <c r="K46" s="81"/>
      <c r="L46" s="366"/>
      <c r="M46" s="206"/>
      <c r="N46" s="81"/>
      <c r="O46" s="783"/>
      <c r="P46" s="783"/>
      <c r="Q46" s="81"/>
      <c r="R46" s="208"/>
      <c r="S46" s="832"/>
      <c r="T46" s="832"/>
      <c r="U46" s="206">
        <f t="shared" ref="U46" ca="1" si="35">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ILDMT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6">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INDLWH</v>
      </c>
      <c r="H48" s="177"/>
      <c r="I48" s="177"/>
      <c r="K48" s="81"/>
      <c r="L48" s="366"/>
      <c r="M48" s="206"/>
      <c r="N48" s="81"/>
      <c r="O48" s="783"/>
      <c r="P48" s="783"/>
      <c r="Q48" s="81"/>
      <c r="R48" s="333"/>
      <c r="S48" s="333"/>
      <c r="T48" s="333"/>
      <c r="U48" s="206">
        <f t="shared" ref="U48" ca="1" si="37">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ILDMT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8">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INDLWH</v>
      </c>
      <c r="H50" s="177"/>
      <c r="I50" s="177"/>
      <c r="K50" s="81"/>
      <c r="L50" s="366"/>
      <c r="M50" s="206"/>
      <c r="N50" s="81"/>
      <c r="O50" s="783"/>
      <c r="P50" s="783"/>
      <c r="Q50" s="81"/>
      <c r="R50" s="333"/>
      <c r="S50" s="333"/>
      <c r="T50" s="333"/>
      <c r="U50" s="206">
        <f t="shared" ref="U50" ca="1" si="39">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INDLDRHELCN4</v>
      </c>
      <c r="E51" s="278" t="str">
        <f>"Industrial heating technology "&amp;$AJ$12&amp;" "&amp;RIGHT(H51,2)&amp;" - Booster Heat pump utilizing waste heat - new 4"</f>
        <v>Industrial heating technology L RH - Booster Heat pump utilizing waste heat - new 4</v>
      </c>
      <c r="F51" s="239" t="s">
        <v>1274</v>
      </c>
      <c r="G51" s="176" t="s">
        <v>500</v>
      </c>
      <c r="H51" s="177" t="str">
        <f>$AI$15</f>
        <v>ILDRH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0">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INDLWH</v>
      </c>
      <c r="H52" s="177"/>
      <c r="I52" s="177"/>
      <c r="K52" s="81"/>
      <c r="L52" s="366"/>
      <c r="M52" s="206"/>
      <c r="N52" s="81"/>
      <c r="O52" s="783"/>
      <c r="P52" s="783"/>
      <c r="Q52" s="81"/>
      <c r="R52" s="208"/>
      <c r="S52" s="832"/>
      <c r="T52" s="832"/>
      <c r="U52" s="206">
        <f t="shared" ref="U52" ca="1" si="41">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ILDRH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2">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INDLWH</v>
      </c>
      <c r="H54" s="177"/>
      <c r="I54" s="177"/>
      <c r="K54" s="81"/>
      <c r="L54" s="366"/>
      <c r="M54" s="206"/>
      <c r="N54" s="81"/>
      <c r="O54" s="783"/>
      <c r="P54" s="783"/>
      <c r="Q54" s="81"/>
      <c r="R54" s="333"/>
      <c r="S54" s="333"/>
      <c r="T54" s="333"/>
      <c r="U54" s="206">
        <f t="shared" ref="U54" ca="1" si="43">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ILDRH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4">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INDLWH</v>
      </c>
      <c r="H56" s="177"/>
      <c r="I56" s="177"/>
      <c r="K56" s="81"/>
      <c r="L56" s="366"/>
      <c r="M56" s="206"/>
      <c r="N56" s="81"/>
      <c r="O56" s="783"/>
      <c r="P56" s="783"/>
      <c r="Q56" s="81"/>
      <c r="R56" s="333"/>
      <c r="S56" s="333"/>
      <c r="T56" s="333"/>
      <c r="U56" s="206">
        <f t="shared" ref="U56" ca="1" si="45">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INDLDMTELCN5</v>
      </c>
      <c r="E57" s="278" t="str">
        <f>"Industrial heating technology "&amp;$AJ$12&amp;" "&amp;RIGHT(H57,2)&amp;" - MVR utilizing waste heat - new 5"</f>
        <v>Industrial heating technology L MT - MVR utilizing waste heat - new 5</v>
      </c>
      <c r="F57" s="239" t="s">
        <v>1274</v>
      </c>
      <c r="G57" s="176" t="s">
        <v>500</v>
      </c>
      <c r="H57" s="177" t="str">
        <f>$AI$14</f>
        <v>ILDMT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0.05</v>
      </c>
      <c r="U57" s="206">
        <f t="shared" ref="U57" ca="1" si="46">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INDLWH</v>
      </c>
      <c r="H58" s="177"/>
      <c r="I58" s="177"/>
      <c r="K58" s="81"/>
      <c r="L58" s="206"/>
      <c r="M58" s="206"/>
      <c r="N58" s="81"/>
      <c r="O58" s="783"/>
      <c r="P58" s="783"/>
      <c r="Q58" s="81"/>
      <c r="R58" s="208"/>
      <c r="S58" s="832"/>
      <c r="T58" s="832"/>
      <c r="U58" s="206">
        <f t="shared" ref="U58" ca="1" si="47">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ILDMT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8">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INDLWH</v>
      </c>
      <c r="H60" s="177"/>
      <c r="I60" s="177"/>
      <c r="K60" s="81"/>
      <c r="L60" s="206"/>
      <c r="M60" s="206"/>
      <c r="N60" s="81"/>
      <c r="O60" s="783"/>
      <c r="P60" s="783"/>
      <c r="Q60" s="81"/>
      <c r="R60" s="333"/>
      <c r="S60" s="333"/>
      <c r="T60" s="333"/>
      <c r="U60" s="206">
        <f t="shared" ref="U60" ca="1" si="49">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ILDMT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0">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INDLWH</v>
      </c>
      <c r="H62" s="848"/>
      <c r="I62" s="848"/>
      <c r="K62" s="849"/>
      <c r="L62" s="850"/>
      <c r="M62" s="850"/>
      <c r="N62" s="849"/>
      <c r="O62" s="851"/>
      <c r="P62" s="851"/>
      <c r="Q62" s="849"/>
      <c r="R62" s="852"/>
      <c r="S62" s="852"/>
      <c r="T62" s="852"/>
      <c r="U62" s="206">
        <f t="shared" ref="U62" ca="1" si="51">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L HT - Hotdisc - new 1</v>
      </c>
      <c r="F63" s="239" t="s">
        <v>1274</v>
      </c>
      <c r="G63" s="892" t="s">
        <v>1130</v>
      </c>
      <c r="H63" s="177" t="str">
        <f>$AI$13</f>
        <v>ILDHT</v>
      </c>
      <c r="I63" s="176" t="str">
        <f t="shared" ref="I63:I94" si="52">$AI$20</f>
        <v>INDLWH</v>
      </c>
      <c r="J63" s="239">
        <f t="shared" ref="J63:J94" si="53">IF(AD63=2020,2011,AD63)</f>
        <v>2011</v>
      </c>
      <c r="K63" s="332">
        <f>J63</f>
        <v>2011</v>
      </c>
      <c r="L63" s="759">
        <f t="shared" ref="L63:L80" ca="1" si="54">VLOOKUP($AD63,INDIRECT("'"&amp;$B63&amp;"'!"&amp;"$P$39:$AD$42"),3,FALSE)</f>
        <v>0.9</v>
      </c>
      <c r="M63" s="759"/>
      <c r="N63" s="332">
        <f ca="1">VLOOKUP($AD63,INDIRECT("'"&amp;$B63&amp;"'!"&amp;"$P$39:$AD$42"),5,FALSE)</f>
        <v>20</v>
      </c>
      <c r="O63" s="785">
        <f t="shared" ref="O63:O80" ca="1" si="55">VLOOKUP($AD63,INDIRECT("'"&amp;$B63&amp;"'!"&amp;"$P$39:$AD$42"),6,FALSE)/1000</f>
        <v>3.7250000000000001</v>
      </c>
      <c r="P63" s="785">
        <f t="shared" ref="P63:P80" ca="1" si="56">VLOOKUP($AD63,INDIRECT("'"&amp;$B63&amp;"'!"&amp;"$P$39:$AD$42"),7,FALSE)/1000</f>
        <v>2.98E-3</v>
      </c>
      <c r="Q63" s="332">
        <f t="shared" ref="Q63:Q80" ca="1" si="57">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8">IF(VLOOKUP($AD63,INDIRECT("'"&amp;$B63&amp;"'!"&amp;"$P$39:$AD$42"),11,FALSE)="Cf. the utilized electricity",0,VLOOKUP($AD63,INDIRECT("'"&amp;$B63&amp;"'!"&amp;"$P$39:$AD$42"),11,FALSE))</f>
        <v>8.3000000000000007</v>
      </c>
      <c r="Y63" s="332">
        <f t="shared" ref="Y63:Y80" ca="1" si="59">VLOOKUP($AD63,INDIRECT("'"&amp;$B63&amp;"'!"&amp;"$P$39:$AD$42"),12,FALSE)</f>
        <v>56</v>
      </c>
      <c r="Z63" s="332">
        <f t="shared" ref="Z63:Z80" ca="1" si="60">VLOOKUP($AD63,INDIRECT("'"&amp;$B63&amp;"'!"&amp;"$P$39:$AD$42"),13,FALSE)</f>
        <v>0.1</v>
      </c>
      <c r="AA63" s="332">
        <f t="shared" ref="AA63:AA80" ca="1" si="61">VLOOKUP($AD63,INDIRECT("'"&amp;$B63&amp;"'!"&amp;"$P$39:$AD$42"),14,FALSE)</f>
        <v>1</v>
      </c>
      <c r="AB63" s="332">
        <f t="shared" ref="AB63:AB80" ca="1" si="62">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2"/>
        <v>INDLWH</v>
      </c>
      <c r="J64" s="239">
        <f t="shared" si="53"/>
        <v>2030</v>
      </c>
      <c r="K64" s="81"/>
      <c r="L64" s="206">
        <f t="shared" ca="1" si="54"/>
        <v>0.91</v>
      </c>
      <c r="M64" s="206"/>
      <c r="N64" s="81"/>
      <c r="O64" s="783">
        <f t="shared" ca="1" si="55"/>
        <v>3.4642500000000003</v>
      </c>
      <c r="P64" s="783">
        <f t="shared" ca="1" si="56"/>
        <v>2.98E-3</v>
      </c>
      <c r="Q64" s="81">
        <f t="shared" ca="1" si="57"/>
        <v>2.4729861111111116</v>
      </c>
      <c r="R64" s="333"/>
      <c r="S64" s="333"/>
      <c r="T64" s="333"/>
      <c r="U64" s="333"/>
      <c r="V64" s="759">
        <f ca="1">IF(IF(RIGHT(H63,2)="MT",(1-L64)+$W$2,IF(RIGHT(H63,2)="HT",(1-L64)+$W$1,IF(RIGHT(H63,2)="RH",(1-L64)+$W$3,"")))&lt;0,0,IF(RIGHT(H63,2)="MT",(1-L64)+$W$2,IF(RIGHT(H63,2)="HT",(1-L64)+$W$1,IF(RIGHT(H63,2)="RH",(1-L64)+$W$3,""))))</f>
        <v>0.38999999999999996</v>
      </c>
      <c r="W64" s="331"/>
      <c r="X64" s="758">
        <f t="shared" ca="1" si="58"/>
        <v>8.3000000000000007</v>
      </c>
      <c r="Y64" s="81">
        <f t="shared" ca="1" si="59"/>
        <v>45</v>
      </c>
      <c r="Z64" s="81">
        <f t="shared" ca="1" si="60"/>
        <v>0.1</v>
      </c>
      <c r="AA64" s="81">
        <f t="shared" ca="1" si="61"/>
        <v>1</v>
      </c>
      <c r="AB64" s="81">
        <f t="shared" ca="1" si="62"/>
        <v>0.28999999999999998</v>
      </c>
      <c r="AD64" s="81">
        <v>2030</v>
      </c>
      <c r="AE64" s="81"/>
      <c r="AF64" s="232"/>
    </row>
    <row r="65" spans="2:32">
      <c r="B65" s="393" t="s">
        <v>1045</v>
      </c>
      <c r="D65" s="223" t="str">
        <f ca="1">IF(T63=0,"*",IF(T65&gt;0,"IND"&amp;RIGHT(H63,4)&amp;RIGHT(G63,3)&amp;"N"&amp;RIGHT(E63,1),""))</f>
        <v>*</v>
      </c>
      <c r="E65" s="223"/>
      <c r="F65" s="239" t="s">
        <v>1274</v>
      </c>
      <c r="H65" s="177"/>
      <c r="I65" s="176" t="str">
        <f t="shared" si="52"/>
        <v>INDLWH</v>
      </c>
      <c r="J65" s="239">
        <f t="shared" si="53"/>
        <v>2050</v>
      </c>
      <c r="K65" s="81"/>
      <c r="L65" s="206">
        <f t="shared" ca="1" si="54"/>
        <v>0.93</v>
      </c>
      <c r="M65" s="206"/>
      <c r="N65" s="81"/>
      <c r="O65" s="783">
        <f t="shared" ca="1" si="55"/>
        <v>3.3525</v>
      </c>
      <c r="P65" s="783">
        <f t="shared" ca="1" si="56"/>
        <v>2.98E-3</v>
      </c>
      <c r="Q65" s="81">
        <f t="shared" ca="1" si="57"/>
        <v>2.4936805555555561</v>
      </c>
      <c r="R65" s="333"/>
      <c r="S65" s="333"/>
      <c r="T65" s="333"/>
      <c r="U65" s="333"/>
      <c r="V65" s="759">
        <f ca="1">IF(IF(RIGHT(H63,2)="MT",(1-L65)+$W$2,IF(RIGHT(H63,2)="HT",(1-L65)+$W$1,IF(RIGHT(H63,2)="RH",(1-L65)+$W$3,"")))&lt;0,0,IF(RIGHT(H63,2)="MT",(1-L65)+$W$2,IF(RIGHT(H63,2)="HT",(1-L65)+$W$1,IF(RIGHT(H63,2)="RH",(1-L65)+$W$3,""))))</f>
        <v>0.36999999999999994</v>
      </c>
      <c r="W65" s="331"/>
      <c r="X65" s="758">
        <f t="shared" ca="1" si="58"/>
        <v>8.3000000000000007</v>
      </c>
      <c r="Y65" s="81">
        <f t="shared" ca="1" si="59"/>
        <v>11</v>
      </c>
      <c r="Z65" s="81">
        <f t="shared" ca="1" si="60"/>
        <v>0.1</v>
      </c>
      <c r="AA65" s="81">
        <f t="shared" ca="1" si="61"/>
        <v>1</v>
      </c>
      <c r="AB65" s="81">
        <f t="shared" ca="1" si="62"/>
        <v>0.28999999999999998</v>
      </c>
      <c r="AD65" s="81">
        <v>2050</v>
      </c>
      <c r="AE65" s="81"/>
      <c r="AF65" s="232"/>
    </row>
    <row r="66" spans="2:32">
      <c r="B66" s="393" t="s">
        <v>1047</v>
      </c>
      <c r="D66" s="223" t="str">
        <f ca="1">IF(T66=0,"*",IF(T66&gt;0,"IND"&amp;RIGHT(H66,4)&amp;RIGHT(G66,3)&amp;"N"&amp;RIGHT(E66,1),""))</f>
        <v>INDLDMTELCN6</v>
      </c>
      <c r="E66" s="278" t="str">
        <f>"Industrial heating technology "&amp;$AJ$12&amp;" "&amp;RIGHT(H66,2)&amp;" - Dielectric heating - new 6"</f>
        <v>Industrial heating technology L MT - Dielectric heating - new 6</v>
      </c>
      <c r="F66" s="239" t="s">
        <v>1274</v>
      </c>
      <c r="G66" s="176" t="s">
        <v>500</v>
      </c>
      <c r="H66" s="177" t="str">
        <f>$AI$14</f>
        <v>ILDMT</v>
      </c>
      <c r="I66" s="176" t="str">
        <f t="shared" si="52"/>
        <v>INDLWH</v>
      </c>
      <c r="J66" s="239">
        <f t="shared" si="53"/>
        <v>2011</v>
      </c>
      <c r="K66" s="332">
        <f>J66</f>
        <v>2011</v>
      </c>
      <c r="L66" s="206">
        <f t="shared" ca="1" si="54"/>
        <v>0.95</v>
      </c>
      <c r="M66" s="206"/>
      <c r="N66" s="81">
        <f ca="1">VLOOKUP($AD66,INDIRECT("'"&amp;$B66&amp;"'!"&amp;"$P$39:$AD$42"),5,FALSE)</f>
        <v>30</v>
      </c>
      <c r="O66" s="783">
        <f t="shared" ca="1" si="55"/>
        <v>20.115000000000002</v>
      </c>
      <c r="P66" s="783">
        <f t="shared" ca="1" si="56"/>
        <v>0</v>
      </c>
      <c r="Q66" s="81">
        <f t="shared" ca="1" si="57"/>
        <v>94.828152777777774</v>
      </c>
      <c r="R66" s="81">
        <v>3.1536000000000002E-2</v>
      </c>
      <c r="S66" s="206">
        <v>0.5</v>
      </c>
      <c r="T66" s="206">
        <f ca="1">IF(HLOOKUP($T$2,INDIRECT("'"&amp;$B66&amp;"'!"&amp;"$P$6:$AE$19"),IF(H66=$AI$13,6,IF(H66=$AI$14,9,14)),FALSE)&lt;0.03,0,HLOOKUP($T$2,INDIRECT("'"&amp;$B66&amp;"'!"&amp;"$P$6:$AE$19"),IF(H66=$AI$13,6,IF(H66=$AI$14,9,14)),FALSE))</f>
        <v>0.05</v>
      </c>
      <c r="U66" s="832"/>
      <c r="V66" s="759">
        <f ca="1">IF(IF(RIGHT(H66,2)="MT",(1-L66)+$W$2,IF(RIGHT(H66,2)="HT",(1-L66)+$W$1,IF(RIGHT(H66,2)="RH",(1-L66)+$W$3,"")))&lt;0,0,IF(RIGHT(H66,2)="MT",(1-L66)+$W$2,IF(RIGHT(H66,2)="HT",(1-L66)+$W$1,IF(RIGHT(H66,2)="RH",(1-L66)+$W$3,""))))</f>
        <v>0.25000000000000006</v>
      </c>
      <c r="W66" s="331"/>
      <c r="X66" s="758">
        <f t="shared" ca="1" si="58"/>
        <v>0</v>
      </c>
      <c r="Y66" s="81">
        <f t="shared" ca="1" si="59"/>
        <v>0</v>
      </c>
      <c r="Z66" s="81">
        <f t="shared" ca="1" si="60"/>
        <v>0</v>
      </c>
      <c r="AA66" s="81">
        <f t="shared" ca="1" si="61"/>
        <v>0</v>
      </c>
      <c r="AB66" s="81">
        <f t="shared" ca="1" si="62"/>
        <v>0</v>
      </c>
      <c r="AD66" s="81">
        <v>2020</v>
      </c>
      <c r="AE66" s="81"/>
      <c r="AF66" s="232"/>
    </row>
    <row r="67" spans="2:32">
      <c r="B67" s="393" t="s">
        <v>1047</v>
      </c>
      <c r="D67" s="223" t="str">
        <f ca="1">IF(T66=0,"*",IF(T67&gt;0,"IND"&amp;RIGHT(H66,4)&amp;RIGHT(G66,3)&amp;"N"&amp;RIGHT(E66,1),""))</f>
        <v/>
      </c>
      <c r="E67" s="223"/>
      <c r="F67" s="239" t="s">
        <v>1274</v>
      </c>
      <c r="H67" s="177"/>
      <c r="I67" s="176" t="str">
        <f t="shared" si="52"/>
        <v>INDLWH</v>
      </c>
      <c r="J67" s="239">
        <f t="shared" si="53"/>
        <v>2030</v>
      </c>
      <c r="K67" s="81"/>
      <c r="L67" s="206">
        <f t="shared" ca="1" si="54"/>
        <v>0.95</v>
      </c>
      <c r="M67" s="206"/>
      <c r="N67" s="81"/>
      <c r="O67" s="783">
        <f t="shared" ca="1" si="55"/>
        <v>19.511550000000003</v>
      </c>
      <c r="P67" s="783">
        <f t="shared" ca="1" si="56"/>
        <v>0</v>
      </c>
      <c r="Q67" s="81">
        <f t="shared" ca="1" si="57"/>
        <v>94.832291666666663</v>
      </c>
      <c r="R67" s="333"/>
      <c r="S67" s="333"/>
      <c r="T67" s="333"/>
      <c r="U67" s="333"/>
      <c r="V67" s="759">
        <f ca="1">IF(IF(RIGHT(H66,2)="MT",(1-L67)+$W$2,IF(RIGHT(H66,2)="HT",(1-L67)+$W$1,IF(RIGHT(H66,2)="RH",(1-L67)+$W$3,"")))&lt;0,0,IF(RIGHT(H66,2)="MT",(1-L67)+$W$2,IF(RIGHT(H66,2)="HT",(1-L67)+$W$1,IF(RIGHT(H66,2)="RH",(1-L67)+$W$3,""))))</f>
        <v>0.25000000000000006</v>
      </c>
      <c r="W67" s="331"/>
      <c r="X67" s="758">
        <f t="shared" ca="1" si="58"/>
        <v>0</v>
      </c>
      <c r="Y67" s="81">
        <f t="shared" ca="1" si="59"/>
        <v>0</v>
      </c>
      <c r="Z67" s="81">
        <f t="shared" ca="1" si="60"/>
        <v>0</v>
      </c>
      <c r="AA67" s="81">
        <f t="shared" ca="1" si="61"/>
        <v>0</v>
      </c>
      <c r="AB67" s="81">
        <f t="shared" ca="1" si="62"/>
        <v>0</v>
      </c>
      <c r="AD67" s="81">
        <v>2030</v>
      </c>
      <c r="AE67" s="81"/>
      <c r="AF67" s="232"/>
    </row>
    <row r="68" spans="2:32">
      <c r="B68" s="393" t="s">
        <v>1047</v>
      </c>
      <c r="D68" s="223" t="str">
        <f ca="1">IF(T66=0,"*",IF(T68&gt;0,"IND"&amp;RIGHT(H66,4)&amp;RIGHT(G66,3)&amp;"N"&amp;RIGHT(E66,1),""))</f>
        <v/>
      </c>
      <c r="E68" s="223"/>
      <c r="F68" s="239" t="s">
        <v>1274</v>
      </c>
      <c r="H68" s="177"/>
      <c r="I68" s="176" t="str">
        <f t="shared" si="52"/>
        <v>INDLWH</v>
      </c>
      <c r="J68" s="239">
        <f t="shared" si="53"/>
        <v>2050</v>
      </c>
      <c r="K68" s="81"/>
      <c r="L68" s="206">
        <f t="shared" ca="1" si="54"/>
        <v>0.95</v>
      </c>
      <c r="M68" s="206"/>
      <c r="N68" s="81"/>
      <c r="O68" s="783">
        <f t="shared" ca="1" si="55"/>
        <v>18.1035</v>
      </c>
      <c r="P68" s="783">
        <f t="shared" ca="1" si="56"/>
        <v>0</v>
      </c>
      <c r="Q68" s="81">
        <f t="shared" ca="1" si="57"/>
        <v>94.834361111111107</v>
      </c>
      <c r="R68" s="333"/>
      <c r="S68" s="333"/>
      <c r="T68" s="333"/>
      <c r="U68" s="333"/>
      <c r="V68" s="759">
        <f ca="1">IF(IF(RIGHT(H66,2)="MT",(1-L68)+$W$2,IF(RIGHT(H66,2)="HT",(1-L68)+$W$1,IF(RIGHT(H66,2)="RH",(1-L68)+$W$3,"")))&lt;0,0,IF(RIGHT(H66,2)="MT",(1-L68)+$W$2,IF(RIGHT(H66,2)="HT",(1-L68)+$W$1,IF(RIGHT(H66,2)="RH",(1-L68)+$W$3,""))))</f>
        <v>0.25000000000000006</v>
      </c>
      <c r="W68" s="331"/>
      <c r="X68" s="758">
        <f t="shared" ca="1" si="58"/>
        <v>0</v>
      </c>
      <c r="Y68" s="81">
        <f t="shared" ca="1" si="59"/>
        <v>0</v>
      </c>
      <c r="Z68" s="81">
        <f t="shared" ca="1" si="60"/>
        <v>0</v>
      </c>
      <c r="AA68" s="81">
        <f t="shared" ca="1" si="61"/>
        <v>0</v>
      </c>
      <c r="AB68" s="81">
        <f t="shared" ca="1" si="62"/>
        <v>0</v>
      </c>
      <c r="AD68" s="81">
        <v>2050</v>
      </c>
      <c r="AE68" s="81"/>
      <c r="AF68" s="232"/>
    </row>
    <row r="69" spans="2:32">
      <c r="B69" s="393" t="s">
        <v>1131</v>
      </c>
      <c r="D69" s="223" t="str">
        <f ca="1">IF(T69=0,"*",IF(T69&gt;0,"IND"&amp;RIGHT(H69,4)&amp;RIGHT(G69,3)&amp;"N"&amp;RIGHT(E69,1),""))</f>
        <v>INDLDMTELCN7</v>
      </c>
      <c r="E69" s="278" t="str">
        <f>"Industrial heating technology "&amp;$AJ$12&amp;" "&amp;RIGHT(H69,2)&amp;" - Infrared heating - new 7"</f>
        <v>Industrial heating technology L MT - Infrared heating - new 7</v>
      </c>
      <c r="F69" s="239" t="s">
        <v>1274</v>
      </c>
      <c r="G69" s="176" t="s">
        <v>500</v>
      </c>
      <c r="H69" s="177" t="str">
        <f>$AI$14</f>
        <v>ILDMT</v>
      </c>
      <c r="I69" s="176" t="str">
        <f t="shared" si="52"/>
        <v>INDLWH</v>
      </c>
      <c r="J69" s="239">
        <f t="shared" si="53"/>
        <v>2011</v>
      </c>
      <c r="K69" s="332">
        <f>J69</f>
        <v>2011</v>
      </c>
      <c r="L69" s="206">
        <f t="shared" ca="1" si="54"/>
        <v>0.96</v>
      </c>
      <c r="M69" s="206"/>
      <c r="N69" s="81">
        <f ca="1">VLOOKUP($AD69,INDIRECT("'"&amp;$B69&amp;"'!"&amp;"$P$39:$AD$42"),5,FALSE)</f>
        <v>30</v>
      </c>
      <c r="O69" s="783">
        <f t="shared" ca="1" si="55"/>
        <v>2.6074999999999999</v>
      </c>
      <c r="P69" s="783">
        <f t="shared" ca="1" si="56"/>
        <v>0</v>
      </c>
      <c r="Q69" s="81">
        <f t="shared" ca="1" si="57"/>
        <v>242.27606944444443</v>
      </c>
      <c r="R69" s="81">
        <v>3.1536000000000002E-2</v>
      </c>
      <c r="S69" s="206">
        <v>0.5</v>
      </c>
      <c r="T69" s="206">
        <f ca="1">IF(HLOOKUP($T$2,INDIRECT("'"&amp;$B69&amp;"'!"&amp;"$P$6:$AE$19"),IF(H69=$AI$13,6,IF(H69=$AI$14,9,14)),FALSE)&lt;0.03,0,HLOOKUP($T$2,INDIRECT("'"&amp;$B69&amp;"'!"&amp;"$P$6:$AE$19"),IF(H69=$AI$13,6,IF(H69=$AI$14,9,14)),FALSE))</f>
        <v>0.05</v>
      </c>
      <c r="U69" s="832"/>
      <c r="V69" s="759">
        <f ca="1">IF(IF(RIGHT(H69,2)="MT",(1-L69)+$W$2,IF(RIGHT(H69,2)="HT",(1-L69)+$W$1,IF(RIGHT(H69,2)="RH",(1-L69)+$W$3,"")))&lt;0,0,IF(RIGHT(H69,2)="MT",(1-L69)+$W$2,IF(RIGHT(H69,2)="HT",(1-L69)+$W$1,IF(RIGHT(H69,2)="RH",(1-L69)+$W$3,""))))</f>
        <v>0.24000000000000005</v>
      </c>
      <c r="W69" s="331"/>
      <c r="X69" s="758">
        <f t="shared" ca="1" si="58"/>
        <v>0</v>
      </c>
      <c r="Y69" s="81">
        <f t="shared" ca="1" si="59"/>
        <v>0</v>
      </c>
      <c r="Z69" s="81">
        <f t="shared" ca="1" si="60"/>
        <v>0</v>
      </c>
      <c r="AA69" s="81">
        <f t="shared" ca="1" si="61"/>
        <v>0</v>
      </c>
      <c r="AB69" s="81">
        <f t="shared" ca="1" si="62"/>
        <v>0</v>
      </c>
      <c r="AD69" s="81">
        <v>2020</v>
      </c>
      <c r="AE69" s="81"/>
      <c r="AF69" s="232"/>
    </row>
    <row r="70" spans="2:32">
      <c r="B70" s="393" t="s">
        <v>1131</v>
      </c>
      <c r="D70" s="223" t="str">
        <f ca="1">IF(T69=0,"*",IF(T70&gt;0,"IND"&amp;RIGHT(H69,4)&amp;RIGHT(G69,3)&amp;"N"&amp;RIGHT(E69,1),""))</f>
        <v/>
      </c>
      <c r="E70" s="223"/>
      <c r="F70" s="239" t="s">
        <v>1274</v>
      </c>
      <c r="H70" s="177"/>
      <c r="I70" s="176" t="str">
        <f t="shared" si="52"/>
        <v>INDLWH</v>
      </c>
      <c r="J70" s="239">
        <f t="shared" si="53"/>
        <v>2030</v>
      </c>
      <c r="K70" s="81"/>
      <c r="L70" s="206">
        <f t="shared" ca="1" si="54"/>
        <v>0.96</v>
      </c>
      <c r="M70" s="206"/>
      <c r="N70" s="81"/>
      <c r="O70" s="783">
        <f t="shared" ca="1" si="55"/>
        <v>2.5330000000000004</v>
      </c>
      <c r="P70" s="783">
        <f t="shared" ca="1" si="56"/>
        <v>0</v>
      </c>
      <c r="Q70" s="81">
        <f t="shared" ca="1" si="57"/>
        <v>242.28020833333332</v>
      </c>
      <c r="R70" s="333"/>
      <c r="S70" s="333"/>
      <c r="T70" s="333"/>
      <c r="U70" s="333"/>
      <c r="V70" s="759">
        <f ca="1">IF(IF(RIGHT(H69,2)="MT",(1-L70)+$W$2,IF(RIGHT(H69,2)="HT",(1-L70)+$W$1,IF(RIGHT(H69,2)="RH",(1-L70)+$W$3,"")))&lt;0,0,IF(RIGHT(H69,2)="MT",(1-L70)+$W$2,IF(RIGHT(H69,2)="HT",(1-L70)+$W$1,IF(RIGHT(H69,2)="RH",(1-L70)+$W$3,""))))</f>
        <v>0.24000000000000005</v>
      </c>
      <c r="W70" s="331"/>
      <c r="X70" s="758">
        <f t="shared" ca="1" si="58"/>
        <v>0</v>
      </c>
      <c r="Y70" s="81">
        <f t="shared" ca="1" si="59"/>
        <v>0</v>
      </c>
      <c r="Z70" s="81">
        <f t="shared" ca="1" si="60"/>
        <v>0</v>
      </c>
      <c r="AA70" s="81">
        <f t="shared" ca="1" si="61"/>
        <v>0</v>
      </c>
      <c r="AB70" s="81">
        <f t="shared" ca="1" si="62"/>
        <v>0</v>
      </c>
      <c r="AD70" s="81">
        <v>2030</v>
      </c>
      <c r="AE70" s="81"/>
      <c r="AF70" s="232"/>
    </row>
    <row r="71" spans="2:32">
      <c r="B71" s="393" t="s">
        <v>1131</v>
      </c>
      <c r="D71" s="223" t="str">
        <f ca="1">IF(T69=0,"*",IF(T71&gt;0,"IND"&amp;RIGHT(H69,4)&amp;RIGHT(G69,3)&amp;"N"&amp;RIGHT(E69,1),""))</f>
        <v/>
      </c>
      <c r="E71" s="223"/>
      <c r="F71" s="239" t="s">
        <v>1274</v>
      </c>
      <c r="H71" s="177"/>
      <c r="I71" s="177" t="str">
        <f t="shared" si="52"/>
        <v>INDLWH</v>
      </c>
      <c r="J71" s="239">
        <f t="shared" si="53"/>
        <v>2050</v>
      </c>
      <c r="K71" s="81"/>
      <c r="L71" s="206">
        <f t="shared" ca="1" si="54"/>
        <v>0.96</v>
      </c>
      <c r="M71" s="206"/>
      <c r="N71" s="81"/>
      <c r="O71" s="783">
        <f t="shared" ca="1" si="55"/>
        <v>2.3467500000000001</v>
      </c>
      <c r="P71" s="783">
        <f t="shared" ca="1" si="56"/>
        <v>0</v>
      </c>
      <c r="Q71" s="81">
        <f t="shared" ca="1" si="57"/>
        <v>242.28227777777775</v>
      </c>
      <c r="R71" s="333"/>
      <c r="S71" s="333"/>
      <c r="T71" s="333"/>
      <c r="U71" s="333"/>
      <c r="V71" s="759">
        <f ca="1">IF(IF(RIGHT(H69,2)="MT",(1-L71)+$W$2,IF(RIGHT(H69,2)="HT",(1-L71)+$W$1,IF(RIGHT(H69,2)="RH",(1-L71)+$W$3,"")))&lt;0,0,IF(RIGHT(H69,2)="MT",(1-L71)+$W$2,IF(RIGHT(H69,2)="HT",(1-L71)+$W$1,IF(RIGHT(H69,2)="RH",(1-L71)+$W$3,""))))</f>
        <v>0.24000000000000005</v>
      </c>
      <c r="W71" s="331"/>
      <c r="X71" s="758">
        <f t="shared" ca="1" si="58"/>
        <v>0</v>
      </c>
      <c r="Y71" s="81">
        <f t="shared" ca="1" si="59"/>
        <v>0</v>
      </c>
      <c r="Z71" s="81">
        <f t="shared" ca="1" si="60"/>
        <v>0</v>
      </c>
      <c r="AA71" s="81">
        <f t="shared" ca="1" si="61"/>
        <v>0</v>
      </c>
      <c r="AB71" s="81">
        <f t="shared" ca="1" si="62"/>
        <v>0</v>
      </c>
      <c r="AD71" s="81">
        <v>2050</v>
      </c>
      <c r="AE71" s="81"/>
      <c r="AF71" s="232"/>
    </row>
    <row r="72" spans="2:32">
      <c r="B72" s="393" t="s">
        <v>1132</v>
      </c>
      <c r="D72" s="223" t="str">
        <f ca="1">IF(T72=0,"*",IF(T72&gt;0,"IND"&amp;RIGHT(H72,4)&amp;RIGHT(G72,3)&amp;"N"&amp;RIGHT(E72,1),""))</f>
        <v>INDLDHTELCN8</v>
      </c>
      <c r="E72" s="278" t="str">
        <f>"Industrial heating technology "&amp;$AJ$12&amp;" "&amp;RIGHT(H72,2)&amp;" - Electric boiler (Steam) - new 8"</f>
        <v>Industrial heating technology L HT - Electric boiler (Steam) - new 8</v>
      </c>
      <c r="F72" s="239" t="s">
        <v>1274</v>
      </c>
      <c r="G72" s="176" t="s">
        <v>500</v>
      </c>
      <c r="H72" s="177" t="str">
        <f>$AI$13</f>
        <v>ILDHT</v>
      </c>
      <c r="I72" s="177" t="str">
        <f t="shared" si="52"/>
        <v>INDLWH</v>
      </c>
      <c r="J72" s="239">
        <f t="shared" si="53"/>
        <v>2011</v>
      </c>
      <c r="K72" s="332">
        <f>J72</f>
        <v>2011</v>
      </c>
      <c r="L72" s="206">
        <f t="shared" ca="1" si="54"/>
        <v>0.99</v>
      </c>
      <c r="M72" s="206"/>
      <c r="N72" s="81">
        <f ca="1">VLOOKUP($AD72,INDIRECT("'"&amp;$B72&amp;"'!"&amp;"$P$39:$AD$42"),5,FALSE)</f>
        <v>25</v>
      </c>
      <c r="O72" s="783">
        <f t="shared" ca="1" si="55"/>
        <v>0.59599999999999997</v>
      </c>
      <c r="P72" s="783">
        <f t="shared" ca="1" si="56"/>
        <v>7.9714999999999994E-3</v>
      </c>
      <c r="Q72" s="81">
        <f t="shared" ca="1" si="57"/>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8"/>
        <v>0</v>
      </c>
      <c r="Y72" s="81">
        <f t="shared" ca="1" si="59"/>
        <v>0</v>
      </c>
      <c r="Z72" s="81">
        <f t="shared" ca="1" si="60"/>
        <v>0</v>
      </c>
      <c r="AA72" s="81">
        <f t="shared" ca="1" si="61"/>
        <v>0</v>
      </c>
      <c r="AB72" s="81">
        <f t="shared" ca="1" si="62"/>
        <v>0</v>
      </c>
      <c r="AD72" s="81">
        <v>2020</v>
      </c>
      <c r="AE72" s="81"/>
      <c r="AF72" s="232"/>
    </row>
    <row r="73" spans="2:32">
      <c r="B73" s="393" t="s">
        <v>1132</v>
      </c>
      <c r="D73" s="223" t="str">
        <f ca="1">IF(T72=0,"*",IF(T73&gt;0,"IND"&amp;RIGHT(H72,4)&amp;RIGHT(G72,3)&amp;"N"&amp;RIGHT(E72,1),""))</f>
        <v/>
      </c>
      <c r="E73" s="223"/>
      <c r="F73" s="239" t="s">
        <v>1274</v>
      </c>
      <c r="H73" s="177"/>
      <c r="I73" s="177" t="str">
        <f t="shared" si="52"/>
        <v>INDLWH</v>
      </c>
      <c r="J73" s="239">
        <f t="shared" si="53"/>
        <v>2030</v>
      </c>
      <c r="K73" s="81"/>
      <c r="L73" s="206">
        <f t="shared" ca="1" si="54"/>
        <v>0.99</v>
      </c>
      <c r="M73" s="206"/>
      <c r="N73" s="81"/>
      <c r="O73" s="783">
        <f t="shared" ca="1" si="55"/>
        <v>0.52150000000000007</v>
      </c>
      <c r="P73" s="783">
        <f t="shared" ca="1" si="56"/>
        <v>7.5989999999999999E-3</v>
      </c>
      <c r="Q73" s="81">
        <f t="shared" ca="1" si="57"/>
        <v>1.8107638888888888</v>
      </c>
      <c r="R73" s="333"/>
      <c r="S73" s="333"/>
      <c r="T73" s="333"/>
      <c r="U73" s="333"/>
      <c r="V73" s="759">
        <f ca="1">IF(IF(RIGHT(H72,2)="MT",(1-L73)+$W$2,IF(RIGHT(H72,2)="HT",(1-L73)+$W$1,IF(RIGHT(H72,2)="RH",(1-L73)+$W$3,"")))&lt;0,0,IF(RIGHT(H72,2)="MT",(1-L73)+$W$2,IF(RIGHT(H72,2)="HT",(1-L73)+$W$1,IF(RIGHT(H72,2)="RH",(1-L73)+$W$3,""))))</f>
        <v>0.31</v>
      </c>
      <c r="W73" s="331"/>
      <c r="X73" s="758">
        <f t="shared" ca="1" si="58"/>
        <v>0</v>
      </c>
      <c r="Y73" s="81">
        <f t="shared" ca="1" si="59"/>
        <v>0</v>
      </c>
      <c r="Z73" s="81">
        <f t="shared" ca="1" si="60"/>
        <v>0</v>
      </c>
      <c r="AA73" s="81">
        <f t="shared" ca="1" si="61"/>
        <v>0</v>
      </c>
      <c r="AB73" s="81">
        <f t="shared" ca="1" si="62"/>
        <v>0</v>
      </c>
      <c r="AD73" s="81">
        <v>2030</v>
      </c>
      <c r="AE73" s="81"/>
      <c r="AF73" s="232"/>
    </row>
    <row r="74" spans="2:32">
      <c r="B74" s="393" t="s">
        <v>1132</v>
      </c>
      <c r="D74" s="223" t="str">
        <f ca="1">IF(T72=0,"*",IF(T74&gt;0,"IND"&amp;RIGHT(H72,4)&amp;RIGHT(G72,3)&amp;"N"&amp;RIGHT(E72,1),""))</f>
        <v/>
      </c>
      <c r="E74" s="223"/>
      <c r="F74" s="239" t="s">
        <v>1274</v>
      </c>
      <c r="H74" s="177"/>
      <c r="I74" s="177" t="str">
        <f t="shared" si="52"/>
        <v>INDLWH</v>
      </c>
      <c r="J74" s="239">
        <f t="shared" si="53"/>
        <v>2050</v>
      </c>
      <c r="K74" s="81"/>
      <c r="L74" s="206">
        <f t="shared" ca="1" si="54"/>
        <v>0.99</v>
      </c>
      <c r="M74" s="206"/>
      <c r="N74" s="81"/>
      <c r="O74" s="783">
        <f t="shared" ca="1" si="55"/>
        <v>0.52150000000000007</v>
      </c>
      <c r="P74" s="783">
        <f t="shared" ca="1" si="56"/>
        <v>6.8539999999999998E-3</v>
      </c>
      <c r="Q74" s="81">
        <f t="shared" ca="1" si="57"/>
        <v>1.6141666666666665</v>
      </c>
      <c r="R74" s="333"/>
      <c r="S74" s="333"/>
      <c r="T74" s="333"/>
      <c r="U74" s="333"/>
      <c r="V74" s="759">
        <f ca="1">IF(IF(RIGHT(H72,2)="MT",(1-L74)+$W$2,IF(RIGHT(H72,2)="HT",(1-L74)+$W$1,IF(RIGHT(H72,2)="RH",(1-L74)+$W$3,"")))&lt;0,0,IF(RIGHT(H72,2)="MT",(1-L74)+$W$2,IF(RIGHT(H72,2)="HT",(1-L74)+$W$1,IF(RIGHT(H72,2)="RH",(1-L74)+$W$3,""))))</f>
        <v>0.31</v>
      </c>
      <c r="W74" s="331"/>
      <c r="X74" s="758">
        <f t="shared" ca="1" si="58"/>
        <v>0</v>
      </c>
      <c r="Y74" s="81">
        <f t="shared" ca="1" si="59"/>
        <v>0</v>
      </c>
      <c r="Z74" s="81">
        <f t="shared" ca="1" si="60"/>
        <v>0</v>
      </c>
      <c r="AA74" s="81">
        <f t="shared" ca="1" si="61"/>
        <v>0</v>
      </c>
      <c r="AB74" s="81">
        <f t="shared" ca="1" si="62"/>
        <v>0</v>
      </c>
      <c r="AD74" s="81">
        <v>2050</v>
      </c>
      <c r="AE74" s="81"/>
      <c r="AF74" s="232"/>
    </row>
    <row r="75" spans="2:32">
      <c r="B75" s="393" t="s">
        <v>1132</v>
      </c>
      <c r="D75" s="223" t="str">
        <f ca="1">IF(T75=0,"*",IF(T75&gt;0,"IND"&amp;RIGHT(H75,4)&amp;RIGHT(G75,3)&amp;"N"&amp;RIGHT(E75,1),""))</f>
        <v>INDLDMTELCN8</v>
      </c>
      <c r="E75" s="278" t="str">
        <f>"Industrial heating technology "&amp;$AJ$12&amp;" "&amp;RIGHT(H75,2)&amp;" - Electric boiler (Steam) - new 8"</f>
        <v>Industrial heating technology L MT - Electric boiler (Steam) - new 8</v>
      </c>
      <c r="F75" s="239" t="s">
        <v>1274</v>
      </c>
      <c r="G75" s="176" t="s">
        <v>500</v>
      </c>
      <c r="H75" s="177" t="str">
        <f>$AI$14</f>
        <v>ILDMT</v>
      </c>
      <c r="I75" s="177" t="str">
        <f t="shared" si="52"/>
        <v>INDLWH</v>
      </c>
      <c r="J75" s="239">
        <f t="shared" si="53"/>
        <v>2011</v>
      </c>
      <c r="K75" s="332">
        <f>J75</f>
        <v>2011</v>
      </c>
      <c r="L75" s="206">
        <f t="shared" ca="1" si="54"/>
        <v>0.99</v>
      </c>
      <c r="M75" s="206"/>
      <c r="N75" s="81">
        <f ca="1">VLOOKUP($AD75,INDIRECT("'"&amp;$B75&amp;"'!"&amp;"$P$39:$AD$42"),5,FALSE)</f>
        <v>25</v>
      </c>
      <c r="O75" s="783">
        <f t="shared" ca="1" si="55"/>
        <v>0.59599999999999997</v>
      </c>
      <c r="P75" s="783">
        <f t="shared" ca="1" si="56"/>
        <v>7.9714999999999994E-3</v>
      </c>
      <c r="Q75" s="81">
        <f t="shared" ca="1" si="57"/>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8"/>
        <v>0</v>
      </c>
      <c r="Y75" s="81">
        <f t="shared" ca="1" si="59"/>
        <v>0</v>
      </c>
      <c r="Z75" s="81">
        <f t="shared" ca="1" si="60"/>
        <v>0</v>
      </c>
      <c r="AA75" s="81">
        <f t="shared" ca="1" si="61"/>
        <v>0</v>
      </c>
      <c r="AB75" s="81">
        <f t="shared" ca="1" si="62"/>
        <v>0</v>
      </c>
      <c r="AD75" s="81">
        <v>2020</v>
      </c>
      <c r="AE75" s="81"/>
      <c r="AF75" s="232"/>
    </row>
    <row r="76" spans="2:32">
      <c r="B76" s="393" t="s">
        <v>1132</v>
      </c>
      <c r="D76" s="223" t="str">
        <f ca="1">IF(T75=0,"*",IF(T76&gt;0,"IND"&amp;RIGHT(H75,4)&amp;RIGHT(G75,3)&amp;"N"&amp;RIGHT(E75,1),""))</f>
        <v/>
      </c>
      <c r="E76" s="223"/>
      <c r="F76" s="239" t="s">
        <v>1274</v>
      </c>
      <c r="H76" s="177"/>
      <c r="I76" s="177" t="str">
        <f t="shared" si="52"/>
        <v>INDLWH</v>
      </c>
      <c r="J76" s="239">
        <f t="shared" si="53"/>
        <v>2030</v>
      </c>
      <c r="K76" s="81"/>
      <c r="L76" s="206">
        <f t="shared" ca="1" si="54"/>
        <v>0.99</v>
      </c>
      <c r="M76" s="206"/>
      <c r="N76" s="81"/>
      <c r="O76" s="783">
        <f t="shared" ca="1" si="55"/>
        <v>0.52150000000000007</v>
      </c>
      <c r="P76" s="783">
        <f t="shared" ca="1" si="56"/>
        <v>7.5989999999999999E-3</v>
      </c>
      <c r="Q76" s="81">
        <f t="shared" ca="1" si="57"/>
        <v>1.8107638888888888</v>
      </c>
      <c r="R76" s="333"/>
      <c r="S76" s="333"/>
      <c r="T76" s="333"/>
      <c r="U76" s="333"/>
      <c r="V76" s="759">
        <f ca="1">IF(IF(RIGHT(H75,2)="MT",(1-L76)+$W$2,IF(RIGHT(H75,2)="HT",(1-L76)+$W$1,IF(RIGHT(H75,2)="RH",(1-L76)+$W$3,"")))&lt;0,0,IF(RIGHT(H75,2)="MT",(1-L76)+$W$2,IF(RIGHT(H75,2)="HT",(1-L76)+$W$1,IF(RIGHT(H75,2)="RH",(1-L76)+$W$3,""))))</f>
        <v>0.21000000000000002</v>
      </c>
      <c r="W76" s="331"/>
      <c r="X76" s="758">
        <f t="shared" ca="1" si="58"/>
        <v>0</v>
      </c>
      <c r="Y76" s="81">
        <f t="shared" ca="1" si="59"/>
        <v>0</v>
      </c>
      <c r="Z76" s="81">
        <f t="shared" ca="1" si="60"/>
        <v>0</v>
      </c>
      <c r="AA76" s="81">
        <f t="shared" ca="1" si="61"/>
        <v>0</v>
      </c>
      <c r="AB76" s="81">
        <f t="shared" ca="1" si="62"/>
        <v>0</v>
      </c>
      <c r="AD76" s="81">
        <v>2030</v>
      </c>
      <c r="AE76" s="81"/>
      <c r="AF76" s="232"/>
    </row>
    <row r="77" spans="2:32">
      <c r="B77" s="393" t="s">
        <v>1132</v>
      </c>
      <c r="D77" s="223" t="str">
        <f ca="1">IF(T75=0,"*",IF(T77&gt;0,"IND"&amp;RIGHT(H75,4)&amp;RIGHT(G75,3)&amp;"N"&amp;RIGHT(E75,1),""))</f>
        <v/>
      </c>
      <c r="E77" s="223"/>
      <c r="F77" s="239" t="s">
        <v>1274</v>
      </c>
      <c r="H77" s="177"/>
      <c r="I77" s="177" t="str">
        <f t="shared" si="52"/>
        <v>INDLWH</v>
      </c>
      <c r="J77" s="239">
        <f t="shared" si="53"/>
        <v>2050</v>
      </c>
      <c r="K77" s="81"/>
      <c r="L77" s="206">
        <f t="shared" ca="1" si="54"/>
        <v>0.99</v>
      </c>
      <c r="M77" s="206"/>
      <c r="N77" s="81"/>
      <c r="O77" s="783">
        <f t="shared" ca="1" si="55"/>
        <v>0.52150000000000007</v>
      </c>
      <c r="P77" s="783">
        <f t="shared" ca="1" si="56"/>
        <v>6.8539999999999998E-3</v>
      </c>
      <c r="Q77" s="81">
        <f t="shared" ca="1" si="57"/>
        <v>1.6141666666666665</v>
      </c>
      <c r="R77" s="333"/>
      <c r="S77" s="333"/>
      <c r="T77" s="333"/>
      <c r="U77" s="333"/>
      <c r="V77" s="759">
        <f ca="1">IF(IF(RIGHT(H75,2)="MT",(1-L77)+$W$2,IF(RIGHT(H75,2)="HT",(1-L77)+$W$1,IF(RIGHT(H75,2)="RH",(1-L77)+$W$3,"")))&lt;0,0,IF(RIGHT(H75,2)="MT",(1-L77)+$W$2,IF(RIGHT(H75,2)="HT",(1-L77)+$W$1,IF(RIGHT(H75,2)="RH",(1-L77)+$W$3,""))))</f>
        <v>0.21000000000000002</v>
      </c>
      <c r="W77" s="331"/>
      <c r="X77" s="758">
        <f t="shared" ca="1" si="58"/>
        <v>0</v>
      </c>
      <c r="Y77" s="81">
        <f t="shared" ca="1" si="59"/>
        <v>0</v>
      </c>
      <c r="Z77" s="81">
        <f t="shared" ca="1" si="60"/>
        <v>0</v>
      </c>
      <c r="AA77" s="81">
        <f t="shared" ca="1" si="61"/>
        <v>0</v>
      </c>
      <c r="AB77" s="81">
        <f t="shared" ca="1" si="62"/>
        <v>0</v>
      </c>
      <c r="AD77" s="81">
        <v>2050</v>
      </c>
      <c r="AE77" s="766"/>
      <c r="AF77" s="232"/>
    </row>
    <row r="78" spans="2:32">
      <c r="B78" s="393" t="s">
        <v>1132</v>
      </c>
      <c r="D78" s="223" t="str">
        <f ca="1">IF(T78=0,"*",IF(T78&gt;0,"IND"&amp;RIGHT(H78,4)&amp;RIGHT(G78,3)&amp;"N"&amp;RIGHT(E78,1),""))</f>
        <v>INDLDRHELCN8</v>
      </c>
      <c r="E78" s="278" t="str">
        <f>"Industrial heating technology "&amp;$AJ$12&amp;" "&amp;RIGHT(H78,2)&amp;" - Electric boiler (Steam) - new 8"</f>
        <v>Industrial heating technology L RH - Electric boiler (Steam) - new 8</v>
      </c>
      <c r="F78" s="239" t="s">
        <v>1274</v>
      </c>
      <c r="G78" s="176" t="s">
        <v>500</v>
      </c>
      <c r="H78" s="177" t="str">
        <f>$AI$15</f>
        <v>ILDRH</v>
      </c>
      <c r="I78" s="177" t="str">
        <f t="shared" si="52"/>
        <v>INDLWH</v>
      </c>
      <c r="J78" s="239">
        <f t="shared" si="53"/>
        <v>2011</v>
      </c>
      <c r="K78" s="332">
        <f>J78</f>
        <v>2011</v>
      </c>
      <c r="L78" s="206">
        <f t="shared" ca="1" si="54"/>
        <v>0.99</v>
      </c>
      <c r="M78" s="206"/>
      <c r="N78" s="81">
        <f ca="1">VLOOKUP($AD78,INDIRECT("'"&amp;$B78&amp;"'!"&amp;"$P$39:$AD$42"),5,FALSE)</f>
        <v>25</v>
      </c>
      <c r="O78" s="783">
        <f t="shared" ca="1" si="55"/>
        <v>0.59599999999999997</v>
      </c>
      <c r="P78" s="783">
        <f t="shared" ca="1" si="56"/>
        <v>7.9714999999999994E-3</v>
      </c>
      <c r="Q78" s="81">
        <f t="shared" ca="1" si="57"/>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8"/>
        <v>0</v>
      </c>
      <c r="Y78" s="81">
        <f t="shared" ca="1" si="59"/>
        <v>0</v>
      </c>
      <c r="Z78" s="81">
        <f t="shared" ca="1" si="60"/>
        <v>0</v>
      </c>
      <c r="AA78" s="81">
        <f t="shared" ca="1" si="61"/>
        <v>0</v>
      </c>
      <c r="AB78" s="81">
        <f t="shared" ca="1" si="62"/>
        <v>0</v>
      </c>
      <c r="AC78" s="329"/>
      <c r="AD78" s="81">
        <v>2020</v>
      </c>
      <c r="AE78" s="81"/>
      <c r="AF78" s="770"/>
    </row>
    <row r="79" spans="2:32">
      <c r="B79" s="393" t="s">
        <v>1132</v>
      </c>
      <c r="D79" s="223" t="str">
        <f ca="1">IF(T78=0,"*",IF(T79&gt;0,"IND"&amp;RIGHT(H78,4)&amp;RIGHT(G78,3)&amp;"N"&amp;RIGHT(E78,1),""))</f>
        <v/>
      </c>
      <c r="E79" s="223"/>
      <c r="F79" s="239" t="s">
        <v>1274</v>
      </c>
      <c r="H79" s="177"/>
      <c r="I79" s="177" t="str">
        <f t="shared" si="52"/>
        <v>INDLWH</v>
      </c>
      <c r="J79" s="239">
        <f t="shared" si="53"/>
        <v>2030</v>
      </c>
      <c r="K79" s="81"/>
      <c r="L79" s="206">
        <f t="shared" ca="1" si="54"/>
        <v>0.99</v>
      </c>
      <c r="M79" s="206"/>
      <c r="N79" s="81"/>
      <c r="O79" s="783">
        <f t="shared" ca="1" si="55"/>
        <v>0.52150000000000007</v>
      </c>
      <c r="P79" s="783">
        <f t="shared" ca="1" si="56"/>
        <v>7.5989999999999999E-3</v>
      </c>
      <c r="Q79" s="81">
        <f t="shared" ca="1" si="57"/>
        <v>1.8107638888888888</v>
      </c>
      <c r="R79" s="333"/>
      <c r="S79" s="333"/>
      <c r="T79" s="333"/>
      <c r="U79" s="333"/>
      <c r="V79" s="759">
        <f ca="1">IF(IF(RIGHT(H78,2)="MT",(1-L79)+$W$2,IF(RIGHT(H78,2)="HT",(1-L79)+$W$1,IF(RIGHT(H78,2)="RH",(1-L79)+$W$3,"")))&lt;0,0,IF(RIGHT(H78,2)="MT",(1-L79)+$W$2,IF(RIGHT(H78,2)="HT",(1-L79)+$W$1,IF(RIGHT(H78,2)="RH",(1-L79)+$W$3,""))))</f>
        <v>1.0000000000000009E-2</v>
      </c>
      <c r="W79" s="331"/>
      <c r="X79" s="758">
        <f t="shared" ca="1" si="58"/>
        <v>0</v>
      </c>
      <c r="Y79" s="81">
        <f t="shared" ca="1" si="59"/>
        <v>0</v>
      </c>
      <c r="Z79" s="81">
        <f t="shared" ca="1" si="60"/>
        <v>0</v>
      </c>
      <c r="AA79" s="81">
        <f t="shared" ca="1" si="61"/>
        <v>0</v>
      </c>
      <c r="AB79" s="81">
        <f t="shared" ca="1" si="62"/>
        <v>0</v>
      </c>
      <c r="AC79" s="55"/>
      <c r="AD79" s="81">
        <v>2030</v>
      </c>
      <c r="AE79" s="81"/>
      <c r="AF79" s="760"/>
    </row>
    <row r="80" spans="2:32">
      <c r="B80" s="393" t="s">
        <v>1132</v>
      </c>
      <c r="D80" s="223" t="str">
        <f ca="1">IF(T78=0,"*",IF(T80&gt;0,"IND"&amp;RIGHT(H78,4)&amp;RIGHT(G78,3)&amp;"N"&amp;RIGHT(E78,1),""))</f>
        <v/>
      </c>
      <c r="E80" s="223"/>
      <c r="F80" s="239" t="s">
        <v>1274</v>
      </c>
      <c r="H80" s="177"/>
      <c r="I80" s="177" t="str">
        <f t="shared" si="52"/>
        <v>INDLWH</v>
      </c>
      <c r="J80" s="239">
        <f t="shared" si="53"/>
        <v>2050</v>
      </c>
      <c r="K80" s="766"/>
      <c r="L80" s="206">
        <f t="shared" ca="1" si="54"/>
        <v>0.99</v>
      </c>
      <c r="M80" s="834"/>
      <c r="N80" s="766"/>
      <c r="O80" s="784">
        <f t="shared" ca="1" si="55"/>
        <v>0.52150000000000007</v>
      </c>
      <c r="P80" s="784">
        <f t="shared" ca="1" si="56"/>
        <v>6.8539999999999998E-3</v>
      </c>
      <c r="Q80" s="766">
        <f t="shared" ca="1" si="57"/>
        <v>1.6141666666666665</v>
      </c>
      <c r="R80" s="333"/>
      <c r="S80" s="333"/>
      <c r="T80" s="333"/>
      <c r="U80" s="333"/>
      <c r="V80" s="759">
        <f ca="1">IF(IF(RIGHT(H78,2)="MT",(1-L80)+$W$2,IF(RIGHT(H78,2)="HT",(1-L80)+$W$1,IF(RIGHT(H78,2)="RH",(1-L80)+$W$3,"")))&lt;0,0,IF(RIGHT(H78,2)="MT",(1-L80)+$W$2,IF(RIGHT(H78,2)="HT",(1-L80)+$W$1,IF(RIGHT(H78,2)="RH",(1-L80)+$W$3,""))))</f>
        <v>1.0000000000000009E-2</v>
      </c>
      <c r="W80" s="331"/>
      <c r="X80" s="758">
        <f t="shared" ca="1" si="58"/>
        <v>0</v>
      </c>
      <c r="Y80" s="766">
        <f t="shared" ca="1" si="59"/>
        <v>0</v>
      </c>
      <c r="Z80" s="766">
        <f t="shared" ca="1" si="60"/>
        <v>0</v>
      </c>
      <c r="AA80" s="766">
        <f t="shared" ca="1" si="61"/>
        <v>0</v>
      </c>
      <c r="AB80" s="766">
        <f t="shared" ca="1" si="62"/>
        <v>0</v>
      </c>
      <c r="AC80" s="55"/>
      <c r="AD80" s="766">
        <v>2050</v>
      </c>
      <c r="AE80" s="81"/>
      <c r="AF80" s="760"/>
    </row>
    <row r="81" spans="1:33">
      <c r="B81" s="776" t="s">
        <v>1132</v>
      </c>
      <c r="C81" s="329"/>
      <c r="D81" s="223" t="str">
        <f ca="1">IF(T81=0,"*",IF(T81&gt;0,"IND"&amp;RIGHT(H81,4)&amp;RIGHT(G81,3)&amp;"N"&amp;RIGHT(E81,1),""))</f>
        <v>INDLDMTELCN9</v>
      </c>
      <c r="E81" s="767" t="str">
        <f>"Industrial heating technology "&amp;$AJ$12&amp;" "&amp;RIGHT(H81,2)&amp;" - Electric boiler (Hot Water) - new 9"</f>
        <v>Industrial heating technology L MT - Electric boiler (Hot Water) - new 9</v>
      </c>
      <c r="F81" s="239" t="s">
        <v>1274</v>
      </c>
      <c r="G81" s="768" t="s">
        <v>500</v>
      </c>
      <c r="H81" s="768" t="str">
        <f>$AI$14</f>
        <v>ILDMT</v>
      </c>
      <c r="I81" s="768" t="str">
        <f t="shared" si="52"/>
        <v>INDLWH</v>
      </c>
      <c r="J81" s="239">
        <f t="shared" si="53"/>
        <v>2011</v>
      </c>
      <c r="K81" s="332">
        <f>J81</f>
        <v>2011</v>
      </c>
      <c r="L81" s="206">
        <f t="shared" ref="L81:L86" ca="1" si="63">VLOOKUP($AD81,INDIRECT("'"&amp;$B81&amp;"'!"&amp;"$P$118:$AD$121"),3,FALSE)</f>
        <v>0.99</v>
      </c>
      <c r="M81" s="206"/>
      <c r="N81" s="81">
        <f ca="1">VLOOKUP($AD81,INDIRECT("'"&amp;$B81&amp;"'!"&amp;"$P$118:$AD$121"),5,FALSE)</f>
        <v>25</v>
      </c>
      <c r="O81" s="783">
        <f t="shared" ref="O81:O86" ca="1" si="64">VLOOKUP($AD81,INDIRECT("'"&amp;$B81&amp;"'!"&amp;"$P$118:$AD$121"),6,FALSE)/1000</f>
        <v>0.52150000000000007</v>
      </c>
      <c r="P81" s="783">
        <f t="shared" ref="P81:P86" ca="1" si="65">VLOOKUP($AD81,INDIRECT("'"&amp;$B81&amp;"'!"&amp;"$P$118:$AD$121"),7,FALSE)/1000</f>
        <v>7.9714999999999994E-3</v>
      </c>
      <c r="Q81" s="81">
        <f t="shared" ref="Q81:Q86" ca="1" si="66">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8"/>
        <v>0</v>
      </c>
      <c r="Y81" s="758">
        <f t="shared" ref="Y81:Y86" ca="1" si="67">VLOOKUP($AD81,INDIRECT("'"&amp;$B81&amp;"'!"&amp;"$P$118:$AD$121"),12,FALSE)</f>
        <v>0</v>
      </c>
      <c r="Z81" s="758">
        <f t="shared" ref="Z81:Z86" ca="1" si="68">VLOOKUP($AD81,INDIRECT("'"&amp;$B81&amp;"'!"&amp;"$P$118:$AD$121"),13,FALSE)</f>
        <v>0</v>
      </c>
      <c r="AA81" s="758">
        <f t="shared" ref="AA81:AA86" ca="1" si="69">VLOOKUP($AD81,INDIRECT("'"&amp;$B81&amp;"'!"&amp;"$P$118:$AD$121"),14,FALSE)</f>
        <v>0</v>
      </c>
      <c r="AB81" s="758">
        <f t="shared" ref="AB81:AB86" ca="1" si="70">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2"/>
        <v>INDLWH</v>
      </c>
      <c r="J82" s="239">
        <f t="shared" si="53"/>
        <v>2030</v>
      </c>
      <c r="K82" s="81"/>
      <c r="L82" s="206">
        <f t="shared" ca="1" si="63"/>
        <v>0.99</v>
      </c>
      <c r="M82" s="206"/>
      <c r="N82" s="81"/>
      <c r="O82" s="783">
        <f t="shared" ca="1" si="64"/>
        <v>0.44700000000000001</v>
      </c>
      <c r="P82" s="783">
        <f t="shared" ca="1" si="65"/>
        <v>7.5989999999999999E-3</v>
      </c>
      <c r="Q82" s="81">
        <f t="shared" ca="1" si="66"/>
        <v>1.8107638888888888</v>
      </c>
      <c r="R82" s="333"/>
      <c r="S82" s="333"/>
      <c r="T82" s="333"/>
      <c r="U82" s="333"/>
      <c r="V82" s="759">
        <f ca="1">IF(IF(RIGHT(H81,2)="MT",(1-L82)+$W$2,IF(RIGHT(H81,2)="HT",(1-L82)+$W$1,IF(RIGHT(H81,2)="RH",(1-L82)+$W$3,"")))&lt;0,0,IF(RIGHT(H81,2)="MT",(1-L82)+$W$2,IF(RIGHT(H81,2)="HT",(1-L82)+$W$1,IF(RIGHT(H81,2)="RH",(1-L82)+$W$3,""))))</f>
        <v>0.21000000000000002</v>
      </c>
      <c r="W82" s="331"/>
      <c r="X82" s="758">
        <f t="shared" ca="1" si="58"/>
        <v>0</v>
      </c>
      <c r="Y82" s="758">
        <f t="shared" ca="1" si="67"/>
        <v>0</v>
      </c>
      <c r="Z82" s="758">
        <f t="shared" ca="1" si="68"/>
        <v>0</v>
      </c>
      <c r="AA82" s="758">
        <f t="shared" ca="1" si="69"/>
        <v>0</v>
      </c>
      <c r="AB82" s="758">
        <f t="shared" ca="1" si="70"/>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2"/>
        <v>INDLWH</v>
      </c>
      <c r="J83" s="239">
        <f t="shared" si="53"/>
        <v>2050</v>
      </c>
      <c r="K83" s="81"/>
      <c r="L83" s="206">
        <f t="shared" ca="1" si="63"/>
        <v>0.99</v>
      </c>
      <c r="M83" s="206"/>
      <c r="N83" s="81"/>
      <c r="O83" s="783">
        <f t="shared" ca="1" si="64"/>
        <v>0.44700000000000001</v>
      </c>
      <c r="P83" s="783">
        <f t="shared" ca="1" si="65"/>
        <v>6.8539999999999998E-3</v>
      </c>
      <c r="Q83" s="81">
        <f t="shared" ca="1" si="66"/>
        <v>1.6141666666666665</v>
      </c>
      <c r="R83" s="333"/>
      <c r="S83" s="333"/>
      <c r="T83" s="333"/>
      <c r="U83" s="333"/>
      <c r="V83" s="759">
        <f ca="1">IF(IF(RIGHT(H81,2)="MT",(1-L83)+$W$2,IF(RIGHT(H81,2)="HT",(1-L83)+$W$1,IF(RIGHT(H81,2)="RH",(1-L83)+$W$3,"")))&lt;0,0,IF(RIGHT(H81,2)="MT",(1-L83)+$W$2,IF(RIGHT(H81,2)="HT",(1-L83)+$W$1,IF(RIGHT(H81,2)="RH",(1-L83)+$W$3,""))))</f>
        <v>0.21000000000000002</v>
      </c>
      <c r="W83" s="331"/>
      <c r="X83" s="758">
        <f t="shared" ca="1" si="58"/>
        <v>0</v>
      </c>
      <c r="Y83" s="758">
        <f t="shared" ca="1" si="67"/>
        <v>0</v>
      </c>
      <c r="Z83" s="758">
        <f t="shared" ca="1" si="68"/>
        <v>0</v>
      </c>
      <c r="AA83" s="758">
        <f t="shared" ca="1" si="69"/>
        <v>0</v>
      </c>
      <c r="AB83" s="758">
        <f t="shared" ca="1" si="70"/>
        <v>0</v>
      </c>
      <c r="AC83" s="211"/>
      <c r="AD83" s="81">
        <v>2050</v>
      </c>
      <c r="AE83" s="81"/>
      <c r="AF83" s="765"/>
    </row>
    <row r="84" spans="1:33">
      <c r="B84" s="393" t="s">
        <v>1132</v>
      </c>
      <c r="C84" s="55"/>
      <c r="D84" s="223" t="str">
        <f ca="1">IF(T84=0,"*",IF(T84&gt;0,"IND"&amp;RIGHT(H84,4)&amp;RIGHT(G84,3)&amp;"N"&amp;RIGHT(E84,1),""))</f>
        <v>INDLDRHELCN9</v>
      </c>
      <c r="E84" s="278" t="str">
        <f>"Industrial heating technology "&amp;$AJ$12&amp;" "&amp;RIGHT(H84,2)&amp;" - Electric boiler (Hot Water) - new 9"</f>
        <v>Industrial heating technology L RH - Electric boiler (Hot Water) - new 9</v>
      </c>
      <c r="F84" s="239" t="s">
        <v>1274</v>
      </c>
      <c r="G84" s="177" t="s">
        <v>500</v>
      </c>
      <c r="H84" s="177" t="str">
        <f>$AI$15</f>
        <v>ILDRH</v>
      </c>
      <c r="I84" s="177" t="str">
        <f t="shared" si="52"/>
        <v>INDLWH</v>
      </c>
      <c r="J84" s="239">
        <f t="shared" si="53"/>
        <v>2011</v>
      </c>
      <c r="K84" s="332">
        <f>J84</f>
        <v>2011</v>
      </c>
      <c r="L84" s="206">
        <f t="shared" ca="1" si="63"/>
        <v>0.99</v>
      </c>
      <c r="M84" s="206"/>
      <c r="N84" s="81">
        <f ca="1">VLOOKUP($AD84,INDIRECT("'"&amp;$B84&amp;"'!"&amp;"$P$118:$AD$121"),5,FALSE)</f>
        <v>25</v>
      </c>
      <c r="O84" s="783">
        <f t="shared" ca="1" si="64"/>
        <v>0.52150000000000007</v>
      </c>
      <c r="P84" s="783">
        <f t="shared" ca="1" si="65"/>
        <v>7.9714999999999994E-3</v>
      </c>
      <c r="Q84" s="81">
        <f t="shared" ca="1" si="66"/>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8"/>
        <v>0</v>
      </c>
      <c r="Y84" s="758">
        <f t="shared" ca="1" si="67"/>
        <v>0</v>
      </c>
      <c r="Z84" s="758">
        <f t="shared" ca="1" si="68"/>
        <v>0</v>
      </c>
      <c r="AA84" s="758">
        <f t="shared" ca="1" si="69"/>
        <v>0</v>
      </c>
      <c r="AB84" s="758">
        <f t="shared" ca="1" si="70"/>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2"/>
        <v>INDLWH</v>
      </c>
      <c r="J85" s="239">
        <f t="shared" si="53"/>
        <v>2030</v>
      </c>
      <c r="K85" s="81"/>
      <c r="L85" s="206">
        <f t="shared" ca="1" si="63"/>
        <v>0.99</v>
      </c>
      <c r="M85" s="206"/>
      <c r="N85" s="81"/>
      <c r="O85" s="783">
        <f t="shared" ca="1" si="64"/>
        <v>0.44700000000000001</v>
      </c>
      <c r="P85" s="783">
        <f t="shared" ca="1" si="65"/>
        <v>7.5989999999999999E-3</v>
      </c>
      <c r="Q85" s="81">
        <f t="shared" ca="1" si="66"/>
        <v>1.8107638888888888</v>
      </c>
      <c r="R85" s="333"/>
      <c r="S85" s="333"/>
      <c r="T85" s="333"/>
      <c r="U85" s="333"/>
      <c r="V85" s="759">
        <f ca="1">IF(IF(RIGHT(H84,2)="MT",(1-L85)+$W$2,IF(RIGHT(H84,2)="HT",(1-L85)+$W$1,IF(RIGHT(H84,2)="RH",(1-L85)+$W$3,"")))&lt;0,0,IF(RIGHT(H84,2)="MT",(1-L85)+$W$2,IF(RIGHT(H84,2)="HT",(1-L85)+$W$1,IF(RIGHT(H84,2)="RH",(1-L85)+$W$3,""))))</f>
        <v>1.0000000000000009E-2</v>
      </c>
      <c r="W85" s="331"/>
      <c r="X85" s="758">
        <f t="shared" ca="1" si="58"/>
        <v>0</v>
      </c>
      <c r="Y85" s="758">
        <f t="shared" ca="1" si="67"/>
        <v>0</v>
      </c>
      <c r="Z85" s="758">
        <f t="shared" ca="1" si="68"/>
        <v>0</v>
      </c>
      <c r="AA85" s="758">
        <f t="shared" ca="1" si="69"/>
        <v>0</v>
      </c>
      <c r="AB85" s="758">
        <f t="shared" ca="1" si="70"/>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2"/>
        <v>INDLWH</v>
      </c>
      <c r="J86" s="239">
        <f t="shared" si="53"/>
        <v>2050</v>
      </c>
      <c r="K86" s="81"/>
      <c r="L86" s="206">
        <f t="shared" ca="1" si="63"/>
        <v>0.99</v>
      </c>
      <c r="M86" s="206"/>
      <c r="N86" s="81"/>
      <c r="O86" s="783">
        <f t="shared" ca="1" si="64"/>
        <v>0.44700000000000001</v>
      </c>
      <c r="P86" s="783">
        <f t="shared" ca="1" si="65"/>
        <v>6.8539999999999998E-3</v>
      </c>
      <c r="Q86" s="81">
        <f t="shared" ca="1" si="66"/>
        <v>1.6141666666666665</v>
      </c>
      <c r="R86" s="763"/>
      <c r="S86" s="763"/>
      <c r="T86" s="763"/>
      <c r="U86" s="763"/>
      <c r="V86" s="759">
        <f ca="1">IF(IF(RIGHT(H84,2)="MT",(1-L86)+$W$2,IF(RIGHT(H84,2)="HT",(1-L86)+$W$1,IF(RIGHT(H84,2)="RH",(1-L86)+$W$3,"")))&lt;0,0,IF(RIGHT(H84,2)="MT",(1-L86)+$W$2,IF(RIGHT(H84,2)="HT",(1-L86)+$W$1,IF(RIGHT(H84,2)="RH",(1-L86)+$W$3,""))))</f>
        <v>1.0000000000000009E-2</v>
      </c>
      <c r="W86" s="764"/>
      <c r="X86" s="758">
        <f t="shared" ca="1" si="58"/>
        <v>0</v>
      </c>
      <c r="Y86" s="758">
        <f t="shared" ca="1" si="67"/>
        <v>0</v>
      </c>
      <c r="Z86" s="758">
        <f t="shared" ca="1" si="68"/>
        <v>0</v>
      </c>
      <c r="AA86" s="758">
        <f t="shared" ca="1" si="69"/>
        <v>0</v>
      </c>
      <c r="AB86" s="758">
        <f t="shared" ca="1" si="70"/>
        <v>0</v>
      </c>
      <c r="AD86" s="81">
        <v>2050</v>
      </c>
      <c r="AE86" s="81"/>
      <c r="AF86" s="232"/>
    </row>
    <row r="87" spans="1:33">
      <c r="B87" s="393" t="s">
        <v>1133</v>
      </c>
      <c r="D87" s="223" t="str">
        <f ca="1">IF(T87=0,"*",IF(T87&gt;0,"IND"&amp;RIGHT(H87,4)&amp;RIGHT(G87,3)&amp;"N"&amp;RIGHT(E87,1),""))</f>
        <v>INDLDHTWCHN1</v>
      </c>
      <c r="E87" s="278" t="str">
        <f>"Industrial heating technology "&amp;$AJ$12&amp;" "&amp;RIGHT(H87,2)&amp;" - Wood chip boiler (Steam) - new 1"</f>
        <v>Industrial heating technology L HT - Wood chip boiler (Steam) - new 1</v>
      </c>
      <c r="F87" s="239" t="s">
        <v>1274</v>
      </c>
      <c r="G87" s="176" t="s">
        <v>499</v>
      </c>
      <c r="H87" s="177" t="str">
        <f>$AI$13</f>
        <v>ILDHT</v>
      </c>
      <c r="I87" s="177" t="str">
        <f t="shared" si="52"/>
        <v>INDLWH</v>
      </c>
      <c r="J87" s="239">
        <f t="shared" si="53"/>
        <v>2011</v>
      </c>
      <c r="K87" s="332">
        <f>J87</f>
        <v>2011</v>
      </c>
      <c r="L87" s="206">
        <f t="shared" ref="L87:L95" ca="1" si="71">VLOOKUP($AD87,INDIRECT("'"&amp;$B87&amp;"'!"&amp;"$P$39:$AD$42"),3,FALSE)</f>
        <v>0.89</v>
      </c>
      <c r="M87" s="759"/>
      <c r="N87" s="332">
        <f ca="1">VLOOKUP($AD87,INDIRECT("'"&amp;$B87&amp;"'!"&amp;"$P$39:$AD$42"),5,FALSE)</f>
        <v>25</v>
      </c>
      <c r="O87" s="785">
        <f t="shared" ref="O87:O95" ca="1" si="72">VLOOKUP($AD87,INDIRECT("'"&amp;$B87&amp;"'!"&amp;"$P$39:$AD$42"),6,FALSE)/1000</f>
        <v>4.6054545454545455</v>
      </c>
      <c r="P87" s="785">
        <f t="shared" ref="P87:P95" ca="1" si="73">VLOOKUP($AD87,INDIRECT("'"&amp;$B87&amp;"'!"&amp;"$P$39:$AD$42"),7,FALSE)/1000</f>
        <v>0.25106499999999998</v>
      </c>
      <c r="Q87" s="332">
        <f t="shared" ref="Q87:Q95" ca="1" si="74">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8"/>
        <v>11</v>
      </c>
      <c r="Y87" s="332">
        <f t="shared" ref="Y87:Y95" ca="1" si="75">VLOOKUP($AD87,INDIRECT("'"&amp;$B87&amp;"'!"&amp;"$P$39:$AD$42"),12,FALSE)</f>
        <v>63</v>
      </c>
      <c r="Z87" s="332">
        <f t="shared" ref="Z87:Z95" ca="1" si="76">VLOOKUP($AD87,INDIRECT("'"&amp;$B87&amp;"'!"&amp;"$P$39:$AD$42"),13,FALSE)</f>
        <v>11</v>
      </c>
      <c r="AA87" s="332">
        <f t="shared" ref="AA87:AA95" ca="1" si="77">VLOOKUP($AD87,INDIRECT("'"&amp;$B87&amp;"'!"&amp;"$P$39:$AD$42"),14,FALSE)</f>
        <v>3</v>
      </c>
      <c r="AB87" s="332">
        <f t="shared" ref="AB87:AB95" ca="1" si="78">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2"/>
        <v>INDLWH</v>
      </c>
      <c r="J88" s="239">
        <f t="shared" si="53"/>
        <v>2030</v>
      </c>
      <c r="K88" s="81"/>
      <c r="L88" s="206">
        <f t="shared" ca="1" si="71"/>
        <v>0.89</v>
      </c>
      <c r="M88" s="206"/>
      <c r="N88" s="81"/>
      <c r="O88" s="783">
        <f t="shared" ca="1" si="72"/>
        <v>4.4022727272727264</v>
      </c>
      <c r="P88" s="783">
        <f t="shared" ca="1" si="73"/>
        <v>0.267455</v>
      </c>
      <c r="Q88" s="81">
        <f t="shared" ca="1" si="74"/>
        <v>5.8461805555555557</v>
      </c>
      <c r="R88" s="333"/>
      <c r="S88" s="333"/>
      <c r="T88" s="333"/>
      <c r="U88" s="333"/>
      <c r="V88" s="759">
        <f ca="1">IF(IF(RIGHT(H87,2)="MT",(1-L88)+$W$2,IF(RIGHT(H87,2)="HT",(1-L88)+$W$1,IF(RIGHT(H87,2)="RH",(1-L88)+$W$3,"")))&lt;0,0,IF(RIGHT(H87,2)="MT",(1-L88)+$W$2,IF(RIGHT(H87,2)="HT",(1-L88)+$W$1,IF(RIGHT(H87,2)="RH",(1-L88)+$W$3,""))))</f>
        <v>0.41</v>
      </c>
      <c r="W88" s="331"/>
      <c r="X88" s="758">
        <f t="shared" ca="1" si="58"/>
        <v>11</v>
      </c>
      <c r="Y88" s="81">
        <f t="shared" ca="1" si="75"/>
        <v>49</v>
      </c>
      <c r="Z88" s="81">
        <f t="shared" ca="1" si="76"/>
        <v>8</v>
      </c>
      <c r="AA88" s="81">
        <f t="shared" ca="1" si="77"/>
        <v>3</v>
      </c>
      <c r="AB88" s="81">
        <f t="shared" ca="1" si="78"/>
        <v>10</v>
      </c>
      <c r="AD88" s="81">
        <v>2030</v>
      </c>
      <c r="AE88" s="81"/>
      <c r="AF88" s="232"/>
    </row>
    <row r="89" spans="1:33">
      <c r="B89" s="393" t="s">
        <v>1133</v>
      </c>
      <c r="D89" s="223" t="str">
        <f ca="1">IF(T87=0,"*",IF(T89&gt;0,"IND"&amp;RIGHT(H87,4)&amp;RIGHT(G87,3)&amp;"N"&amp;RIGHT(E87,1),""))</f>
        <v/>
      </c>
      <c r="E89" s="223"/>
      <c r="F89" s="239" t="s">
        <v>1274</v>
      </c>
      <c r="H89" s="177"/>
      <c r="I89" s="177" t="str">
        <f t="shared" si="52"/>
        <v>INDLWH</v>
      </c>
      <c r="J89" s="239">
        <f t="shared" si="53"/>
        <v>2050</v>
      </c>
      <c r="K89" s="81"/>
      <c r="L89" s="206">
        <f t="shared" ca="1" si="71"/>
        <v>0.9</v>
      </c>
      <c r="M89" s="206"/>
      <c r="N89" s="81"/>
      <c r="O89" s="783">
        <f t="shared" ca="1" si="72"/>
        <v>3.9959090909090902</v>
      </c>
      <c r="P89" s="783">
        <f t="shared" ca="1" si="73"/>
        <v>0.25106499999999998</v>
      </c>
      <c r="Q89" s="81">
        <f t="shared" ca="1" si="74"/>
        <v>5.8937777777777782</v>
      </c>
      <c r="R89" s="333"/>
      <c r="S89" s="333"/>
      <c r="T89" s="333"/>
      <c r="U89" s="333"/>
      <c r="V89" s="759">
        <f ca="1">IF(IF(RIGHT(H87,2)="MT",(1-L89)+$W$2,IF(RIGHT(H87,2)="HT",(1-L89)+$W$1,IF(RIGHT(H87,2)="RH",(1-L89)+$W$3,"")))&lt;0,0,IF(RIGHT(H87,2)="MT",(1-L89)+$W$2,IF(RIGHT(H87,2)="HT",(1-L89)+$W$1,IF(RIGHT(H87,2)="RH",(1-L89)+$W$3,""))))</f>
        <v>0.39999999999999997</v>
      </c>
      <c r="W89" s="331"/>
      <c r="X89" s="758">
        <f t="shared" ca="1" si="58"/>
        <v>11</v>
      </c>
      <c r="Y89" s="81">
        <f t="shared" ca="1" si="75"/>
        <v>41</v>
      </c>
      <c r="Z89" s="81">
        <f t="shared" ca="1" si="76"/>
        <v>4</v>
      </c>
      <c r="AA89" s="81">
        <f t="shared" ca="1" si="77"/>
        <v>1</v>
      </c>
      <c r="AB89" s="81">
        <f t="shared" ca="1" si="78"/>
        <v>10</v>
      </c>
      <c r="AD89" s="81">
        <v>2050</v>
      </c>
      <c r="AE89" s="81"/>
      <c r="AF89" s="232"/>
    </row>
    <row r="90" spans="1:33" s="241" customFormat="1">
      <c r="A90" s="239"/>
      <c r="B90" s="393" t="s">
        <v>1133</v>
      </c>
      <c r="C90" s="239"/>
      <c r="D90" s="223" t="str">
        <f ca="1">IF(T90=0,"*",IF(T90&gt;0,"IND"&amp;RIGHT(H90,4)&amp;RIGHT(G90,3)&amp;"N"&amp;RIGHT(E90,1),""))</f>
        <v>INDLDMTWCHN1</v>
      </c>
      <c r="E90" s="278" t="str">
        <f>"Industrial heating technology "&amp;$AJ$12&amp;" "&amp;RIGHT(H90,2)&amp;" - Wood chip boiler (Steam) - new 1"</f>
        <v>Industrial heating technology L MT - Wood chip boiler (Steam) - new 1</v>
      </c>
      <c r="F90" s="239" t="s">
        <v>1274</v>
      </c>
      <c r="G90" s="176" t="s">
        <v>499</v>
      </c>
      <c r="H90" s="177" t="str">
        <f>$AI$14</f>
        <v>ILDMT</v>
      </c>
      <c r="I90" s="177" t="str">
        <f t="shared" si="52"/>
        <v>INDLWH</v>
      </c>
      <c r="J90" s="239">
        <f t="shared" si="53"/>
        <v>2011</v>
      </c>
      <c r="K90" s="332">
        <f>J90</f>
        <v>2011</v>
      </c>
      <c r="L90" s="206">
        <f t="shared" ca="1" si="71"/>
        <v>0.89</v>
      </c>
      <c r="M90" s="206"/>
      <c r="N90" s="81">
        <f ca="1">VLOOKUP($AD90,INDIRECT("'"&amp;$B90&amp;"'!"&amp;"$P$39:$AD$42"),5,FALSE)</f>
        <v>25</v>
      </c>
      <c r="O90" s="783">
        <f t="shared" ca="1" si="72"/>
        <v>4.6054545454545455</v>
      </c>
      <c r="P90" s="783">
        <f t="shared" ca="1" si="73"/>
        <v>0.25106499999999998</v>
      </c>
      <c r="Q90" s="81">
        <f t="shared" ca="1" si="74"/>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8"/>
        <v>11</v>
      </c>
      <c r="Y90" s="81">
        <f t="shared" ca="1" si="75"/>
        <v>63</v>
      </c>
      <c r="Z90" s="81">
        <f t="shared" ca="1" si="76"/>
        <v>11</v>
      </c>
      <c r="AA90" s="81">
        <f t="shared" ca="1" si="77"/>
        <v>3</v>
      </c>
      <c r="AB90" s="81">
        <f t="shared" ca="1" si="78"/>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2"/>
        <v>INDLWH</v>
      </c>
      <c r="J91" s="239">
        <f t="shared" si="53"/>
        <v>2030</v>
      </c>
      <c r="K91" s="81"/>
      <c r="L91" s="206">
        <f t="shared" ca="1" si="71"/>
        <v>0.89</v>
      </c>
      <c r="M91" s="206"/>
      <c r="N91" s="81"/>
      <c r="O91" s="783">
        <f t="shared" ca="1" si="72"/>
        <v>4.4022727272727264</v>
      </c>
      <c r="P91" s="783">
        <f t="shared" ca="1" si="73"/>
        <v>0.267455</v>
      </c>
      <c r="Q91" s="81">
        <f t="shared" ca="1" si="74"/>
        <v>5.8461805555555557</v>
      </c>
      <c r="R91" s="333"/>
      <c r="S91" s="333"/>
      <c r="T91" s="333"/>
      <c r="U91" s="333"/>
      <c r="V91" s="759">
        <f ca="1">IF(IF(RIGHT(H90,2)="MT",(1-L91)+$W$2,IF(RIGHT(H90,2)="HT",(1-L91)+$W$1,IF(RIGHT(H90,2)="RH",(1-L91)+$W$3,"")))&lt;0,0,IF(RIGHT(H90,2)="MT",(1-L91)+$W$2,IF(RIGHT(H90,2)="HT",(1-L91)+$W$1,IF(RIGHT(H90,2)="RH",(1-L91)+$W$3,""))))</f>
        <v>0.31</v>
      </c>
      <c r="W91" s="331"/>
      <c r="X91" s="758">
        <f t="shared" ca="1" si="58"/>
        <v>11</v>
      </c>
      <c r="Y91" s="81">
        <f t="shared" ca="1" si="75"/>
        <v>49</v>
      </c>
      <c r="Z91" s="81">
        <f t="shared" ca="1" si="76"/>
        <v>8</v>
      </c>
      <c r="AA91" s="81">
        <f t="shared" ca="1" si="77"/>
        <v>3</v>
      </c>
      <c r="AB91" s="81">
        <f t="shared" ca="1" si="78"/>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2"/>
        <v>INDLWH</v>
      </c>
      <c r="J92" s="239">
        <f t="shared" si="53"/>
        <v>2050</v>
      </c>
      <c r="K92" s="81"/>
      <c r="L92" s="206">
        <f t="shared" ca="1" si="71"/>
        <v>0.9</v>
      </c>
      <c r="M92" s="206"/>
      <c r="N92" s="81"/>
      <c r="O92" s="783">
        <f t="shared" ca="1" si="72"/>
        <v>3.9959090909090902</v>
      </c>
      <c r="P92" s="783">
        <f t="shared" ca="1" si="73"/>
        <v>0.25106499999999998</v>
      </c>
      <c r="Q92" s="81">
        <f t="shared" ca="1" si="74"/>
        <v>5.8937777777777782</v>
      </c>
      <c r="R92" s="333"/>
      <c r="S92" s="333"/>
      <c r="T92" s="333"/>
      <c r="U92" s="333"/>
      <c r="V92" s="759">
        <f ca="1">IF(IF(RIGHT(H90,2)="MT",(1-L92)+$W$2,IF(RIGHT(H90,2)="HT",(1-L92)+$W$1,IF(RIGHT(H90,2)="RH",(1-L92)+$W$3,"")))&lt;0,0,IF(RIGHT(H90,2)="MT",(1-L92)+$W$2,IF(RIGHT(H90,2)="HT",(1-L92)+$W$1,IF(RIGHT(H90,2)="RH",(1-L92)+$W$3,""))))</f>
        <v>0.3</v>
      </c>
      <c r="W92" s="331"/>
      <c r="X92" s="758">
        <f t="shared" ca="1" si="58"/>
        <v>11</v>
      </c>
      <c r="Y92" s="81">
        <f t="shared" ca="1" si="75"/>
        <v>41</v>
      </c>
      <c r="Z92" s="81">
        <f t="shared" ca="1" si="76"/>
        <v>4</v>
      </c>
      <c r="AA92" s="81">
        <f t="shared" ca="1" si="77"/>
        <v>1</v>
      </c>
      <c r="AB92" s="81">
        <f t="shared" ca="1" si="78"/>
        <v>10</v>
      </c>
      <c r="AC92" s="239"/>
      <c r="AD92" s="81">
        <v>2050</v>
      </c>
      <c r="AE92" s="766"/>
      <c r="AF92" s="232"/>
    </row>
    <row r="93" spans="1:33" s="241" customFormat="1">
      <c r="A93" s="239"/>
      <c r="B93" s="393" t="s">
        <v>1133</v>
      </c>
      <c r="C93" s="239"/>
      <c r="D93" s="223" t="str">
        <f ca="1">IF(T93=0,"*",IF(T93&gt;0,"IND"&amp;RIGHT(H93,4)&amp;RIGHT(G93,3)&amp;"N"&amp;RIGHT(E93,1),""))</f>
        <v>INDLDRHWCHN1</v>
      </c>
      <c r="E93" s="278" t="str">
        <f>"Industrial heating technology "&amp;$AJ$12&amp;" "&amp;RIGHT(H93,2)&amp;" - Wood chip boiler (Steam) - new 1"</f>
        <v>Industrial heating technology L RH - Wood chip boiler (Steam) - new 1</v>
      </c>
      <c r="F93" s="239" t="s">
        <v>1274</v>
      </c>
      <c r="G93" s="176" t="s">
        <v>499</v>
      </c>
      <c r="H93" s="177" t="str">
        <f>$AI$15</f>
        <v>ILDRH</v>
      </c>
      <c r="I93" s="177" t="str">
        <f t="shared" si="52"/>
        <v>INDLWH</v>
      </c>
      <c r="J93" s="239">
        <f t="shared" si="53"/>
        <v>2011</v>
      </c>
      <c r="K93" s="332">
        <f>J93</f>
        <v>2011</v>
      </c>
      <c r="L93" s="206">
        <f t="shared" ca="1" si="71"/>
        <v>0.89</v>
      </c>
      <c r="M93" s="206"/>
      <c r="N93" s="81">
        <f ca="1">VLOOKUP($AD93,INDIRECT("'"&amp;$B93&amp;"'!"&amp;"$P$39:$AD$42"),5,FALSE)</f>
        <v>25</v>
      </c>
      <c r="O93" s="783">
        <f t="shared" ca="1" si="72"/>
        <v>4.6054545454545455</v>
      </c>
      <c r="P93" s="783">
        <f t="shared" ca="1" si="73"/>
        <v>0.25106499999999998</v>
      </c>
      <c r="Q93" s="81">
        <f t="shared" ca="1" si="74"/>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8"/>
        <v>11</v>
      </c>
      <c r="Y93" s="81">
        <f t="shared" ca="1" si="75"/>
        <v>63</v>
      </c>
      <c r="Z93" s="81">
        <f t="shared" ca="1" si="76"/>
        <v>11</v>
      </c>
      <c r="AA93" s="81">
        <f t="shared" ca="1" si="77"/>
        <v>3</v>
      </c>
      <c r="AB93" s="81">
        <f t="shared" ca="1" si="78"/>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2"/>
        <v>INDLWH</v>
      </c>
      <c r="J94" s="239">
        <f t="shared" si="53"/>
        <v>2030</v>
      </c>
      <c r="K94" s="81"/>
      <c r="L94" s="206">
        <f t="shared" ca="1" si="71"/>
        <v>0.89</v>
      </c>
      <c r="M94" s="206"/>
      <c r="N94" s="81"/>
      <c r="O94" s="783">
        <f t="shared" ca="1" si="72"/>
        <v>4.4022727272727264</v>
      </c>
      <c r="P94" s="783">
        <f t="shared" ca="1" si="73"/>
        <v>0.267455</v>
      </c>
      <c r="Q94" s="81">
        <f t="shared" ca="1" si="74"/>
        <v>5.8461805555555557</v>
      </c>
      <c r="R94" s="333"/>
      <c r="S94" s="333"/>
      <c r="T94" s="333"/>
      <c r="U94" s="333"/>
      <c r="V94" s="759">
        <f ca="1">IF(IF(RIGHT(H93,2)="MT",(1-L94)+$W$2,IF(RIGHT(H93,2)="HT",(1-L94)+$W$1,IF(RIGHT(H93,2)="RH",(1-L94)+$W$3,"")))&lt;0,0,IF(RIGHT(H93,2)="MT",(1-L94)+$W$2,IF(RIGHT(H93,2)="HT",(1-L94)+$W$1,IF(RIGHT(H93,2)="RH",(1-L94)+$W$3,""))))</f>
        <v>0.10999999999999999</v>
      </c>
      <c r="W94" s="331"/>
      <c r="X94" s="758">
        <f t="shared" ca="1" si="58"/>
        <v>11</v>
      </c>
      <c r="Y94" s="81">
        <f t="shared" ca="1" si="75"/>
        <v>49</v>
      </c>
      <c r="Z94" s="81">
        <f t="shared" ca="1" si="76"/>
        <v>8</v>
      </c>
      <c r="AA94" s="81">
        <f t="shared" ca="1" si="77"/>
        <v>3</v>
      </c>
      <c r="AB94" s="81">
        <f t="shared" ca="1" si="78"/>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79">$AI$20</f>
        <v>INDLWH</v>
      </c>
      <c r="J95" s="239">
        <f t="shared" ref="J95:J126" si="80">IF(AD95=2020,2011,AD95)</f>
        <v>2050</v>
      </c>
      <c r="K95" s="766"/>
      <c r="L95" s="206">
        <f t="shared" ca="1" si="71"/>
        <v>0.9</v>
      </c>
      <c r="M95" s="834"/>
      <c r="N95" s="766"/>
      <c r="O95" s="784">
        <f t="shared" ca="1" si="72"/>
        <v>3.9959090909090902</v>
      </c>
      <c r="P95" s="784">
        <f t="shared" ca="1" si="73"/>
        <v>0.25106499999999998</v>
      </c>
      <c r="Q95" s="766">
        <f t="shared" ca="1" si="74"/>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1">IF(VLOOKUP($AD95,INDIRECT("'"&amp;$B95&amp;"'!"&amp;"$P$39:$AD$42"),11,FALSE)="Cf. the utilized electricity",0,VLOOKUP($AD95,INDIRECT("'"&amp;$B95&amp;"'!"&amp;"$P$39:$AD$42"),11,FALSE))</f>
        <v>11</v>
      </c>
      <c r="Y95" s="766">
        <f t="shared" ca="1" si="75"/>
        <v>41</v>
      </c>
      <c r="Z95" s="766">
        <f t="shared" ca="1" si="76"/>
        <v>4</v>
      </c>
      <c r="AA95" s="766">
        <f t="shared" ca="1" si="77"/>
        <v>1</v>
      </c>
      <c r="AB95" s="766">
        <f t="shared" ca="1" si="78"/>
        <v>10</v>
      </c>
      <c r="AC95" s="55"/>
      <c r="AD95" s="766">
        <v>2050</v>
      </c>
      <c r="AE95" s="81"/>
      <c r="AF95" s="760"/>
    </row>
    <row r="96" spans="1:33">
      <c r="B96" s="776" t="s">
        <v>1133</v>
      </c>
      <c r="C96" s="329"/>
      <c r="D96" s="223" t="str">
        <f ca="1">IF(T96=0,"*",IF(T96&gt;0,"IND"&amp;RIGHT(H96,4)&amp;RIGHT(G96,3)&amp;"N"&amp;RIGHT(E96,1),""))</f>
        <v>INDLDMTWCHN2</v>
      </c>
      <c r="E96" s="767" t="str">
        <f>"Industrial heating technology "&amp;$AJ$12&amp;" "&amp;RIGHT(H96,2)&amp;" - Wood chip boiler (Steam - condensing) - new 2"</f>
        <v>Industrial heating technology L MT - Wood chip boiler (Steam - condensing) - new 2</v>
      </c>
      <c r="F96" s="239" t="s">
        <v>1274</v>
      </c>
      <c r="G96" s="768" t="s">
        <v>499</v>
      </c>
      <c r="H96" s="768" t="str">
        <f>$AI$14</f>
        <v>ILDMT</v>
      </c>
      <c r="I96" s="768" t="str">
        <f t="shared" si="79"/>
        <v>INDLWH</v>
      </c>
      <c r="J96" s="239">
        <f t="shared" si="80"/>
        <v>2011</v>
      </c>
      <c r="K96" s="332">
        <f>J96</f>
        <v>2011</v>
      </c>
      <c r="L96" s="206">
        <f t="shared" ref="L96:L101" ca="1" si="82">VLOOKUP($AD96,INDIRECT("'"&amp;$B96&amp;"'!"&amp;"$P$118:$AD$121"),3,FALSE)</f>
        <v>1.1618960947726835</v>
      </c>
      <c r="M96" s="206"/>
      <c r="N96" s="81">
        <f ca="1">VLOOKUP($AD96,INDIRECT("'"&amp;$B96&amp;"'!"&amp;"$P$118:$AD$121"),5,FALSE)</f>
        <v>25</v>
      </c>
      <c r="O96" s="783">
        <f t="shared" ref="O96:O101" ca="1" si="83">VLOOKUP($AD96,INDIRECT("'"&amp;$B96&amp;"'!"&amp;"$P$118:$AD$121"),6,FALSE)/1000</f>
        <v>5.0660000000000007</v>
      </c>
      <c r="P96" s="783">
        <f t="shared" ref="P96:P101" ca="1" si="84">VLOOKUP($AD96,INDIRECT("'"&amp;$B96&amp;"'!"&amp;"$P$118:$AD$121"),7,FALSE)/1000</f>
        <v>0.27564999999999995</v>
      </c>
      <c r="Q96" s="81">
        <f t="shared" ref="Q96:Q101" ca="1" si="85">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1"/>
        <v>11</v>
      </c>
      <c r="Y96" s="758">
        <f t="shared" ref="Y96:Y101" ca="1" si="86">VLOOKUP($AD96,INDIRECT("'"&amp;$B96&amp;"'!"&amp;"$P$118:$AD$121"),12,FALSE)</f>
        <v>63</v>
      </c>
      <c r="Z96" s="758">
        <f t="shared" ref="Z96:Z101" ca="1" si="87">VLOOKUP($AD96,INDIRECT("'"&amp;$B96&amp;"'!"&amp;"$P$118:$AD$121"),13,FALSE)</f>
        <v>11</v>
      </c>
      <c r="AA96" s="758">
        <f t="shared" ref="AA96:AA101" ca="1" si="88">VLOOKUP($AD96,INDIRECT("'"&amp;$B96&amp;"'!"&amp;"$P$118:$AD$121"),14,FALSE)</f>
        <v>3</v>
      </c>
      <c r="AB96" s="758">
        <f t="shared" ref="AB96:AB101" ca="1" si="89">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79"/>
        <v>INDLWH</v>
      </c>
      <c r="J97" s="239">
        <f t="shared" si="80"/>
        <v>2030</v>
      </c>
      <c r="K97" s="81"/>
      <c r="L97" s="206">
        <f t="shared" ca="1" si="82"/>
        <v>1.1618960947726835</v>
      </c>
      <c r="M97" s="206"/>
      <c r="N97" s="81"/>
      <c r="O97" s="783">
        <f t="shared" ca="1" si="83"/>
        <v>4.8425000000000002</v>
      </c>
      <c r="P97" s="783">
        <f t="shared" ca="1" si="84"/>
        <v>0.267455</v>
      </c>
      <c r="Q97" s="81">
        <f t="shared" ca="1" si="85"/>
        <v>5.8461805555555557</v>
      </c>
      <c r="R97" s="333"/>
      <c r="S97" s="333"/>
      <c r="T97" s="333"/>
      <c r="U97" s="333"/>
      <c r="V97" s="759">
        <f ca="1">IF(IF(RIGHT(H96,2)="MT",(1-L97)+$W$2,IF(RIGHT(H96,2)="HT",(1-L97)+$W$1,IF(RIGHT(H96,2)="RH",(1-L97)+$W$3,"")))&lt;0,0,IF(RIGHT(H96,2)="MT",(1-L97)+$W$2,IF(RIGHT(H96,2)="HT",(1-L97)+$W$1,IF(RIGHT(H96,2)="RH",(1-L97)+$W$3,""))))</f>
        <v>3.8103905227316492E-2</v>
      </c>
      <c r="W97" s="331"/>
      <c r="X97" s="758">
        <f t="shared" ca="1" si="81"/>
        <v>11</v>
      </c>
      <c r="Y97" s="758">
        <f t="shared" ca="1" si="86"/>
        <v>49</v>
      </c>
      <c r="Z97" s="758">
        <f t="shared" ca="1" si="87"/>
        <v>8</v>
      </c>
      <c r="AA97" s="758">
        <f t="shared" ca="1" si="88"/>
        <v>3</v>
      </c>
      <c r="AB97" s="758">
        <f t="shared" ca="1" si="89"/>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79"/>
        <v>INDLWH</v>
      </c>
      <c r="J98" s="239">
        <f t="shared" si="80"/>
        <v>2050</v>
      </c>
      <c r="K98" s="81"/>
      <c r="L98" s="206">
        <f t="shared" ca="1" si="82"/>
        <v>1.1618960947726835</v>
      </c>
      <c r="M98" s="206"/>
      <c r="N98" s="81"/>
      <c r="O98" s="783">
        <f t="shared" ca="1" si="83"/>
        <v>4.3955000000000002</v>
      </c>
      <c r="P98" s="783">
        <f t="shared" ca="1" si="84"/>
        <v>0.25106499999999998</v>
      </c>
      <c r="Q98" s="81">
        <f t="shared" ca="1" si="85"/>
        <v>5.8937777777777782</v>
      </c>
      <c r="R98" s="333"/>
      <c r="S98" s="333"/>
      <c r="T98" s="333"/>
      <c r="U98" s="333"/>
      <c r="V98" s="759">
        <f ca="1">IF(IF(RIGHT(H96,2)="MT",(1-L98)+$W$2,IF(RIGHT(H96,2)="HT",(1-L98)+$W$1,IF(RIGHT(H96,2)="RH",(1-L98)+$W$3,"")))&lt;0,0,IF(RIGHT(H96,2)="MT",(1-L98)+$W$2,IF(RIGHT(H96,2)="HT",(1-L98)+$W$1,IF(RIGHT(H96,2)="RH",(1-L98)+$W$3,""))))</f>
        <v>3.8103905227316492E-2</v>
      </c>
      <c r="W98" s="331"/>
      <c r="X98" s="758">
        <f t="shared" ca="1" si="81"/>
        <v>11</v>
      </c>
      <c r="Y98" s="758">
        <f t="shared" ca="1" si="86"/>
        <v>41</v>
      </c>
      <c r="Z98" s="758">
        <f t="shared" ca="1" si="87"/>
        <v>4</v>
      </c>
      <c r="AA98" s="758">
        <f t="shared" ca="1" si="88"/>
        <v>1</v>
      </c>
      <c r="AB98" s="758">
        <f t="shared" ca="1" si="89"/>
        <v>10</v>
      </c>
      <c r="AC98" s="211"/>
      <c r="AD98" s="81">
        <v>2050</v>
      </c>
      <c r="AE98" s="81"/>
      <c r="AF98" s="765"/>
    </row>
    <row r="99" spans="2:32">
      <c r="B99" s="393" t="s">
        <v>1133</v>
      </c>
      <c r="C99" s="55"/>
      <c r="D99" s="223" t="str">
        <f ca="1">IF(T99=0,"*",IF(T99&gt;0,"IND"&amp;RIGHT(H99,4)&amp;RIGHT(G99,3)&amp;"N"&amp;RIGHT(E99,1),""))</f>
        <v>INDLDRHWCHN2</v>
      </c>
      <c r="E99" s="278" t="str">
        <f>"Industrial heating technology "&amp;$AJ$12&amp;" "&amp;RIGHT(H99,2)&amp;" - Wood chip boiler (Steam - condensing) - new 2"</f>
        <v>Industrial heating technology L RH - Wood chip boiler (Steam - condensing) - new 2</v>
      </c>
      <c r="F99" s="239" t="s">
        <v>1274</v>
      </c>
      <c r="G99" s="177" t="s">
        <v>499</v>
      </c>
      <c r="H99" s="177" t="str">
        <f>$AI$15</f>
        <v>ILDRH</v>
      </c>
      <c r="I99" s="177" t="str">
        <f t="shared" si="79"/>
        <v>INDLWH</v>
      </c>
      <c r="J99" s="239">
        <f t="shared" si="80"/>
        <v>2011</v>
      </c>
      <c r="K99" s="332">
        <f>J99</f>
        <v>2011</v>
      </c>
      <c r="L99" s="206">
        <f t="shared" ca="1" si="82"/>
        <v>1.1618960947726835</v>
      </c>
      <c r="M99" s="206"/>
      <c r="N99" s="81">
        <f ca="1">VLOOKUP($AD99,INDIRECT("'"&amp;$B99&amp;"'!"&amp;"$P$118:$AD$121"),5,FALSE)</f>
        <v>25</v>
      </c>
      <c r="O99" s="783">
        <f t="shared" ca="1" si="83"/>
        <v>5.0660000000000007</v>
      </c>
      <c r="P99" s="783">
        <f t="shared" ca="1" si="84"/>
        <v>0.27564999999999995</v>
      </c>
      <c r="Q99" s="81">
        <f t="shared" ca="1" si="85"/>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1"/>
        <v>11</v>
      </c>
      <c r="Y99" s="758">
        <f t="shared" ca="1" si="86"/>
        <v>63</v>
      </c>
      <c r="Z99" s="758">
        <f t="shared" ca="1" si="87"/>
        <v>11</v>
      </c>
      <c r="AA99" s="758">
        <f t="shared" ca="1" si="88"/>
        <v>3</v>
      </c>
      <c r="AB99" s="758">
        <f t="shared" ca="1" si="89"/>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79"/>
        <v>INDLWH</v>
      </c>
      <c r="J100" s="239">
        <f t="shared" si="80"/>
        <v>2030</v>
      </c>
      <c r="K100" s="81"/>
      <c r="L100" s="206">
        <f t="shared" ca="1" si="82"/>
        <v>1.1618960947726835</v>
      </c>
      <c r="M100" s="206"/>
      <c r="N100" s="81"/>
      <c r="O100" s="783">
        <f t="shared" ca="1" si="83"/>
        <v>4.8425000000000002</v>
      </c>
      <c r="P100" s="783">
        <f t="shared" ca="1" si="84"/>
        <v>0.267455</v>
      </c>
      <c r="Q100" s="81">
        <f t="shared" ca="1" si="85"/>
        <v>5.8461805555555557</v>
      </c>
      <c r="R100" s="333"/>
      <c r="S100" s="333"/>
      <c r="T100" s="333"/>
      <c r="U100" s="333"/>
      <c r="V100" s="759">
        <f ca="1">IF(IF(RIGHT(H99,2)="MT",(1-L100)+$W$2,IF(RIGHT(H99,2)="HT",(1-L100)+$W$1,IF(RIGHT(H99,2)="RH",(1-L100)+$W$3,"")))&lt;0,0,IF(RIGHT(H99,2)="MT",(1-L100)+$W$2,IF(RIGHT(H99,2)="HT",(1-L100)+$W$1,IF(RIGHT(H99,2)="RH",(1-L100)+$W$3,""))))</f>
        <v>0</v>
      </c>
      <c r="W100" s="331"/>
      <c r="X100" s="758">
        <f t="shared" ca="1" si="81"/>
        <v>11</v>
      </c>
      <c r="Y100" s="758">
        <f t="shared" ca="1" si="86"/>
        <v>49</v>
      </c>
      <c r="Z100" s="758">
        <f t="shared" ca="1" si="87"/>
        <v>8</v>
      </c>
      <c r="AA100" s="758">
        <f t="shared" ca="1" si="88"/>
        <v>3</v>
      </c>
      <c r="AB100" s="758">
        <f t="shared" ca="1" si="89"/>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79"/>
        <v>INDLWH</v>
      </c>
      <c r="J101" s="239">
        <f t="shared" si="80"/>
        <v>2050</v>
      </c>
      <c r="K101" s="81"/>
      <c r="L101" s="206">
        <f t="shared" ca="1" si="82"/>
        <v>1.1618960947726835</v>
      </c>
      <c r="M101" s="206"/>
      <c r="N101" s="81"/>
      <c r="O101" s="783">
        <f t="shared" ca="1" si="83"/>
        <v>4.3955000000000002</v>
      </c>
      <c r="P101" s="783">
        <f t="shared" ca="1" si="84"/>
        <v>0.25106499999999998</v>
      </c>
      <c r="Q101" s="81">
        <f t="shared" ca="1" si="85"/>
        <v>5.8937777777777782</v>
      </c>
      <c r="R101" s="763"/>
      <c r="S101" s="763"/>
      <c r="T101" s="763"/>
      <c r="U101" s="763"/>
      <c r="V101" s="759">
        <f ca="1">IF(IF(RIGHT(H99,2)="MT",(1-L101)+$W$2,IF(RIGHT(H99,2)="HT",(1-L101)+$W$1,IF(RIGHT(H99,2)="RH",(1-L101)+$W$3,"")))&lt;0,0,IF(RIGHT(H99,2)="MT",(1-L101)+$W$2,IF(RIGHT(H99,2)="HT",(1-L101)+$W$1,IF(RIGHT(H99,2)="RH",(1-L101)+$W$3,""))))</f>
        <v>0</v>
      </c>
      <c r="W101" s="764"/>
      <c r="X101" s="758">
        <f t="shared" ca="1" si="81"/>
        <v>11</v>
      </c>
      <c r="Y101" s="758">
        <f t="shared" ca="1" si="86"/>
        <v>41</v>
      </c>
      <c r="Z101" s="758">
        <f t="shared" ca="1" si="87"/>
        <v>4</v>
      </c>
      <c r="AA101" s="758">
        <f t="shared" ca="1" si="88"/>
        <v>1</v>
      </c>
      <c r="AB101" s="758">
        <f t="shared" ca="1" si="89"/>
        <v>10</v>
      </c>
      <c r="AC101" s="55"/>
      <c r="AD101" s="81">
        <v>2050</v>
      </c>
      <c r="AE101" s="81"/>
      <c r="AF101" s="760"/>
    </row>
    <row r="102" spans="2:32">
      <c r="B102" s="777" t="s">
        <v>1133</v>
      </c>
      <c r="C102" s="772"/>
      <c r="D102" s="223" t="str">
        <f ca="1">IF(T102=0,"*",IF(T102&gt;0,"IND"&amp;RIGHT(H102,4)&amp;RIGHT(G102,3)&amp;"N"&amp;RIGHT(E102,1),""))</f>
        <v>INDLDMTWCHN3</v>
      </c>
      <c r="E102" s="767" t="str">
        <f>"Industrial heating technology "&amp;$AJ$12&amp;" "&amp;RIGHT(H102,2)&amp;" - Wood chip boiler (Hot Water) - new 3"</f>
        <v>Industrial heating technology L MT - Wood chip boiler (Hot Water) - new 3</v>
      </c>
      <c r="F102" s="239" t="s">
        <v>1274</v>
      </c>
      <c r="G102" s="768" t="s">
        <v>499</v>
      </c>
      <c r="H102" s="768" t="str">
        <f>$AI$14</f>
        <v>ILDMT</v>
      </c>
      <c r="I102" s="768" t="str">
        <f t="shared" si="79"/>
        <v>INDLWH</v>
      </c>
      <c r="J102" s="239">
        <f t="shared" si="80"/>
        <v>2011</v>
      </c>
      <c r="K102" s="332">
        <f>J102</f>
        <v>2011</v>
      </c>
      <c r="L102" s="206">
        <f t="shared" ref="L102:L107" ca="1" si="90">VLOOKUP($AD102,INDIRECT("'"&amp;$B102&amp;"'!"&amp;"$P$200:$AD$203"),3,FALSE)</f>
        <v>0.9</v>
      </c>
      <c r="M102" s="206"/>
      <c r="N102" s="81">
        <f ca="1">VLOOKUP($AD102,INDIRECT("'"&amp;$B102&amp;"'!"&amp;"$P$200:$AD$203"),5,FALSE)</f>
        <v>25</v>
      </c>
      <c r="O102" s="783">
        <f t="shared" ref="O102:O107" ca="1" si="91">VLOOKUP($AD102,INDIRECT("'"&amp;$B102&amp;"'!"&amp;"$P$200:$AD$203"),6,FALSE)/1000</f>
        <v>4.6054545454545437</v>
      </c>
      <c r="P102" s="783">
        <f t="shared" ref="P102:P107" ca="1" si="92">VLOOKUP($AD102,INDIRECT("'"&amp;$B102&amp;"'!"&amp;"$P$200:$AD$203"),7,FALSE)/1000</f>
        <v>0.25106499999999998</v>
      </c>
      <c r="Q102" s="81">
        <f t="shared" ref="Q102:Q107" ca="1" si="93">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1"/>
        <v>11</v>
      </c>
      <c r="Y102" s="758">
        <f t="shared" ref="Y102:Y107" ca="1" si="94">VLOOKUP($AD102,INDIRECT("'"&amp;$B102&amp;"'!"&amp;"$P$200:$AD$203"),12,FALSE)</f>
        <v>63</v>
      </c>
      <c r="Z102" s="758">
        <f t="shared" ref="Z102:Z107" ca="1" si="95">VLOOKUP($AD102,INDIRECT("'"&amp;$B102&amp;"'!"&amp;"$P$200:$AD$203"),13,FALSE)</f>
        <v>11</v>
      </c>
      <c r="AA102" s="758">
        <f t="shared" ref="AA102:AA107" ca="1" si="96">VLOOKUP($AD102,INDIRECT("'"&amp;$B102&amp;"'!"&amp;"$P$200:$AD$203"),14,FALSE)</f>
        <v>3</v>
      </c>
      <c r="AB102" s="758">
        <f t="shared" ref="AB102:AB107" ca="1" si="97">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79"/>
        <v>INDLWH</v>
      </c>
      <c r="J103" s="239">
        <f t="shared" si="80"/>
        <v>2030</v>
      </c>
      <c r="K103" s="81"/>
      <c r="L103" s="206">
        <f t="shared" ca="1" si="90"/>
        <v>0.9</v>
      </c>
      <c r="M103" s="206"/>
      <c r="N103" s="81"/>
      <c r="O103" s="783">
        <f t="shared" ca="1" si="91"/>
        <v>4.4022727272727282</v>
      </c>
      <c r="P103" s="783">
        <f t="shared" ca="1" si="92"/>
        <v>0.267455</v>
      </c>
      <c r="Q103" s="81">
        <f t="shared" ca="1" si="93"/>
        <v>5.8461805555555557</v>
      </c>
      <c r="R103" s="333"/>
      <c r="S103" s="333"/>
      <c r="T103" s="333"/>
      <c r="U103" s="333"/>
      <c r="V103" s="759">
        <f ca="1">IF(IF(RIGHT(H102,2)="MT",(1-L103)+$W$2,IF(RIGHT(H102,2)="HT",(1-L103)+$W$1,IF(RIGHT(H102,2)="RH",(1-L103)+$W$3,"")))&lt;0,0,IF(RIGHT(H102,2)="MT",(1-L103)+$W$2,IF(RIGHT(H102,2)="HT",(1-L103)+$W$1,IF(RIGHT(H102,2)="RH",(1-L103)+$W$3,""))))</f>
        <v>0.3</v>
      </c>
      <c r="W103" s="331"/>
      <c r="X103" s="758">
        <f t="shared" ca="1" si="81"/>
        <v>11</v>
      </c>
      <c r="Y103" s="758">
        <f t="shared" ca="1" si="94"/>
        <v>49</v>
      </c>
      <c r="Z103" s="758">
        <f t="shared" ca="1" si="95"/>
        <v>8</v>
      </c>
      <c r="AA103" s="758">
        <f t="shared" ca="1" si="96"/>
        <v>3</v>
      </c>
      <c r="AB103" s="758">
        <f t="shared" ca="1" si="97"/>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79"/>
        <v>INDLWH</v>
      </c>
      <c r="J104" s="239">
        <f t="shared" si="80"/>
        <v>2050</v>
      </c>
      <c r="K104" s="81"/>
      <c r="L104" s="206">
        <f t="shared" ca="1" si="90"/>
        <v>0.91</v>
      </c>
      <c r="M104" s="206"/>
      <c r="N104" s="81"/>
      <c r="O104" s="783">
        <f t="shared" ca="1" si="91"/>
        <v>3.9959090909090884</v>
      </c>
      <c r="P104" s="783">
        <f t="shared" ca="1" si="92"/>
        <v>0.25106499999999998</v>
      </c>
      <c r="Q104" s="81">
        <f t="shared" ca="1" si="93"/>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1"/>
        <v>11</v>
      </c>
      <c r="Y104" s="758">
        <f t="shared" ca="1" si="94"/>
        <v>41</v>
      </c>
      <c r="Z104" s="758">
        <f t="shared" ca="1" si="95"/>
        <v>4</v>
      </c>
      <c r="AA104" s="758">
        <f t="shared" ca="1" si="96"/>
        <v>1</v>
      </c>
      <c r="AB104" s="758">
        <f t="shared" ca="1" si="97"/>
        <v>10</v>
      </c>
      <c r="AC104" s="211"/>
      <c r="AD104" s="81">
        <v>2050</v>
      </c>
      <c r="AE104" s="81"/>
      <c r="AF104" s="765"/>
    </row>
    <row r="105" spans="2:32">
      <c r="B105" s="778" t="s">
        <v>1133</v>
      </c>
      <c r="C105" s="241"/>
      <c r="D105" s="223" t="str">
        <f ca="1">IF(T105=0,"*",IF(T105&gt;0,"IND"&amp;RIGHT(H105,4)&amp;RIGHT(G105,3)&amp;"N"&amp;RIGHT(E105,1),""))</f>
        <v>INDLDRHWCHN3</v>
      </c>
      <c r="E105" s="278" t="str">
        <f>"Industrial heating technology "&amp;$AJ$12&amp;" "&amp;RIGHT(H105,2)&amp;" - Wood chip boiler (Hot Water) - new 3"</f>
        <v>Industrial heating technology L RH - Wood chip boiler (Hot Water) - new 3</v>
      </c>
      <c r="F105" s="239" t="s">
        <v>1274</v>
      </c>
      <c r="G105" s="177" t="s">
        <v>499</v>
      </c>
      <c r="H105" s="177" t="str">
        <f>$AI$15</f>
        <v>ILDRH</v>
      </c>
      <c r="I105" s="177" t="str">
        <f t="shared" si="79"/>
        <v>INDLWH</v>
      </c>
      <c r="J105" s="239">
        <f t="shared" si="80"/>
        <v>2011</v>
      </c>
      <c r="K105" s="332">
        <f>J105</f>
        <v>2011</v>
      </c>
      <c r="L105" s="206">
        <f t="shared" ca="1" si="90"/>
        <v>0.9</v>
      </c>
      <c r="M105" s="206"/>
      <c r="N105" s="81">
        <f ca="1">VLOOKUP($AD105,INDIRECT("'"&amp;$B105&amp;"'!"&amp;"$P$200:$AD$203"),5,FALSE)</f>
        <v>25</v>
      </c>
      <c r="O105" s="783">
        <f t="shared" ca="1" si="91"/>
        <v>4.6054545454545437</v>
      </c>
      <c r="P105" s="783">
        <f t="shared" ca="1" si="92"/>
        <v>0.25106499999999998</v>
      </c>
      <c r="Q105" s="81">
        <f t="shared" ca="1" si="93"/>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1"/>
        <v>11</v>
      </c>
      <c r="Y105" s="758">
        <f t="shared" ca="1" si="94"/>
        <v>63</v>
      </c>
      <c r="Z105" s="758">
        <f t="shared" ca="1" si="95"/>
        <v>11</v>
      </c>
      <c r="AA105" s="758">
        <f t="shared" ca="1" si="96"/>
        <v>3</v>
      </c>
      <c r="AB105" s="758">
        <f t="shared" ca="1" si="97"/>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79"/>
        <v>INDLWH</v>
      </c>
      <c r="J106" s="239">
        <f t="shared" si="80"/>
        <v>2030</v>
      </c>
      <c r="K106" s="81"/>
      <c r="L106" s="206">
        <f t="shared" ca="1" si="90"/>
        <v>0.9</v>
      </c>
      <c r="M106" s="206"/>
      <c r="N106" s="81"/>
      <c r="O106" s="783">
        <f t="shared" ca="1" si="91"/>
        <v>4.4022727272727282</v>
      </c>
      <c r="P106" s="783">
        <f t="shared" ca="1" si="92"/>
        <v>0.267455</v>
      </c>
      <c r="Q106" s="81">
        <f t="shared" ca="1" si="93"/>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1"/>
        <v>11</v>
      </c>
      <c r="Y106" s="758">
        <f t="shared" ca="1" si="94"/>
        <v>49</v>
      </c>
      <c r="Z106" s="758">
        <f t="shared" ca="1" si="95"/>
        <v>8</v>
      </c>
      <c r="AA106" s="758">
        <f t="shared" ca="1" si="96"/>
        <v>3</v>
      </c>
      <c r="AB106" s="758">
        <f t="shared" ca="1" si="97"/>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79"/>
        <v>INDLWH</v>
      </c>
      <c r="J107" s="239">
        <f t="shared" si="80"/>
        <v>2050</v>
      </c>
      <c r="K107" s="81"/>
      <c r="L107" s="206">
        <f t="shared" ca="1" si="90"/>
        <v>0.91</v>
      </c>
      <c r="M107" s="206"/>
      <c r="N107" s="81"/>
      <c r="O107" s="783">
        <f t="shared" ca="1" si="91"/>
        <v>3.9959090909090884</v>
      </c>
      <c r="P107" s="783">
        <f t="shared" ca="1" si="92"/>
        <v>0.25106499999999998</v>
      </c>
      <c r="Q107" s="81">
        <f t="shared" ca="1" si="93"/>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1"/>
        <v>11</v>
      </c>
      <c r="Y107" s="758">
        <f t="shared" ca="1" si="94"/>
        <v>41</v>
      </c>
      <c r="Z107" s="758">
        <f t="shared" ca="1" si="95"/>
        <v>4</v>
      </c>
      <c r="AA107" s="758">
        <f t="shared" ca="1" si="96"/>
        <v>1</v>
      </c>
      <c r="AB107" s="758">
        <f t="shared" ca="1" si="97"/>
        <v>10</v>
      </c>
      <c r="AC107" s="55"/>
      <c r="AD107" s="81">
        <v>2050</v>
      </c>
      <c r="AE107" s="81"/>
      <c r="AF107" s="760"/>
    </row>
    <row r="108" spans="2:32">
      <c r="B108" s="777" t="s">
        <v>1133</v>
      </c>
      <c r="C108" s="772"/>
      <c r="D108" s="223" t="str">
        <f ca="1">IF(T108=0,"*",IF(T108&gt;0,"IND"&amp;RIGHT(H108,4)&amp;RIGHT(G108,3)&amp;"N"&amp;RIGHT(E108,1),""))</f>
        <v>INDLDMTWCHN4</v>
      </c>
      <c r="E108" s="767" t="str">
        <f>"Industrial heating technology "&amp;$AJ$12&amp;" "&amp;RIGHT(H108,2)&amp;" - Wood chip boiler (Hot Water - condensing) - new 4"</f>
        <v>Industrial heating technology L MT - Wood chip boiler (Hot Water - condensing) - new 4</v>
      </c>
      <c r="F108" s="239" t="s">
        <v>1274</v>
      </c>
      <c r="G108" s="768" t="s">
        <v>499</v>
      </c>
      <c r="H108" s="768" t="str">
        <f>$AI$14</f>
        <v>ILDMT</v>
      </c>
      <c r="I108" s="768" t="str">
        <f t="shared" si="79"/>
        <v>INDLWH</v>
      </c>
      <c r="J108" s="239">
        <f t="shared" si="80"/>
        <v>2011</v>
      </c>
      <c r="K108" s="332">
        <f>J108</f>
        <v>2011</v>
      </c>
      <c r="L108" s="206">
        <f t="shared" ref="L108:L113" ca="1" si="98">VLOOKUP($AD108,INDIRECT("'"&amp;$B108&amp;"'!"&amp;"$P$279:$AD$282"),3,FALSE)</f>
        <v>1.1618960947726835</v>
      </c>
      <c r="M108" s="206"/>
      <c r="N108" s="81">
        <f ca="1">VLOOKUP($AD108,INDIRECT("'"&amp;$B108&amp;"'!"&amp;"$P$279:$AD$282"),5,FALSE)</f>
        <v>25</v>
      </c>
      <c r="O108" s="783">
        <f t="shared" ref="O108:O113" ca="1" si="99">VLOOKUP($AD108,INDIRECT("'"&amp;$B108&amp;"'!"&amp;"$P$279:$AD$282"),6,FALSE)/1000</f>
        <v>5.0660000000000007</v>
      </c>
      <c r="P108" s="783">
        <f t="shared" ref="P108:P113" ca="1" si="100">VLOOKUP($AD108,INDIRECT("'"&amp;$B108&amp;"'!"&amp;"$P$279:$AD$282"),7,FALSE)/1000</f>
        <v>0.27564999999999995</v>
      </c>
      <c r="Q108" s="81">
        <f t="shared" ref="Q108:Q113" ca="1" si="101">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1"/>
        <v>11</v>
      </c>
      <c r="Y108" s="758">
        <f t="shared" ref="Y108:Y113" ca="1" si="102">VLOOKUP($AD108,INDIRECT("'"&amp;$B108&amp;"'!"&amp;"$P$279:$AD$282"),12,FALSE)</f>
        <v>63</v>
      </c>
      <c r="Z108" s="758">
        <f t="shared" ref="Z108:Z113" ca="1" si="103">VLOOKUP($AD108,INDIRECT("'"&amp;$B108&amp;"'!"&amp;"$P$279:$AD$282"),13,FALSE)</f>
        <v>11</v>
      </c>
      <c r="AA108" s="758">
        <f t="shared" ref="AA108:AA113" ca="1" si="104">VLOOKUP($AD108,INDIRECT("'"&amp;$B108&amp;"'!"&amp;"$P$279:$AD$282"),14,FALSE)</f>
        <v>3</v>
      </c>
      <c r="AB108" s="758">
        <f t="shared" ref="AB108:AB113" ca="1" si="105">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79"/>
        <v>INDLWH</v>
      </c>
      <c r="J109" s="239">
        <f t="shared" si="80"/>
        <v>2030</v>
      </c>
      <c r="K109" s="81"/>
      <c r="L109" s="206">
        <f t="shared" ca="1" si="98"/>
        <v>1.1618960947726835</v>
      </c>
      <c r="M109" s="206"/>
      <c r="N109" s="81"/>
      <c r="O109" s="783">
        <f t="shared" ca="1" si="99"/>
        <v>4.8425000000000002</v>
      </c>
      <c r="P109" s="783">
        <f t="shared" ca="1" si="100"/>
        <v>0.267455</v>
      </c>
      <c r="Q109" s="81">
        <f t="shared" ca="1" si="101"/>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1"/>
        <v>11</v>
      </c>
      <c r="Y109" s="758">
        <f t="shared" ca="1" si="102"/>
        <v>49</v>
      </c>
      <c r="Z109" s="758">
        <f t="shared" ca="1" si="103"/>
        <v>8</v>
      </c>
      <c r="AA109" s="758">
        <f t="shared" ca="1" si="104"/>
        <v>3</v>
      </c>
      <c r="AB109" s="758">
        <f t="shared" ca="1" si="105"/>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79"/>
        <v>INDLWH</v>
      </c>
      <c r="J110" s="239">
        <f t="shared" si="80"/>
        <v>2050</v>
      </c>
      <c r="K110" s="81"/>
      <c r="L110" s="206">
        <f t="shared" ca="1" si="98"/>
        <v>1.1618960947726835</v>
      </c>
      <c r="M110" s="206"/>
      <c r="N110" s="81"/>
      <c r="O110" s="783">
        <f t="shared" ca="1" si="99"/>
        <v>4.3955000000000002</v>
      </c>
      <c r="P110" s="783">
        <f t="shared" ca="1" si="100"/>
        <v>0.25106499999999998</v>
      </c>
      <c r="Q110" s="81">
        <f t="shared" ca="1" si="101"/>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1"/>
        <v>11</v>
      </c>
      <c r="Y110" s="758">
        <f t="shared" ca="1" si="102"/>
        <v>41</v>
      </c>
      <c r="Z110" s="758">
        <f t="shared" ca="1" si="103"/>
        <v>4</v>
      </c>
      <c r="AA110" s="758">
        <f t="shared" ca="1" si="104"/>
        <v>1</v>
      </c>
      <c r="AB110" s="758">
        <f t="shared" ca="1" si="105"/>
        <v>10</v>
      </c>
      <c r="AC110" s="211"/>
      <c r="AD110" s="81">
        <v>2050</v>
      </c>
      <c r="AE110" s="81"/>
      <c r="AF110" s="765"/>
    </row>
    <row r="111" spans="2:32">
      <c r="B111" s="778" t="s">
        <v>1133</v>
      </c>
      <c r="C111" s="241"/>
      <c r="D111" s="223" t="str">
        <f ca="1">IF(T111=0,"*",IF(T111&gt;0,"IND"&amp;RIGHT(H111,4)&amp;RIGHT(G111,3)&amp;"N"&amp;RIGHT(E111,1),""))</f>
        <v>INDLDRHWCHN4</v>
      </c>
      <c r="E111" s="278" t="str">
        <f>"Industrial heating technology "&amp;$AJ$12&amp;" "&amp;RIGHT(H111,2)&amp;" - Wood chip boiler (Hot Water- condensing) - new 4"</f>
        <v>Industrial heating technology L RH - Wood chip boiler (Hot Water- condensing) - new 4</v>
      </c>
      <c r="F111" s="239" t="s">
        <v>1274</v>
      </c>
      <c r="G111" s="177" t="s">
        <v>499</v>
      </c>
      <c r="H111" s="177" t="str">
        <f>$AI$15</f>
        <v>ILDRH</v>
      </c>
      <c r="I111" s="177" t="str">
        <f t="shared" si="79"/>
        <v>INDLWH</v>
      </c>
      <c r="J111" s="239">
        <f t="shared" si="80"/>
        <v>2011</v>
      </c>
      <c r="K111" s="332">
        <f>J111</f>
        <v>2011</v>
      </c>
      <c r="L111" s="206">
        <f t="shared" ca="1" si="98"/>
        <v>1.1618960947726835</v>
      </c>
      <c r="M111" s="206"/>
      <c r="N111" s="81">
        <f ca="1">VLOOKUP($AD111,INDIRECT("'"&amp;$B111&amp;"'!"&amp;"$P$279:$AD$282"),5,FALSE)</f>
        <v>25</v>
      </c>
      <c r="O111" s="783">
        <f t="shared" ca="1" si="99"/>
        <v>5.0660000000000007</v>
      </c>
      <c r="P111" s="783">
        <f t="shared" ca="1" si="100"/>
        <v>0.27564999999999995</v>
      </c>
      <c r="Q111" s="81">
        <f t="shared" ca="1" si="101"/>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1"/>
        <v>11</v>
      </c>
      <c r="Y111" s="758">
        <f t="shared" ca="1" si="102"/>
        <v>63</v>
      </c>
      <c r="Z111" s="758">
        <f t="shared" ca="1" si="103"/>
        <v>11</v>
      </c>
      <c r="AA111" s="758">
        <f t="shared" ca="1" si="104"/>
        <v>3</v>
      </c>
      <c r="AB111" s="758">
        <f t="shared" ca="1" si="105"/>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79"/>
        <v>INDLWH</v>
      </c>
      <c r="J112" s="239">
        <f t="shared" si="80"/>
        <v>2030</v>
      </c>
      <c r="K112" s="81"/>
      <c r="L112" s="206">
        <f t="shared" ca="1" si="98"/>
        <v>1.1618960947726835</v>
      </c>
      <c r="M112" s="206"/>
      <c r="N112" s="81"/>
      <c r="O112" s="783">
        <f t="shared" ca="1" si="99"/>
        <v>4.8425000000000002</v>
      </c>
      <c r="P112" s="783">
        <f t="shared" ca="1" si="100"/>
        <v>0.267455</v>
      </c>
      <c r="Q112" s="81">
        <f t="shared" ca="1" si="101"/>
        <v>5.8461805555555557</v>
      </c>
      <c r="R112" s="333"/>
      <c r="S112" s="333"/>
      <c r="T112" s="333"/>
      <c r="U112" s="333"/>
      <c r="V112" s="759">
        <f ca="1">IF(IF(RIGHT(H111,2)="MT",(1-L112)+$W$2,IF(RIGHT(H111,2)="HT",(1-L112)+$W$1,IF(RIGHT(H111,2)="RH",(1-L112)+$W$3,"")))&lt;0,0,IF(RIGHT(H111,2)="MT",(1-L112)+$W$2,IF(RIGHT(H111,2)="HT",(1-L112)+$W$1,IF(RIGHT(H111,2)="RH",(1-L112)+$W$3,""))))</f>
        <v>0</v>
      </c>
      <c r="W112" s="331"/>
      <c r="X112" s="758">
        <f t="shared" ca="1" si="81"/>
        <v>11</v>
      </c>
      <c r="Y112" s="758">
        <f t="shared" ca="1" si="102"/>
        <v>49</v>
      </c>
      <c r="Z112" s="758">
        <f t="shared" ca="1" si="103"/>
        <v>8</v>
      </c>
      <c r="AA112" s="758">
        <f t="shared" ca="1" si="104"/>
        <v>3</v>
      </c>
      <c r="AB112" s="758">
        <f t="shared" ca="1" si="105"/>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79"/>
        <v>INDLWH</v>
      </c>
      <c r="J113" s="239">
        <f t="shared" si="80"/>
        <v>2050</v>
      </c>
      <c r="K113" s="81"/>
      <c r="L113" s="206">
        <f t="shared" ca="1" si="98"/>
        <v>1.1618960947726835</v>
      </c>
      <c r="M113" s="206"/>
      <c r="N113" s="81"/>
      <c r="O113" s="783">
        <f t="shared" ca="1" si="99"/>
        <v>4.3955000000000002</v>
      </c>
      <c r="P113" s="783">
        <f t="shared" ca="1" si="100"/>
        <v>0.25106499999999998</v>
      </c>
      <c r="Q113" s="81">
        <f t="shared" ca="1" si="101"/>
        <v>5.8937777777777782</v>
      </c>
      <c r="R113" s="333"/>
      <c r="S113" s="333"/>
      <c r="T113" s="333"/>
      <c r="U113" s="333"/>
      <c r="V113" s="759">
        <f ca="1">IF(IF(RIGHT(H111,2)="MT",(1-L113)+$W$2,IF(RIGHT(H111,2)="HT",(1-L113)+$W$1,IF(RIGHT(H111,2)="RH",(1-L113)+$W$3,"")))&lt;0,0,IF(RIGHT(H111,2)="MT",(1-L113)+$W$2,IF(RIGHT(H111,2)="HT",(1-L113)+$W$1,IF(RIGHT(H111,2)="RH",(1-L113)+$W$3,""))))</f>
        <v>0</v>
      </c>
      <c r="W113" s="774"/>
      <c r="X113" s="758">
        <f t="shared" ca="1" si="81"/>
        <v>11</v>
      </c>
      <c r="Y113" s="758">
        <f t="shared" ca="1" si="102"/>
        <v>41</v>
      </c>
      <c r="Z113" s="758">
        <f t="shared" ca="1" si="103"/>
        <v>4</v>
      </c>
      <c r="AA113" s="758">
        <f t="shared" ca="1" si="104"/>
        <v>1</v>
      </c>
      <c r="AB113" s="758">
        <f t="shared" ca="1" si="105"/>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L HT - Direct electric heating - new 10</v>
      </c>
      <c r="F114" s="239" t="s">
        <v>1274</v>
      </c>
      <c r="G114" s="176" t="s">
        <v>500</v>
      </c>
      <c r="H114" s="177" t="str">
        <f>$AI$13</f>
        <v>ILDHT</v>
      </c>
      <c r="I114" s="177" t="str">
        <f t="shared" si="79"/>
        <v>INDLWH</v>
      </c>
      <c r="J114" s="239">
        <f t="shared" si="80"/>
        <v>2011</v>
      </c>
      <c r="K114" s="332">
        <f>J114</f>
        <v>2011</v>
      </c>
      <c r="L114" s="206">
        <f t="shared" ref="L114:L128" ca="1" si="106">VLOOKUP($AD114,INDIRECT("'"&amp;$B114&amp;"'!"&amp;"$P$39:$AD$42"),3,FALSE)</f>
        <v>1</v>
      </c>
      <c r="M114" s="206"/>
      <c r="N114" s="81">
        <f ca="1">VLOOKUP($AD114,INDIRECT("'"&amp;$B114&amp;"'!"&amp;"$P$39:$AD$42"),5,FALSE)</f>
        <v>12.5</v>
      </c>
      <c r="O114" s="783">
        <f t="shared" ref="O114:O128" ca="1" si="107">VLOOKUP($AD114,INDIRECT("'"&amp;$B114&amp;"'!"&amp;"$P$39:$AD$42"),6,FALSE)/1000</f>
        <v>0.44700000000000001</v>
      </c>
      <c r="P114" s="783">
        <f t="shared" ref="P114:P128" ca="1" si="108">VLOOKUP($AD114,INDIRECT("'"&amp;$B114&amp;"'!"&amp;"$P$39:$AD$42"),7,FALSE)/1000</f>
        <v>0</v>
      </c>
      <c r="Q114" s="81">
        <f t="shared" ref="Q114:Q128" ca="1" si="109">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1"/>
        <v>0</v>
      </c>
      <c r="Y114" s="81">
        <f t="shared" ref="Y114:Y128" ca="1" si="110">VLOOKUP($AD114,INDIRECT("'"&amp;$B114&amp;"'!"&amp;"$P$39:$AD$42"),12,FALSE)</f>
        <v>0</v>
      </c>
      <c r="Z114" s="81">
        <f t="shared" ref="Z114:Z128" ca="1" si="111">VLOOKUP($AD114,INDIRECT("'"&amp;$B114&amp;"'!"&amp;"$P$39:$AD$42"),13,FALSE)</f>
        <v>0</v>
      </c>
      <c r="AA114" s="81">
        <f t="shared" ref="AA114:AA128" ca="1" si="112">VLOOKUP($AD114,INDIRECT("'"&amp;$B114&amp;"'!"&amp;"$P$39:$AD$42"),14,FALSE)</f>
        <v>0</v>
      </c>
      <c r="AB114" s="81">
        <f t="shared" ref="AB114:AB128" ca="1" si="113">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79"/>
        <v>INDLWH</v>
      </c>
      <c r="J115" s="239">
        <f t="shared" si="80"/>
        <v>2030</v>
      </c>
      <c r="K115" s="81"/>
      <c r="L115" s="206">
        <f t="shared" ca="1" si="106"/>
        <v>1</v>
      </c>
      <c r="M115" s="206"/>
      <c r="N115" s="81"/>
      <c r="O115" s="783">
        <f t="shared" ca="1" si="107"/>
        <v>0.44700000000000001</v>
      </c>
      <c r="P115" s="783">
        <f t="shared" ca="1" si="108"/>
        <v>0</v>
      </c>
      <c r="Q115" s="81">
        <f t="shared" ca="1" si="109"/>
        <v>0.38802083333333331</v>
      </c>
      <c r="R115" s="333"/>
      <c r="S115" s="333"/>
      <c r="T115" s="333"/>
      <c r="U115" s="333"/>
      <c r="V115" s="759">
        <f ca="1">IF(IF(RIGHT(H114,2)="MT",(1-L115)+$W$2,IF(RIGHT(H114,2)="HT",(1-L115)+$W$1,IF(RIGHT(H114,2)="RH",(1-L115)+$W$3,"")))&lt;0,0,IF(RIGHT(H114,2)="MT",(1-L115)+$W$2,IF(RIGHT(H114,2)="HT",(1-L115)+$W$1,IF(RIGHT(H114,2)="RH",(1-L115)+$W$3,""))))</f>
        <v>0.3</v>
      </c>
      <c r="W115" s="331"/>
      <c r="X115" s="758">
        <f t="shared" ca="1" si="81"/>
        <v>0</v>
      </c>
      <c r="Y115" s="81">
        <f t="shared" ca="1" si="110"/>
        <v>0</v>
      </c>
      <c r="Z115" s="81">
        <f t="shared" ca="1" si="111"/>
        <v>0</v>
      </c>
      <c r="AA115" s="81">
        <f t="shared" ca="1" si="112"/>
        <v>0</v>
      </c>
      <c r="AB115" s="81">
        <f t="shared" ca="1" si="113"/>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79"/>
        <v>INDLWH</v>
      </c>
      <c r="J116" s="239">
        <f t="shared" si="80"/>
        <v>2050</v>
      </c>
      <c r="K116" s="81"/>
      <c r="L116" s="206">
        <f t="shared" ca="1" si="106"/>
        <v>1</v>
      </c>
      <c r="M116" s="206"/>
      <c r="N116" s="81"/>
      <c r="O116" s="783">
        <f t="shared" ca="1" si="107"/>
        <v>0.44700000000000001</v>
      </c>
      <c r="P116" s="783">
        <f t="shared" ca="1" si="108"/>
        <v>0</v>
      </c>
      <c r="Q116" s="81">
        <f t="shared" ca="1" si="109"/>
        <v>0.39319444444444446</v>
      </c>
      <c r="R116" s="333"/>
      <c r="S116" s="333"/>
      <c r="T116" s="333"/>
      <c r="U116" s="333"/>
      <c r="V116" s="759">
        <f ca="1">IF(IF(RIGHT(H114,2)="MT",(1-L116)+$W$2,IF(RIGHT(H114,2)="HT",(1-L116)+$W$1,IF(RIGHT(H114,2)="RH",(1-L116)+$W$3,"")))&lt;0,0,IF(RIGHT(H114,2)="MT",(1-L116)+$W$2,IF(RIGHT(H114,2)="HT",(1-L116)+$W$1,IF(RIGHT(H114,2)="RH",(1-L116)+$W$3,""))))</f>
        <v>0.3</v>
      </c>
      <c r="W116" s="331"/>
      <c r="X116" s="758">
        <f t="shared" ca="1" si="81"/>
        <v>0</v>
      </c>
      <c r="Y116" s="81">
        <f t="shared" ca="1" si="110"/>
        <v>0</v>
      </c>
      <c r="Z116" s="81">
        <f t="shared" ca="1" si="111"/>
        <v>0</v>
      </c>
      <c r="AA116" s="81">
        <f t="shared" ca="1" si="112"/>
        <v>0</v>
      </c>
      <c r="AB116" s="81">
        <f t="shared" ca="1" si="113"/>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L MT - Direct electric heating - new 10</v>
      </c>
      <c r="F117" s="239" t="s">
        <v>1274</v>
      </c>
      <c r="G117" s="176" t="s">
        <v>500</v>
      </c>
      <c r="H117" s="177" t="str">
        <f>$AI$14</f>
        <v>ILDMT</v>
      </c>
      <c r="I117" s="177" t="str">
        <f t="shared" si="79"/>
        <v>INDLWH</v>
      </c>
      <c r="J117" s="239">
        <f t="shared" si="80"/>
        <v>2011</v>
      </c>
      <c r="K117" s="332">
        <f>J117</f>
        <v>2011</v>
      </c>
      <c r="L117" s="206">
        <f t="shared" ca="1" si="106"/>
        <v>1</v>
      </c>
      <c r="M117" s="206"/>
      <c r="N117" s="81">
        <f ca="1">VLOOKUP($AD117,INDIRECT("'"&amp;$B117&amp;"'!"&amp;"$P$39:$AD$42"),5,FALSE)</f>
        <v>12.5</v>
      </c>
      <c r="O117" s="783">
        <f t="shared" ca="1" si="107"/>
        <v>0.44700000000000001</v>
      </c>
      <c r="P117" s="783">
        <f t="shared" ca="1" si="108"/>
        <v>0</v>
      </c>
      <c r="Q117" s="81">
        <f t="shared" ca="1" si="109"/>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1"/>
        <v>0</v>
      </c>
      <c r="Y117" s="81">
        <f t="shared" ca="1" si="110"/>
        <v>0</v>
      </c>
      <c r="Z117" s="81">
        <f t="shared" ca="1" si="111"/>
        <v>0</v>
      </c>
      <c r="AA117" s="81">
        <f t="shared" ca="1" si="112"/>
        <v>0</v>
      </c>
      <c r="AB117" s="81">
        <f t="shared" ca="1" si="113"/>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79"/>
        <v>INDLWH</v>
      </c>
      <c r="J118" s="239">
        <f t="shared" si="80"/>
        <v>2030</v>
      </c>
      <c r="K118" s="81"/>
      <c r="L118" s="206">
        <f t="shared" ca="1" si="106"/>
        <v>1</v>
      </c>
      <c r="M118" s="206"/>
      <c r="N118" s="81"/>
      <c r="O118" s="783">
        <f t="shared" ca="1" si="107"/>
        <v>0.44700000000000001</v>
      </c>
      <c r="P118" s="783">
        <f t="shared" ca="1" si="108"/>
        <v>0</v>
      </c>
      <c r="Q118" s="81">
        <f t="shared" ca="1" si="109"/>
        <v>0.38802083333333331</v>
      </c>
      <c r="R118" s="333"/>
      <c r="S118" s="333"/>
      <c r="T118" s="333"/>
      <c r="U118" s="333"/>
      <c r="V118" s="759">
        <f ca="1">IF(IF(RIGHT(H117,2)="MT",(1-L118)+$W$2,IF(RIGHT(H117,2)="HT",(1-L118)+$W$1,IF(RIGHT(H117,2)="RH",(1-L118)+$W$3,"")))&lt;0,0,IF(RIGHT(H117,2)="MT",(1-L118)+$W$2,IF(RIGHT(H117,2)="HT",(1-L118)+$W$1,IF(RIGHT(H117,2)="RH",(1-L118)+$W$3,""))))</f>
        <v>0.2</v>
      </c>
      <c r="W118" s="331"/>
      <c r="X118" s="758">
        <f t="shared" ca="1" si="81"/>
        <v>0</v>
      </c>
      <c r="Y118" s="81">
        <f t="shared" ca="1" si="110"/>
        <v>0</v>
      </c>
      <c r="Z118" s="81">
        <f t="shared" ca="1" si="111"/>
        <v>0</v>
      </c>
      <c r="AA118" s="81">
        <f t="shared" ca="1" si="112"/>
        <v>0</v>
      </c>
      <c r="AB118" s="81">
        <f t="shared" ca="1" si="113"/>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79"/>
        <v>INDLWH</v>
      </c>
      <c r="J119" s="239">
        <f t="shared" si="80"/>
        <v>2050</v>
      </c>
      <c r="K119" s="81"/>
      <c r="L119" s="206">
        <f t="shared" ca="1" si="106"/>
        <v>1</v>
      </c>
      <c r="M119" s="206"/>
      <c r="N119" s="81"/>
      <c r="O119" s="783">
        <f t="shared" ca="1" si="107"/>
        <v>0.44700000000000001</v>
      </c>
      <c r="P119" s="783">
        <f t="shared" ca="1" si="108"/>
        <v>0</v>
      </c>
      <c r="Q119" s="81">
        <f t="shared" ca="1" si="109"/>
        <v>0.39319444444444446</v>
      </c>
      <c r="R119" s="763"/>
      <c r="S119" s="763"/>
      <c r="T119" s="763"/>
      <c r="U119" s="763"/>
      <c r="V119" s="759">
        <f ca="1">IF(IF(RIGHT(H117,2)="MT",(1-L119)+$W$2,IF(RIGHT(H117,2)="HT",(1-L119)+$W$1,IF(RIGHT(H117,2)="RH",(1-L119)+$W$3,"")))&lt;0,0,IF(RIGHT(H117,2)="MT",(1-L119)+$W$2,IF(RIGHT(H117,2)="HT",(1-L119)+$W$1,IF(RIGHT(H117,2)="RH",(1-L119)+$W$3,""))))</f>
        <v>0.2</v>
      </c>
      <c r="W119" s="764"/>
      <c r="X119" s="758">
        <f t="shared" ca="1" si="81"/>
        <v>0</v>
      </c>
      <c r="Y119" s="81">
        <f t="shared" ca="1" si="110"/>
        <v>0</v>
      </c>
      <c r="Z119" s="81">
        <f t="shared" ca="1" si="111"/>
        <v>0</v>
      </c>
      <c r="AA119" s="81">
        <f t="shared" ca="1" si="112"/>
        <v>0</v>
      </c>
      <c r="AB119" s="81">
        <f t="shared" ca="1" si="113"/>
        <v>0</v>
      </c>
      <c r="AD119" s="81">
        <v>2050</v>
      </c>
      <c r="AE119" s="81"/>
      <c r="AF119" s="232"/>
    </row>
    <row r="120" spans="2:32">
      <c r="B120" s="778" t="s">
        <v>1134</v>
      </c>
      <c r="C120" s="241"/>
      <c r="D120" s="223" t="str">
        <f ca="1">IF(T120=0,"*",IF(T120&gt;0,"IND"&amp;RIGHT(H120,4)&amp;RIGHT(G120,3)&amp;"N"&amp;RIGHT(E120,1),""))</f>
        <v>INDLDHTDSEN1</v>
      </c>
      <c r="E120" s="278" t="str">
        <f>"Industrial heating technology "&amp;$AJ$12&amp;" "&amp;RIGHT(H120,2)&amp;" - Oil boiler (Steam) - new 1"</f>
        <v>Industrial heating technology L HT - Oil boiler (Steam) - new 1</v>
      </c>
      <c r="F120" s="239" t="s">
        <v>1274</v>
      </c>
      <c r="G120" s="176" t="s">
        <v>1437</v>
      </c>
      <c r="H120" s="177" t="str">
        <f>$AI$13</f>
        <v>ILDHT</v>
      </c>
      <c r="I120" s="177" t="str">
        <f t="shared" si="79"/>
        <v>INDLWH</v>
      </c>
      <c r="J120" s="239">
        <f t="shared" si="80"/>
        <v>2011</v>
      </c>
      <c r="K120" s="332">
        <f>J120</f>
        <v>2011</v>
      </c>
      <c r="L120" s="206">
        <f t="shared" ca="1" si="106"/>
        <v>0.94</v>
      </c>
      <c r="M120" s="759"/>
      <c r="N120" s="332">
        <f ca="1">VLOOKUP($AD120,INDIRECT("'"&amp;$B120&amp;"'!"&amp;"$P$39:$AD$42"),5,FALSE)</f>
        <v>25</v>
      </c>
      <c r="O120" s="785">
        <f t="shared" ca="1" si="107"/>
        <v>0.40975</v>
      </c>
      <c r="P120" s="785">
        <f t="shared" ca="1" si="108"/>
        <v>1.341E-2</v>
      </c>
      <c r="Q120" s="332">
        <f t="shared" ca="1" si="109"/>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1"/>
        <v>0.5</v>
      </c>
      <c r="Y120" s="332">
        <f t="shared" ca="1" si="110"/>
        <v>25</v>
      </c>
      <c r="Z120" s="332">
        <f t="shared" ca="1" si="111"/>
        <v>0</v>
      </c>
      <c r="AA120" s="332">
        <f t="shared" ca="1" si="112"/>
        <v>0</v>
      </c>
      <c r="AB120" s="332">
        <f t="shared" ca="1" si="113"/>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79"/>
        <v>INDLWH</v>
      </c>
      <c r="J121" s="239">
        <f t="shared" si="80"/>
        <v>2030</v>
      </c>
      <c r="K121" s="81"/>
      <c r="L121" s="206">
        <f t="shared" ca="1" si="106"/>
        <v>0.95</v>
      </c>
      <c r="M121" s="206"/>
      <c r="N121" s="81"/>
      <c r="O121" s="783">
        <f t="shared" ca="1" si="107"/>
        <v>0.3469940346244772</v>
      </c>
      <c r="P121" s="783">
        <f t="shared" ca="1" si="108"/>
        <v>1.2664999999999999E-2</v>
      </c>
      <c r="Q121" s="81">
        <f t="shared" ca="1" si="109"/>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1"/>
        <v>0.5</v>
      </c>
      <c r="Y121" s="81">
        <f t="shared" ca="1" si="110"/>
        <v>20</v>
      </c>
      <c r="Z121" s="81">
        <f t="shared" ca="1" si="111"/>
        <v>0</v>
      </c>
      <c r="AA121" s="81">
        <f t="shared" ca="1" si="112"/>
        <v>0</v>
      </c>
      <c r="AB121" s="81">
        <f t="shared" ca="1" si="113"/>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79"/>
        <v>INDLWH</v>
      </c>
      <c r="J122" s="239">
        <f t="shared" si="80"/>
        <v>2050</v>
      </c>
      <c r="K122" s="81"/>
      <c r="L122" s="206">
        <f t="shared" ca="1" si="106"/>
        <v>0.96</v>
      </c>
      <c r="M122" s="206"/>
      <c r="N122" s="81"/>
      <c r="O122" s="783">
        <f t="shared" ca="1" si="107"/>
        <v>0.32813985758696651</v>
      </c>
      <c r="P122" s="783">
        <f t="shared" ca="1" si="108"/>
        <v>1.1175000000000001E-2</v>
      </c>
      <c r="Q122" s="81">
        <f t="shared" ca="1" si="109"/>
        <v>1.8625</v>
      </c>
      <c r="R122" s="333"/>
      <c r="S122" s="333"/>
      <c r="T122" s="333"/>
      <c r="U122" s="333"/>
      <c r="V122" s="759">
        <f ca="1">IF(IF(RIGHT(H120,2)="MT",(1-L122)+$W$2,IF(RIGHT(H120,2)="HT",(1-L122)+$W$1,IF(RIGHT(H120,2)="RH",(1-L122)+$W$3,"")))&lt;0,0,IF(RIGHT(H120,2)="MT",(1-L122)+$W$2,IF(RIGHT(H120,2)="HT",(1-L122)+$W$1,IF(RIGHT(H120,2)="RH",(1-L122)+$W$3,""))))</f>
        <v>0.34</v>
      </c>
      <c r="W122" s="331"/>
      <c r="X122" s="758">
        <f t="shared" ca="1" si="81"/>
        <v>0.5</v>
      </c>
      <c r="Y122" s="81">
        <f t="shared" ca="1" si="110"/>
        <v>15</v>
      </c>
      <c r="Z122" s="81">
        <f t="shared" ca="1" si="111"/>
        <v>0</v>
      </c>
      <c r="AA122" s="81">
        <f t="shared" ca="1" si="112"/>
        <v>0</v>
      </c>
      <c r="AB122" s="81">
        <f t="shared" ca="1" si="113"/>
        <v>0.1</v>
      </c>
      <c r="AD122" s="81">
        <v>2050</v>
      </c>
      <c r="AE122" s="81"/>
      <c r="AF122" s="232"/>
    </row>
    <row r="123" spans="2:32">
      <c r="B123" s="778" t="s">
        <v>1134</v>
      </c>
      <c r="C123" s="241"/>
      <c r="D123" s="223" t="str">
        <f ca="1">IF(T123=0,"*",IF(T123&gt;0,"IND"&amp;RIGHT(H123,4)&amp;RIGHT(G123,3)&amp;"N"&amp;RIGHT(E123,1),""))</f>
        <v>INDLDMTDSEN1</v>
      </c>
      <c r="E123" s="278" t="str">
        <f>"Industrial heating technology "&amp;$AJ$12&amp;" "&amp;RIGHT(H123,2)&amp;" - Oil boiler (Steam) - new 1"</f>
        <v>Industrial heating technology L MT - Oil boiler (Steam) - new 1</v>
      </c>
      <c r="F123" s="239" t="s">
        <v>1274</v>
      </c>
      <c r="G123" s="176" t="s">
        <v>1437</v>
      </c>
      <c r="H123" s="177" t="str">
        <f>$AI$14</f>
        <v>ILDMT</v>
      </c>
      <c r="I123" s="177" t="str">
        <f t="shared" si="79"/>
        <v>INDLWH</v>
      </c>
      <c r="J123" s="239">
        <f t="shared" si="80"/>
        <v>2011</v>
      </c>
      <c r="K123" s="332">
        <f>J123</f>
        <v>2011</v>
      </c>
      <c r="L123" s="206">
        <f t="shared" ca="1" si="106"/>
        <v>0.94</v>
      </c>
      <c r="M123" s="206"/>
      <c r="N123" s="81">
        <f ca="1">VLOOKUP($AD123,INDIRECT("'"&amp;$B123&amp;"'!"&amp;"$P$39:$AD$42"),5,FALSE)</f>
        <v>25</v>
      </c>
      <c r="O123" s="783">
        <f t="shared" ca="1" si="107"/>
        <v>0.40975</v>
      </c>
      <c r="P123" s="783">
        <f t="shared" ca="1" si="108"/>
        <v>1.341E-2</v>
      </c>
      <c r="Q123" s="81">
        <f t="shared" ca="1" si="109"/>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1"/>
        <v>0.5</v>
      </c>
      <c r="Y123" s="81">
        <f t="shared" ca="1" si="110"/>
        <v>25</v>
      </c>
      <c r="Z123" s="81">
        <f t="shared" ca="1" si="111"/>
        <v>0</v>
      </c>
      <c r="AA123" s="81">
        <f t="shared" ca="1" si="112"/>
        <v>0</v>
      </c>
      <c r="AB123" s="81">
        <f t="shared" ca="1" si="113"/>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79"/>
        <v>INDLWH</v>
      </c>
      <c r="J124" s="239">
        <f t="shared" si="80"/>
        <v>2030</v>
      </c>
      <c r="K124" s="81"/>
      <c r="L124" s="206">
        <f t="shared" ca="1" si="106"/>
        <v>0.95</v>
      </c>
      <c r="M124" s="206"/>
      <c r="N124" s="81"/>
      <c r="O124" s="783">
        <f t="shared" ca="1" si="107"/>
        <v>0.3469940346244772</v>
      </c>
      <c r="P124" s="783">
        <f t="shared" ca="1" si="108"/>
        <v>1.2664999999999999E-2</v>
      </c>
      <c r="Q124" s="81">
        <f t="shared" ca="1" si="109"/>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1"/>
        <v>0.5</v>
      </c>
      <c r="Y124" s="81">
        <f t="shared" ca="1" si="110"/>
        <v>20</v>
      </c>
      <c r="Z124" s="81">
        <f t="shared" ca="1" si="111"/>
        <v>0</v>
      </c>
      <c r="AA124" s="81">
        <f t="shared" ca="1" si="112"/>
        <v>0</v>
      </c>
      <c r="AB124" s="81">
        <f t="shared" ca="1" si="113"/>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79"/>
        <v>INDLWH</v>
      </c>
      <c r="J125" s="239">
        <f t="shared" si="80"/>
        <v>2050</v>
      </c>
      <c r="K125" s="81"/>
      <c r="L125" s="206">
        <f t="shared" ca="1" si="106"/>
        <v>0.96</v>
      </c>
      <c r="M125" s="206"/>
      <c r="N125" s="81"/>
      <c r="O125" s="783">
        <f t="shared" ca="1" si="107"/>
        <v>0.32813985758696651</v>
      </c>
      <c r="P125" s="783">
        <f t="shared" ca="1" si="108"/>
        <v>1.1175000000000001E-2</v>
      </c>
      <c r="Q125" s="81">
        <f t="shared" ca="1" si="109"/>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1"/>
        <v>0.5</v>
      </c>
      <c r="Y125" s="81">
        <f t="shared" ca="1" si="110"/>
        <v>15</v>
      </c>
      <c r="Z125" s="81">
        <f t="shared" ca="1" si="111"/>
        <v>0</v>
      </c>
      <c r="AA125" s="81">
        <f t="shared" ca="1" si="112"/>
        <v>0</v>
      </c>
      <c r="AB125" s="81">
        <f t="shared" ca="1" si="113"/>
        <v>0.1</v>
      </c>
      <c r="AC125" s="211"/>
      <c r="AD125" s="81">
        <v>2050</v>
      </c>
      <c r="AE125" s="81"/>
      <c r="AF125" s="765"/>
    </row>
    <row r="126" spans="2:32">
      <c r="B126" s="778" t="s">
        <v>1134</v>
      </c>
      <c r="C126" s="241"/>
      <c r="D126" s="223" t="str">
        <f ca="1">IF(T126=0,"*",IF(T126&gt;0,"IND"&amp;RIGHT(H126,4)&amp;RIGHT(G126,3)&amp;"N"&amp;RIGHT(E126,1),""))</f>
        <v>INDLDRHDSEN1</v>
      </c>
      <c r="E126" s="278" t="str">
        <f>"Industrial heating technology "&amp;$AJ$12&amp;" "&amp;RIGHT(H126,2)&amp;" - Oil boiler (Steam) - new 1"</f>
        <v>Industrial heating technology L RH - Oil boiler (Steam) - new 1</v>
      </c>
      <c r="F126" s="239" t="s">
        <v>1274</v>
      </c>
      <c r="G126" s="176" t="s">
        <v>1437</v>
      </c>
      <c r="H126" s="177" t="str">
        <f>$AI$15</f>
        <v>ILDRH</v>
      </c>
      <c r="I126" s="177" t="str">
        <f t="shared" si="79"/>
        <v>INDLWH</v>
      </c>
      <c r="J126" s="239">
        <f t="shared" si="80"/>
        <v>2011</v>
      </c>
      <c r="K126" s="332">
        <f>J126</f>
        <v>2011</v>
      </c>
      <c r="L126" s="206">
        <f t="shared" ca="1" si="106"/>
        <v>0.94</v>
      </c>
      <c r="M126" s="206"/>
      <c r="N126" s="81">
        <f ca="1">VLOOKUP($AD126,INDIRECT("'"&amp;$B126&amp;"'!"&amp;"$P$39:$AD$42"),5,FALSE)</f>
        <v>25</v>
      </c>
      <c r="O126" s="783">
        <f t="shared" ca="1" si="107"/>
        <v>0.40975</v>
      </c>
      <c r="P126" s="783">
        <f t="shared" ca="1" si="108"/>
        <v>1.341E-2</v>
      </c>
      <c r="Q126" s="81">
        <f t="shared" ca="1" si="109"/>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1"/>
        <v>0.5</v>
      </c>
      <c r="Y126" s="81">
        <f t="shared" ca="1" si="110"/>
        <v>25</v>
      </c>
      <c r="Z126" s="81">
        <f t="shared" ca="1" si="111"/>
        <v>0</v>
      </c>
      <c r="AA126" s="81">
        <f t="shared" ca="1" si="112"/>
        <v>0</v>
      </c>
      <c r="AB126" s="81">
        <f t="shared" ca="1" si="113"/>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4">$AI$20</f>
        <v>INDLWH</v>
      </c>
      <c r="J127" s="239">
        <f t="shared" ref="J127:J158" si="115">IF(AD127=2020,2011,AD127)</f>
        <v>2030</v>
      </c>
      <c r="K127" s="81"/>
      <c r="L127" s="206">
        <f t="shared" ca="1" si="106"/>
        <v>0.95</v>
      </c>
      <c r="M127" s="206"/>
      <c r="N127" s="81"/>
      <c r="O127" s="783">
        <f t="shared" ca="1" si="107"/>
        <v>0.3469940346244772</v>
      </c>
      <c r="P127" s="783">
        <f t="shared" ca="1" si="108"/>
        <v>1.2664999999999999E-2</v>
      </c>
      <c r="Q127" s="81">
        <f t="shared" ca="1" si="109"/>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6">IF(VLOOKUP($AD127,INDIRECT("'"&amp;$B127&amp;"'!"&amp;"$P$39:$AD$42"),11,FALSE)="Cf. the utilized electricity",0,VLOOKUP($AD127,INDIRECT("'"&amp;$B127&amp;"'!"&amp;"$P$39:$AD$42"),11,FALSE))</f>
        <v>0.5</v>
      </c>
      <c r="Y127" s="81">
        <f t="shared" ca="1" si="110"/>
        <v>20</v>
      </c>
      <c r="Z127" s="81">
        <f t="shared" ca="1" si="111"/>
        <v>0</v>
      </c>
      <c r="AA127" s="81">
        <f t="shared" ca="1" si="112"/>
        <v>0</v>
      </c>
      <c r="AB127" s="81">
        <f t="shared" ca="1" si="113"/>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4"/>
        <v>INDLWH</v>
      </c>
      <c r="J128" s="239">
        <f t="shared" si="115"/>
        <v>2050</v>
      </c>
      <c r="K128" s="81"/>
      <c r="L128" s="206">
        <f t="shared" ca="1" si="106"/>
        <v>0.96</v>
      </c>
      <c r="M128" s="206"/>
      <c r="N128" s="81"/>
      <c r="O128" s="783">
        <f t="shared" ca="1" si="107"/>
        <v>0.32813985758696651</v>
      </c>
      <c r="P128" s="783">
        <f t="shared" ca="1" si="108"/>
        <v>1.1175000000000001E-2</v>
      </c>
      <c r="Q128" s="81">
        <f t="shared" ca="1" si="109"/>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6"/>
        <v>0.5</v>
      </c>
      <c r="Y128" s="81">
        <f t="shared" ca="1" si="110"/>
        <v>15</v>
      </c>
      <c r="Z128" s="81">
        <f t="shared" ca="1" si="111"/>
        <v>0</v>
      </c>
      <c r="AA128" s="81">
        <f t="shared" ca="1" si="112"/>
        <v>0</v>
      </c>
      <c r="AB128" s="81">
        <f t="shared" ca="1" si="113"/>
        <v>0.1</v>
      </c>
      <c r="AC128" s="55"/>
      <c r="AD128" s="81">
        <v>2050</v>
      </c>
      <c r="AE128" s="81"/>
      <c r="AF128" s="760"/>
    </row>
    <row r="129" spans="2:32">
      <c r="B129" s="778" t="s">
        <v>1134</v>
      </c>
      <c r="C129" s="241"/>
      <c r="D129" s="223" t="str">
        <f ca="1">IF(T129=0,"*",IF(T129&gt;0,"IND"&amp;RIGHT(H129,4)&amp;RIGHT(G129,3)&amp;"N"&amp;RIGHT(E129,1),""))</f>
        <v>INDLDMTDSEN2</v>
      </c>
      <c r="E129" s="767" t="str">
        <f>"Industrial heating technology "&amp;$AJ$12&amp;" "&amp;RIGHT(H129,2)&amp;" - Oil boiler (Steam - condensing) - new 2"</f>
        <v>Industrial heating technology L MT - Oil boiler (Steam - condensing) - new 2</v>
      </c>
      <c r="F129" s="239" t="s">
        <v>1274</v>
      </c>
      <c r="G129" s="176" t="s">
        <v>1437</v>
      </c>
      <c r="H129" s="768" t="str">
        <f>$AI$14</f>
        <v>ILDMT</v>
      </c>
      <c r="I129" s="768" t="str">
        <f t="shared" si="114"/>
        <v>INDLWH</v>
      </c>
      <c r="J129" s="239">
        <f t="shared" si="115"/>
        <v>2011</v>
      </c>
      <c r="K129" s="332">
        <f>J129</f>
        <v>2011</v>
      </c>
      <c r="L129" s="206">
        <f t="shared" ref="L129:L134" ca="1" si="117">VLOOKUP($AD129,INDIRECT("'"&amp;$B129&amp;"'!"&amp;"$P$118:$AD$121"),3,FALSE)</f>
        <v>0.95</v>
      </c>
      <c r="M129" s="206"/>
      <c r="N129" s="81">
        <f ca="1">VLOOKUP($AD129,INDIRECT("'"&amp;$B129&amp;"'!"&amp;"$P$118:$AD$121"),5,FALSE)</f>
        <v>25</v>
      </c>
      <c r="O129" s="783">
        <f t="shared" ref="O129:O134" ca="1" si="118">VLOOKUP($AD129,INDIRECT("'"&amp;$B129&amp;"'!"&amp;"$P$118:$AD$121"),6,FALSE)/1000</f>
        <v>0.32780000000000004</v>
      </c>
      <c r="P129" s="783">
        <f t="shared" ref="P129:P134" ca="1" si="119">VLOOKUP($AD129,INDIRECT("'"&amp;$B129&amp;"'!"&amp;"$P$118:$AD$121"),7,FALSE)/1000</f>
        <v>1.341E-2</v>
      </c>
      <c r="Q129" s="81">
        <f t="shared" ref="Q129:Q134" ca="1" si="120">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6"/>
        <v>0.5</v>
      </c>
      <c r="Y129" s="758">
        <f t="shared" ref="Y129:Y134" ca="1" si="121">VLOOKUP($AD129,INDIRECT("'"&amp;$B129&amp;"'!"&amp;"$P$118:$AD$121"),12,FALSE)</f>
        <v>25</v>
      </c>
      <c r="Z129" s="758">
        <f t="shared" ref="Z129:Z134" ca="1" si="122">VLOOKUP($AD129,INDIRECT("'"&amp;$B129&amp;"'!"&amp;"$P$118:$AD$121"),13,FALSE)</f>
        <v>0</v>
      </c>
      <c r="AA129" s="758">
        <f t="shared" ref="AA129:AA134" ca="1" si="123">VLOOKUP($AD129,INDIRECT("'"&amp;$B129&amp;"'!"&amp;"$P$118:$AD$121"),14,FALSE)</f>
        <v>0</v>
      </c>
      <c r="AB129" s="758">
        <f t="shared" ref="AB129:AB134" ca="1" si="124">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4"/>
        <v>INDLWH</v>
      </c>
      <c r="J130" s="239">
        <f t="shared" si="115"/>
        <v>2030</v>
      </c>
      <c r="K130" s="81"/>
      <c r="L130" s="206">
        <f t="shared" ca="1" si="117"/>
        <v>0.96</v>
      </c>
      <c r="M130" s="206"/>
      <c r="N130" s="81"/>
      <c r="O130" s="783">
        <f t="shared" ca="1" si="118"/>
        <v>0.27759522769958173</v>
      </c>
      <c r="P130" s="783">
        <f t="shared" ca="1" si="119"/>
        <v>1.2664999999999999E-2</v>
      </c>
      <c r="Q130" s="81">
        <f t="shared" ca="1" si="120"/>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6"/>
        <v>0.5</v>
      </c>
      <c r="Y130" s="758">
        <f t="shared" ca="1" si="121"/>
        <v>20</v>
      </c>
      <c r="Z130" s="758">
        <f t="shared" ca="1" si="122"/>
        <v>0</v>
      </c>
      <c r="AA130" s="758">
        <f t="shared" ca="1" si="123"/>
        <v>0</v>
      </c>
      <c r="AB130" s="758">
        <f t="shared" ca="1" si="124"/>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4"/>
        <v>INDLWH</v>
      </c>
      <c r="J131" s="239">
        <f t="shared" si="115"/>
        <v>2050</v>
      </c>
      <c r="K131" s="81"/>
      <c r="L131" s="206">
        <f t="shared" ca="1" si="117"/>
        <v>0.97</v>
      </c>
      <c r="M131" s="206"/>
      <c r="N131" s="81"/>
      <c r="O131" s="783">
        <f t="shared" ca="1" si="118"/>
        <v>0.26251188606957326</v>
      </c>
      <c r="P131" s="783">
        <f t="shared" ca="1" si="119"/>
        <v>1.1175000000000001E-2</v>
      </c>
      <c r="Q131" s="81">
        <f t="shared" ca="1" si="120"/>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6"/>
        <v>0.5</v>
      </c>
      <c r="Y131" s="758">
        <f t="shared" ca="1" si="121"/>
        <v>15</v>
      </c>
      <c r="Z131" s="758">
        <f t="shared" ca="1" si="122"/>
        <v>0</v>
      </c>
      <c r="AA131" s="758">
        <f t="shared" ca="1" si="123"/>
        <v>0</v>
      </c>
      <c r="AB131" s="758">
        <f t="shared" ca="1" si="124"/>
        <v>0.1</v>
      </c>
      <c r="AC131" s="211"/>
      <c r="AD131" s="81">
        <v>2050</v>
      </c>
      <c r="AE131" s="81"/>
      <c r="AF131" s="765"/>
    </row>
    <row r="132" spans="2:32">
      <c r="B132" s="778" t="s">
        <v>1134</v>
      </c>
      <c r="C132" s="241"/>
      <c r="D132" s="223" t="str">
        <f ca="1">IF(T132=0,"*",IF(T132&gt;0,"IND"&amp;RIGHT(H132,4)&amp;RIGHT(G132,3)&amp;"N"&amp;RIGHT(E132,1),""))</f>
        <v>INDLDRHDSEN2</v>
      </c>
      <c r="E132" s="278" t="str">
        <f>"Industrial heating technology "&amp;$AJ$12&amp;" "&amp;RIGHT(H132,2)&amp;" - Oil boiler (Steam - condensing) - new 2"</f>
        <v>Industrial heating technology L RH - Oil boiler (Steam - condensing) - new 2</v>
      </c>
      <c r="F132" s="239" t="s">
        <v>1274</v>
      </c>
      <c r="G132" s="176" t="s">
        <v>1437</v>
      </c>
      <c r="H132" s="177" t="str">
        <f>$AI$15</f>
        <v>ILDRH</v>
      </c>
      <c r="I132" s="177" t="str">
        <f t="shared" si="114"/>
        <v>INDLWH</v>
      </c>
      <c r="J132" s="239">
        <f t="shared" si="115"/>
        <v>2011</v>
      </c>
      <c r="K132" s="332">
        <f>J132</f>
        <v>2011</v>
      </c>
      <c r="L132" s="206">
        <f t="shared" ca="1" si="117"/>
        <v>0.95</v>
      </c>
      <c r="M132" s="206"/>
      <c r="N132" s="81">
        <f ca="1">VLOOKUP($AD132,INDIRECT("'"&amp;$B132&amp;"'!"&amp;"$P$118:$AD$121"),5,FALSE)</f>
        <v>25</v>
      </c>
      <c r="O132" s="783">
        <f t="shared" ca="1" si="118"/>
        <v>0.32780000000000004</v>
      </c>
      <c r="P132" s="783">
        <f t="shared" ca="1" si="119"/>
        <v>1.341E-2</v>
      </c>
      <c r="Q132" s="81">
        <f t="shared" ca="1" si="120"/>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6"/>
        <v>0.5</v>
      </c>
      <c r="Y132" s="758">
        <f t="shared" ca="1" si="121"/>
        <v>25</v>
      </c>
      <c r="Z132" s="758">
        <f t="shared" ca="1" si="122"/>
        <v>0</v>
      </c>
      <c r="AA132" s="758">
        <f t="shared" ca="1" si="123"/>
        <v>0</v>
      </c>
      <c r="AB132" s="758">
        <f t="shared" ca="1" si="124"/>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4"/>
        <v>INDLWH</v>
      </c>
      <c r="J133" s="239">
        <f t="shared" si="115"/>
        <v>2030</v>
      </c>
      <c r="K133" s="81"/>
      <c r="L133" s="206">
        <f t="shared" ca="1" si="117"/>
        <v>0.96</v>
      </c>
      <c r="M133" s="206"/>
      <c r="N133" s="81"/>
      <c r="O133" s="783">
        <f t="shared" ca="1" si="118"/>
        <v>0.27759522769958173</v>
      </c>
      <c r="P133" s="783">
        <f t="shared" ca="1" si="119"/>
        <v>1.2664999999999999E-2</v>
      </c>
      <c r="Q133" s="81">
        <f t="shared" ca="1" si="120"/>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6"/>
        <v>0.5</v>
      </c>
      <c r="Y133" s="758">
        <f t="shared" ca="1" si="121"/>
        <v>20</v>
      </c>
      <c r="Z133" s="758">
        <f t="shared" ca="1" si="122"/>
        <v>0</v>
      </c>
      <c r="AA133" s="758">
        <f t="shared" ca="1" si="123"/>
        <v>0</v>
      </c>
      <c r="AB133" s="758">
        <f t="shared" ca="1" si="124"/>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4"/>
        <v>INDLWH</v>
      </c>
      <c r="J134" s="239">
        <f t="shared" si="115"/>
        <v>2050</v>
      </c>
      <c r="K134" s="81"/>
      <c r="L134" s="206">
        <f t="shared" ca="1" si="117"/>
        <v>0.97</v>
      </c>
      <c r="M134" s="206"/>
      <c r="N134" s="81"/>
      <c r="O134" s="783">
        <f t="shared" ca="1" si="118"/>
        <v>0.26251188606957326</v>
      </c>
      <c r="P134" s="783">
        <f t="shared" ca="1" si="119"/>
        <v>1.1175000000000001E-2</v>
      </c>
      <c r="Q134" s="81">
        <f t="shared" ca="1" si="120"/>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6"/>
        <v>0.5</v>
      </c>
      <c r="Y134" s="758">
        <f t="shared" ca="1" si="121"/>
        <v>15</v>
      </c>
      <c r="Z134" s="758">
        <f t="shared" ca="1" si="122"/>
        <v>0</v>
      </c>
      <c r="AA134" s="758">
        <f t="shared" ca="1" si="123"/>
        <v>0</v>
      </c>
      <c r="AB134" s="758">
        <f t="shared" ca="1" si="124"/>
        <v>0.1</v>
      </c>
      <c r="AD134" s="81">
        <v>2050</v>
      </c>
      <c r="AE134" s="81"/>
      <c r="AF134" s="232"/>
    </row>
    <row r="135" spans="2:32">
      <c r="B135" s="778" t="s">
        <v>1135</v>
      </c>
      <c r="C135" s="241"/>
      <c r="D135" s="223" t="str">
        <f ca="1">IF(T135=0,"*",IF(T135&gt;0,"IND"&amp;RIGHT(H135,4)&amp;RIGHT(G135,3)&amp;"N"&amp;RIGHT(E135,1),""))</f>
        <v>INDLDHTDH2N1</v>
      </c>
      <c r="E135" s="278" t="str">
        <f>"Industrial heating technology "&amp;$AJ$12&amp;" "&amp;RIGHT(H135,2)&amp;" - Gas boiler (Steam) - new 1"</f>
        <v>Industrial heating technology L HT - Gas boiler (Steam) - new 1</v>
      </c>
      <c r="F135" s="239" t="s">
        <v>1274</v>
      </c>
      <c r="G135" s="176" t="s">
        <v>1438</v>
      </c>
      <c r="H135" s="177" t="str">
        <f>$AI$13</f>
        <v>ILDHT</v>
      </c>
      <c r="I135" s="177" t="str">
        <f t="shared" si="114"/>
        <v>INDLWH</v>
      </c>
      <c r="J135" s="239">
        <f t="shared" si="115"/>
        <v>2011</v>
      </c>
      <c r="K135" s="332">
        <f>J135</f>
        <v>2011</v>
      </c>
      <c r="L135" s="206">
        <f t="shared" ref="L135:L143" ca="1" si="125">VLOOKUP($AD135,INDIRECT("'"&amp;$B135&amp;"'!"&amp;"$P$39:$AD$42"),3,FALSE)</f>
        <v>0.92</v>
      </c>
      <c r="M135" s="759"/>
      <c r="N135" s="332">
        <f ca="1">VLOOKUP($AD135,INDIRECT("'"&amp;$B135&amp;"'!"&amp;"$P$39:$AD$42"),5,FALSE)</f>
        <v>25</v>
      </c>
      <c r="O135" s="785">
        <f t="shared" ref="O135:O143" ca="1" si="126">VLOOKUP($AD135,INDIRECT("'"&amp;$B135&amp;"'!"&amp;"$P$39:$AD$42"),6,FALSE)/1000</f>
        <v>0.40636363636363632</v>
      </c>
      <c r="P135" s="785">
        <f t="shared" ref="P135:P143" ca="1" si="127">VLOOKUP($AD135,INDIRECT("'"&amp;$B135&amp;"'!"&amp;"$P$39:$AD$42"),7,FALSE)/1000</f>
        <v>1.49E-2</v>
      </c>
      <c r="Q135" s="332">
        <f t="shared" ref="Q135:Q143" ca="1" si="128">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6"/>
        <v>0.3</v>
      </c>
      <c r="Y135" s="332">
        <f t="shared" ref="Y135:Y143" ca="1" si="129">VLOOKUP($AD135,INDIRECT("'"&amp;$B135&amp;"'!"&amp;"$P$39:$AD$42"),12,FALSE)</f>
        <v>9</v>
      </c>
      <c r="Z135" s="332">
        <f t="shared" ref="Z135:Z143" ca="1" si="130">VLOOKUP($AD135,INDIRECT("'"&amp;$B135&amp;"'!"&amp;"$P$39:$AD$42"),13,FALSE)</f>
        <v>3</v>
      </c>
      <c r="AA135" s="332">
        <f t="shared" ref="AA135:AA143" ca="1" si="131">VLOOKUP($AD135,INDIRECT("'"&amp;$B135&amp;"'!"&amp;"$P$39:$AD$42"),14,FALSE)</f>
        <v>1</v>
      </c>
      <c r="AB135" s="332">
        <f t="shared" ref="AB135:AB143" ca="1" si="132">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4"/>
        <v>INDLWH</v>
      </c>
      <c r="J136" s="239">
        <f t="shared" si="115"/>
        <v>2030</v>
      </c>
      <c r="K136" s="81"/>
      <c r="L136" s="206">
        <f t="shared" ca="1" si="125"/>
        <v>0.93</v>
      </c>
      <c r="M136" s="206"/>
      <c r="N136" s="81"/>
      <c r="O136" s="783">
        <f t="shared" ca="1" si="126"/>
        <v>0.33863636363636368</v>
      </c>
      <c r="P136" s="783">
        <f t="shared" ca="1" si="127"/>
        <v>1.4154999999999999E-2</v>
      </c>
      <c r="Q136" s="81">
        <f t="shared" ca="1" si="128"/>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6"/>
        <v>0.3</v>
      </c>
      <c r="Y136" s="81">
        <f t="shared" ca="1" si="129"/>
        <v>7</v>
      </c>
      <c r="Z136" s="81">
        <f t="shared" ca="1" si="130"/>
        <v>2</v>
      </c>
      <c r="AA136" s="81">
        <f t="shared" ca="1" si="131"/>
        <v>1</v>
      </c>
      <c r="AB136" s="81">
        <f t="shared" ca="1" si="132"/>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4"/>
        <v>INDLWH</v>
      </c>
      <c r="J137" s="239">
        <f t="shared" si="115"/>
        <v>2050</v>
      </c>
      <c r="K137" s="81"/>
      <c r="L137" s="206">
        <f t="shared" ca="1" si="125"/>
        <v>0.94</v>
      </c>
      <c r="M137" s="206"/>
      <c r="N137" s="81"/>
      <c r="O137" s="783">
        <f t="shared" ca="1" si="126"/>
        <v>0.33863636363636368</v>
      </c>
      <c r="P137" s="783">
        <f t="shared" ca="1" si="127"/>
        <v>1.2664999999999999E-2</v>
      </c>
      <c r="Q137" s="81">
        <f t="shared" ca="1" si="128"/>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6"/>
        <v>0.3</v>
      </c>
      <c r="Y137" s="81">
        <f t="shared" ca="1" si="129"/>
        <v>6</v>
      </c>
      <c r="Z137" s="81">
        <f t="shared" ca="1" si="130"/>
        <v>2</v>
      </c>
      <c r="AA137" s="81">
        <f t="shared" ca="1" si="131"/>
        <v>1</v>
      </c>
      <c r="AB137" s="81">
        <f t="shared" ca="1" si="132"/>
        <v>0.1</v>
      </c>
      <c r="AD137" s="81">
        <v>2050</v>
      </c>
      <c r="AE137" s="81"/>
      <c r="AF137" s="232"/>
    </row>
    <row r="138" spans="2:32">
      <c r="B138" s="778" t="s">
        <v>1135</v>
      </c>
      <c r="C138" s="241"/>
      <c r="D138" s="223" t="str">
        <f ca="1">IF(T138=0,"*",IF(T138&gt;0,"IND"&amp;RIGHT(H138,4)&amp;RIGHT(G138,3)&amp;"N"&amp;RIGHT(E138,1),""))</f>
        <v>INDLDMTDH2N1</v>
      </c>
      <c r="E138" s="278" t="str">
        <f>"Industrial heating technology "&amp;$AJ$12&amp;" "&amp;RIGHT(H138,2)&amp;" - Gas boiler (Steam) - new 1"</f>
        <v>Industrial heating technology L MT - Gas boiler (Steam) - new 1</v>
      </c>
      <c r="F138" s="239" t="s">
        <v>1274</v>
      </c>
      <c r="G138" s="176" t="s">
        <v>1438</v>
      </c>
      <c r="H138" s="177" t="str">
        <f>$AI$14</f>
        <v>ILDMT</v>
      </c>
      <c r="I138" s="177" t="str">
        <f t="shared" si="114"/>
        <v>INDLWH</v>
      </c>
      <c r="J138" s="239">
        <f t="shared" si="115"/>
        <v>2011</v>
      </c>
      <c r="K138" s="332">
        <f>J138</f>
        <v>2011</v>
      </c>
      <c r="L138" s="206">
        <f t="shared" ca="1" si="125"/>
        <v>0.92</v>
      </c>
      <c r="M138" s="206"/>
      <c r="N138" s="81">
        <f ca="1">VLOOKUP($AD138,INDIRECT("'"&amp;$B138&amp;"'!"&amp;"$P$39:$AD$42"),5,FALSE)</f>
        <v>25</v>
      </c>
      <c r="O138" s="783">
        <f t="shared" ca="1" si="126"/>
        <v>0.40636363636363632</v>
      </c>
      <c r="P138" s="783">
        <f t="shared" ca="1" si="127"/>
        <v>1.49E-2</v>
      </c>
      <c r="Q138" s="81">
        <f t="shared" ca="1" si="128"/>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6"/>
        <v>0.3</v>
      </c>
      <c r="Y138" s="81">
        <f t="shared" ca="1" si="129"/>
        <v>9</v>
      </c>
      <c r="Z138" s="81">
        <f t="shared" ca="1" si="130"/>
        <v>3</v>
      </c>
      <c r="AA138" s="81">
        <f t="shared" ca="1" si="131"/>
        <v>1</v>
      </c>
      <c r="AB138" s="81">
        <f t="shared" ca="1" si="132"/>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4"/>
        <v>INDLWH</v>
      </c>
      <c r="J139" s="239">
        <f t="shared" si="115"/>
        <v>2030</v>
      </c>
      <c r="K139" s="81"/>
      <c r="L139" s="206">
        <f t="shared" ca="1" si="125"/>
        <v>0.93</v>
      </c>
      <c r="M139" s="206"/>
      <c r="N139" s="81"/>
      <c r="O139" s="783">
        <f t="shared" ca="1" si="126"/>
        <v>0.33863636363636368</v>
      </c>
      <c r="P139" s="783">
        <f t="shared" ca="1" si="127"/>
        <v>1.4154999999999999E-2</v>
      </c>
      <c r="Q139" s="81">
        <f t="shared" ca="1" si="128"/>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6"/>
        <v>0.3</v>
      </c>
      <c r="Y139" s="81">
        <f t="shared" ca="1" si="129"/>
        <v>7</v>
      </c>
      <c r="Z139" s="81">
        <f t="shared" ca="1" si="130"/>
        <v>2</v>
      </c>
      <c r="AA139" s="81">
        <f t="shared" ca="1" si="131"/>
        <v>1</v>
      </c>
      <c r="AB139" s="81">
        <f t="shared" ca="1" si="132"/>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4"/>
        <v>INDLWH</v>
      </c>
      <c r="J140" s="239">
        <f t="shared" si="115"/>
        <v>2050</v>
      </c>
      <c r="K140" s="81"/>
      <c r="L140" s="206">
        <f t="shared" ca="1" si="125"/>
        <v>0.94</v>
      </c>
      <c r="M140" s="206"/>
      <c r="N140" s="81"/>
      <c r="O140" s="783">
        <f t="shared" ca="1" si="126"/>
        <v>0.33863636363636368</v>
      </c>
      <c r="P140" s="783">
        <f t="shared" ca="1" si="127"/>
        <v>1.2664999999999999E-2</v>
      </c>
      <c r="Q140" s="81">
        <f t="shared" ca="1" si="128"/>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6"/>
        <v>0.3</v>
      </c>
      <c r="Y140" s="81">
        <f t="shared" ca="1" si="129"/>
        <v>6</v>
      </c>
      <c r="Z140" s="81">
        <f t="shared" ca="1" si="130"/>
        <v>2</v>
      </c>
      <c r="AA140" s="81">
        <f t="shared" ca="1" si="131"/>
        <v>1</v>
      </c>
      <c r="AB140" s="81">
        <f t="shared" ca="1" si="132"/>
        <v>0.1</v>
      </c>
      <c r="AC140" s="211"/>
      <c r="AD140" s="81">
        <v>2050</v>
      </c>
      <c r="AE140" s="81"/>
      <c r="AF140" s="765"/>
    </row>
    <row r="141" spans="2:32">
      <c r="B141" s="778" t="s">
        <v>1135</v>
      </c>
      <c r="C141" s="241"/>
      <c r="D141" s="223" t="str">
        <f ca="1">IF(T141=0,"*",IF(T141&gt;0,"IND"&amp;RIGHT(H141,4)&amp;RIGHT(G141,3)&amp;"N"&amp;RIGHT(E141,1),""))</f>
        <v>INDLDRHDH2N1</v>
      </c>
      <c r="E141" s="278" t="str">
        <f>"Industrial heating technology "&amp;$AJ$12&amp;" "&amp;RIGHT(H141,2)&amp;" - Gas boiler (Steam) - new 1"</f>
        <v>Industrial heating technology L RH - Gas boiler (Steam) - new 1</v>
      </c>
      <c r="F141" s="239" t="s">
        <v>1274</v>
      </c>
      <c r="G141" s="176" t="s">
        <v>1438</v>
      </c>
      <c r="H141" s="177" t="str">
        <f>$AI$15</f>
        <v>ILDRH</v>
      </c>
      <c r="I141" s="177" t="str">
        <f t="shared" si="114"/>
        <v>INDLWH</v>
      </c>
      <c r="J141" s="239">
        <f t="shared" si="115"/>
        <v>2011</v>
      </c>
      <c r="K141" s="332">
        <f>J141</f>
        <v>2011</v>
      </c>
      <c r="L141" s="206">
        <f t="shared" ca="1" si="125"/>
        <v>0.92</v>
      </c>
      <c r="M141" s="206"/>
      <c r="N141" s="81">
        <f ca="1">VLOOKUP($AD141,INDIRECT("'"&amp;$B141&amp;"'!"&amp;"$P$39:$AD$42"),5,FALSE)</f>
        <v>25</v>
      </c>
      <c r="O141" s="783">
        <f t="shared" ca="1" si="126"/>
        <v>0.40636363636363632</v>
      </c>
      <c r="P141" s="783">
        <f t="shared" ca="1" si="127"/>
        <v>1.49E-2</v>
      </c>
      <c r="Q141" s="81">
        <f t="shared" ca="1" si="128"/>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6"/>
        <v>0.3</v>
      </c>
      <c r="Y141" s="81">
        <f t="shared" ca="1" si="129"/>
        <v>9</v>
      </c>
      <c r="Z141" s="81">
        <f t="shared" ca="1" si="130"/>
        <v>3</v>
      </c>
      <c r="AA141" s="81">
        <f t="shared" ca="1" si="131"/>
        <v>1</v>
      </c>
      <c r="AB141" s="81">
        <f t="shared" ca="1" si="132"/>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4"/>
        <v>INDLWH</v>
      </c>
      <c r="J142" s="239">
        <f t="shared" si="115"/>
        <v>2030</v>
      </c>
      <c r="K142" s="81"/>
      <c r="L142" s="206">
        <f t="shared" ca="1" si="125"/>
        <v>0.93</v>
      </c>
      <c r="M142" s="206"/>
      <c r="N142" s="81"/>
      <c r="O142" s="783">
        <f t="shared" ca="1" si="126"/>
        <v>0.33863636363636368</v>
      </c>
      <c r="P142" s="783">
        <f t="shared" ca="1" si="127"/>
        <v>1.4154999999999999E-2</v>
      </c>
      <c r="Q142" s="81">
        <f t="shared" ca="1" si="128"/>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6"/>
        <v>0.3</v>
      </c>
      <c r="Y142" s="81">
        <f t="shared" ca="1" si="129"/>
        <v>7</v>
      </c>
      <c r="Z142" s="81">
        <f t="shared" ca="1" si="130"/>
        <v>2</v>
      </c>
      <c r="AA142" s="81">
        <f t="shared" ca="1" si="131"/>
        <v>1</v>
      </c>
      <c r="AB142" s="81">
        <f t="shared" ca="1" si="132"/>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4"/>
        <v>INDLWH</v>
      </c>
      <c r="J143" s="239">
        <f t="shared" si="115"/>
        <v>2050</v>
      </c>
      <c r="K143" s="81"/>
      <c r="L143" s="206">
        <f t="shared" ca="1" si="125"/>
        <v>0.94</v>
      </c>
      <c r="M143" s="206"/>
      <c r="N143" s="81"/>
      <c r="O143" s="783">
        <f t="shared" ca="1" si="126"/>
        <v>0.33863636363636368</v>
      </c>
      <c r="P143" s="783">
        <f t="shared" ca="1" si="127"/>
        <v>1.2664999999999999E-2</v>
      </c>
      <c r="Q143" s="81">
        <f t="shared" ca="1" si="128"/>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6"/>
        <v>0.3</v>
      </c>
      <c r="Y143" s="81">
        <f t="shared" ca="1" si="129"/>
        <v>6</v>
      </c>
      <c r="Z143" s="81">
        <f t="shared" ca="1" si="130"/>
        <v>2</v>
      </c>
      <c r="AA143" s="81">
        <f t="shared" ca="1" si="131"/>
        <v>1</v>
      </c>
      <c r="AB143" s="81">
        <f t="shared" ca="1" si="132"/>
        <v>0.1</v>
      </c>
      <c r="AC143" s="55"/>
      <c r="AD143" s="81">
        <v>2050</v>
      </c>
      <c r="AE143" s="81"/>
      <c r="AF143" s="760"/>
    </row>
    <row r="144" spans="2:32">
      <c r="B144" s="778" t="s">
        <v>1135</v>
      </c>
      <c r="C144" s="241"/>
      <c r="D144" s="223" t="str">
        <f ca="1">IF(T144=0,"*",IF(T144&gt;0,"IND"&amp;RIGHT(H144,4)&amp;RIGHT(G144,3)&amp;"N"&amp;RIGHT(E144,1),""))</f>
        <v>INDLDMTDH2N2</v>
      </c>
      <c r="E144" s="767" t="str">
        <f>"Industrial heating technology "&amp;$AJ$12&amp;" "&amp;RIGHT(H144,2)&amp;" - Gas boiler (Steam - condensing) - new 2"</f>
        <v>Industrial heating technology L MT - Gas boiler (Steam - condensing) - new 2</v>
      </c>
      <c r="F144" s="239" t="s">
        <v>1274</v>
      </c>
      <c r="G144" s="176" t="s">
        <v>1438</v>
      </c>
      <c r="H144" s="768" t="str">
        <f>$AI$14</f>
        <v>ILDMT</v>
      </c>
      <c r="I144" s="768" t="str">
        <f t="shared" si="114"/>
        <v>INDLWH</v>
      </c>
      <c r="J144" s="239">
        <f t="shared" si="115"/>
        <v>2011</v>
      </c>
      <c r="K144" s="332">
        <f>J144</f>
        <v>2011</v>
      </c>
      <c r="L144" s="206">
        <f t="shared" ref="L144:L149" ca="1" si="133">VLOOKUP($AD144,INDIRECT("'"&amp;$B144&amp;"'!"&amp;"$P$118:$AD$121"),3,FALSE)</f>
        <v>1.01</v>
      </c>
      <c r="M144" s="206"/>
      <c r="N144" s="81">
        <f ca="1">VLOOKUP($AD144,INDIRECT("'"&amp;$B144&amp;"'!"&amp;"$P$118:$AD$121"),5,FALSE)</f>
        <v>25</v>
      </c>
      <c r="O144" s="783">
        <f t="shared" ref="O144:O149" ca="1" si="134">VLOOKUP($AD144,INDIRECT("'"&amp;$B144&amp;"'!"&amp;"$P$118:$AD$121"),6,FALSE)/1000</f>
        <v>0.44700000000000001</v>
      </c>
      <c r="P144" s="783">
        <f t="shared" ref="P144:P149" ca="1" si="135">VLOOKUP($AD144,INDIRECT("'"&amp;$B144&amp;"'!"&amp;"$P$118:$AD$121"),7,FALSE)/1000</f>
        <v>1.49E-2</v>
      </c>
      <c r="Q144" s="81">
        <f t="shared" ref="Q144:Q149" ca="1" si="136">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6"/>
        <v>0.3</v>
      </c>
      <c r="Y144" s="758">
        <f t="shared" ref="Y144:Y149" ca="1" si="137">VLOOKUP($AD144,INDIRECT("'"&amp;$B144&amp;"'!"&amp;"$P$118:$AD$121"),12,FALSE)</f>
        <v>9</v>
      </c>
      <c r="Z144" s="758">
        <f t="shared" ref="Z144:Z149" ca="1" si="138">VLOOKUP($AD144,INDIRECT("'"&amp;$B144&amp;"'!"&amp;"$P$118:$AD$121"),13,FALSE)</f>
        <v>3</v>
      </c>
      <c r="AA144" s="758">
        <f t="shared" ref="AA144:AA149" ca="1" si="139">VLOOKUP($AD144,INDIRECT("'"&amp;$B144&amp;"'!"&amp;"$P$118:$AD$121"),14,FALSE)</f>
        <v>1</v>
      </c>
      <c r="AB144" s="758">
        <f t="shared" ref="AB144:AB149" ca="1" si="140">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4"/>
        <v>INDLWH</v>
      </c>
      <c r="J145" s="239">
        <f t="shared" si="115"/>
        <v>2030</v>
      </c>
      <c r="K145" s="81"/>
      <c r="L145" s="206">
        <f t="shared" ca="1" si="133"/>
        <v>1.03</v>
      </c>
      <c r="M145" s="206"/>
      <c r="N145" s="81"/>
      <c r="O145" s="783">
        <f t="shared" ca="1" si="134"/>
        <v>0.37250000000000005</v>
      </c>
      <c r="P145" s="783">
        <f t="shared" ca="1" si="135"/>
        <v>1.4154999999999999E-2</v>
      </c>
      <c r="Q145" s="81">
        <f t="shared" ca="1" si="136"/>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6"/>
        <v>0.3</v>
      </c>
      <c r="Y145" s="758">
        <f t="shared" ca="1" si="137"/>
        <v>7</v>
      </c>
      <c r="Z145" s="758">
        <f t="shared" ca="1" si="138"/>
        <v>2</v>
      </c>
      <c r="AA145" s="758">
        <f t="shared" ca="1" si="139"/>
        <v>1</v>
      </c>
      <c r="AB145" s="758">
        <f t="shared" ca="1" si="140"/>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4"/>
        <v>INDLWH</v>
      </c>
      <c r="J146" s="239">
        <f t="shared" si="115"/>
        <v>2050</v>
      </c>
      <c r="K146" s="81"/>
      <c r="L146" s="206">
        <f t="shared" ca="1" si="133"/>
        <v>1.03</v>
      </c>
      <c r="M146" s="206"/>
      <c r="N146" s="81"/>
      <c r="O146" s="783">
        <f t="shared" ca="1" si="134"/>
        <v>0.37250000000000005</v>
      </c>
      <c r="P146" s="783">
        <f t="shared" ca="1" si="135"/>
        <v>1.2664999999999999E-2</v>
      </c>
      <c r="Q146" s="81">
        <f t="shared" ca="1" si="136"/>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6"/>
        <v>0.3</v>
      </c>
      <c r="Y146" s="758">
        <f t="shared" ca="1" si="137"/>
        <v>6</v>
      </c>
      <c r="Z146" s="758">
        <f t="shared" ca="1" si="138"/>
        <v>2</v>
      </c>
      <c r="AA146" s="758">
        <f t="shared" ca="1" si="139"/>
        <v>1</v>
      </c>
      <c r="AB146" s="758">
        <f t="shared" ca="1" si="140"/>
        <v>0.1</v>
      </c>
      <c r="AC146" s="211"/>
      <c r="AD146" s="81">
        <v>2050</v>
      </c>
      <c r="AE146" s="81"/>
      <c r="AF146" s="765"/>
    </row>
    <row r="147" spans="1:32">
      <c r="A147" s="241"/>
      <c r="B147" s="778" t="s">
        <v>1135</v>
      </c>
      <c r="C147" s="241"/>
      <c r="D147" s="223" t="str">
        <f ca="1">IF(T147=0,"*",IF(T147&gt;0,"IND"&amp;RIGHT(H147,4)&amp;RIGHT(G147,3)&amp;"N"&amp;RIGHT(E147,1),""))</f>
        <v>INDLDRHDH2N2</v>
      </c>
      <c r="E147" s="278" t="str">
        <f>"Industrial heating technology "&amp;$AJ$12&amp;" "&amp;RIGHT(H147,2)&amp;" - Gas boiler (Steam - condensing) - new 2"</f>
        <v>Industrial heating technology L RH - Gas boiler (Steam - condensing) - new 2</v>
      </c>
      <c r="F147" s="239" t="s">
        <v>1274</v>
      </c>
      <c r="G147" s="176" t="s">
        <v>1438</v>
      </c>
      <c r="H147" s="177" t="str">
        <f>$AI$15</f>
        <v>ILDRH</v>
      </c>
      <c r="I147" s="177" t="str">
        <f t="shared" si="114"/>
        <v>INDLWH</v>
      </c>
      <c r="J147" s="239">
        <f t="shared" si="115"/>
        <v>2011</v>
      </c>
      <c r="K147" s="332">
        <f>J147</f>
        <v>2011</v>
      </c>
      <c r="L147" s="206">
        <f t="shared" ca="1" si="133"/>
        <v>1.01</v>
      </c>
      <c r="M147" s="206"/>
      <c r="N147" s="81">
        <f ca="1">VLOOKUP($AD147,INDIRECT("'"&amp;$B147&amp;"'!"&amp;"$P$118:$AD$121"),5,FALSE)</f>
        <v>25</v>
      </c>
      <c r="O147" s="783">
        <f t="shared" ca="1" si="134"/>
        <v>0.44700000000000001</v>
      </c>
      <c r="P147" s="783">
        <f t="shared" ca="1" si="135"/>
        <v>1.49E-2</v>
      </c>
      <c r="Q147" s="81">
        <f t="shared" ca="1" si="136"/>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6"/>
        <v>0.3</v>
      </c>
      <c r="Y147" s="758">
        <f t="shared" ca="1" si="137"/>
        <v>9</v>
      </c>
      <c r="Z147" s="758">
        <f t="shared" ca="1" si="138"/>
        <v>3</v>
      </c>
      <c r="AA147" s="758">
        <f t="shared" ca="1" si="139"/>
        <v>1</v>
      </c>
      <c r="AB147" s="758">
        <f t="shared" ca="1" si="140"/>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4"/>
        <v>INDLWH</v>
      </c>
      <c r="J148" s="239">
        <f t="shared" si="115"/>
        <v>2030</v>
      </c>
      <c r="K148" s="81"/>
      <c r="L148" s="206">
        <f t="shared" ca="1" si="133"/>
        <v>1.03</v>
      </c>
      <c r="M148" s="206"/>
      <c r="N148" s="81"/>
      <c r="O148" s="783">
        <f t="shared" ca="1" si="134"/>
        <v>0.37250000000000005</v>
      </c>
      <c r="P148" s="783">
        <f t="shared" ca="1" si="135"/>
        <v>1.4154999999999999E-2</v>
      </c>
      <c r="Q148" s="81">
        <f t="shared" ca="1" si="136"/>
        <v>2.0694444444444446</v>
      </c>
      <c r="R148" s="333"/>
      <c r="S148" s="333"/>
      <c r="T148" s="333"/>
      <c r="U148" s="333"/>
      <c r="V148" s="759">
        <f ca="1">IF(IF(RIGHT(H147,2)="MT",(1-L148)+$W$2,IF(RIGHT(H147,2)="HT",(1-L148)+$W$1,IF(RIGHT(H147,2)="RH",(1-L148)+$W$3,"")))&lt;0,0,IF(RIGHT(H147,2)="MT",(1-L148)+$W$2,IF(RIGHT(H147,2)="HT",(1-L148)+$W$1,IF(RIGHT(H147,2)="RH",(1-L148)+$W$3,""))))</f>
        <v>0</v>
      </c>
      <c r="W148" s="331"/>
      <c r="X148" s="758">
        <f t="shared" ca="1" si="116"/>
        <v>0.3</v>
      </c>
      <c r="Y148" s="758">
        <f t="shared" ca="1" si="137"/>
        <v>7</v>
      </c>
      <c r="Z148" s="758">
        <f t="shared" ca="1" si="138"/>
        <v>2</v>
      </c>
      <c r="AA148" s="758">
        <f t="shared" ca="1" si="139"/>
        <v>1</v>
      </c>
      <c r="AB148" s="758">
        <f t="shared" ca="1" si="140"/>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4"/>
        <v>INDLWH</v>
      </c>
      <c r="J149" s="239">
        <f t="shared" si="115"/>
        <v>2050</v>
      </c>
      <c r="K149" s="81"/>
      <c r="L149" s="206">
        <f t="shared" ca="1" si="133"/>
        <v>1.03</v>
      </c>
      <c r="M149" s="206"/>
      <c r="N149" s="81"/>
      <c r="O149" s="783">
        <f t="shared" ca="1" si="134"/>
        <v>0.37250000000000005</v>
      </c>
      <c r="P149" s="783">
        <f t="shared" ca="1" si="135"/>
        <v>1.2664999999999999E-2</v>
      </c>
      <c r="Q149" s="81">
        <f t="shared" ca="1" si="136"/>
        <v>2.0694444444444446</v>
      </c>
      <c r="R149" s="763"/>
      <c r="S149" s="763"/>
      <c r="T149" s="763"/>
      <c r="U149" s="763"/>
      <c r="V149" s="759">
        <f ca="1">IF(IF(RIGHT(H147,2)="MT",(1-L149)+$W$2,IF(RIGHT(H147,2)="HT",(1-L149)+$W$1,IF(RIGHT(H147,2)="RH",(1-L149)+$W$3,"")))&lt;0,0,IF(RIGHT(H147,2)="MT",(1-L149)+$W$2,IF(RIGHT(H147,2)="HT",(1-L149)+$W$1,IF(RIGHT(H147,2)="RH",(1-L149)+$W$3,""))))</f>
        <v>0</v>
      </c>
      <c r="W149" s="764"/>
      <c r="X149" s="758">
        <f t="shared" ca="1" si="116"/>
        <v>0.3</v>
      </c>
      <c r="Y149" s="758">
        <f t="shared" ca="1" si="137"/>
        <v>6</v>
      </c>
      <c r="Z149" s="758">
        <f t="shared" ca="1" si="138"/>
        <v>2</v>
      </c>
      <c r="AA149" s="758">
        <f t="shared" ca="1" si="139"/>
        <v>1</v>
      </c>
      <c r="AB149" s="758">
        <f t="shared" ca="1" si="140"/>
        <v>0.1</v>
      </c>
      <c r="AC149" s="55"/>
      <c r="AD149" s="81">
        <v>2050</v>
      </c>
      <c r="AE149" s="81"/>
      <c r="AF149" s="760"/>
    </row>
    <row r="150" spans="1:32">
      <c r="A150" s="241"/>
      <c r="B150" s="778" t="s">
        <v>1135</v>
      </c>
      <c r="C150" s="241"/>
      <c r="D150" s="223" t="str">
        <f ca="1">IF(T150=0,"*",IF(T150&gt;0,"IND"&amp;RIGHT(H150,4)&amp;RIGHT(G150,3)&amp;"N"&amp;RIGHT(E150,1),""))</f>
        <v>INDLDMTDH2N3</v>
      </c>
      <c r="E150" s="767" t="str">
        <f>"Industrial heating technology "&amp;$AJ$12&amp;" "&amp;RIGHT(H150,2)&amp;" - Gas boiler (Hot Water) - new 3"</f>
        <v>Industrial heating technology L MT - Gas boiler (Hot Water) - new 3</v>
      </c>
      <c r="F150" s="239" t="s">
        <v>1274</v>
      </c>
      <c r="G150" s="176" t="s">
        <v>1438</v>
      </c>
      <c r="H150" s="768" t="str">
        <f>$AI$14</f>
        <v>ILDMT</v>
      </c>
      <c r="I150" s="768" t="str">
        <f t="shared" si="114"/>
        <v>INDLWH</v>
      </c>
      <c r="J150" s="239">
        <f t="shared" si="115"/>
        <v>2011</v>
      </c>
      <c r="K150" s="332">
        <f>J150</f>
        <v>2011</v>
      </c>
      <c r="L150" s="206">
        <f t="shared" ref="L150:L155" ca="1" si="141">VLOOKUP($AD150,INDIRECT("'"&amp;$B150&amp;"'!"&amp;"$P$200:$AD$203"),3,FALSE)</f>
        <v>0.93</v>
      </c>
      <c r="M150" s="206"/>
      <c r="N150" s="81">
        <f ca="1">VLOOKUP($AD150,INDIRECT("'"&amp;$B150&amp;"'!"&amp;"$P$200:$AD$203"),5,FALSE)</f>
        <v>25</v>
      </c>
      <c r="O150" s="783">
        <f t="shared" ref="O150:O155" ca="1" si="142">VLOOKUP($AD150,INDIRECT("'"&amp;$B150&amp;"'!"&amp;"$P$200:$AD$203"),6,FALSE)/1000</f>
        <v>0.3250909090909091</v>
      </c>
      <c r="P150" s="783">
        <f t="shared" ref="P150:P155" ca="1" si="143">VLOOKUP($AD150,INDIRECT("'"&amp;$B150&amp;"'!"&amp;"$P$200:$AD$203"),7,FALSE)/1000</f>
        <v>1.49E-2</v>
      </c>
      <c r="Q150" s="81">
        <f t="shared" ref="Q150:Q155" ca="1" si="144">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6"/>
        <v>0.3</v>
      </c>
      <c r="Y150" s="758">
        <f t="shared" ref="Y150:Y155" ca="1" si="145">VLOOKUP($AD150,INDIRECT("'"&amp;$B150&amp;"'!"&amp;"$P$200:$AD$203"),12,FALSE)</f>
        <v>9</v>
      </c>
      <c r="Z150" s="758">
        <f t="shared" ref="Z150:Z155" ca="1" si="146">VLOOKUP($AD150,INDIRECT("'"&amp;$B150&amp;"'!"&amp;"$P$200:$AD$203"),13,FALSE)</f>
        <v>3</v>
      </c>
      <c r="AA150" s="758">
        <f t="shared" ref="AA150:AA155" ca="1" si="147">VLOOKUP($AD150,INDIRECT("'"&amp;$B150&amp;"'!"&amp;"$P$200:$AD$203"),14,FALSE)</f>
        <v>1</v>
      </c>
      <c r="AB150" s="758">
        <f t="shared" ref="AB150:AB155" ca="1" si="148">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4"/>
        <v>INDLWH</v>
      </c>
      <c r="J151" s="239">
        <f t="shared" si="115"/>
        <v>2030</v>
      </c>
      <c r="K151" s="81"/>
      <c r="L151" s="206">
        <f t="shared" ca="1" si="141"/>
        <v>0.94</v>
      </c>
      <c r="M151" s="206"/>
      <c r="N151" s="81"/>
      <c r="O151" s="783">
        <f t="shared" ca="1" si="142"/>
        <v>0.27090909090909093</v>
      </c>
      <c r="P151" s="783">
        <f t="shared" ca="1" si="143"/>
        <v>1.4154999999999999E-2</v>
      </c>
      <c r="Q151" s="81">
        <f t="shared" ca="1" si="144"/>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6"/>
        <v>0.3</v>
      </c>
      <c r="Y151" s="758">
        <f t="shared" ca="1" si="145"/>
        <v>7</v>
      </c>
      <c r="Z151" s="758">
        <f t="shared" ca="1" si="146"/>
        <v>2</v>
      </c>
      <c r="AA151" s="758">
        <f t="shared" ca="1" si="147"/>
        <v>1</v>
      </c>
      <c r="AB151" s="758">
        <f t="shared" ca="1" si="148"/>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4"/>
        <v>INDLWH</v>
      </c>
      <c r="J152" s="239">
        <f t="shared" si="115"/>
        <v>2050</v>
      </c>
      <c r="K152" s="81"/>
      <c r="L152" s="206">
        <f t="shared" ca="1" si="141"/>
        <v>0.95</v>
      </c>
      <c r="M152" s="206"/>
      <c r="N152" s="81"/>
      <c r="O152" s="783">
        <f t="shared" ca="1" si="142"/>
        <v>0.27090909090909093</v>
      </c>
      <c r="P152" s="783">
        <f t="shared" ca="1" si="143"/>
        <v>1.2664999999999999E-2</v>
      </c>
      <c r="Q152" s="81">
        <f t="shared" ca="1" si="144"/>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6"/>
        <v>0.3</v>
      </c>
      <c r="Y152" s="758">
        <f t="shared" ca="1" si="145"/>
        <v>6</v>
      </c>
      <c r="Z152" s="758">
        <f t="shared" ca="1" si="146"/>
        <v>2</v>
      </c>
      <c r="AA152" s="758">
        <f t="shared" ca="1" si="147"/>
        <v>1</v>
      </c>
      <c r="AB152" s="758">
        <f t="shared" ca="1" si="148"/>
        <v>0.1</v>
      </c>
      <c r="AC152" s="211"/>
      <c r="AD152" s="81">
        <v>2050</v>
      </c>
      <c r="AE152" s="81"/>
      <c r="AF152" s="765"/>
    </row>
    <row r="153" spans="1:32">
      <c r="B153" s="778" t="s">
        <v>1135</v>
      </c>
      <c r="C153" s="64"/>
      <c r="D153" s="223" t="str">
        <f ca="1">IF(T153=0,"*",IF(T153&gt;0,"IND"&amp;RIGHT(H153,4)&amp;RIGHT(G153,3)&amp;"N"&amp;RIGHT(E153,1),""))</f>
        <v>INDLDRHDH2N3</v>
      </c>
      <c r="E153" s="278" t="str">
        <f>"Industrial heating technology "&amp;$AJ$12&amp;" "&amp;RIGHT(H153,2)&amp;" - Gas boiler (Hot Water) - new 3"</f>
        <v>Industrial heating technology L RH - Gas boiler (Hot Water) - new 3</v>
      </c>
      <c r="F153" s="239" t="s">
        <v>1274</v>
      </c>
      <c r="G153" s="176" t="s">
        <v>1438</v>
      </c>
      <c r="H153" s="177" t="str">
        <f>$AI$15</f>
        <v>ILDRH</v>
      </c>
      <c r="I153" s="177" t="str">
        <f t="shared" si="114"/>
        <v>INDLWH</v>
      </c>
      <c r="J153" s="239">
        <f t="shared" si="115"/>
        <v>2011</v>
      </c>
      <c r="K153" s="332">
        <f>J153</f>
        <v>2011</v>
      </c>
      <c r="L153" s="206">
        <f t="shared" ca="1" si="141"/>
        <v>0.93</v>
      </c>
      <c r="M153" s="206"/>
      <c r="N153" s="81">
        <f ca="1">VLOOKUP($AD153,INDIRECT("'"&amp;$B153&amp;"'!"&amp;"$P$200:$AD$203"),5,FALSE)</f>
        <v>25</v>
      </c>
      <c r="O153" s="783">
        <f t="shared" ca="1" si="142"/>
        <v>0.3250909090909091</v>
      </c>
      <c r="P153" s="783">
        <f t="shared" ca="1" si="143"/>
        <v>1.49E-2</v>
      </c>
      <c r="Q153" s="81">
        <f t="shared" ca="1" si="144"/>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6"/>
        <v>0.3</v>
      </c>
      <c r="Y153" s="758">
        <f t="shared" ca="1" si="145"/>
        <v>9</v>
      </c>
      <c r="Z153" s="758">
        <f t="shared" ca="1" si="146"/>
        <v>3</v>
      </c>
      <c r="AA153" s="758">
        <f t="shared" ca="1" si="147"/>
        <v>1</v>
      </c>
      <c r="AB153" s="758">
        <f t="shared" ca="1" si="148"/>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4"/>
        <v>INDLWH</v>
      </c>
      <c r="J154" s="239">
        <f t="shared" si="115"/>
        <v>2030</v>
      </c>
      <c r="K154" s="81"/>
      <c r="L154" s="206">
        <f t="shared" ca="1" si="141"/>
        <v>0.94</v>
      </c>
      <c r="M154" s="206"/>
      <c r="N154" s="81"/>
      <c r="O154" s="783">
        <f t="shared" ca="1" si="142"/>
        <v>0.27090909090909093</v>
      </c>
      <c r="P154" s="783">
        <f t="shared" ca="1" si="143"/>
        <v>1.4154999999999999E-2</v>
      </c>
      <c r="Q154" s="81">
        <f t="shared" ca="1" si="144"/>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6"/>
        <v>0.3</v>
      </c>
      <c r="Y154" s="758">
        <f t="shared" ca="1" si="145"/>
        <v>7</v>
      </c>
      <c r="Z154" s="758">
        <f t="shared" ca="1" si="146"/>
        <v>2</v>
      </c>
      <c r="AA154" s="758">
        <f t="shared" ca="1" si="147"/>
        <v>1</v>
      </c>
      <c r="AB154" s="758">
        <f t="shared" ca="1" si="148"/>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4"/>
        <v>INDLWH</v>
      </c>
      <c r="J155" s="239">
        <f t="shared" si="115"/>
        <v>2050</v>
      </c>
      <c r="K155" s="81"/>
      <c r="L155" s="206">
        <f t="shared" ca="1" si="141"/>
        <v>0.95</v>
      </c>
      <c r="M155" s="206"/>
      <c r="N155" s="81"/>
      <c r="O155" s="783">
        <f t="shared" ca="1" si="142"/>
        <v>0.27090909090909093</v>
      </c>
      <c r="P155" s="783">
        <f t="shared" ca="1" si="143"/>
        <v>1.2664999999999999E-2</v>
      </c>
      <c r="Q155" s="81">
        <f t="shared" ca="1" si="144"/>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6"/>
        <v>0.3</v>
      </c>
      <c r="Y155" s="758">
        <f t="shared" ca="1" si="145"/>
        <v>6</v>
      </c>
      <c r="Z155" s="758">
        <f t="shared" ca="1" si="146"/>
        <v>2</v>
      </c>
      <c r="AA155" s="758">
        <f t="shared" ca="1" si="147"/>
        <v>1</v>
      </c>
      <c r="AB155" s="758">
        <f t="shared" ca="1" si="148"/>
        <v>0.1</v>
      </c>
      <c r="AC155" s="55"/>
      <c r="AD155" s="81">
        <v>2050</v>
      </c>
      <c r="AE155" s="81"/>
      <c r="AF155" s="760"/>
    </row>
    <row r="156" spans="1:32">
      <c r="B156" s="778" t="s">
        <v>1135</v>
      </c>
      <c r="C156" s="64"/>
      <c r="D156" s="223" t="str">
        <f ca="1">IF(T156=0,"*",IF(T156&gt;0,"IND"&amp;RIGHT(H156,4)&amp;RIGHT(G156,3)&amp;"N"&amp;RIGHT(E156,1),""))</f>
        <v>INDLDMTDH2N4</v>
      </c>
      <c r="E156" s="767" t="str">
        <f>"Industrial heating technology "&amp;$AJ$12&amp;" "&amp;RIGHT(H156,2)&amp;" - Gas boiler (Hot Water - condensing) - new 4"</f>
        <v>Industrial heating technology L MT - Gas boiler (Hot Water - condensing) - new 4</v>
      </c>
      <c r="F156" s="239" t="s">
        <v>1274</v>
      </c>
      <c r="G156" s="176" t="s">
        <v>1438</v>
      </c>
      <c r="H156" s="768" t="str">
        <f>$AI$14</f>
        <v>ILDMT</v>
      </c>
      <c r="I156" s="768" t="str">
        <f t="shared" si="114"/>
        <v>INDLWH</v>
      </c>
      <c r="J156" s="239">
        <f t="shared" si="115"/>
        <v>2011</v>
      </c>
      <c r="K156" s="332">
        <f>J156</f>
        <v>2011</v>
      </c>
      <c r="L156" s="206">
        <f t="shared" ref="L156:L161" ca="1" si="149">VLOOKUP($AD156,INDIRECT("'"&amp;$B156&amp;"'!"&amp;"$P$279:$AD$282"),3,FALSE)</f>
        <v>1.01</v>
      </c>
      <c r="M156" s="206"/>
      <c r="N156" s="81">
        <f ca="1">VLOOKUP($AD156,INDIRECT("'"&amp;$B156&amp;"'!"&amp;"$P$279:$AD$282"),5,FALSE)</f>
        <v>25</v>
      </c>
      <c r="O156" s="783">
        <f t="shared" ref="O156:O161" ca="1" si="150">VLOOKUP($AD156,INDIRECT("'"&amp;$B156&amp;"'!"&amp;"$P$279:$AD$282"),6,FALSE)/1000</f>
        <v>0.35760000000000003</v>
      </c>
      <c r="P156" s="783">
        <f t="shared" ref="P156:P161" ca="1" si="151">VLOOKUP($AD156,INDIRECT("'"&amp;$B156&amp;"'!"&amp;"$P$279:$AD$282"),7,FALSE)/1000</f>
        <v>1.49E-2</v>
      </c>
      <c r="Q156" s="81">
        <f t="shared" ref="Q156:Q161" ca="1" si="152">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6"/>
        <v>0.3</v>
      </c>
      <c r="Y156" s="758">
        <f t="shared" ref="Y156:Y161" ca="1" si="153">VLOOKUP($AD156,INDIRECT("'"&amp;$B156&amp;"'!"&amp;"$P$279:$AD$282"),12,FALSE)</f>
        <v>9</v>
      </c>
      <c r="Z156" s="758">
        <f t="shared" ref="Z156:Z161" ca="1" si="154">VLOOKUP($AD156,INDIRECT("'"&amp;$B156&amp;"'!"&amp;"$P$279:$AD$282"),13,FALSE)</f>
        <v>3</v>
      </c>
      <c r="AA156" s="758">
        <f t="shared" ref="AA156:AA161" ca="1" si="155">VLOOKUP($AD156,INDIRECT("'"&amp;$B156&amp;"'!"&amp;"$P$279:$AD$282"),14,FALSE)</f>
        <v>1</v>
      </c>
      <c r="AB156" s="758">
        <f t="shared" ref="AB156:AB161" ca="1" si="156">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4"/>
        <v>INDLWH</v>
      </c>
      <c r="J157" s="239">
        <f t="shared" si="115"/>
        <v>2030</v>
      </c>
      <c r="K157" s="81"/>
      <c r="L157" s="206">
        <f t="shared" ca="1" si="149"/>
        <v>1.03</v>
      </c>
      <c r="M157" s="206"/>
      <c r="N157" s="81"/>
      <c r="O157" s="783">
        <f t="shared" ca="1" si="150"/>
        <v>0.29800000000000004</v>
      </c>
      <c r="P157" s="783">
        <f t="shared" ca="1" si="151"/>
        <v>1.4154999999999999E-2</v>
      </c>
      <c r="Q157" s="81">
        <f t="shared" ca="1" si="152"/>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6"/>
        <v>0.3</v>
      </c>
      <c r="Y157" s="758">
        <f t="shared" ca="1" si="153"/>
        <v>7</v>
      </c>
      <c r="Z157" s="758">
        <f t="shared" ca="1" si="154"/>
        <v>2</v>
      </c>
      <c r="AA157" s="758">
        <f t="shared" ca="1" si="155"/>
        <v>1</v>
      </c>
      <c r="AB157" s="758">
        <f t="shared" ca="1" si="156"/>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4"/>
        <v>INDLWH</v>
      </c>
      <c r="J158" s="239">
        <f t="shared" si="115"/>
        <v>2050</v>
      </c>
      <c r="K158" s="81"/>
      <c r="L158" s="206">
        <f t="shared" ca="1" si="149"/>
        <v>1.03</v>
      </c>
      <c r="M158" s="206"/>
      <c r="N158" s="81"/>
      <c r="O158" s="783">
        <f t="shared" ca="1" si="150"/>
        <v>0.29800000000000004</v>
      </c>
      <c r="P158" s="783">
        <f t="shared" ca="1" si="151"/>
        <v>1.2664999999999999E-2</v>
      </c>
      <c r="Q158" s="81">
        <f t="shared" ca="1" si="152"/>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6"/>
        <v>0.3</v>
      </c>
      <c r="Y158" s="758">
        <f t="shared" ca="1" si="153"/>
        <v>6</v>
      </c>
      <c r="Z158" s="758">
        <f t="shared" ca="1" si="154"/>
        <v>2</v>
      </c>
      <c r="AA158" s="758">
        <f t="shared" ca="1" si="155"/>
        <v>1</v>
      </c>
      <c r="AB158" s="758">
        <f t="shared" ca="1" si="156"/>
        <v>0.1</v>
      </c>
      <c r="AC158" s="211"/>
      <c r="AD158" s="81">
        <v>2050</v>
      </c>
      <c r="AE158" s="81"/>
      <c r="AF158" s="765"/>
    </row>
    <row r="159" spans="1:32">
      <c r="A159" s="241"/>
      <c r="B159" s="778" t="s">
        <v>1135</v>
      </c>
      <c r="C159" s="64"/>
      <c r="D159" s="223" t="str">
        <f ca="1">IF(T159=0,"*",IF(T159&gt;0,"IND"&amp;RIGHT(H159,4)&amp;RIGHT(G159,3)&amp;"N"&amp;RIGHT(E159,1),""))</f>
        <v>INDLDRHDH2N4</v>
      </c>
      <c r="E159" s="278" t="str">
        <f>"Industrial heating technology "&amp;$AJ$12&amp;" "&amp;RIGHT(H159,2)&amp;" - Gas boiler (Hot Water- condensing) - new 4"</f>
        <v>Industrial heating technology L RH - Gas boiler (Hot Water- condensing) - new 4</v>
      </c>
      <c r="F159" s="239" t="s">
        <v>1274</v>
      </c>
      <c r="G159" s="176" t="s">
        <v>1438</v>
      </c>
      <c r="H159" s="177" t="str">
        <f>$AI$15</f>
        <v>ILDRH</v>
      </c>
      <c r="I159" s="177" t="str">
        <f t="shared" ref="I159:I182" si="157">$AI$20</f>
        <v>INDLWH</v>
      </c>
      <c r="J159" s="239">
        <f t="shared" ref="J159:J185" si="158">IF(AD159=2020,2011,AD159)</f>
        <v>2011</v>
      </c>
      <c r="K159" s="332">
        <f>J159</f>
        <v>2011</v>
      </c>
      <c r="L159" s="206">
        <f t="shared" ca="1" si="149"/>
        <v>1.01</v>
      </c>
      <c r="M159" s="206"/>
      <c r="N159" s="81">
        <f ca="1">VLOOKUP($AD159,INDIRECT("'"&amp;$B159&amp;"'!"&amp;"$P$279:$AD$282"),5,FALSE)</f>
        <v>25</v>
      </c>
      <c r="O159" s="783">
        <f t="shared" ca="1" si="150"/>
        <v>0.35760000000000003</v>
      </c>
      <c r="P159" s="783">
        <f t="shared" ca="1" si="151"/>
        <v>1.49E-2</v>
      </c>
      <c r="Q159" s="81">
        <f t="shared" ca="1" si="152"/>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59">IF(VLOOKUP($AD159,INDIRECT("'"&amp;$B159&amp;"'!"&amp;"$P$39:$AD$42"),11,FALSE)="Cf. the utilized electricity",0,VLOOKUP($AD159,INDIRECT("'"&amp;$B159&amp;"'!"&amp;"$P$39:$AD$42"),11,FALSE))</f>
        <v>0.3</v>
      </c>
      <c r="Y159" s="758">
        <f t="shared" ca="1" si="153"/>
        <v>9</v>
      </c>
      <c r="Z159" s="758">
        <f t="shared" ca="1" si="154"/>
        <v>3</v>
      </c>
      <c r="AA159" s="758">
        <f t="shared" ca="1" si="155"/>
        <v>1</v>
      </c>
      <c r="AB159" s="758">
        <f t="shared" ca="1" si="156"/>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7"/>
        <v>INDLWH</v>
      </c>
      <c r="J160" s="239">
        <f t="shared" si="158"/>
        <v>2030</v>
      </c>
      <c r="K160" s="81"/>
      <c r="L160" s="206">
        <f t="shared" ca="1" si="149"/>
        <v>1.03</v>
      </c>
      <c r="M160" s="206"/>
      <c r="N160" s="81"/>
      <c r="O160" s="783">
        <f t="shared" ca="1" si="150"/>
        <v>0.29800000000000004</v>
      </c>
      <c r="P160" s="783">
        <f t="shared" ca="1" si="151"/>
        <v>1.4154999999999999E-2</v>
      </c>
      <c r="Q160" s="81">
        <f t="shared" ca="1" si="152"/>
        <v>2.0694444444444446</v>
      </c>
      <c r="R160" s="333"/>
      <c r="S160" s="333"/>
      <c r="T160" s="333"/>
      <c r="U160" s="333"/>
      <c r="V160" s="759">
        <f ca="1">IF(IF(RIGHT(H159,2)="MT",(1-L160)+$W$2,IF(RIGHT(H159,2)="HT",(1-L160)+$W$1,IF(RIGHT(H159,2)="RH",(1-L160)+$W$3,"")))&lt;0,0,IF(RIGHT(H159,2)="MT",(1-L160)+$W$2,IF(RIGHT(H159,2)="HT",(1-L160)+$W$1,IF(RIGHT(H159,2)="RH",(1-L160)+$W$3,""))))</f>
        <v>0</v>
      </c>
      <c r="W160" s="331"/>
      <c r="X160" s="758">
        <f t="shared" ca="1" si="159"/>
        <v>0.3</v>
      </c>
      <c r="Y160" s="758">
        <f t="shared" ca="1" si="153"/>
        <v>7</v>
      </c>
      <c r="Z160" s="758">
        <f t="shared" ca="1" si="154"/>
        <v>2</v>
      </c>
      <c r="AA160" s="758">
        <f t="shared" ca="1" si="155"/>
        <v>1</v>
      </c>
      <c r="AB160" s="758">
        <f t="shared" ca="1" si="156"/>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7"/>
        <v>INDLWH</v>
      </c>
      <c r="J161" s="239">
        <f t="shared" si="158"/>
        <v>2050</v>
      </c>
      <c r="K161" s="81"/>
      <c r="L161" s="206">
        <f t="shared" ca="1" si="149"/>
        <v>1.03</v>
      </c>
      <c r="M161" s="206"/>
      <c r="N161" s="81"/>
      <c r="O161" s="783">
        <f t="shared" ca="1" si="150"/>
        <v>0.29800000000000004</v>
      </c>
      <c r="P161" s="783">
        <f t="shared" ca="1" si="151"/>
        <v>1.2664999999999999E-2</v>
      </c>
      <c r="Q161" s="81">
        <f t="shared" ca="1" si="152"/>
        <v>2.0694444444444446</v>
      </c>
      <c r="R161" s="333"/>
      <c r="S161" s="333"/>
      <c r="T161" s="333"/>
      <c r="U161" s="333"/>
      <c r="V161" s="759">
        <f ca="1">IF(IF(RIGHT(H159,2)="MT",(1-L161)+$W$2,IF(RIGHT(H159,2)="HT",(1-L161)+$W$1,IF(RIGHT(H159,2)="RH",(1-L161)+$W$3,"")))&lt;0,0,IF(RIGHT(H159,2)="MT",(1-L161)+$W$2,IF(RIGHT(H159,2)="HT",(1-L161)+$W$1,IF(RIGHT(H159,2)="RH",(1-L161)+$W$3,""))))</f>
        <v>0</v>
      </c>
      <c r="W161" s="774"/>
      <c r="X161" s="758">
        <f t="shared" ca="1" si="159"/>
        <v>0.3</v>
      </c>
      <c r="Y161" s="758">
        <f t="shared" ca="1" si="153"/>
        <v>6</v>
      </c>
      <c r="Z161" s="758">
        <f t="shared" ca="1" si="154"/>
        <v>2</v>
      </c>
      <c r="AA161" s="758">
        <f t="shared" ca="1" si="155"/>
        <v>1</v>
      </c>
      <c r="AB161" s="758">
        <f t="shared" ca="1" si="156"/>
        <v>0.1</v>
      </c>
      <c r="AC161" s="55"/>
      <c r="AD161" s="81">
        <v>2050</v>
      </c>
      <c r="AE161" s="81"/>
      <c r="AF161" s="760"/>
    </row>
    <row r="162" spans="1:32">
      <c r="B162" s="778" t="s">
        <v>1135</v>
      </c>
      <c r="C162" s="64"/>
      <c r="D162" s="223" t="str">
        <f ca="1">IF(T162=0,"*",IF(T162&gt;0,"IND"&amp;RIGHT(H162,4)&amp;RIGHT(G162,3)&amp;"N"&amp;RIGHT(E162,1),""))</f>
        <v>INDLDHTDH2N5</v>
      </c>
      <c r="E162" s="767" t="str">
        <f>"Industrial heating technology "&amp;$AJ$12&amp;" "&amp;RIGHT(H162,2)&amp;" - Gas boiler (Direct firing) - new 5"</f>
        <v>Industrial heating technology L HT - Gas boiler (Direct firing) - new 5</v>
      </c>
      <c r="F162" s="239" t="s">
        <v>1274</v>
      </c>
      <c r="G162" s="176" t="s">
        <v>1438</v>
      </c>
      <c r="H162" s="177" t="str">
        <f>$AI$13</f>
        <v>ILDHT</v>
      </c>
      <c r="I162" s="177" t="str">
        <f t="shared" si="157"/>
        <v>INDLWH</v>
      </c>
      <c r="J162" s="239">
        <f t="shared" si="158"/>
        <v>2011</v>
      </c>
      <c r="K162" s="332">
        <f>J162</f>
        <v>2011</v>
      </c>
      <c r="L162" s="206">
        <f t="shared" ref="L162:L167" ca="1" si="160">VLOOKUP($AD162,INDIRECT("'"&amp;$B162&amp;"'!"&amp;"$P$345:$AD$348"),3,FALSE)</f>
        <v>1</v>
      </c>
      <c r="M162" s="206"/>
      <c r="N162" s="81">
        <f ca="1">VLOOKUP($AD162,INDIRECT("'"&amp;$B162&amp;"'!"&amp;"$P$345:$AD$348"),5,FALSE)</f>
        <v>15</v>
      </c>
      <c r="O162" s="783">
        <f t="shared" ref="O162:O167" ca="1" si="161">VLOOKUP($AD162,INDIRECT("'"&amp;$B162&amp;"'!"&amp;"$P$345:$AD$348"),6,FALSE)/1000</f>
        <v>0.11175</v>
      </c>
      <c r="P162" s="783">
        <f t="shared" ref="P162:P167" ca="1" si="162">VLOOKUP($AD162,INDIRECT("'"&amp;$B162&amp;"'!"&amp;"$P$345:$AD$348"),7,FALSE)/1000</f>
        <v>1.3545454545454561E-3</v>
      </c>
      <c r="Q162" s="81">
        <f t="shared" ref="Q162:Q167" ca="1" si="163">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59"/>
        <v>0.3</v>
      </c>
      <c r="Y162" s="758">
        <f t="shared" ref="Y162:Y167" ca="1" si="164">VLOOKUP($AD162,INDIRECT("'"&amp;$B162&amp;"'!"&amp;"$P$345:$AD$348"),12,FALSE)</f>
        <v>9</v>
      </c>
      <c r="Z162" s="758">
        <f t="shared" ref="Z162:Z167" ca="1" si="165">VLOOKUP($AD162,INDIRECT("'"&amp;$B162&amp;"'!"&amp;"$P$345:$AD$348"),13,FALSE)</f>
        <v>3</v>
      </c>
      <c r="AA162" s="758">
        <f t="shared" ref="AA162:AA167" ca="1" si="166">VLOOKUP($AD162,INDIRECT("'"&amp;$B162&amp;"'!"&amp;"$P$345:$AD$348"),14,FALSE)</f>
        <v>1</v>
      </c>
      <c r="AB162" s="758">
        <f t="shared" ref="AB162:AB167" ca="1" si="167">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7"/>
        <v>INDLWH</v>
      </c>
      <c r="J163" s="239">
        <f t="shared" si="158"/>
        <v>2030</v>
      </c>
      <c r="K163" s="81"/>
      <c r="L163" s="206">
        <f t="shared" ca="1" si="160"/>
        <v>1</v>
      </c>
      <c r="M163" s="206"/>
      <c r="N163" s="81"/>
      <c r="O163" s="783">
        <f t="shared" ca="1" si="161"/>
        <v>0.11175</v>
      </c>
      <c r="P163" s="783">
        <f t="shared" ca="1" si="162"/>
        <v>1.3206818181818161E-3</v>
      </c>
      <c r="Q163" s="81">
        <f t="shared" ca="1" si="163"/>
        <v>0.5742708333333334</v>
      </c>
      <c r="R163" s="333"/>
      <c r="S163" s="333"/>
      <c r="T163" s="333"/>
      <c r="U163" s="333"/>
      <c r="V163" s="759">
        <f ca="1">IF(IF(RIGHT(H162,2)="MT",(1-L163)+$W$2,IF(RIGHT(H162,2)="HT",(1-L163)+$W$1,IF(RIGHT(H162,2)="RH",(1-L163)+$W$3,"")))&lt;0,0,IF(RIGHT(H162,2)="MT",(1-L163)+$W$2,IF(RIGHT(H162,2)="HT",(1-L163)+$W$1,IF(RIGHT(H162,2)="RH",(1-L163)+$W$3,""))))</f>
        <v>0.3</v>
      </c>
      <c r="W163" s="331"/>
      <c r="X163" s="758">
        <f t="shared" ca="1" si="159"/>
        <v>0.3</v>
      </c>
      <c r="Y163" s="758">
        <f t="shared" ca="1" si="164"/>
        <v>7</v>
      </c>
      <c r="Z163" s="758">
        <f t="shared" ca="1" si="165"/>
        <v>2</v>
      </c>
      <c r="AA163" s="758">
        <f t="shared" ca="1" si="166"/>
        <v>1</v>
      </c>
      <c r="AB163" s="758">
        <f t="shared" ca="1" si="167"/>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7"/>
        <v>INDLWH</v>
      </c>
      <c r="J164" s="239">
        <f t="shared" si="158"/>
        <v>2050</v>
      </c>
      <c r="K164" s="81"/>
      <c r="L164" s="206">
        <f t="shared" ca="1" si="160"/>
        <v>1</v>
      </c>
      <c r="M164" s="206"/>
      <c r="N164" s="81"/>
      <c r="O164" s="783">
        <f t="shared" ca="1" si="161"/>
        <v>0.11175</v>
      </c>
      <c r="P164" s="783">
        <f t="shared" ca="1" si="162"/>
        <v>1.1513636363636396E-3</v>
      </c>
      <c r="Q164" s="81">
        <f t="shared" ca="1" si="163"/>
        <v>0.57944444444444443</v>
      </c>
      <c r="R164" s="333"/>
      <c r="S164" s="333"/>
      <c r="T164" s="333"/>
      <c r="U164" s="333"/>
      <c r="V164" s="759">
        <f ca="1">IF(IF(RIGHT(H162,2)="MT",(1-L164)+$W$2,IF(RIGHT(H162,2)="HT",(1-L164)+$W$1,IF(RIGHT(H162,2)="RH",(1-L164)+$W$3,"")))&lt;0,0,IF(RIGHT(H162,2)="MT",(1-L164)+$W$2,IF(RIGHT(H162,2)="HT",(1-L164)+$W$1,IF(RIGHT(H162,2)="RH",(1-L164)+$W$3,""))))</f>
        <v>0.3</v>
      </c>
      <c r="W164" s="331"/>
      <c r="X164" s="758">
        <f t="shared" ca="1" si="159"/>
        <v>0.3</v>
      </c>
      <c r="Y164" s="758">
        <f t="shared" ca="1" si="164"/>
        <v>6</v>
      </c>
      <c r="Z164" s="758">
        <f t="shared" ca="1" si="165"/>
        <v>2</v>
      </c>
      <c r="AA164" s="758">
        <f t="shared" ca="1" si="166"/>
        <v>1</v>
      </c>
      <c r="AB164" s="758">
        <f t="shared" ca="1" si="167"/>
        <v>0.1</v>
      </c>
      <c r="AC164" s="211"/>
      <c r="AD164" s="81">
        <v>2050</v>
      </c>
      <c r="AE164" s="81"/>
      <c r="AF164" s="760"/>
    </row>
    <row r="165" spans="1:32">
      <c r="B165" s="778" t="s">
        <v>1135</v>
      </c>
      <c r="C165" s="64"/>
      <c r="D165" s="223" t="str">
        <f ca="1">IF(T165=0,"*",IF(T165&gt;0,"IND"&amp;RIGHT(H165,4)&amp;RIGHT(G165,3)&amp;"N"&amp;RIGHT(E165,1),""))</f>
        <v>INDLDMTDH2N5</v>
      </c>
      <c r="E165" s="278" t="str">
        <f>"Industrial heating technology "&amp;$AJ$12&amp;" "&amp;RIGHT(H165,2)&amp;" - Gas boiler (Direct firing) - new 5"</f>
        <v>Industrial heating technology L MT - Gas boiler (Direct firing) - new 5</v>
      </c>
      <c r="F165" s="239" t="s">
        <v>1274</v>
      </c>
      <c r="G165" s="176" t="s">
        <v>1438</v>
      </c>
      <c r="H165" s="177" t="str">
        <f>$AI$14</f>
        <v>ILDMT</v>
      </c>
      <c r="I165" s="781" t="str">
        <f t="shared" si="157"/>
        <v>INDLWH</v>
      </c>
      <c r="J165" s="239">
        <f t="shared" si="158"/>
        <v>2011</v>
      </c>
      <c r="K165" s="332">
        <f>J165</f>
        <v>2011</v>
      </c>
      <c r="L165" s="206">
        <f t="shared" ca="1" si="160"/>
        <v>1</v>
      </c>
      <c r="M165" s="206"/>
      <c r="N165" s="81">
        <f ca="1">VLOOKUP($AD165,INDIRECT("'"&amp;$B165&amp;"'!"&amp;"$P$279:$AD$282"),5,FALSE)</f>
        <v>25</v>
      </c>
      <c r="O165" s="783">
        <f t="shared" ca="1" si="161"/>
        <v>0.11175</v>
      </c>
      <c r="P165" s="783">
        <f t="shared" ca="1" si="162"/>
        <v>1.3545454545454561E-3</v>
      </c>
      <c r="Q165" s="81">
        <f t="shared" ca="1" si="163"/>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59"/>
        <v>0.3</v>
      </c>
      <c r="Y165" s="758">
        <f t="shared" ca="1" si="164"/>
        <v>9</v>
      </c>
      <c r="Z165" s="758">
        <f t="shared" ca="1" si="165"/>
        <v>3</v>
      </c>
      <c r="AA165" s="758">
        <f t="shared" ca="1" si="166"/>
        <v>1</v>
      </c>
      <c r="AB165" s="758">
        <f t="shared" ca="1" si="167"/>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7"/>
        <v>INDLWH</v>
      </c>
      <c r="J166" s="239">
        <f t="shared" si="158"/>
        <v>2030</v>
      </c>
      <c r="K166" s="81"/>
      <c r="L166" s="206">
        <f t="shared" ca="1" si="160"/>
        <v>1</v>
      </c>
      <c r="M166" s="206"/>
      <c r="N166" s="81"/>
      <c r="O166" s="783">
        <f t="shared" ca="1" si="161"/>
        <v>0.11175</v>
      </c>
      <c r="P166" s="783">
        <f t="shared" ca="1" si="162"/>
        <v>1.3206818181818161E-3</v>
      </c>
      <c r="Q166" s="81">
        <f t="shared" ca="1" si="163"/>
        <v>0.5742708333333334</v>
      </c>
      <c r="R166" s="333"/>
      <c r="S166" s="333"/>
      <c r="T166" s="333"/>
      <c r="U166" s="333"/>
      <c r="V166" s="759">
        <f ca="1">IF(IF(RIGHT(H165,2)="MT",(1-L166)+$W$2,IF(RIGHT(H165,2)="HT",(1-L166)+$W$1,IF(RIGHT(H165,2)="RH",(1-L166)+$W$3,"")))&lt;0,0,IF(RIGHT(H165,2)="MT",(1-L166)+$W$2,IF(RIGHT(H165,2)="HT",(1-L166)+$W$1,IF(RIGHT(H165,2)="RH",(1-L166)+$W$3,""))))</f>
        <v>0.2</v>
      </c>
      <c r="W166" s="331"/>
      <c r="X166" s="758">
        <f t="shared" ca="1" si="159"/>
        <v>0.3</v>
      </c>
      <c r="Y166" s="758">
        <f t="shared" ca="1" si="164"/>
        <v>7</v>
      </c>
      <c r="Z166" s="758">
        <f t="shared" ca="1" si="165"/>
        <v>2</v>
      </c>
      <c r="AA166" s="758">
        <f t="shared" ca="1" si="166"/>
        <v>1</v>
      </c>
      <c r="AB166" s="758">
        <f t="shared" ca="1" si="167"/>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7"/>
        <v>INDLWH</v>
      </c>
      <c r="J167" s="239">
        <f t="shared" si="158"/>
        <v>2050</v>
      </c>
      <c r="K167" s="81"/>
      <c r="L167" s="206">
        <f t="shared" ca="1" si="160"/>
        <v>1</v>
      </c>
      <c r="M167" s="206"/>
      <c r="N167" s="81"/>
      <c r="O167" s="783">
        <f t="shared" ca="1" si="161"/>
        <v>0.11175</v>
      </c>
      <c r="P167" s="783">
        <f t="shared" ca="1" si="162"/>
        <v>1.1513636363636396E-3</v>
      </c>
      <c r="Q167" s="81">
        <f t="shared" ca="1" si="163"/>
        <v>0.57944444444444443</v>
      </c>
      <c r="R167" s="782"/>
      <c r="S167" s="763"/>
      <c r="T167" s="763"/>
      <c r="U167" s="763"/>
      <c r="V167" s="759">
        <f ca="1">IF(IF(RIGHT(H165,2)="MT",(1-L167)+$W$2,IF(RIGHT(H165,2)="HT",(1-L167)+$W$1,IF(RIGHT(H165,2)="RH",(1-L167)+$W$3,"")))&lt;0,0,IF(RIGHT(H165,2)="MT",(1-L167)+$W$2,IF(RIGHT(H165,2)="HT",(1-L167)+$W$1,IF(RIGHT(H165,2)="RH",(1-L167)+$W$3,""))))</f>
        <v>0.2</v>
      </c>
      <c r="W167" s="774"/>
      <c r="X167" s="758">
        <f t="shared" ca="1" si="159"/>
        <v>0.3</v>
      </c>
      <c r="Y167" s="758">
        <f t="shared" ca="1" si="164"/>
        <v>6</v>
      </c>
      <c r="Z167" s="758">
        <f t="shared" ca="1" si="165"/>
        <v>2</v>
      </c>
      <c r="AA167" s="758">
        <f t="shared" ca="1" si="166"/>
        <v>1</v>
      </c>
      <c r="AB167" s="758">
        <f t="shared" ca="1" si="167"/>
        <v>0.1</v>
      </c>
      <c r="AD167" s="81">
        <v>2050</v>
      </c>
      <c r="AE167" s="290"/>
      <c r="AF167" s="888"/>
    </row>
    <row r="168" spans="1:32">
      <c r="A168" s="172"/>
      <c r="B168" s="778" t="s">
        <v>1224</v>
      </c>
      <c r="C168" s="241"/>
      <c r="D168" s="223" t="str">
        <f ca="1">IF(T168=0,"*",IF(T168&gt;0,"IND"&amp;RIGHT(H168,4)&amp;RIGHT(G168,3)&amp;"N"&amp;RIGHT(E168,1),""))</f>
        <v>INDLDHTCOAN1</v>
      </c>
      <c r="E168" s="278" t="str">
        <f>"Industrial heating technology "&amp;$AJ$12&amp;" "&amp;RIGHT(H168,2)&amp;" - Coal boiler (Steam) - new 1"</f>
        <v>Industrial heating technology L HT - Coal boiler (Steam) - new 1</v>
      </c>
      <c r="F168" s="239" t="s">
        <v>1274</v>
      </c>
      <c r="G168" s="55" t="s">
        <v>662</v>
      </c>
      <c r="H168" s="177" t="str">
        <f>$AI$13</f>
        <v>ILDHT</v>
      </c>
      <c r="I168" s="177" t="str">
        <f t="shared" si="157"/>
        <v>INDLWH</v>
      </c>
      <c r="J168" s="239">
        <f t="shared" si="158"/>
        <v>2011</v>
      </c>
      <c r="K168" s="332">
        <f>J168</f>
        <v>2011</v>
      </c>
      <c r="L168" s="206">
        <f t="shared" ref="L168:L176" ca="1" si="168">VLOOKUP($AD168,INDIRECT("'"&amp;$B168&amp;"'!"&amp;"$P$39:$AD$42"),3,FALSE)</f>
        <v>0.89</v>
      </c>
      <c r="M168" s="759"/>
      <c r="N168" s="332">
        <f ca="1">VLOOKUP($AD168,INDIRECT("'"&amp;$B168&amp;"'!"&amp;"$P$39:$AD$42"),5,FALSE)</f>
        <v>25</v>
      </c>
      <c r="O168" s="785">
        <f t="shared" ref="O168:O176" ca="1" si="169">VLOOKUP($AD168,INDIRECT("'"&amp;$B168&amp;"'!"&amp;"$P$39:$AD$42"),6,FALSE)/1000</f>
        <v>3.7250000000000001</v>
      </c>
      <c r="P168" s="785">
        <f t="shared" ref="P168:P176" ca="1" si="170">VLOOKUP($AD168,INDIRECT("'"&amp;$B168&amp;"'!"&amp;"$P$39:$AD$42"),7,FALSE)/1000</f>
        <v>0.25106499999999998</v>
      </c>
      <c r="Q168" s="332">
        <f t="shared" ref="Q168:Q176" ca="1" si="171">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59"/>
        <v>8</v>
      </c>
      <c r="Y168" s="332">
        <f t="shared" ref="Y168:Y176" ca="1" si="172">VLOOKUP($AD168,INDIRECT("'"&amp;$B168&amp;"'!"&amp;"$P$39:$AD$42"),12,FALSE)</f>
        <v>35</v>
      </c>
      <c r="Z168" s="332">
        <f t="shared" ref="Z168:Z176" ca="1" si="173">VLOOKUP($AD168,INDIRECT("'"&amp;$B168&amp;"'!"&amp;"$P$39:$AD$42"),13,FALSE)</f>
        <v>1.5</v>
      </c>
      <c r="AA168" s="332">
        <f t="shared" ref="AA168:AA176" ca="1" si="174">VLOOKUP($AD168,INDIRECT("'"&amp;$B168&amp;"'!"&amp;"$P$39:$AD$42"),14,FALSE)</f>
        <v>0.8</v>
      </c>
      <c r="AB168" s="332">
        <f t="shared" ref="AB168:AB176" ca="1" si="175">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7"/>
        <v>INDLWH</v>
      </c>
      <c r="J169" s="239">
        <f t="shared" si="158"/>
        <v>2030</v>
      </c>
      <c r="K169" s="81"/>
      <c r="L169" s="206">
        <f t="shared" ca="1" si="168"/>
        <v>0.89</v>
      </c>
      <c r="M169" s="832"/>
      <c r="N169" s="208"/>
      <c r="O169" s="785">
        <f t="shared" ca="1" si="169"/>
        <v>3.4699403462447704</v>
      </c>
      <c r="P169" s="785">
        <f t="shared" ca="1" si="170"/>
        <v>0.24287</v>
      </c>
      <c r="Q169" s="332">
        <f t="shared" ca="1" si="171"/>
        <v>3.9836805555555559</v>
      </c>
      <c r="R169" s="883"/>
      <c r="S169" s="333"/>
      <c r="T169" s="333"/>
      <c r="U169" s="333"/>
      <c r="V169" s="759">
        <f ca="1">IF(IF(RIGHT(H168,2)="MT",(1-L169)+$W$2,IF(RIGHT(H168,2)="HT",(1-L169)+$W$1,IF(RIGHT(H168,2)="RH",(1-L169)+$W$3,"")))&lt;0,0,IF(RIGHT(H168,2)="MT",(1-L169)+$W$2,IF(RIGHT(H168,2)="HT",(1-L169)+$W$1,IF(RIGHT(H168,2)="RH",(1-L169)+$W$3,""))))</f>
        <v>0.41</v>
      </c>
      <c r="W169" s="331"/>
      <c r="X169" s="758">
        <f t="shared" ca="1" si="159"/>
        <v>8</v>
      </c>
      <c r="Y169" s="332">
        <f t="shared" ca="1" si="172"/>
        <v>35</v>
      </c>
      <c r="Z169" s="332">
        <f t="shared" ca="1" si="173"/>
        <v>1.5</v>
      </c>
      <c r="AA169" s="332">
        <f t="shared" ca="1" si="174"/>
        <v>0.8</v>
      </c>
      <c r="AB169" s="332">
        <f t="shared" ca="1" si="175"/>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7"/>
        <v>INDLWH</v>
      </c>
      <c r="J170" s="239">
        <f t="shared" si="158"/>
        <v>2050</v>
      </c>
      <c r="K170" s="81"/>
      <c r="L170" s="206">
        <f t="shared" ca="1" si="168"/>
        <v>0.91</v>
      </c>
      <c r="M170" s="832"/>
      <c r="N170" s="208"/>
      <c r="O170" s="785">
        <f t="shared" ca="1" si="169"/>
        <v>3.2813985758696647</v>
      </c>
      <c r="P170" s="785">
        <f t="shared" ca="1" si="170"/>
        <v>0.22797000000000001</v>
      </c>
      <c r="Q170" s="332">
        <f t="shared" ca="1" si="171"/>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59"/>
        <v>8</v>
      </c>
      <c r="Y170" s="332">
        <f t="shared" ca="1" si="172"/>
        <v>35</v>
      </c>
      <c r="Z170" s="332">
        <f t="shared" ca="1" si="173"/>
        <v>1.5</v>
      </c>
      <c r="AA170" s="332">
        <f t="shared" ca="1" si="174"/>
        <v>0.8</v>
      </c>
      <c r="AB170" s="332">
        <f t="shared" ca="1" si="175"/>
        <v>2.1</v>
      </c>
      <c r="AD170" s="81">
        <v>2050</v>
      </c>
      <c r="AE170" s="290"/>
      <c r="AF170" s="888"/>
    </row>
    <row r="171" spans="1:32">
      <c r="A171" s="172"/>
      <c r="B171" s="778" t="s">
        <v>1224</v>
      </c>
      <c r="C171" s="241"/>
      <c r="D171" s="223" t="str">
        <f ca="1">IF(T171=0,"*",IF(T171&gt;0,"IND"&amp;RIGHT(H171,4)&amp;RIGHT(G171,3)&amp;"N"&amp;RIGHT(E171,1),""))</f>
        <v>INDLDMTCOAN1</v>
      </c>
      <c r="E171" s="278" t="str">
        <f>"Industrial heating technology "&amp;$AJ$12&amp;" "&amp;RIGHT(H171,2)&amp;" - Coal boiler (Steam) - new 1"</f>
        <v>Industrial heating technology L MT - Coal boiler (Steam) - new 1</v>
      </c>
      <c r="F171" s="239" t="s">
        <v>1274</v>
      </c>
      <c r="G171" s="55" t="s">
        <v>662</v>
      </c>
      <c r="H171" s="177" t="str">
        <f>$AI$14</f>
        <v>ILDMT</v>
      </c>
      <c r="I171" s="177" t="str">
        <f t="shared" si="157"/>
        <v>INDLWH</v>
      </c>
      <c r="J171" s="239">
        <f t="shared" si="158"/>
        <v>2011</v>
      </c>
      <c r="K171" s="332">
        <f>J171</f>
        <v>2011</v>
      </c>
      <c r="L171" s="206">
        <f t="shared" ca="1" si="168"/>
        <v>0.89</v>
      </c>
      <c r="M171" s="206"/>
      <c r="N171" s="81">
        <f ca="1">VLOOKUP($AD171,INDIRECT("'"&amp;$B171&amp;"'!"&amp;"$P$39:$AD$42"),5,FALSE)</f>
        <v>25</v>
      </c>
      <c r="O171" s="785">
        <f t="shared" ca="1" si="169"/>
        <v>3.7250000000000001</v>
      </c>
      <c r="P171" s="785">
        <f t="shared" ca="1" si="170"/>
        <v>0.25106499999999998</v>
      </c>
      <c r="Q171" s="332">
        <f t="shared" ca="1" si="171"/>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59"/>
        <v>8</v>
      </c>
      <c r="Y171" s="332">
        <f t="shared" ca="1" si="172"/>
        <v>35</v>
      </c>
      <c r="Z171" s="332">
        <f t="shared" ca="1" si="173"/>
        <v>1.5</v>
      </c>
      <c r="AA171" s="332">
        <f t="shared" ca="1" si="174"/>
        <v>0.8</v>
      </c>
      <c r="AB171" s="332">
        <f t="shared" ca="1" si="175"/>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7"/>
        <v>INDLWH</v>
      </c>
      <c r="J172" s="239">
        <f t="shared" si="158"/>
        <v>2030</v>
      </c>
      <c r="K172" s="81"/>
      <c r="L172" s="206">
        <f t="shared" ca="1" si="168"/>
        <v>0.89</v>
      </c>
      <c r="M172" s="832"/>
      <c r="N172" s="208"/>
      <c r="O172" s="785">
        <f t="shared" ca="1" si="169"/>
        <v>3.4699403462447704</v>
      </c>
      <c r="P172" s="785">
        <f t="shared" ca="1" si="170"/>
        <v>0.24287</v>
      </c>
      <c r="Q172" s="332">
        <f t="shared" ca="1" si="171"/>
        <v>3.9836805555555559</v>
      </c>
      <c r="R172" s="883"/>
      <c r="S172" s="333"/>
      <c r="T172" s="333"/>
      <c r="U172" s="333"/>
      <c r="V172" s="759">
        <f ca="1">IF(IF(RIGHT(H171,2)="MT",(1-L172)+$W$2,IF(RIGHT(H171,2)="HT",(1-L172)+$W$1,IF(RIGHT(H171,2)="RH",(1-L172)+$W$3,"")))&lt;0,0,IF(RIGHT(H171,2)="MT",(1-L172)+$W$2,IF(RIGHT(H171,2)="HT",(1-L172)+$W$1,IF(RIGHT(H171,2)="RH",(1-L172)+$W$3,""))))</f>
        <v>0.31</v>
      </c>
      <c r="W172" s="331"/>
      <c r="X172" s="758">
        <f t="shared" ca="1" si="159"/>
        <v>8</v>
      </c>
      <c r="Y172" s="332">
        <f t="shared" ca="1" si="172"/>
        <v>35</v>
      </c>
      <c r="Z172" s="332">
        <f t="shared" ca="1" si="173"/>
        <v>1.5</v>
      </c>
      <c r="AA172" s="332">
        <f t="shared" ca="1" si="174"/>
        <v>0.8</v>
      </c>
      <c r="AB172" s="332">
        <f t="shared" ca="1" si="175"/>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7"/>
        <v>INDLWH</v>
      </c>
      <c r="J173" s="239">
        <f t="shared" si="158"/>
        <v>2050</v>
      </c>
      <c r="K173" s="81"/>
      <c r="L173" s="206">
        <f t="shared" ca="1" si="168"/>
        <v>0.91</v>
      </c>
      <c r="M173" s="832"/>
      <c r="N173" s="208"/>
      <c r="O173" s="785">
        <f t="shared" ca="1" si="169"/>
        <v>3.2813985758696647</v>
      </c>
      <c r="P173" s="785">
        <f t="shared" ca="1" si="170"/>
        <v>0.22797000000000001</v>
      </c>
      <c r="Q173" s="332">
        <f t="shared" ca="1" si="171"/>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59"/>
        <v>8</v>
      </c>
      <c r="Y173" s="332">
        <f t="shared" ca="1" si="172"/>
        <v>35</v>
      </c>
      <c r="Z173" s="332">
        <f t="shared" ca="1" si="173"/>
        <v>1.5</v>
      </c>
      <c r="AA173" s="332">
        <f t="shared" ca="1" si="174"/>
        <v>0.8</v>
      </c>
      <c r="AB173" s="332">
        <f t="shared" ca="1" si="175"/>
        <v>2.1</v>
      </c>
      <c r="AD173" s="81">
        <v>2050</v>
      </c>
      <c r="AE173" s="290"/>
      <c r="AF173" s="888"/>
    </row>
    <row r="174" spans="1:32">
      <c r="A174" s="172"/>
      <c r="B174" s="778" t="s">
        <v>1224</v>
      </c>
      <c r="C174" s="241"/>
      <c r="D174" s="223" t="str">
        <f ca="1">IF(T174=0,"*",IF(T174&gt;0,"IND"&amp;RIGHT(H174,4)&amp;RIGHT(G174,3)&amp;"N"&amp;RIGHT(E174,1),""))</f>
        <v>INDLDRHCOAN1</v>
      </c>
      <c r="E174" s="278" t="str">
        <f>"Industrial heating technology "&amp;$AJ$12&amp;" "&amp;RIGHT(H174,2)&amp;" - Coal boiler (Steam) - new 1"</f>
        <v>Industrial heating technology L RH - Coal boiler (Steam) - new 1</v>
      </c>
      <c r="F174" s="239" t="s">
        <v>1274</v>
      </c>
      <c r="G174" s="55" t="s">
        <v>662</v>
      </c>
      <c r="H174" s="177" t="str">
        <f>$AI$15</f>
        <v>ILDRH</v>
      </c>
      <c r="I174" s="177" t="str">
        <f t="shared" si="157"/>
        <v>INDLWH</v>
      </c>
      <c r="J174" s="239">
        <f t="shared" si="158"/>
        <v>2011</v>
      </c>
      <c r="K174" s="332">
        <f>J174</f>
        <v>2011</v>
      </c>
      <c r="L174" s="206">
        <f t="shared" ca="1" si="168"/>
        <v>0.89</v>
      </c>
      <c r="M174" s="206"/>
      <c r="N174" s="81">
        <f ca="1">VLOOKUP($AD174,INDIRECT("'"&amp;$B174&amp;"'!"&amp;"$P$39:$AD$42"),5,FALSE)</f>
        <v>25</v>
      </c>
      <c r="O174" s="785">
        <f t="shared" ca="1" si="169"/>
        <v>3.7250000000000001</v>
      </c>
      <c r="P174" s="785">
        <f t="shared" ca="1" si="170"/>
        <v>0.25106499999999998</v>
      </c>
      <c r="Q174" s="332">
        <f t="shared" ca="1" si="171"/>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59"/>
        <v>8</v>
      </c>
      <c r="Y174" s="332">
        <f t="shared" ca="1" si="172"/>
        <v>35</v>
      </c>
      <c r="Z174" s="332">
        <f t="shared" ca="1" si="173"/>
        <v>1.5</v>
      </c>
      <c r="AA174" s="332">
        <f t="shared" ca="1" si="174"/>
        <v>0.8</v>
      </c>
      <c r="AB174" s="332">
        <f t="shared" ca="1" si="175"/>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7"/>
        <v>INDLWH</v>
      </c>
      <c r="J175" s="239">
        <f t="shared" si="158"/>
        <v>2030</v>
      </c>
      <c r="K175" s="81"/>
      <c r="L175" s="206">
        <f t="shared" ca="1" si="168"/>
        <v>0.89</v>
      </c>
      <c r="M175" s="832"/>
      <c r="N175" s="208"/>
      <c r="O175" s="785">
        <f t="shared" ca="1" si="169"/>
        <v>3.4699403462447704</v>
      </c>
      <c r="P175" s="785">
        <f t="shared" ca="1" si="170"/>
        <v>0.24287</v>
      </c>
      <c r="Q175" s="332">
        <f t="shared" ca="1" si="171"/>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59"/>
        <v>8</v>
      </c>
      <c r="Y175" s="332">
        <f t="shared" ca="1" si="172"/>
        <v>35</v>
      </c>
      <c r="Z175" s="332">
        <f t="shared" ca="1" si="173"/>
        <v>1.5</v>
      </c>
      <c r="AA175" s="332">
        <f t="shared" ca="1" si="174"/>
        <v>0.8</v>
      </c>
      <c r="AB175" s="332">
        <f t="shared" ca="1" si="175"/>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7"/>
        <v>INDLWH</v>
      </c>
      <c r="J176" s="239">
        <f t="shared" si="158"/>
        <v>2050</v>
      </c>
      <c r="K176" s="81"/>
      <c r="L176" s="206">
        <f t="shared" ca="1" si="168"/>
        <v>0.91</v>
      </c>
      <c r="M176" s="886"/>
      <c r="N176" s="885"/>
      <c r="O176" s="785">
        <f t="shared" ca="1" si="169"/>
        <v>3.2813985758696647</v>
      </c>
      <c r="P176" s="785">
        <f t="shared" ca="1" si="170"/>
        <v>0.22797000000000001</v>
      </c>
      <c r="Q176" s="332">
        <f t="shared" ca="1" si="171"/>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59"/>
        <v>8</v>
      </c>
      <c r="Y176" s="332">
        <f t="shared" ca="1" si="172"/>
        <v>35</v>
      </c>
      <c r="Z176" s="332">
        <f t="shared" ca="1" si="173"/>
        <v>1.5</v>
      </c>
      <c r="AA176" s="332">
        <f t="shared" ca="1" si="174"/>
        <v>0.8</v>
      </c>
      <c r="AB176" s="332">
        <f t="shared" ca="1" si="175"/>
        <v>2.1</v>
      </c>
      <c r="AC176" s="211"/>
      <c r="AD176" s="81">
        <v>2050</v>
      </c>
      <c r="AE176" s="290"/>
      <c r="AF176" s="889"/>
    </row>
    <row r="177" spans="1:32">
      <c r="A177" s="172"/>
      <c r="B177" s="778" t="s">
        <v>1224</v>
      </c>
      <c r="C177" s="241"/>
      <c r="D177" s="223" t="str">
        <f ca="1">IF(T177=0,"*",IF(T177&gt;0,"IND"&amp;RIGHT(H177,4)&amp;RIGHT(G177,3)&amp;"N"&amp;RIGHT(E177,1),""))</f>
        <v>INDLDMTCOAN2</v>
      </c>
      <c r="E177" s="278" t="str">
        <f>"Industrial heating technology "&amp;$AJ$12&amp;" "&amp;RIGHT(H177,2)&amp;" - Coal boiler (Hot Water) - new 2"</f>
        <v>Industrial heating technology L MT - Coal boiler (Hot Water) - new 2</v>
      </c>
      <c r="F177" s="239" t="s">
        <v>1274</v>
      </c>
      <c r="G177" s="55" t="s">
        <v>662</v>
      </c>
      <c r="H177" s="177" t="str">
        <f>$AI$14</f>
        <v>ILDMT</v>
      </c>
      <c r="I177" s="177" t="str">
        <f t="shared" si="157"/>
        <v>INDLWH</v>
      </c>
      <c r="J177" s="239">
        <f t="shared" si="158"/>
        <v>2011</v>
      </c>
      <c r="K177" s="332">
        <f>J177</f>
        <v>2011</v>
      </c>
      <c r="L177" s="206">
        <f t="shared" ref="L177:L182" ca="1" si="176">VLOOKUP($AD177,INDIRECT("'"&amp;$B177&amp;"'!"&amp;"$P$118:$AD$121"),3,FALSE)</f>
        <v>0.89</v>
      </c>
      <c r="M177" s="206"/>
      <c r="N177" s="81">
        <f ca="1">VLOOKUP($AD177,INDIRECT("'"&amp;$B177&amp;"'!"&amp;"$P$118:$AD$121"),5,FALSE)</f>
        <v>25</v>
      </c>
      <c r="O177" s="783">
        <f t="shared" ref="O177:O182" ca="1" si="177">VLOOKUP($AD177,INDIRECT("'"&amp;$B177&amp;"'!"&amp;"$P$118:$AD$121"),6,FALSE)/1000</f>
        <v>3.7250000000000001</v>
      </c>
      <c r="P177" s="783">
        <f t="shared" ref="P177:P182" ca="1" si="178">VLOOKUP($AD177,INDIRECT("'"&amp;$B177&amp;"'!"&amp;"$P$118:$AD$121"),7,FALSE)/1000</f>
        <v>0.25106499999999998</v>
      </c>
      <c r="Q177" s="81">
        <f t="shared" ref="Q177:Q182" ca="1" si="179">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59"/>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7"/>
        <v>INDLWH</v>
      </c>
      <c r="J178" s="239">
        <f t="shared" si="158"/>
        <v>2030</v>
      </c>
      <c r="K178" s="81"/>
      <c r="L178" s="206">
        <f t="shared" ca="1" si="176"/>
        <v>0.89</v>
      </c>
      <c r="M178" s="832"/>
      <c r="N178" s="208"/>
      <c r="O178" s="783">
        <f t="shared" ca="1" si="177"/>
        <v>3.7250000000000001</v>
      </c>
      <c r="P178" s="783">
        <f t="shared" ca="1" si="178"/>
        <v>0.24287</v>
      </c>
      <c r="Q178" s="81">
        <f t="shared" ca="1" si="179"/>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7"/>
        <v>INDLWH</v>
      </c>
      <c r="J179" s="239">
        <f t="shared" si="158"/>
        <v>2050</v>
      </c>
      <c r="K179" s="81"/>
      <c r="L179" s="206">
        <f t="shared" ca="1" si="176"/>
        <v>0.91</v>
      </c>
      <c r="M179" s="832"/>
      <c r="N179" s="208"/>
      <c r="O179" s="783">
        <f t="shared" ca="1" si="177"/>
        <v>3.7250000000000001</v>
      </c>
      <c r="P179" s="783">
        <f t="shared" ca="1" si="178"/>
        <v>0.22797000000000001</v>
      </c>
      <c r="Q179" s="81">
        <f t="shared" ca="1" si="179"/>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INDLDRHCOAN2</v>
      </c>
      <c r="E180" s="278" t="str">
        <f>"Industrial heating technology "&amp;$AJ$12&amp;" "&amp;RIGHT(H180,2)&amp;" - Coal boiler (Hot Water) - new 2"</f>
        <v>Industrial heating technology L RH - Coal boiler (Hot Water) - new 2</v>
      </c>
      <c r="F180" s="239" t="s">
        <v>1274</v>
      </c>
      <c r="G180" s="55" t="s">
        <v>662</v>
      </c>
      <c r="H180" s="177" t="str">
        <f>$AI$15</f>
        <v>ILDRH</v>
      </c>
      <c r="I180" s="177" t="str">
        <f t="shared" si="157"/>
        <v>INDLWH</v>
      </c>
      <c r="J180" s="239">
        <f t="shared" si="158"/>
        <v>2011</v>
      </c>
      <c r="K180" s="332">
        <f>J180</f>
        <v>2011</v>
      </c>
      <c r="L180" s="206">
        <f t="shared" ca="1" si="176"/>
        <v>0.89</v>
      </c>
      <c r="M180" s="206"/>
      <c r="N180" s="81">
        <f ca="1">VLOOKUP($AD180,INDIRECT("'"&amp;$B180&amp;"'!"&amp;"$P$118:$AD$121"),5,FALSE)</f>
        <v>25</v>
      </c>
      <c r="O180" s="783">
        <f t="shared" ca="1" si="177"/>
        <v>3.7250000000000001</v>
      </c>
      <c r="P180" s="783">
        <f t="shared" ca="1" si="178"/>
        <v>0.25106499999999998</v>
      </c>
      <c r="Q180" s="81">
        <f t="shared" ca="1" si="179"/>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7"/>
        <v>INDLWH</v>
      </c>
      <c r="J181" s="239">
        <f t="shared" si="158"/>
        <v>2030</v>
      </c>
      <c r="K181" s="208"/>
      <c r="L181" s="206">
        <f t="shared" ca="1" si="176"/>
        <v>0.89</v>
      </c>
      <c r="M181" s="832"/>
      <c r="N181" s="208"/>
      <c r="O181" s="783">
        <f t="shared" ca="1" si="177"/>
        <v>3.7250000000000001</v>
      </c>
      <c r="P181" s="783">
        <f t="shared" ca="1" si="178"/>
        <v>0.24287</v>
      </c>
      <c r="Q181" s="81">
        <f t="shared" ca="1" si="179"/>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7"/>
        <v>INDLWH</v>
      </c>
      <c r="J182" s="239">
        <f t="shared" si="158"/>
        <v>2050</v>
      </c>
      <c r="K182" s="885"/>
      <c r="L182" s="206">
        <f t="shared" ca="1" si="176"/>
        <v>0.91</v>
      </c>
      <c r="M182" s="886"/>
      <c r="N182" s="885"/>
      <c r="O182" s="783">
        <f t="shared" ca="1" si="177"/>
        <v>3.7250000000000001</v>
      </c>
      <c r="P182" s="783">
        <f t="shared" ca="1" si="178"/>
        <v>0.22797000000000001</v>
      </c>
      <c r="Q182" s="81">
        <f t="shared" ca="1" si="179"/>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INDLDRHSOLN1</v>
      </c>
      <c r="E183" s="278" t="str">
        <f>"Industrial heating technology "&amp;$AJ$12&amp;" "&amp;RIGHT(H183,2)&amp;" - Solar - new 1"</f>
        <v>Industrial heating technology L RH - Solar - new 1</v>
      </c>
      <c r="F183" s="239" t="s">
        <v>1274</v>
      </c>
      <c r="G183" s="55" t="s">
        <v>501</v>
      </c>
      <c r="H183" s="177" t="str">
        <f>$AI$15</f>
        <v>ILDRH</v>
      </c>
      <c r="I183" s="177"/>
      <c r="J183" s="239">
        <f t="shared" si="158"/>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8"/>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8"/>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INDLDRHHCEN1</v>
      </c>
      <c r="E187" s="239" t="str">
        <f>"Industrial heating technology "&amp;$AJ$12&amp;" "&amp;RIGHT(H187,2)&amp;" - central district heating - within DH area - new 1"</f>
        <v>Industrial heating technology L RH - central district heating - within DH area - new 1</v>
      </c>
      <c r="F187" s="239" t="s">
        <v>1274</v>
      </c>
      <c r="G187" s="240" t="s">
        <v>502</v>
      </c>
      <c r="H187" s="240" t="str">
        <f>AI15</f>
        <v>ILDRH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INDLDRHHDEN1</v>
      </c>
      <c r="E188" s="239" t="str">
        <f>"Industrial heating technology "&amp;$AJ$12&amp;" "&amp;RIGHT(H188,2)&amp;" - decentral district heating - within DH area - new 1"</f>
        <v>Industrial heating technology L RH - decentral district heating - within DH area - new 1</v>
      </c>
      <c r="F188" s="239" t="s">
        <v>1274</v>
      </c>
      <c r="G188" s="276" t="s">
        <v>503</v>
      </c>
      <c r="H188" s="282" t="str">
        <f>AI15</f>
        <v>ILDRH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INDLDLAELCN1</v>
      </c>
      <c r="E190" s="239" t="str">
        <f>"Industry "&amp;$AJ$12&amp;" "&amp;RIGHT(H190,2)&amp;" Electricity Light Appliance - New 1"</f>
        <v>Industry L LA Electricity Light Appliance - New 1</v>
      </c>
      <c r="F190" s="239" t="s">
        <v>1274</v>
      </c>
      <c r="G190" s="240" t="s">
        <v>500</v>
      </c>
      <c r="H190" s="240" t="str">
        <f>AI16</f>
        <v>ILDLA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INDLDEMELCN1</v>
      </c>
      <c r="E194" s="239" t="str">
        <f>"Industry "&amp;$AJ$12&amp;" "&amp;RIGHT(H194,2)&amp;" Electricity Motors - New 1"</f>
        <v>Industry L EM Electricity Motors - New 1</v>
      </c>
      <c r="F194" s="239" t="s">
        <v>1274</v>
      </c>
      <c r="G194" s="240" t="s">
        <v>500</v>
      </c>
      <c r="H194" s="240" t="str">
        <f>AI17</f>
        <v>ILDEM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INDLDTFDSLN1</v>
      </c>
      <c r="E198" s="239" t="str">
        <f>"Industry "&amp;$AJ$12&amp;" "&amp;RIGHT(H198,2)&amp;" Tractors, Trucks, Fishing boats - New 1"</f>
        <v>Industry L TF Tractors, Trucks, Fishing boats - New 1</v>
      </c>
      <c r="F198" s="239" t="s">
        <v>1274</v>
      </c>
      <c r="G198" s="176" t="s">
        <v>1437</v>
      </c>
      <c r="H198" s="177" t="str">
        <f>AI18</f>
        <v>ILDTF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INDLDFLDH2N1</v>
      </c>
      <c r="E202" s="239" t="str">
        <f>"Industry "&amp;$AJ$12&amp;" "&amp;RIGHT(H198,2)&amp;" Forklifts - New 1"</f>
        <v>Industry L TF Forklifts - New 1</v>
      </c>
      <c r="F202" s="239" t="s">
        <v>1274</v>
      </c>
      <c r="G202" s="176" t="s">
        <v>1438</v>
      </c>
      <c r="H202" s="239" t="str">
        <f>AI19</f>
        <v>ILDFL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INDLDMTELCN1</v>
      </c>
      <c r="E213" s="223" t="str">
        <f t="shared" ref="E213:E244" ca="1" si="180">VLOOKUP(D213,$D$9:$E$206,2,FALSE)</f>
        <v>Industrial heating technology L MT - Heat pump utilizing waste heat - new 1</v>
      </c>
      <c r="F213" s="222" t="s">
        <v>450</v>
      </c>
      <c r="G213" s="222" t="s">
        <v>449</v>
      </c>
      <c r="H213" s="334" t="s">
        <v>665</v>
      </c>
      <c r="I213" s="334"/>
      <c r="J213" s="219" t="s">
        <v>469</v>
      </c>
    </row>
    <row r="214" spans="1:11">
      <c r="A214" s="172"/>
      <c r="B214" s="334"/>
      <c r="C214" s="222" t="str">
        <f t="shared" ref="C214:C268" ca="1" si="181">IF(D214="*","*","DMD")</f>
        <v>DMD</v>
      </c>
      <c r="D214" s="223" t="str">
        <f t="shared" ref="D214:D222" ca="1" si="182">OFFSET($D$9,(ROW(D1)*6),0)</f>
        <v>INDLDRHELCN1</v>
      </c>
      <c r="E214" s="223" t="str">
        <f t="shared" ca="1" si="180"/>
        <v>Industrial heating technology L RH - Heat pump utilizing waste heat - new 1</v>
      </c>
      <c r="F214" s="279" t="s">
        <v>450</v>
      </c>
      <c r="G214" s="279" t="s">
        <v>449</v>
      </c>
      <c r="H214" s="334" t="s">
        <v>665</v>
      </c>
      <c r="I214" s="334"/>
      <c r="J214" s="281" t="s">
        <v>469</v>
      </c>
    </row>
    <row r="215" spans="1:11">
      <c r="A215" s="172"/>
      <c r="C215" s="222" t="str">
        <f t="shared" ca="1" si="181"/>
        <v>*</v>
      </c>
      <c r="D215" s="223" t="str">
        <f t="shared" ca="1" si="182"/>
        <v>*</v>
      </c>
      <c r="E215" s="223" t="str">
        <f t="shared" ca="1" si="180"/>
        <v>Industrial heating technology L MT - Heat pump utilizing waste heat - new 1</v>
      </c>
      <c r="F215" s="222" t="s">
        <v>450</v>
      </c>
      <c r="G215" s="222" t="s">
        <v>449</v>
      </c>
      <c r="H215" s="334" t="s">
        <v>665</v>
      </c>
      <c r="I215" s="219"/>
      <c r="J215" s="281" t="s">
        <v>469</v>
      </c>
    </row>
    <row r="216" spans="1:11">
      <c r="A216" s="172"/>
      <c r="B216" s="222"/>
      <c r="C216" s="222" t="str">
        <f t="shared" ca="1" si="181"/>
        <v>DMD</v>
      </c>
      <c r="D216" s="223" t="str">
        <f t="shared" ca="1" si="182"/>
        <v>INDLDRHELCN2</v>
      </c>
      <c r="E216" s="223" t="str">
        <f t="shared" ca="1" si="180"/>
        <v>Industrial heating technology L RH - Heat driven heat pump utilizing waste heat - new 2</v>
      </c>
      <c r="F216" s="279" t="s">
        <v>450</v>
      </c>
      <c r="G216" s="279" t="s">
        <v>449</v>
      </c>
      <c r="H216" s="334" t="s">
        <v>665</v>
      </c>
      <c r="I216" s="281"/>
      <c r="J216" s="281" t="s">
        <v>469</v>
      </c>
    </row>
    <row r="217" spans="1:11">
      <c r="A217" s="172"/>
      <c r="B217" s="222"/>
      <c r="C217" s="222" t="str">
        <f t="shared" ca="1" si="181"/>
        <v>DMD</v>
      </c>
      <c r="D217" s="223" t="str">
        <f t="shared" ca="1" si="182"/>
        <v>INDLDMTELCN3</v>
      </c>
      <c r="E217" s="223" t="str">
        <f t="shared" ca="1" si="180"/>
        <v>Industrial heating technology L MT - High Temp abs. Heat pump utilizing waste heat - new 3</v>
      </c>
      <c r="F217" s="279" t="s">
        <v>450</v>
      </c>
      <c r="G217" s="279" t="s">
        <v>449</v>
      </c>
      <c r="H217" s="334" t="s">
        <v>665</v>
      </c>
      <c r="I217" s="281"/>
      <c r="J217" s="281" t="s">
        <v>469</v>
      </c>
    </row>
    <row r="218" spans="1:11">
      <c r="A218" s="172"/>
      <c r="B218" s="222"/>
      <c r="C218" s="222" t="str">
        <f t="shared" ca="1" si="181"/>
        <v>DMD</v>
      </c>
      <c r="D218" s="223" t="str">
        <f t="shared" ca="1" si="182"/>
        <v>INDLDRHELCN3</v>
      </c>
      <c r="E218" s="223" t="str">
        <f t="shared" ca="1" si="180"/>
        <v>Industrial heating technology L RH - High Temp abs. Heat pump utilizing waste heat - new 3</v>
      </c>
      <c r="F218" s="279" t="s">
        <v>450</v>
      </c>
      <c r="G218" s="279" t="s">
        <v>449</v>
      </c>
      <c r="H218" s="334" t="s">
        <v>665</v>
      </c>
      <c r="I218" s="281"/>
      <c r="J218" s="281" t="s">
        <v>469</v>
      </c>
    </row>
    <row r="219" spans="1:11">
      <c r="A219" s="172"/>
      <c r="B219" s="222"/>
      <c r="C219" s="222" t="str">
        <f t="shared" ca="1" si="181"/>
        <v>DMD</v>
      </c>
      <c r="D219" s="223" t="str">
        <f t="shared" ca="1" si="182"/>
        <v>INDLDMTELCN4</v>
      </c>
      <c r="E219" s="223" t="str">
        <f t="shared" ca="1" si="180"/>
        <v>Industrial heating technology L MT - Booster Heat pump utilizing waste heat - new 4</v>
      </c>
      <c r="F219" s="279" t="s">
        <v>450</v>
      </c>
      <c r="G219" s="279" t="s">
        <v>449</v>
      </c>
      <c r="H219" s="334" t="s">
        <v>665</v>
      </c>
      <c r="I219" s="281"/>
      <c r="J219" s="281" t="s">
        <v>469</v>
      </c>
    </row>
    <row r="220" spans="1:11">
      <c r="A220" s="172"/>
      <c r="B220" s="222"/>
      <c r="C220" s="222" t="str">
        <f t="shared" ca="1" si="181"/>
        <v>DMD</v>
      </c>
      <c r="D220" s="223" t="str">
        <f t="shared" ca="1" si="182"/>
        <v>INDLDRHELCN4</v>
      </c>
      <c r="E220" s="223" t="str">
        <f t="shared" ca="1" si="180"/>
        <v>Industrial heating technology L RH - Booster Heat pump utilizing waste heat - new 4</v>
      </c>
      <c r="F220" s="279" t="s">
        <v>450</v>
      </c>
      <c r="G220" s="279" t="s">
        <v>449</v>
      </c>
      <c r="H220" s="334" t="s">
        <v>665</v>
      </c>
      <c r="I220" s="281"/>
      <c r="J220" s="281" t="s">
        <v>469</v>
      </c>
    </row>
    <row r="221" spans="1:11">
      <c r="A221" s="172"/>
      <c r="B221" s="222"/>
      <c r="C221" s="222" t="str">
        <f t="shared" ca="1" si="181"/>
        <v>DMD</v>
      </c>
      <c r="D221" s="223" t="str">
        <f t="shared" ca="1" si="182"/>
        <v>INDLDMTELCN5</v>
      </c>
      <c r="E221" s="223" t="str">
        <f t="shared" ca="1" si="180"/>
        <v>Industrial heating technology L MT - MVR utilizing waste heat - new 5</v>
      </c>
      <c r="F221" s="279" t="s">
        <v>450</v>
      </c>
      <c r="G221" s="279" t="s">
        <v>449</v>
      </c>
      <c r="H221" s="280"/>
      <c r="I221" s="281"/>
      <c r="J221" s="281" t="s">
        <v>469</v>
      </c>
    </row>
    <row r="222" spans="1:11">
      <c r="A222" s="172"/>
      <c r="B222" s="222"/>
      <c r="C222" s="222" t="str">
        <f t="shared" ca="1" si="181"/>
        <v>*</v>
      </c>
      <c r="D222" s="223" t="str">
        <f t="shared" ca="1" si="182"/>
        <v>*</v>
      </c>
      <c r="E222" s="223" t="str">
        <f t="shared" ca="1" si="180"/>
        <v>Industrial heating technology L MT - Heat pump utilizing waste heat - new 1</v>
      </c>
      <c r="F222" s="279" t="s">
        <v>450</v>
      </c>
      <c r="G222" s="279" t="s">
        <v>449</v>
      </c>
      <c r="H222" s="334" t="s">
        <v>665</v>
      </c>
      <c r="I222" s="281"/>
      <c r="J222" s="281" t="s">
        <v>469</v>
      </c>
    </row>
    <row r="223" spans="1:11">
      <c r="A223" s="172"/>
      <c r="B223" s="222"/>
      <c r="C223" s="222" t="str">
        <f t="shared" ca="1" si="181"/>
        <v>DMD</v>
      </c>
      <c r="D223" s="223" t="str">
        <f t="shared" ref="D223:D262" ca="1" si="183">OFFSET($D$9,(ROW(D19)*3),0)</f>
        <v>INDLDMTELCN6</v>
      </c>
      <c r="E223" s="223" t="str">
        <f t="shared" ca="1" si="180"/>
        <v>Industrial heating technology L MT - Dielectric heating - new 6</v>
      </c>
      <c r="F223" s="279" t="s">
        <v>450</v>
      </c>
      <c r="G223" s="279" t="s">
        <v>449</v>
      </c>
      <c r="H223" s="334" t="s">
        <v>665</v>
      </c>
      <c r="I223" s="281"/>
      <c r="J223" s="281" t="s">
        <v>469</v>
      </c>
    </row>
    <row r="224" spans="1:11">
      <c r="A224" s="172"/>
      <c r="B224" s="222"/>
      <c r="C224" s="222" t="str">
        <f t="shared" ca="1" si="181"/>
        <v>DMD</v>
      </c>
      <c r="D224" s="223" t="str">
        <f t="shared" ca="1" si="183"/>
        <v>INDLDMTELCN7</v>
      </c>
      <c r="E224" s="223" t="str">
        <f t="shared" ca="1" si="180"/>
        <v>Industrial heating technology L MT - Infrared heating - new 7</v>
      </c>
      <c r="F224" s="279" t="s">
        <v>450</v>
      </c>
      <c r="G224" s="279" t="s">
        <v>449</v>
      </c>
      <c r="H224" s="334" t="s">
        <v>665</v>
      </c>
      <c r="I224" s="281"/>
      <c r="J224" s="281" t="s">
        <v>469</v>
      </c>
    </row>
    <row r="225" spans="1:16">
      <c r="A225" s="172"/>
      <c r="B225" s="222"/>
      <c r="C225" s="222" t="str">
        <f t="shared" ca="1" si="181"/>
        <v>DMD</v>
      </c>
      <c r="D225" s="223" t="str">
        <f t="shared" ca="1" si="183"/>
        <v>INDLDHTELCN8</v>
      </c>
      <c r="E225" s="223" t="str">
        <f t="shared" ca="1" si="180"/>
        <v>Industrial heating technology L HT - Electric boiler (Steam) - new 8</v>
      </c>
      <c r="F225" s="279" t="s">
        <v>450</v>
      </c>
      <c r="G225" s="279" t="s">
        <v>449</v>
      </c>
      <c r="H225" s="334" t="s">
        <v>665</v>
      </c>
      <c r="I225" s="281"/>
      <c r="J225" s="281" t="s">
        <v>469</v>
      </c>
    </row>
    <row r="226" spans="1:16">
      <c r="A226" s="172"/>
      <c r="B226" s="222"/>
      <c r="C226" s="222" t="str">
        <f t="shared" ca="1" si="181"/>
        <v>DMD</v>
      </c>
      <c r="D226" s="223" t="str">
        <f t="shared" ca="1" si="183"/>
        <v>INDLDMTELCN8</v>
      </c>
      <c r="E226" s="223" t="str">
        <f t="shared" ca="1" si="180"/>
        <v>Industrial heating technology L MT - Electric boiler (Steam) - new 8</v>
      </c>
      <c r="F226" s="279" t="s">
        <v>450</v>
      </c>
      <c r="G226" s="279" t="s">
        <v>449</v>
      </c>
      <c r="H226" s="334" t="s">
        <v>665</v>
      </c>
      <c r="I226" s="281"/>
      <c r="J226" s="281" t="s">
        <v>469</v>
      </c>
    </row>
    <row r="227" spans="1:16">
      <c r="A227" s="172"/>
      <c r="B227" s="222"/>
      <c r="C227" s="222" t="str">
        <f t="shared" ca="1" si="181"/>
        <v>DMD</v>
      </c>
      <c r="D227" s="223" t="str">
        <f t="shared" ca="1" si="183"/>
        <v>INDLDRHELCN8</v>
      </c>
      <c r="E227" s="223" t="str">
        <f t="shared" ca="1" si="180"/>
        <v>Industrial heating technology L RH - Electric boiler (Steam) - new 8</v>
      </c>
      <c r="F227" s="279" t="s">
        <v>450</v>
      </c>
      <c r="G227" s="279" t="s">
        <v>449</v>
      </c>
      <c r="H227" s="334" t="s">
        <v>665</v>
      </c>
      <c r="I227" s="281"/>
      <c r="J227" s="281" t="s">
        <v>469</v>
      </c>
      <c r="P227" s="176"/>
    </row>
    <row r="228" spans="1:16">
      <c r="A228" s="172"/>
      <c r="B228" s="222"/>
      <c r="C228" s="222" t="str">
        <f t="shared" ca="1" si="181"/>
        <v>DMD</v>
      </c>
      <c r="D228" s="223" t="str">
        <f t="shared" ca="1" si="183"/>
        <v>INDLDMTELCN9</v>
      </c>
      <c r="E228" s="223" t="str">
        <f t="shared" ca="1" si="180"/>
        <v>Industrial heating technology L MT - Electric boiler (Hot Water) - new 9</v>
      </c>
      <c r="F228" s="279" t="s">
        <v>450</v>
      </c>
      <c r="G228" s="279" t="s">
        <v>449</v>
      </c>
      <c r="H228" s="334" t="s">
        <v>665</v>
      </c>
      <c r="I228" s="281"/>
      <c r="J228" s="281" t="s">
        <v>469</v>
      </c>
      <c r="P228" s="176"/>
    </row>
    <row r="229" spans="1:16">
      <c r="A229" s="172"/>
      <c r="B229" s="222"/>
      <c r="C229" s="222" t="str">
        <f t="shared" ca="1" si="181"/>
        <v>DMD</v>
      </c>
      <c r="D229" s="223" t="str">
        <f t="shared" ca="1" si="183"/>
        <v>INDLDRHELCN9</v>
      </c>
      <c r="E229" s="223" t="str">
        <f t="shared" ca="1" si="180"/>
        <v>Industrial heating technology L RH - Electric boiler (Hot Water) - new 9</v>
      </c>
      <c r="F229" s="279" t="s">
        <v>450</v>
      </c>
      <c r="G229" s="279" t="s">
        <v>449</v>
      </c>
      <c r="H229" s="334" t="s">
        <v>665</v>
      </c>
      <c r="I229" s="281"/>
      <c r="J229" s="281" t="s">
        <v>469</v>
      </c>
      <c r="P229" s="176"/>
    </row>
    <row r="230" spans="1:16">
      <c r="A230" s="172"/>
      <c r="B230" s="222"/>
      <c r="C230" s="222" t="str">
        <f t="shared" ca="1" si="181"/>
        <v>DMD</v>
      </c>
      <c r="D230" s="223" t="str">
        <f t="shared" ca="1" si="183"/>
        <v>INDLDHTWCHN1</v>
      </c>
      <c r="E230" s="223" t="str">
        <f t="shared" ca="1" si="180"/>
        <v>Industrial heating technology L HT - Wood chip boiler (Steam) - new 1</v>
      </c>
      <c r="F230" s="279" t="s">
        <v>450</v>
      </c>
      <c r="G230" s="279" t="s">
        <v>449</v>
      </c>
      <c r="H230" s="280"/>
      <c r="I230" s="281"/>
      <c r="J230" s="281" t="s">
        <v>469</v>
      </c>
      <c r="P230" s="176"/>
    </row>
    <row r="231" spans="1:16">
      <c r="A231" s="172"/>
      <c r="B231" s="222"/>
      <c r="C231" s="222" t="str">
        <f t="shared" ca="1" si="181"/>
        <v>DMD</v>
      </c>
      <c r="D231" s="223" t="str">
        <f t="shared" ca="1" si="183"/>
        <v>INDLDMTWCHN1</v>
      </c>
      <c r="E231" s="223" t="str">
        <f t="shared" ca="1" si="180"/>
        <v>Industrial heating technology L MT - Wood chip boiler (Steam) - new 1</v>
      </c>
      <c r="F231" s="279" t="s">
        <v>450</v>
      </c>
      <c r="G231" s="279" t="s">
        <v>449</v>
      </c>
      <c r="H231" s="280"/>
      <c r="I231" s="281"/>
      <c r="J231" s="281" t="s">
        <v>469</v>
      </c>
      <c r="M231" s="174"/>
      <c r="N231" s="174"/>
      <c r="P231" s="176"/>
    </row>
    <row r="232" spans="1:16">
      <c r="A232" s="172"/>
      <c r="B232" s="222"/>
      <c r="C232" s="222" t="str">
        <f t="shared" ca="1" si="181"/>
        <v>DMD</v>
      </c>
      <c r="D232" s="223" t="str">
        <f t="shared" ca="1" si="183"/>
        <v>INDLDRHWCHN1</v>
      </c>
      <c r="E232" s="223" t="str">
        <f t="shared" ca="1" si="180"/>
        <v>Industrial heating technology L RH - Wood chip boiler (Steam) - new 1</v>
      </c>
      <c r="F232" s="279" t="s">
        <v>450</v>
      </c>
      <c r="G232" s="279" t="s">
        <v>449</v>
      </c>
      <c r="H232" s="280"/>
      <c r="I232" s="281"/>
      <c r="J232" s="281" t="s">
        <v>469</v>
      </c>
      <c r="M232" s="174"/>
      <c r="N232" s="174"/>
      <c r="P232" s="176"/>
    </row>
    <row r="233" spans="1:16">
      <c r="A233" s="172"/>
      <c r="B233" s="222"/>
      <c r="C233" s="222" t="str">
        <f t="shared" ca="1" si="181"/>
        <v>DMD</v>
      </c>
      <c r="D233" s="223" t="str">
        <f t="shared" ca="1" si="183"/>
        <v>INDLDMTWCHN2</v>
      </c>
      <c r="E233" s="223" t="str">
        <f t="shared" ca="1" si="180"/>
        <v>Industrial heating technology L MT - Wood chip boiler (Steam - condensing) - new 2</v>
      </c>
      <c r="F233" s="279" t="s">
        <v>450</v>
      </c>
      <c r="G233" s="279" t="s">
        <v>449</v>
      </c>
      <c r="H233" s="280"/>
      <c r="I233" s="281"/>
      <c r="J233" s="281" t="s">
        <v>469</v>
      </c>
      <c r="M233" s="174"/>
      <c r="N233" s="174"/>
      <c r="P233" s="176"/>
    </row>
    <row r="234" spans="1:16">
      <c r="A234" s="172"/>
      <c r="B234" s="223"/>
      <c r="C234" s="222" t="str">
        <f t="shared" ca="1" si="181"/>
        <v>DMD</v>
      </c>
      <c r="D234" s="223" t="str">
        <f t="shared" ca="1" si="183"/>
        <v>INDLDRHWCHN2</v>
      </c>
      <c r="E234" s="223" t="str">
        <f t="shared" ca="1" si="180"/>
        <v>Industrial heating technology L RH - Wood chip boiler (Steam - condensing) - new 2</v>
      </c>
      <c r="F234" s="279" t="s">
        <v>450</v>
      </c>
      <c r="G234" s="279" t="s">
        <v>449</v>
      </c>
      <c r="H234" s="280"/>
      <c r="I234" s="281"/>
      <c r="J234" s="281" t="s">
        <v>469</v>
      </c>
    </row>
    <row r="235" spans="1:16">
      <c r="A235" s="172"/>
      <c r="B235" s="223"/>
      <c r="C235" s="222" t="str">
        <f t="shared" ca="1" si="181"/>
        <v>DMD</v>
      </c>
      <c r="D235" s="223" t="str">
        <f t="shared" ca="1" si="183"/>
        <v>INDLDMTWCHN3</v>
      </c>
      <c r="E235" s="223" t="str">
        <f t="shared" ca="1" si="180"/>
        <v>Industrial heating technology L MT - Wood chip boiler (Hot Water) - new 3</v>
      </c>
      <c r="F235" s="279" t="s">
        <v>450</v>
      </c>
      <c r="G235" s="279" t="s">
        <v>449</v>
      </c>
      <c r="H235" s="278"/>
      <c r="I235" s="278"/>
      <c r="J235" s="281" t="s">
        <v>469</v>
      </c>
    </row>
    <row r="236" spans="1:16">
      <c r="A236" s="172"/>
      <c r="B236" s="223"/>
      <c r="C236" s="222" t="str">
        <f t="shared" ca="1" si="181"/>
        <v>DMD</v>
      </c>
      <c r="D236" s="223" t="str">
        <f t="shared" ca="1" si="183"/>
        <v>INDLDRHWCHN3</v>
      </c>
      <c r="E236" s="223" t="str">
        <f t="shared" ca="1" si="180"/>
        <v>Industrial heating technology L RH - Wood chip boiler (Hot Water) - new 3</v>
      </c>
      <c r="F236" s="279" t="s">
        <v>450</v>
      </c>
      <c r="G236" s="279" t="s">
        <v>449</v>
      </c>
      <c r="H236" s="278"/>
      <c r="I236" s="278"/>
      <c r="J236" s="281" t="s">
        <v>469</v>
      </c>
    </row>
    <row r="237" spans="1:16">
      <c r="A237" s="172"/>
      <c r="B237" s="223"/>
      <c r="C237" s="222" t="str">
        <f t="shared" ca="1" si="181"/>
        <v>DMD</v>
      </c>
      <c r="D237" s="223" t="str">
        <f t="shared" ca="1" si="183"/>
        <v>INDLDMTWCHN4</v>
      </c>
      <c r="E237" s="223" t="str">
        <f t="shared" ca="1" si="180"/>
        <v>Industrial heating technology L MT - Wood chip boiler (Hot Water - condensing) - new 4</v>
      </c>
      <c r="F237" s="279" t="s">
        <v>450</v>
      </c>
      <c r="G237" s="279" t="s">
        <v>449</v>
      </c>
      <c r="H237" s="278"/>
      <c r="I237" s="278"/>
      <c r="J237" s="281" t="s">
        <v>469</v>
      </c>
    </row>
    <row r="238" spans="1:16">
      <c r="A238" s="172"/>
      <c r="B238" s="223"/>
      <c r="C238" s="222" t="str">
        <f t="shared" ca="1" si="181"/>
        <v>DMD</v>
      </c>
      <c r="D238" s="223" t="str">
        <f t="shared" ca="1" si="183"/>
        <v>INDLDRHWCHN4</v>
      </c>
      <c r="E238" s="223" t="str">
        <f t="shared" ca="1" si="180"/>
        <v>Industrial heating technology L RH - Wood chip boiler (Hot Water- condensing) - new 4</v>
      </c>
      <c r="F238" s="279" t="s">
        <v>450</v>
      </c>
      <c r="G238" s="279" t="s">
        <v>449</v>
      </c>
      <c r="H238" s="278"/>
      <c r="I238" s="278"/>
      <c r="J238" s="281" t="s">
        <v>469</v>
      </c>
    </row>
    <row r="239" spans="1:16">
      <c r="B239" s="223"/>
      <c r="C239" s="222" t="str">
        <f t="shared" ca="1" si="181"/>
        <v>*</v>
      </c>
      <c r="D239" s="223" t="str">
        <f t="shared" ca="1" si="183"/>
        <v>*</v>
      </c>
      <c r="E239" s="223" t="str">
        <f t="shared" ca="1" si="180"/>
        <v>Industrial heating technology L MT - Heat pump utilizing waste heat - new 1</v>
      </c>
      <c r="F239" s="279" t="s">
        <v>450</v>
      </c>
      <c r="G239" s="279" t="s">
        <v>449</v>
      </c>
      <c r="H239" s="334" t="s">
        <v>665</v>
      </c>
      <c r="I239" s="278"/>
      <c r="J239" s="281" t="s">
        <v>469</v>
      </c>
    </row>
    <row r="240" spans="1:16">
      <c r="B240" s="223"/>
      <c r="C240" s="222" t="str">
        <f t="shared" ca="1" si="181"/>
        <v>*</v>
      </c>
      <c r="D240" s="223" t="str">
        <f t="shared" ca="1" si="183"/>
        <v>*</v>
      </c>
      <c r="E240" s="223" t="str">
        <f t="shared" ca="1" si="180"/>
        <v>Industrial heating technology L MT - Heat pump utilizing waste heat - new 1</v>
      </c>
      <c r="F240" s="279" t="s">
        <v>450</v>
      </c>
      <c r="G240" s="279" t="s">
        <v>449</v>
      </c>
      <c r="H240" s="334" t="s">
        <v>665</v>
      </c>
      <c r="I240" s="278"/>
      <c r="J240" s="281" t="s">
        <v>469</v>
      </c>
    </row>
    <row r="241" spans="1:10">
      <c r="B241" s="223"/>
      <c r="C241" s="222" t="str">
        <f t="shared" ca="1" si="181"/>
        <v>DMD</v>
      </c>
      <c r="D241" s="223" t="str">
        <f t="shared" ca="1" si="183"/>
        <v>INDLDHTDSEN1</v>
      </c>
      <c r="E241" s="223" t="str">
        <f t="shared" ca="1" si="180"/>
        <v>Industrial heating technology L HT - Oil boiler (Steam) - new 1</v>
      </c>
      <c r="F241" s="279" t="s">
        <v>450</v>
      </c>
      <c r="G241" s="279" t="s">
        <v>449</v>
      </c>
      <c r="H241" s="278"/>
      <c r="I241" s="278"/>
      <c r="J241" s="281" t="s">
        <v>469</v>
      </c>
    </row>
    <row r="242" spans="1:10">
      <c r="B242" s="223"/>
      <c r="C242" s="222" t="str">
        <f t="shared" ca="1" si="181"/>
        <v>DMD</v>
      </c>
      <c r="D242" s="223" t="str">
        <f t="shared" ca="1" si="183"/>
        <v>INDLDMTDSEN1</v>
      </c>
      <c r="E242" s="223" t="str">
        <f t="shared" ca="1" si="180"/>
        <v>Industrial heating technology L MT - Oil boiler (Steam) - new 1</v>
      </c>
      <c r="F242" s="279" t="s">
        <v>450</v>
      </c>
      <c r="G242" s="279" t="s">
        <v>449</v>
      </c>
      <c r="H242" s="278"/>
      <c r="I242" s="278"/>
      <c r="J242" s="281" t="s">
        <v>469</v>
      </c>
    </row>
    <row r="243" spans="1:10">
      <c r="B243" s="223"/>
      <c r="C243" s="222" t="str">
        <f t="shared" ca="1" si="181"/>
        <v>DMD</v>
      </c>
      <c r="D243" s="223" t="str">
        <f t="shared" ca="1" si="183"/>
        <v>INDLDRHDSEN1</v>
      </c>
      <c r="E243" s="223" t="str">
        <f t="shared" ca="1" si="180"/>
        <v>Industrial heating technology L RH - Oil boiler (Steam) - new 1</v>
      </c>
      <c r="F243" s="279" t="s">
        <v>450</v>
      </c>
      <c r="G243" s="279" t="s">
        <v>449</v>
      </c>
      <c r="H243" s="278"/>
      <c r="I243" s="278"/>
      <c r="J243" s="281" t="s">
        <v>469</v>
      </c>
    </row>
    <row r="244" spans="1:10">
      <c r="A244" s="226"/>
      <c r="B244" s="223"/>
      <c r="C244" s="222" t="str">
        <f t="shared" ca="1" si="181"/>
        <v>DMD</v>
      </c>
      <c r="D244" s="223" t="str">
        <f t="shared" ca="1" si="183"/>
        <v>INDLDMTDSEN2</v>
      </c>
      <c r="E244" s="223" t="str">
        <f t="shared" ca="1" si="180"/>
        <v>Industrial heating technology L MT - Oil boiler (Steam - condensing) - new 2</v>
      </c>
      <c r="F244" s="279" t="s">
        <v>450</v>
      </c>
      <c r="G244" s="279" t="s">
        <v>449</v>
      </c>
      <c r="H244" s="278"/>
      <c r="I244" s="278"/>
      <c r="J244" s="281" t="s">
        <v>469</v>
      </c>
    </row>
    <row r="245" spans="1:10">
      <c r="A245" s="226"/>
      <c r="B245" s="223"/>
      <c r="C245" s="222" t="str">
        <f t="shared" ca="1" si="181"/>
        <v>DMD</v>
      </c>
      <c r="D245" s="223" t="str">
        <f t="shared" ca="1" si="183"/>
        <v>INDLDRHDSEN2</v>
      </c>
      <c r="E245" s="223" t="str">
        <f t="shared" ref="E245:E268" ca="1" si="184">VLOOKUP(D245,$D$9:$E$206,2,FALSE)</f>
        <v>Industrial heating technology L RH - Oil boiler (Steam - condensing) - new 2</v>
      </c>
      <c r="F245" s="279" t="s">
        <v>450</v>
      </c>
      <c r="G245" s="279" t="s">
        <v>449</v>
      </c>
      <c r="H245" s="278"/>
      <c r="I245" s="278"/>
      <c r="J245" s="281" t="s">
        <v>469</v>
      </c>
    </row>
    <row r="246" spans="1:10">
      <c r="A246" s="226"/>
      <c r="B246" s="223"/>
      <c r="C246" s="222" t="str">
        <f t="shared" ca="1" si="181"/>
        <v>DMD</v>
      </c>
      <c r="D246" s="223" t="str">
        <f t="shared" ca="1" si="183"/>
        <v>INDLDHTDH2N1</v>
      </c>
      <c r="E246" s="223" t="str">
        <f t="shared" ca="1" si="184"/>
        <v>Industrial heating technology L HT - Gas boiler (Steam) - new 1</v>
      </c>
      <c r="F246" s="279" t="s">
        <v>450</v>
      </c>
      <c r="G246" s="279" t="s">
        <v>449</v>
      </c>
      <c r="H246" s="278"/>
      <c r="I246" s="278"/>
      <c r="J246" s="281" t="s">
        <v>469</v>
      </c>
    </row>
    <row r="247" spans="1:10">
      <c r="A247" s="226"/>
      <c r="B247" s="223"/>
      <c r="C247" s="222" t="str">
        <f t="shared" ca="1" si="181"/>
        <v>DMD</v>
      </c>
      <c r="D247" s="223" t="str">
        <f t="shared" ca="1" si="183"/>
        <v>INDLDMTDH2N1</v>
      </c>
      <c r="E247" s="223" t="str">
        <f t="shared" ca="1" si="184"/>
        <v>Industrial heating technology L MT - Gas boiler (Steam) - new 1</v>
      </c>
      <c r="F247" s="279" t="s">
        <v>450</v>
      </c>
      <c r="G247" s="279" t="s">
        <v>449</v>
      </c>
      <c r="H247" s="278"/>
      <c r="I247" s="278"/>
      <c r="J247" s="281" t="s">
        <v>469</v>
      </c>
    </row>
    <row r="248" spans="1:10">
      <c r="B248" s="223"/>
      <c r="C248" s="222" t="str">
        <f t="shared" ca="1" si="181"/>
        <v>DMD</v>
      </c>
      <c r="D248" s="223" t="str">
        <f t="shared" ca="1" si="183"/>
        <v>INDLDRHDH2N1</v>
      </c>
      <c r="E248" s="223" t="str">
        <f t="shared" ca="1" si="184"/>
        <v>Industrial heating technology L RH - Gas boiler (Steam) - new 1</v>
      </c>
      <c r="F248" s="279" t="s">
        <v>450</v>
      </c>
      <c r="G248" s="279" t="s">
        <v>449</v>
      </c>
      <c r="H248" s="278"/>
      <c r="I248" s="278"/>
      <c r="J248" s="281" t="s">
        <v>469</v>
      </c>
    </row>
    <row r="249" spans="1:10">
      <c r="B249" s="223"/>
      <c r="C249" s="222" t="str">
        <f t="shared" ca="1" si="181"/>
        <v>DMD</v>
      </c>
      <c r="D249" s="223" t="str">
        <f t="shared" ca="1" si="183"/>
        <v>INDLDMTDH2N2</v>
      </c>
      <c r="E249" s="223" t="str">
        <f t="shared" ca="1" si="184"/>
        <v>Industrial heating technology L MT - Gas boiler (Steam - condensing) - new 2</v>
      </c>
      <c r="F249" s="279" t="s">
        <v>450</v>
      </c>
      <c r="G249" s="279" t="s">
        <v>449</v>
      </c>
      <c r="H249" s="278"/>
      <c r="I249" s="278"/>
      <c r="J249" s="281" t="s">
        <v>469</v>
      </c>
    </row>
    <row r="250" spans="1:10">
      <c r="B250" s="223"/>
      <c r="C250" s="222" t="str">
        <f t="shared" ca="1" si="181"/>
        <v>DMD</v>
      </c>
      <c r="D250" s="223" t="str">
        <f t="shared" ca="1" si="183"/>
        <v>INDLDRHDH2N2</v>
      </c>
      <c r="E250" s="223" t="str">
        <f t="shared" ca="1" si="184"/>
        <v>Industrial heating technology L RH - Gas boiler (Steam - condensing) - new 2</v>
      </c>
      <c r="F250" s="279" t="s">
        <v>450</v>
      </c>
      <c r="G250" s="279" t="s">
        <v>449</v>
      </c>
      <c r="H250" s="278"/>
      <c r="I250" s="278"/>
      <c r="J250" s="281" t="s">
        <v>469</v>
      </c>
    </row>
    <row r="251" spans="1:10">
      <c r="B251" s="223"/>
      <c r="C251" s="222" t="str">
        <f t="shared" ca="1" si="181"/>
        <v>DMD</v>
      </c>
      <c r="D251" s="223" t="str">
        <f t="shared" ca="1" si="183"/>
        <v>INDLDMTDH2N3</v>
      </c>
      <c r="E251" s="223" t="str">
        <f t="shared" ca="1" si="184"/>
        <v>Industrial heating technology L MT - Gas boiler (Hot Water) - new 3</v>
      </c>
      <c r="F251" s="279" t="s">
        <v>450</v>
      </c>
      <c r="G251" s="279" t="s">
        <v>449</v>
      </c>
      <c r="H251" s="278"/>
      <c r="I251" s="278"/>
      <c r="J251" s="281" t="s">
        <v>469</v>
      </c>
    </row>
    <row r="252" spans="1:10">
      <c r="B252" s="223"/>
      <c r="C252" s="222" t="str">
        <f t="shared" ca="1" si="181"/>
        <v>DMD</v>
      </c>
      <c r="D252" s="223" t="str">
        <f t="shared" ca="1" si="183"/>
        <v>INDLDRHDH2N3</v>
      </c>
      <c r="E252" s="223" t="str">
        <f t="shared" ca="1" si="184"/>
        <v>Industrial heating technology L RH - Gas boiler (Hot Water) - new 3</v>
      </c>
      <c r="F252" s="279" t="s">
        <v>450</v>
      </c>
      <c r="G252" s="279" t="s">
        <v>449</v>
      </c>
      <c r="H252" s="278"/>
      <c r="I252" s="278"/>
      <c r="J252" s="281" t="s">
        <v>469</v>
      </c>
    </row>
    <row r="253" spans="1:10">
      <c r="B253" s="223"/>
      <c r="C253" s="222" t="str">
        <f t="shared" ca="1" si="181"/>
        <v>DMD</v>
      </c>
      <c r="D253" s="223" t="str">
        <f t="shared" ca="1" si="183"/>
        <v>INDLDMTDH2N4</v>
      </c>
      <c r="E253" s="223" t="str">
        <f t="shared" ca="1" si="184"/>
        <v>Industrial heating technology L MT - Gas boiler (Hot Water - condensing) - new 4</v>
      </c>
      <c r="F253" s="279" t="s">
        <v>450</v>
      </c>
      <c r="G253" s="279" t="s">
        <v>449</v>
      </c>
      <c r="H253" s="278"/>
      <c r="I253" s="278"/>
      <c r="J253" s="281" t="s">
        <v>469</v>
      </c>
    </row>
    <row r="254" spans="1:10">
      <c r="B254" s="223"/>
      <c r="C254" s="222" t="str">
        <f t="shared" ca="1" si="181"/>
        <v>DMD</v>
      </c>
      <c r="D254" s="223" t="str">
        <f t="shared" ca="1" si="183"/>
        <v>INDLDRHDH2N4</v>
      </c>
      <c r="E254" s="223" t="str">
        <f t="shared" ca="1" si="184"/>
        <v>Industrial heating technology L RH - Gas boiler (Hot Water- condensing) - new 4</v>
      </c>
      <c r="F254" s="279" t="s">
        <v>450</v>
      </c>
      <c r="G254" s="279" t="s">
        <v>449</v>
      </c>
      <c r="H254" s="278"/>
      <c r="I254" s="278"/>
      <c r="J254" s="281" t="s">
        <v>469</v>
      </c>
    </row>
    <row r="255" spans="1:10">
      <c r="B255" s="223"/>
      <c r="C255" s="222" t="str">
        <f t="shared" ca="1" si="181"/>
        <v>DMD</v>
      </c>
      <c r="D255" s="223" t="str">
        <f t="shared" ca="1" si="183"/>
        <v>INDLDHTDH2N5</v>
      </c>
      <c r="E255" s="223" t="str">
        <f t="shared" ca="1" si="184"/>
        <v>Industrial heating technology L HT - Gas boiler (Direct firing) - new 5</v>
      </c>
      <c r="F255" s="279" t="s">
        <v>450</v>
      </c>
      <c r="G255" s="279" t="s">
        <v>449</v>
      </c>
      <c r="H255" s="278"/>
      <c r="I255" s="278"/>
      <c r="J255" s="281" t="s">
        <v>469</v>
      </c>
    </row>
    <row r="256" spans="1:10">
      <c r="B256" s="223"/>
      <c r="C256" s="222" t="str">
        <f t="shared" ca="1" si="181"/>
        <v>DMD</v>
      </c>
      <c r="D256" s="223" t="str">
        <f t="shared" ca="1" si="183"/>
        <v>INDLDMTDH2N5</v>
      </c>
      <c r="E256" s="223" t="str">
        <f t="shared" ca="1" si="184"/>
        <v>Industrial heating technology L MT - Gas boiler (Direct firing) - new 5</v>
      </c>
      <c r="F256" s="279" t="s">
        <v>450</v>
      </c>
      <c r="G256" s="279" t="s">
        <v>449</v>
      </c>
      <c r="H256" s="278"/>
      <c r="I256" s="278"/>
      <c r="J256" s="281" t="s">
        <v>469</v>
      </c>
    </row>
    <row r="257" spans="2:10">
      <c r="B257" s="223"/>
      <c r="C257" s="222" t="str">
        <f t="shared" ca="1" si="181"/>
        <v>DMD</v>
      </c>
      <c r="D257" s="223" t="str">
        <f t="shared" ca="1" si="183"/>
        <v>INDLDHTCOAN1</v>
      </c>
      <c r="E257" s="223" t="str">
        <f t="shared" ca="1" si="184"/>
        <v>Industrial heating technology L HT - Coal boiler (Steam) - new 1</v>
      </c>
      <c r="F257" s="279" t="s">
        <v>450</v>
      </c>
      <c r="G257" s="279" t="s">
        <v>449</v>
      </c>
      <c r="H257" s="278"/>
      <c r="I257" s="278"/>
      <c r="J257" s="281" t="s">
        <v>469</v>
      </c>
    </row>
    <row r="258" spans="2:10">
      <c r="B258" s="223"/>
      <c r="C258" s="222" t="str">
        <f t="shared" ca="1" si="181"/>
        <v>DMD</v>
      </c>
      <c r="D258" s="223" t="str">
        <f t="shared" ca="1" si="183"/>
        <v>INDLDMTCOAN1</v>
      </c>
      <c r="E258" s="223" t="str">
        <f t="shared" ca="1" si="184"/>
        <v>Industrial heating technology L MT - Coal boiler (Steam) - new 1</v>
      </c>
      <c r="F258" s="279" t="s">
        <v>450</v>
      </c>
      <c r="G258" s="279" t="s">
        <v>449</v>
      </c>
      <c r="H258" s="278"/>
      <c r="I258" s="278"/>
      <c r="J258" s="281" t="s">
        <v>469</v>
      </c>
    </row>
    <row r="259" spans="2:10">
      <c r="B259" s="223"/>
      <c r="C259" s="222" t="str">
        <f t="shared" ca="1" si="181"/>
        <v>DMD</v>
      </c>
      <c r="D259" s="223" t="str">
        <f t="shared" ca="1" si="183"/>
        <v>INDLDRHCOAN1</v>
      </c>
      <c r="E259" s="223" t="str">
        <f t="shared" ca="1" si="184"/>
        <v>Industrial heating technology L RH - Coal boiler (Steam) - new 1</v>
      </c>
      <c r="F259" s="279" t="s">
        <v>450</v>
      </c>
      <c r="G259" s="279" t="s">
        <v>449</v>
      </c>
      <c r="H259" s="278"/>
      <c r="I259" s="278"/>
      <c r="J259" s="281" t="s">
        <v>469</v>
      </c>
    </row>
    <row r="260" spans="2:10">
      <c r="B260" s="223"/>
      <c r="C260" s="222" t="str">
        <f t="shared" ca="1" si="181"/>
        <v>DMD</v>
      </c>
      <c r="D260" s="223" t="str">
        <f t="shared" ca="1" si="183"/>
        <v>INDLDMTCOAN2</v>
      </c>
      <c r="E260" s="223" t="str">
        <f t="shared" ca="1" si="184"/>
        <v>Industrial heating technology L MT - Coal boiler (Hot Water) - new 2</v>
      </c>
      <c r="F260" s="279" t="s">
        <v>450</v>
      </c>
      <c r="G260" s="279" t="s">
        <v>449</v>
      </c>
      <c r="H260" s="278"/>
      <c r="I260" s="278"/>
      <c r="J260" s="281" t="s">
        <v>469</v>
      </c>
    </row>
    <row r="261" spans="2:10">
      <c r="B261" s="223"/>
      <c r="C261" s="222" t="str">
        <f t="shared" ca="1" si="181"/>
        <v>DMD</v>
      </c>
      <c r="D261" s="223" t="str">
        <f t="shared" ca="1" si="183"/>
        <v>INDLDRHCOAN2</v>
      </c>
      <c r="E261" s="223" t="str">
        <f t="shared" ca="1" si="184"/>
        <v>Industrial heating technology L RH - Coal boiler (Hot Water) - new 2</v>
      </c>
      <c r="F261" s="279" t="s">
        <v>450</v>
      </c>
      <c r="G261" s="279" t="s">
        <v>449</v>
      </c>
      <c r="H261" s="278"/>
      <c r="I261" s="278"/>
      <c r="J261" s="281" t="s">
        <v>469</v>
      </c>
    </row>
    <row r="262" spans="2:10">
      <c r="B262" s="223"/>
      <c r="C262" s="222" t="str">
        <f t="shared" ca="1" si="181"/>
        <v>DMD</v>
      </c>
      <c r="D262" s="223" t="str">
        <f t="shared" ca="1" si="183"/>
        <v>INDLDRHSOLN1</v>
      </c>
      <c r="E262" s="223" t="str">
        <f t="shared" ca="1" si="184"/>
        <v>Industrial heating technology L RH - Solar - new 1</v>
      </c>
      <c r="F262" s="279" t="s">
        <v>450</v>
      </c>
      <c r="G262" s="279" t="s">
        <v>449</v>
      </c>
      <c r="H262" s="334" t="s">
        <v>665</v>
      </c>
      <c r="I262" s="278"/>
      <c r="J262" s="281" t="s">
        <v>469</v>
      </c>
    </row>
    <row r="263" spans="2:10">
      <c r="B263" s="223"/>
      <c r="C263" s="222" t="str">
        <f t="shared" si="181"/>
        <v>DMD</v>
      </c>
      <c r="D263" s="949" t="str">
        <f>D187</f>
        <v>INDLDRHHCEN1</v>
      </c>
      <c r="E263" s="949" t="str">
        <f t="shared" ca="1" si="184"/>
        <v>Industrial heating technology L RH - central district heating - within DH area - new 1</v>
      </c>
      <c r="F263" s="279" t="s">
        <v>450</v>
      </c>
      <c r="G263" s="279" t="s">
        <v>449</v>
      </c>
      <c r="H263" s="334" t="s">
        <v>665</v>
      </c>
      <c r="I263" s="950"/>
      <c r="J263" s="280" t="s">
        <v>469</v>
      </c>
    </row>
    <row r="264" spans="2:10">
      <c r="B264" s="223"/>
      <c r="C264" s="222" t="str">
        <f t="shared" si="181"/>
        <v>DMD</v>
      </c>
      <c r="D264" s="223" t="str">
        <f t="shared" ref="D264" si="185">D188</f>
        <v>INDLDRHHDEN1</v>
      </c>
      <c r="E264" s="223" t="str">
        <f t="shared" ca="1" si="184"/>
        <v>Industrial heating technology L RH - decentral district heating - within DH area - new 1</v>
      </c>
      <c r="F264" s="279" t="s">
        <v>450</v>
      </c>
      <c r="G264" s="279" t="s">
        <v>449</v>
      </c>
      <c r="H264" s="334" t="s">
        <v>665</v>
      </c>
      <c r="I264" s="278"/>
      <c r="J264" s="281" t="s">
        <v>469</v>
      </c>
    </row>
    <row r="265" spans="2:10">
      <c r="B265" s="223"/>
      <c r="C265" s="222" t="str">
        <f t="shared" si="181"/>
        <v>DMD</v>
      </c>
      <c r="D265" s="223" t="str">
        <f>D190</f>
        <v>INDLDLAELCN1</v>
      </c>
      <c r="E265" s="223" t="str">
        <f t="shared" ca="1" si="184"/>
        <v>Industry L LA Electricity Light Appliance - New 1</v>
      </c>
      <c r="F265" s="279" t="s">
        <v>450</v>
      </c>
      <c r="G265" s="279" t="s">
        <v>449</v>
      </c>
      <c r="H265" s="334" t="s">
        <v>665</v>
      </c>
      <c r="I265" s="278"/>
      <c r="J265" s="281" t="s">
        <v>469</v>
      </c>
    </row>
    <row r="266" spans="2:10">
      <c r="B266" s="223"/>
      <c r="C266" s="222" t="str">
        <f t="shared" si="181"/>
        <v>DMD</v>
      </c>
      <c r="D266" s="223" t="str">
        <f>D194</f>
        <v>INDLDEMELCN1</v>
      </c>
      <c r="E266" s="223" t="str">
        <f t="shared" ca="1" si="184"/>
        <v>Industry L EM Electricity Motors - New 1</v>
      </c>
      <c r="F266" s="279" t="s">
        <v>450</v>
      </c>
      <c r="G266" s="279" t="s">
        <v>449</v>
      </c>
      <c r="H266" s="334" t="s">
        <v>665</v>
      </c>
      <c r="I266" s="278"/>
      <c r="J266" s="281" t="s">
        <v>469</v>
      </c>
    </row>
    <row r="267" spans="2:10">
      <c r="B267" s="223"/>
      <c r="C267" s="222" t="str">
        <f t="shared" si="181"/>
        <v>DMD</v>
      </c>
      <c r="D267" s="223" t="str">
        <f>D198</f>
        <v>INDLDTFDSLN1</v>
      </c>
      <c r="E267" s="223" t="str">
        <f t="shared" ca="1" si="184"/>
        <v>Industry L TF Tractors, Trucks, Fishing boats - New 1</v>
      </c>
      <c r="F267" s="279" t="s">
        <v>450</v>
      </c>
      <c r="G267" s="279" t="s">
        <v>449</v>
      </c>
      <c r="H267" s="278"/>
      <c r="I267" s="278"/>
      <c r="J267" s="281" t="s">
        <v>469</v>
      </c>
    </row>
    <row r="268" spans="2:10">
      <c r="B268" s="223"/>
      <c r="C268" s="222" t="str">
        <f t="shared" si="181"/>
        <v>DMD</v>
      </c>
      <c r="D268" s="223" t="str">
        <f>D202</f>
        <v>INDLDFLDH2N1</v>
      </c>
      <c r="E268" s="223" t="str">
        <f t="shared" ca="1" si="184"/>
        <v>Industry L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ILDSOx</v>
      </c>
      <c r="E273" s="287" t="str">
        <f>"Industrial heating  heating technology "&amp;$AJ$12&amp;" - SOx emission"</f>
        <v>Industrial heating  heating technology L - SOx emission</v>
      </c>
      <c r="F273" s="231" t="s">
        <v>352</v>
      </c>
      <c r="G273" s="222"/>
      <c r="H273" s="222"/>
      <c r="I273" s="222"/>
      <c r="J273" s="222"/>
    </row>
    <row r="274" spans="2:10">
      <c r="B274" s="226"/>
      <c r="C274" s="226"/>
      <c r="D274" s="277" t="str">
        <f>"I"&amp;LEFT($AJ$12,1)&amp;"DNOx"</f>
        <v>ILDNOx</v>
      </c>
      <c r="E274" s="287" t="str">
        <f>"Industrial heating  heating technology "&amp;$AJ$12&amp;" - NOx emission"</f>
        <v>Industrial heating  heating technology L - NOx emission</v>
      </c>
      <c r="F274" s="231" t="s">
        <v>352</v>
      </c>
      <c r="G274" s="222"/>
      <c r="H274" s="226"/>
      <c r="I274" s="226"/>
      <c r="J274" s="226"/>
    </row>
    <row r="275" spans="2:10">
      <c r="B275" s="226"/>
      <c r="C275" s="226"/>
      <c r="D275" s="277" t="str">
        <f>"I"&amp;LEFT($AJ$12,1)&amp;"DCH4"</f>
        <v>ILDCH4</v>
      </c>
      <c r="E275" s="287" t="str">
        <f>"Industrial heating  heating technology "&amp;$AJ$12&amp;" - CH4 emission"</f>
        <v>Industrial heating  heating technology L - CH4 emission</v>
      </c>
      <c r="F275" s="231" t="s">
        <v>352</v>
      </c>
      <c r="G275" s="222"/>
      <c r="H275" s="226"/>
      <c r="I275" s="226"/>
      <c r="J275" s="226"/>
    </row>
    <row r="276" spans="2:10">
      <c r="B276" s="226"/>
      <c r="C276" s="226"/>
      <c r="D276" s="277" t="str">
        <f>"I"&amp;LEFT($AJ$12,1)&amp;"DNO2"</f>
        <v>ILDNO2</v>
      </c>
      <c r="E276" s="287" t="str">
        <f>"Industrial heating  heating technology "&amp;$AJ$12&amp;" - NO2 emission"</f>
        <v>Industrial heating  heating technology L - NO2 emission</v>
      </c>
      <c r="F276" s="231" t="s">
        <v>352</v>
      </c>
      <c r="G276" s="222"/>
      <c r="H276" s="226"/>
      <c r="I276" s="226"/>
      <c r="J276" s="226"/>
    </row>
    <row r="277" spans="2:10">
      <c r="B277" s="226"/>
      <c r="C277" s="226"/>
      <c r="D277" s="277" t="str">
        <f>"I"&amp;LEFT($AJ$12,1)&amp;"DPM"</f>
        <v>ILDPM</v>
      </c>
      <c r="E277" s="287" t="str">
        <f>"Industrial heating  heating technology "&amp;$AJ$12&amp;" - Particle emission"</f>
        <v>Industrial heating  heating technology L - Particle emission</v>
      </c>
      <c r="F277" s="231" t="s">
        <v>352</v>
      </c>
      <c r="G277" s="222"/>
      <c r="H277" s="226"/>
      <c r="I277" s="226"/>
      <c r="J277" s="226"/>
    </row>
    <row r="278" spans="2:10">
      <c r="B278" s="239" t="s">
        <v>1182</v>
      </c>
      <c r="D278" s="239" t="str">
        <f>AI20</f>
        <v>INDLWH</v>
      </c>
      <c r="E278" s="287" t="str">
        <f>"Industrial heating technology "&amp;$AJ$12&amp;" - Waste heat"</f>
        <v>Industrial heating technology L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5E4C00F-BD5E-4A8F-A893-4181AB4DD74A}">
          <x14:formula1>
            <xm:f>'Oil-fired boiler_NEW'!$T$4:$X$4</xm:f>
          </x14:formula1>
          <xm:sqref>E1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E00E-A061-4F02-970F-A5767CED08CF}">
  <sheetPr>
    <tabColor rgb="FF00B050"/>
  </sheetPr>
  <dimension ref="A1:AJ278"/>
  <sheetViews>
    <sheetView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36" ht="14.7" customHeight="1">
      <c r="D1" s="788" t="s">
        <v>1141</v>
      </c>
      <c r="E1" s="789" t="s">
        <v>844</v>
      </c>
      <c r="N1" s="64"/>
      <c r="O1" s="64"/>
      <c r="P1" s="64"/>
      <c r="S1" s="787" t="s">
        <v>1129</v>
      </c>
      <c r="T1" s="836" t="s">
        <v>1128</v>
      </c>
      <c r="U1" s="835" t="s">
        <v>1178</v>
      </c>
      <c r="V1" s="836" t="s">
        <v>1179</v>
      </c>
      <c r="W1" s="840">
        <v>0.3</v>
      </c>
    </row>
    <row r="2" spans="2:36" ht="15" thickBot="1">
      <c r="E2" s="790" t="s">
        <v>1272</v>
      </c>
      <c r="N2" s="791"/>
      <c r="O2" s="791"/>
      <c r="P2" s="791"/>
      <c r="S2" s="786">
        <f>MATCH($E$1,$AJ$22:$AJ$35)</f>
        <v>13</v>
      </c>
      <c r="T2" s="838">
        <f>MATCH($E$1,$AJ$22:$AJ$35)+1</f>
        <v>14</v>
      </c>
      <c r="U2" s="839"/>
      <c r="V2" s="828" t="s">
        <v>1180</v>
      </c>
      <c r="W2" s="841">
        <v>0.2</v>
      </c>
    </row>
    <row r="3" spans="2:36" ht="15" thickBot="1">
      <c r="N3" s="791"/>
      <c r="O3" s="791"/>
      <c r="P3" s="791"/>
      <c r="S3" s="828"/>
      <c r="T3" s="828"/>
      <c r="U3" s="837"/>
      <c r="V3" s="838" t="s">
        <v>1181</v>
      </c>
      <c r="W3" s="842">
        <v>0</v>
      </c>
    </row>
    <row r="4" spans="2:36">
      <c r="N4" s="791"/>
      <c r="O4" s="791"/>
      <c r="P4" s="791"/>
      <c r="S4" s="828"/>
      <c r="T4" s="828"/>
      <c r="U4" s="828"/>
      <c r="V4" s="828"/>
    </row>
    <row r="5" spans="2:36">
      <c r="J5" s="175" t="s">
        <v>468</v>
      </c>
      <c r="N5" s="791"/>
      <c r="O5" s="791"/>
      <c r="P5" s="791"/>
      <c r="S5" s="828"/>
      <c r="T5" s="828"/>
      <c r="U5" s="828"/>
      <c r="V5" s="828"/>
    </row>
    <row r="6" spans="2:36"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FEMIS~IVDSOx</v>
      </c>
      <c r="Y6" s="299" t="str">
        <f>"FEMIS~"&amp;D274</f>
        <v>FEMIS~IVDNOx</v>
      </c>
      <c r="Z6" s="299" t="str">
        <f>"FEMIS~"&amp;D275</f>
        <v>FEMIS~IVDCH4</v>
      </c>
      <c r="AA6" s="299" t="str">
        <f>"FEMIS~"&amp;D276</f>
        <v>FEMIS~IVDNO2</v>
      </c>
      <c r="AB6" s="299" t="str">
        <f>"FEMIS~"&amp;D277</f>
        <v>FEMIS~IVDPM</v>
      </c>
      <c r="AC6" s="239" t="s">
        <v>424</v>
      </c>
      <c r="AD6" s="239" t="s">
        <v>1428</v>
      </c>
      <c r="AE6" s="47" t="s">
        <v>338</v>
      </c>
      <c r="AF6" s="233" t="s">
        <v>473</v>
      </c>
    </row>
    <row r="7" spans="2:36"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36">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36">
      <c r="B9" s="393" t="s">
        <v>1123</v>
      </c>
      <c r="D9" s="223" t="str">
        <f ca="1">IF(T9=0,"*",IF(T9&gt;0,"IND"&amp;RIGHT(H9,4)&amp;RIGHT(G9,3)&amp;"N"&amp;RIGHT(E9,1),""))</f>
        <v>INDVDMTELCN1</v>
      </c>
      <c r="E9" s="278" t="str">
        <f>"Industrial heating technology "&amp;$AJ$12&amp;" "&amp;RIGHT(H9,2)&amp;" - Heat pump utilizing waste heat - new 1"</f>
        <v>Industrial heating technology Vehicles MT - Heat pump utilizing waste heat - new 1</v>
      </c>
      <c r="F9" s="239" t="s">
        <v>1274</v>
      </c>
      <c r="G9" s="176" t="s">
        <v>500</v>
      </c>
      <c r="H9" s="177" t="str">
        <f>$AI$14</f>
        <v>IVDMT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0.14000000000000001</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36">
      <c r="B10" s="393" t="s">
        <v>1123</v>
      </c>
      <c r="D10" s="223" t="str">
        <f ca="1">IF(T9=0,"*",IF(T10&gt;0,"IND"&amp;RIGHT(H9,4)&amp;RIGHT(G9,3)&amp;"N"&amp;RIGHT(E9,1),""))</f>
        <v/>
      </c>
      <c r="E10" s="278"/>
      <c r="F10" s="239" t="s">
        <v>1274</v>
      </c>
      <c r="G10" s="176" t="str">
        <f>$AI$20</f>
        <v>INDVWH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36">
      <c r="B11" s="393" t="s">
        <v>1123</v>
      </c>
      <c r="D11" s="223" t="str">
        <f ca="1">IF(T9=0,"*",IF(T11&gt;0,"IND"&amp;RIGHT(H9,4)&amp;RIGHT(G9,3)&amp;"N"&amp;RIGHT(E9,1),""))</f>
        <v/>
      </c>
      <c r="E11" s="223"/>
      <c r="F11" s="239" t="s">
        <v>1274</v>
      </c>
      <c r="G11" s="176" t="s">
        <v>500</v>
      </c>
      <c r="H11" s="177" t="str">
        <f>$AI$14</f>
        <v>IVDMT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36">
      <c r="B12" s="393" t="s">
        <v>1123</v>
      </c>
      <c r="D12" s="223" t="str">
        <f ca="1">IF(T9=0,"*",IF(T12&gt;0,"IND"&amp;RIGHT(H9,4)&amp;RIGHT(G9,3)&amp;"N"&amp;RIGHT(E9,1),""))</f>
        <v/>
      </c>
      <c r="E12" s="223"/>
      <c r="F12" s="239" t="s">
        <v>1274</v>
      </c>
      <c r="G12" s="176" t="str">
        <f>$AI$20</f>
        <v>INDVWH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Vehicles</v>
      </c>
    </row>
    <row r="13" spans="2:36">
      <c r="B13" s="393" t="s">
        <v>1123</v>
      </c>
      <c r="D13" s="223" t="str">
        <f ca="1">IF(T9=0,"*",IF(T13&gt;0,"IND"&amp;RIGHT(H9,4)&amp;RIGHT(G9,3)&amp;"N"&amp;RIGHT(E9,1),""))</f>
        <v/>
      </c>
      <c r="E13" s="223"/>
      <c r="F13" s="239" t="s">
        <v>1274</v>
      </c>
      <c r="G13" s="176" t="s">
        <v>500</v>
      </c>
      <c r="H13" s="177" t="str">
        <f>$AI$14</f>
        <v>IVDMT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"I"&amp;LEFT($AJ$12,1)&amp;"DHT"</f>
        <v>IVDHT</v>
      </c>
      <c r="AJ13" s="239" t="str">
        <f>"Industry "&amp;$AJ$12&amp;" Demand Heat High Temp. over 150C"</f>
        <v>Industry Vehicles Demand Heat High Temp. over 150C</v>
      </c>
    </row>
    <row r="14" spans="2:36">
      <c r="B14" s="393" t="s">
        <v>1123</v>
      </c>
      <c r="D14" s="223" t="str">
        <f ca="1">IF(T9=0,"*",IF(T14&gt;0,"IND"&amp;RIGHT(H9,4)&amp;RIGHT(G9,3)&amp;"N"&amp;RIGHT(E9,1),""))</f>
        <v/>
      </c>
      <c r="E14" s="223"/>
      <c r="F14" s="239" t="s">
        <v>1274</v>
      </c>
      <c r="G14" s="176" t="str">
        <f>$AI$20</f>
        <v>INDVWH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"I"&amp;LEFT($AJ$12,1)&amp;"DMT"</f>
        <v>IVDMT</v>
      </c>
      <c r="AJ14" s="239" t="str">
        <f>"Industry "&amp;$AJ$12&amp;" Demand Heat Medium Temp. up to 150C"</f>
        <v>Industry Vehicles Demand Heat Medium Temp. up to 150C</v>
      </c>
    </row>
    <row r="15" spans="2:36">
      <c r="B15" s="393" t="s">
        <v>1123</v>
      </c>
      <c r="D15" s="223" t="str">
        <f ca="1">IF(T15=0,"*",IF(T15&gt;0,"IND"&amp;RIGHT(H15,4)&amp;RIGHT(G15,3)&amp;"N"&amp;RIGHT(E15,1),""))</f>
        <v>INDVDRHELCN1</v>
      </c>
      <c r="E15" s="278" t="str">
        <f>"Industrial heating technology "&amp;$AJ$12&amp;" "&amp;RIGHT(H15,2)&amp;" - Heat pump utilizing waste heat - new 1"</f>
        <v>Industrial heating technology Vehicles RH - Heat pump utilizing waste heat - new 1</v>
      </c>
      <c r="F15" s="239" t="s">
        <v>1274</v>
      </c>
      <c r="G15" s="176" t="s">
        <v>500</v>
      </c>
      <c r="H15" s="177" t="str">
        <f>$AI$15</f>
        <v>IVDRH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"I"&amp;LEFT($AJ$12,1)&amp;"DRH"</f>
        <v>IVDRH</v>
      </c>
      <c r="AJ15" s="239" t="str">
        <f>"Industry "&amp;$AJ$12&amp;" Demand Heat Room Heat"</f>
        <v>Industry Vehicles Demand Heat Room Heat</v>
      </c>
    </row>
    <row r="16" spans="2:36">
      <c r="B16" s="393" t="s">
        <v>1123</v>
      </c>
      <c r="D16" s="223" t="str">
        <f ca="1">IF(T15=0,"*",IF(T16&gt;0,"IND"&amp;RIGHT(H15,4)&amp;RIGHT(G15,3)&amp;"N"&amp;RIGHT(E15,1),""))</f>
        <v/>
      </c>
      <c r="E16" s="278"/>
      <c r="F16" s="239" t="s">
        <v>1274</v>
      </c>
      <c r="G16" s="176" t="str">
        <f>$AI$20</f>
        <v>INDVWH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64" t="str">
        <f>"I"&amp;LEFT($AJ$12,1)&amp;"DLA"</f>
        <v>IVDLA</v>
      </c>
      <c r="AJ16" s="239" t="str">
        <f>"Industry "&amp;$AJ$12&amp;" Demand Light Appliances"</f>
        <v>Industry Vehicles Demand Light Appliances</v>
      </c>
    </row>
    <row r="17" spans="2:36">
      <c r="B17" s="393" t="s">
        <v>1123</v>
      </c>
      <c r="D17" s="223" t="str">
        <f ca="1">IF(T15=0,"*",IF(T17&gt;0,"IND"&amp;RIGHT(H15,4)&amp;RIGHT(G15,3)&amp;"N"&amp;RIGHT(E15,1),""))</f>
        <v/>
      </c>
      <c r="E17" s="223"/>
      <c r="F17" s="239" t="s">
        <v>1274</v>
      </c>
      <c r="G17" s="176" t="s">
        <v>500</v>
      </c>
      <c r="H17" s="177" t="str">
        <f>$AI$15</f>
        <v>IVDRH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6">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"I"&amp;LEFT($AJ$12,1)&amp;"DEM"</f>
        <v>IVDEM</v>
      </c>
      <c r="AJ17" s="239" t="str">
        <f>"Industry "&amp;$AJ$12&amp;" Demand Electric Motors"</f>
        <v>Industry Vehicles Demand Electric Motors</v>
      </c>
    </row>
    <row r="18" spans="2:36">
      <c r="B18" s="393" t="s">
        <v>1123</v>
      </c>
      <c r="D18" s="223" t="str">
        <f ca="1">IF(T15=0,"*",IF(T18&gt;0,"IND"&amp;RIGHT(H15,4)&amp;RIGHT(G15,3)&amp;"N"&amp;RIGHT(E15,1),""))</f>
        <v/>
      </c>
      <c r="E18" s="223"/>
      <c r="F18" s="239" t="s">
        <v>1274</v>
      </c>
      <c r="G18" s="176" t="str">
        <f>$AI$20</f>
        <v>INDVWH</v>
      </c>
      <c r="H18" s="177"/>
      <c r="I18" s="177"/>
      <c r="K18" s="81"/>
      <c r="L18" s="366"/>
      <c r="M18" s="206"/>
      <c r="N18" s="81"/>
      <c r="O18" s="783"/>
      <c r="P18" s="783"/>
      <c r="Q18" s="81"/>
      <c r="R18" s="333"/>
      <c r="S18" s="333"/>
      <c r="T18" s="333"/>
      <c r="U18" s="206">
        <f t="shared" ref="U18" ca="1" si="7">1-1/M17*1.01</f>
        <v>0.77944218682915767</v>
      </c>
      <c r="V18" s="333"/>
      <c r="W18" s="331"/>
      <c r="X18" s="758"/>
      <c r="Y18" s="81"/>
      <c r="Z18" s="81"/>
      <c r="AA18" s="81"/>
      <c r="AB18" s="81"/>
      <c r="AC18" s="241"/>
      <c r="AD18" s="81"/>
      <c r="AE18" s="81"/>
      <c r="AF18" s="232"/>
      <c r="AI18" s="239" t="str">
        <f>"I"&amp;LEFT($AJ$12,1)&amp;"DTF"</f>
        <v>IVDTF</v>
      </c>
      <c r="AJ18" s="239" t="str">
        <f>"Industry "&amp;$AJ$12&amp;" Demand Tractors, Trucks, Fishing boats, Forest machines"</f>
        <v>Industry Vehicles Demand Tractors, Trucks, Fishing boats, Forest machines</v>
      </c>
    </row>
    <row r="19" spans="2:36">
      <c r="B19" s="393" t="s">
        <v>1123</v>
      </c>
      <c r="D19" s="223" t="str">
        <f ca="1">IF(T15=0,"*",IF(T19&gt;0,"IND"&amp;RIGHT(H15,4)&amp;RIGHT(G15,3)&amp;"N"&amp;RIGHT(E15,1),""))</f>
        <v/>
      </c>
      <c r="E19" s="223"/>
      <c r="F19" s="239" t="s">
        <v>1274</v>
      </c>
      <c r="G19" s="176" t="s">
        <v>500</v>
      </c>
      <c r="H19" s="177" t="str">
        <f>$AI$15</f>
        <v>IVDRH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8">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"I"&amp;LEFT($AJ$12,1)&amp;"DFL"</f>
        <v>IVDFL</v>
      </c>
      <c r="AJ19" s="239" t="str">
        <f>"Industry "&amp;$AJ$12&amp;" Demand Forklifts"</f>
        <v>Industry Vehicles Demand Forklifts</v>
      </c>
    </row>
    <row r="20" spans="2:36">
      <c r="B20" s="393" t="s">
        <v>1123</v>
      </c>
      <c r="D20" s="223" t="str">
        <f ca="1">IF(T15=0,"*",IF(T20&gt;0,"IND"&amp;RIGHT(H15,4)&amp;RIGHT(G15,3)&amp;"N"&amp;RIGHT(E15,1),""))</f>
        <v/>
      </c>
      <c r="E20" s="223"/>
      <c r="F20" s="239" t="s">
        <v>1274</v>
      </c>
      <c r="G20" s="176" t="str">
        <f>$AI$20</f>
        <v>INDVWH</v>
      </c>
      <c r="H20" s="177"/>
      <c r="I20" s="177"/>
      <c r="K20" s="81"/>
      <c r="L20" s="366"/>
      <c r="M20" s="206"/>
      <c r="N20" s="81"/>
      <c r="O20" s="783"/>
      <c r="P20" s="783"/>
      <c r="Q20" s="81"/>
      <c r="R20" s="333"/>
      <c r="S20" s="333"/>
      <c r="T20" s="333"/>
      <c r="U20" s="206">
        <f t="shared" ref="U20" ca="1" si="9">1-1/M19*1.01</f>
        <v>0.78597627649934987</v>
      </c>
      <c r="V20" s="333"/>
      <c r="W20" s="331"/>
      <c r="X20" s="758"/>
      <c r="Y20" s="81"/>
      <c r="Z20" s="81"/>
      <c r="AA20" s="81"/>
      <c r="AB20" s="81"/>
      <c r="AC20" s="241"/>
      <c r="AD20" s="81"/>
      <c r="AE20" s="81"/>
      <c r="AF20" s="232"/>
      <c r="AI20" s="36" t="str">
        <f>"IND"&amp;LEFT($AJ$12,1)&amp;"WH"</f>
        <v>INDVWH</v>
      </c>
      <c r="AJ20" s="239" t="str">
        <f>"Industry "&amp;$AJ$12&amp;" Waste Heat"</f>
        <v>Industry Vehicles Waste Heat</v>
      </c>
    </row>
    <row r="21" spans="2:36">
      <c r="B21" s="393" t="s">
        <v>1124</v>
      </c>
      <c r="D21" s="223" t="str">
        <f ca="1">IF(T21=0,"*",IF(T21&gt;0,"IND"&amp;RIGHT(H21,4)&amp;RIGHT(G21,3)&amp;"N"&amp;RIGHT(E21,1),""))</f>
        <v>*</v>
      </c>
      <c r="E21" s="278" t="str">
        <f>"Industrial heating technology "&amp;$AJ$12&amp;" "&amp;RIGHT(H21,2)&amp;" - Heat driven heat pump utilizing waste heat - new 2"</f>
        <v>Industrial heating technology Vehicles MT - Heat driven heat pump utilizing waste heat - new 2</v>
      </c>
      <c r="F21" s="239" t="s">
        <v>1274</v>
      </c>
      <c r="G21" s="176" t="s">
        <v>500</v>
      </c>
      <c r="H21" s="177" t="str">
        <f>$AI$14</f>
        <v>IVDMT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0">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36">
      <c r="B22" s="393" t="s">
        <v>1124</v>
      </c>
      <c r="D22" s="223" t="str">
        <f ca="1">IF(T21=0,"*",IF(T22&gt;0,"IND"&amp;RIGHT(H21,4)&amp;RIGHT(G21,3)&amp;"N"&amp;RIGHT(E21,1),""))</f>
        <v>*</v>
      </c>
      <c r="E22" s="278"/>
      <c r="F22" s="239" t="s">
        <v>1274</v>
      </c>
      <c r="G22" s="176" t="str">
        <f>$AI$20</f>
        <v>INDVWH</v>
      </c>
      <c r="H22" s="177"/>
      <c r="I22" s="177"/>
      <c r="K22" s="81"/>
      <c r="L22" s="366"/>
      <c r="M22" s="206"/>
      <c r="N22" s="81"/>
      <c r="O22" s="783"/>
      <c r="P22" s="783"/>
      <c r="Q22" s="81"/>
      <c r="R22" s="208"/>
      <c r="S22" s="832"/>
      <c r="T22" s="832"/>
      <c r="U22" s="206">
        <f t="shared" ref="U22" ca="1" si="11">1-1/M21*1.01</f>
        <v>0.39880952380952384</v>
      </c>
      <c r="V22" s="832"/>
      <c r="W22" s="331"/>
      <c r="X22" s="758"/>
      <c r="Y22" s="81"/>
      <c r="Z22" s="81"/>
      <c r="AA22" s="81"/>
      <c r="AB22" s="81"/>
      <c r="AC22" s="241"/>
      <c r="AD22" s="81"/>
      <c r="AE22" s="81"/>
      <c r="AF22" s="232"/>
      <c r="AI22" s="239">
        <v>1</v>
      </c>
    </row>
    <row r="23" spans="2:36">
      <c r="B23" s="393" t="s">
        <v>1124</v>
      </c>
      <c r="D23" s="223" t="str">
        <f ca="1">IF(T21=0,"*",IF(T23&gt;0,"IND"&amp;RIGHT(H21,4)&amp;RIGHT(G21,3)&amp;"N"&amp;RIGHT(E21,1),""))</f>
        <v>*</v>
      </c>
      <c r="E23" s="223"/>
      <c r="F23" s="239" t="s">
        <v>1274</v>
      </c>
      <c r="G23" s="176" t="s">
        <v>500</v>
      </c>
      <c r="H23" s="177" t="str">
        <f>$AI$14</f>
        <v>IVDMT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2">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36" ht="14.7" customHeight="1">
      <c r="B24" s="393" t="s">
        <v>1124</v>
      </c>
      <c r="D24" s="223" t="str">
        <f ca="1">IF(T21=0,"*",IF(T24&gt;0,"IND"&amp;RIGHT(H21,4)&amp;RIGHT(G21,3)&amp;"N"&amp;RIGHT(E21,1),""))</f>
        <v>*</v>
      </c>
      <c r="E24" s="223"/>
      <c r="F24" s="239" t="s">
        <v>1274</v>
      </c>
      <c r="G24" s="176" t="str">
        <f>$AI$20</f>
        <v>INDVWH</v>
      </c>
      <c r="H24" s="177"/>
      <c r="I24" s="177"/>
      <c r="K24" s="81"/>
      <c r="L24" s="366"/>
      <c r="M24" s="206"/>
      <c r="N24" s="81"/>
      <c r="O24" s="783"/>
      <c r="P24" s="783"/>
      <c r="Q24" s="81"/>
      <c r="R24" s="333"/>
      <c r="S24" s="333"/>
      <c r="T24" s="333"/>
      <c r="U24" s="206">
        <f t="shared" ref="U24" ca="1" si="13">1-1/M23*1.01</f>
        <v>0.40236686390532539</v>
      </c>
      <c r="V24" s="333"/>
      <c r="W24" s="331"/>
      <c r="X24" s="758"/>
      <c r="Y24" s="81"/>
      <c r="Z24" s="81"/>
      <c r="AA24" s="81"/>
      <c r="AB24" s="81"/>
      <c r="AC24" s="241"/>
      <c r="AD24" s="81"/>
      <c r="AE24" s="81"/>
      <c r="AF24" s="232"/>
      <c r="AI24" s="239">
        <v>3</v>
      </c>
    </row>
    <row r="25" spans="2:36" ht="14.7" customHeight="1">
      <c r="B25" s="393" t="s">
        <v>1124</v>
      </c>
      <c r="D25" s="223" t="str">
        <f ca="1">IF(T21=0,"*",IF(T25&gt;0,"IND"&amp;RIGHT(H21,4)&amp;RIGHT(G21,3)&amp;"N"&amp;RIGHT(E21,1),""))</f>
        <v>*</v>
      </c>
      <c r="E25" s="223"/>
      <c r="F25" s="239" t="s">
        <v>1274</v>
      </c>
      <c r="G25" s="176" t="s">
        <v>500</v>
      </c>
      <c r="H25" s="177" t="str">
        <f>$AI$14</f>
        <v>IVDMT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4">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36" ht="15" customHeight="1">
      <c r="B26" s="393" t="s">
        <v>1124</v>
      </c>
      <c r="D26" s="223" t="str">
        <f ca="1">IF(T21=0,"*",IF(T26&gt;0,"IND"&amp;RIGHT(H21,4)&amp;RIGHT(G21,3)&amp;"N"&amp;RIGHT(E21,1),""))</f>
        <v>*</v>
      </c>
      <c r="E26" s="223"/>
      <c r="F26" s="239" t="s">
        <v>1274</v>
      </c>
      <c r="G26" s="176" t="str">
        <f>$AI$20</f>
        <v>INDVWH</v>
      </c>
      <c r="H26" s="177"/>
      <c r="I26" s="177"/>
      <c r="K26" s="81"/>
      <c r="L26" s="366"/>
      <c r="M26" s="206"/>
      <c r="N26" s="81"/>
      <c r="O26" s="783"/>
      <c r="P26" s="783"/>
      <c r="Q26" s="81"/>
      <c r="R26" s="333"/>
      <c r="S26" s="333"/>
      <c r="T26" s="333"/>
      <c r="U26" s="206">
        <f t="shared" ref="U26" ca="1" si="15">1-1/M25*1.01</f>
        <v>0.40935672514619881</v>
      </c>
      <c r="V26" s="333"/>
      <c r="W26" s="331"/>
      <c r="X26" s="758"/>
      <c r="Y26" s="81"/>
      <c r="Z26" s="81"/>
      <c r="AA26" s="81"/>
      <c r="AB26" s="81"/>
      <c r="AC26" s="241"/>
      <c r="AD26" s="81"/>
      <c r="AE26" s="81"/>
      <c r="AF26" s="232"/>
      <c r="AI26" s="239">
        <v>5</v>
      </c>
      <c r="AJ26" s="239" t="s">
        <v>840</v>
      </c>
    </row>
    <row r="27" spans="2:36">
      <c r="B27" s="393" t="s">
        <v>1124</v>
      </c>
      <c r="D27" s="223" t="str">
        <f ca="1">IF(T27=0,"*",IF(T27&gt;0,"IND"&amp;RIGHT(H27,4)&amp;RIGHT(G27,3)&amp;"N"&amp;RIGHT(E27,1),""))</f>
        <v>INDVDRHELCN2</v>
      </c>
      <c r="E27" s="278" t="str">
        <f>"Industrial heating technology "&amp;$AJ$12&amp;" "&amp;RIGHT(H27,2)&amp;" - Heat driven heat pump utilizing waste heat - new 2"</f>
        <v>Industrial heating technology Vehicles RH - Heat driven heat pump utilizing waste heat - new 2</v>
      </c>
      <c r="F27" s="239" t="s">
        <v>1274</v>
      </c>
      <c r="G27" s="176" t="s">
        <v>500</v>
      </c>
      <c r="H27" s="177" t="str">
        <f>$AI$15</f>
        <v>IVDRH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6">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36" ht="15" customHeight="1">
      <c r="B28" s="393" t="s">
        <v>1124</v>
      </c>
      <c r="D28" s="223" t="str">
        <f ca="1">IF(T27=0,"*",IF(T28&gt;0,"IND"&amp;RIGHT(H27,4)&amp;RIGHT(G27,3)&amp;"N"&amp;RIGHT(E27,1),""))</f>
        <v/>
      </c>
      <c r="E28" s="278"/>
      <c r="F28" s="239" t="s">
        <v>1274</v>
      </c>
      <c r="G28" s="176" t="str">
        <f>$AI$20</f>
        <v>INDVWH</v>
      </c>
      <c r="H28" s="177"/>
      <c r="I28" s="177"/>
      <c r="K28" s="81"/>
      <c r="L28" s="366"/>
      <c r="M28" s="206"/>
      <c r="N28" s="81"/>
      <c r="O28" s="783"/>
      <c r="P28" s="783"/>
      <c r="Q28" s="81"/>
      <c r="R28" s="208"/>
      <c r="S28" s="832"/>
      <c r="T28" s="832"/>
      <c r="U28" s="206">
        <f t="shared" ref="U28" ca="1" si="17">1-1/M27*1.01</f>
        <v>0.39880952380952384</v>
      </c>
      <c r="V28" s="832"/>
      <c r="W28" s="331"/>
      <c r="X28" s="758"/>
      <c r="Y28" s="81"/>
      <c r="Z28" s="81"/>
      <c r="AA28" s="81"/>
      <c r="AB28" s="81"/>
      <c r="AD28" s="81"/>
      <c r="AE28" s="81"/>
      <c r="AF28" s="232"/>
      <c r="AI28" s="239">
        <v>7</v>
      </c>
      <c r="AJ28" s="239" t="s">
        <v>841</v>
      </c>
    </row>
    <row r="29" spans="2:36">
      <c r="B29" s="393" t="s">
        <v>1124</v>
      </c>
      <c r="D29" s="223" t="str">
        <f ca="1">IF(T27=0,"*",IF(T29&gt;0,"IND"&amp;RIGHT(H27,4)&amp;RIGHT(G27,3)&amp;"N"&amp;RIGHT(E27,1),""))</f>
        <v/>
      </c>
      <c r="E29" s="223"/>
      <c r="F29" s="239" t="s">
        <v>1274</v>
      </c>
      <c r="G29" s="176" t="s">
        <v>500</v>
      </c>
      <c r="H29" s="177" t="str">
        <f>$AI$15</f>
        <v>IVDRH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8">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36" ht="15" customHeight="1">
      <c r="B30" s="393" t="s">
        <v>1124</v>
      </c>
      <c r="D30" s="223" t="str">
        <f ca="1">IF(T27=0,"*",IF(T30&gt;0,"IND"&amp;RIGHT(H27,4)&amp;RIGHT(G27,3)&amp;"N"&amp;RIGHT(E27,1),""))</f>
        <v/>
      </c>
      <c r="E30" s="223"/>
      <c r="F30" s="239" t="s">
        <v>1274</v>
      </c>
      <c r="G30" s="176" t="str">
        <f>$AI$20</f>
        <v>INDVWH</v>
      </c>
      <c r="H30" s="177"/>
      <c r="I30" s="177"/>
      <c r="K30" s="81"/>
      <c r="L30" s="366"/>
      <c r="M30" s="206"/>
      <c r="N30" s="81"/>
      <c r="O30" s="783"/>
      <c r="P30" s="783"/>
      <c r="Q30" s="81"/>
      <c r="R30" s="333"/>
      <c r="S30" s="333"/>
      <c r="T30" s="333"/>
      <c r="U30" s="206">
        <f t="shared" ref="U30" ca="1" si="19">1-1/M29*1.01</f>
        <v>0.40236686390532539</v>
      </c>
      <c r="V30" s="333"/>
      <c r="W30" s="331"/>
      <c r="X30" s="758"/>
      <c r="Y30" s="81"/>
      <c r="Z30" s="81"/>
      <c r="AA30" s="81"/>
      <c r="AB30" s="81"/>
      <c r="AD30" s="81"/>
      <c r="AE30" s="81"/>
      <c r="AF30" s="232"/>
      <c r="AI30" s="239">
        <v>9</v>
      </c>
      <c r="AJ30" s="239" t="s">
        <v>842</v>
      </c>
    </row>
    <row r="31" spans="2:36">
      <c r="B31" s="393" t="s">
        <v>1124</v>
      </c>
      <c r="D31" s="223" t="str">
        <f ca="1">IF(T27=0,"*",IF(T31&gt;0,"IND"&amp;RIGHT(H27,4)&amp;RIGHT(G27,3)&amp;"N"&amp;RIGHT(E27,1),""))</f>
        <v/>
      </c>
      <c r="E31" s="223"/>
      <c r="F31" s="239" t="s">
        <v>1274</v>
      </c>
      <c r="G31" s="176" t="s">
        <v>500</v>
      </c>
      <c r="H31" s="177" t="str">
        <f>$AI$15</f>
        <v>IVDRH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0">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36">
      <c r="B32" s="393" t="s">
        <v>1124</v>
      </c>
      <c r="D32" s="223" t="str">
        <f ca="1">IF(T27=0,"*",IF(T32&gt;0,"IND"&amp;RIGHT(H27,4)&amp;RIGHT(G27,3)&amp;"N"&amp;RIGHT(E27,1),""))</f>
        <v/>
      </c>
      <c r="E32" s="223"/>
      <c r="F32" s="239" t="s">
        <v>1274</v>
      </c>
      <c r="G32" s="176" t="str">
        <f>$AI$20</f>
        <v>INDVWH</v>
      </c>
      <c r="H32" s="177"/>
      <c r="I32" s="177"/>
      <c r="K32" s="81"/>
      <c r="L32" s="366"/>
      <c r="M32" s="206"/>
      <c r="N32" s="81"/>
      <c r="O32" s="783"/>
      <c r="P32" s="783"/>
      <c r="Q32" s="81"/>
      <c r="R32" s="333"/>
      <c r="S32" s="333"/>
      <c r="T32" s="333"/>
      <c r="U32" s="206">
        <f t="shared" ref="U32" ca="1" si="21">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INDVDMTELCN3</v>
      </c>
      <c r="E33" s="278" t="str">
        <f>"Industrial heating technology "&amp;$AJ$12&amp;" "&amp;RIGHT(H33,2)&amp;" - High Temp abs. Heat pump utilizing waste heat - new 3"</f>
        <v>Industrial heating technology Vehicles MT - High Temp abs. Heat pump utilizing waste heat - new 3</v>
      </c>
      <c r="F33" s="239" t="s">
        <v>1274</v>
      </c>
      <c r="G33" s="176" t="s">
        <v>500</v>
      </c>
      <c r="H33" s="177" t="str">
        <f>$AI$14</f>
        <v>IVDMT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0.16</v>
      </c>
      <c r="U33" s="206">
        <f t="shared" ref="U33" ca="1" si="22">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INDVWH</v>
      </c>
      <c r="H34" s="177"/>
      <c r="I34" s="177"/>
      <c r="K34" s="81"/>
      <c r="L34" s="366"/>
      <c r="M34" s="206"/>
      <c r="N34" s="81"/>
      <c r="O34" s="783"/>
      <c r="P34" s="783"/>
      <c r="Q34" s="81"/>
      <c r="R34" s="208"/>
      <c r="S34" s="832"/>
      <c r="T34" s="832"/>
      <c r="U34" s="206">
        <f t="shared" ref="U34" ca="1" si="23">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IVDMT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4">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INDVWH</v>
      </c>
      <c r="H36" s="177"/>
      <c r="I36" s="177"/>
      <c r="K36" s="81"/>
      <c r="L36" s="366"/>
      <c r="M36" s="206"/>
      <c r="N36" s="81"/>
      <c r="O36" s="783"/>
      <c r="P36" s="783"/>
      <c r="Q36" s="81"/>
      <c r="R36" s="333"/>
      <c r="S36" s="333"/>
      <c r="T36" s="333"/>
      <c r="U36" s="206">
        <f t="shared" ref="U36" ca="1" si="25">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IVDMT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6">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INDVWH</v>
      </c>
      <c r="H38" s="177"/>
      <c r="I38" s="177"/>
      <c r="K38" s="81"/>
      <c r="L38" s="366"/>
      <c r="M38" s="206"/>
      <c r="N38" s="81"/>
      <c r="O38" s="783"/>
      <c r="P38" s="783"/>
      <c r="Q38" s="81"/>
      <c r="R38" s="333"/>
      <c r="S38" s="333"/>
      <c r="T38" s="333"/>
      <c r="U38" s="206">
        <f t="shared" ref="U38" ca="1" si="27">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INDVDRHELCN3</v>
      </c>
      <c r="E39" s="278" t="str">
        <f>"Industrial heating technology "&amp;$AJ$12&amp;" "&amp;RIGHT(H39,2)&amp;" - High Temp abs. Heat pump utilizing waste heat - new 3"</f>
        <v>Industrial heating technology Vehicles RH - High Temp abs. Heat pump utilizing waste heat - new 3</v>
      </c>
      <c r="F39" s="239" t="s">
        <v>1274</v>
      </c>
      <c r="G39" s="176" t="s">
        <v>500</v>
      </c>
      <c r="H39" s="177" t="str">
        <f>$AI$15</f>
        <v>IVDRH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8">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INDVWH</v>
      </c>
      <c r="H40" s="177"/>
      <c r="I40" s="177"/>
      <c r="K40" s="81"/>
      <c r="L40" s="366"/>
      <c r="M40" s="206"/>
      <c r="N40" s="81"/>
      <c r="O40" s="783"/>
      <c r="P40" s="783"/>
      <c r="Q40" s="81"/>
      <c r="R40" s="208"/>
      <c r="S40" s="832"/>
      <c r="T40" s="832"/>
      <c r="U40" s="206">
        <f t="shared" ref="U40" ca="1" si="29">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IVDRH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0">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INDVWH</v>
      </c>
      <c r="H42" s="177"/>
      <c r="I42" s="177"/>
      <c r="K42" s="81"/>
      <c r="L42" s="366"/>
      <c r="M42" s="206"/>
      <c r="N42" s="81"/>
      <c r="O42" s="783"/>
      <c r="P42" s="783"/>
      <c r="Q42" s="81"/>
      <c r="R42" s="333"/>
      <c r="S42" s="333"/>
      <c r="T42" s="333"/>
      <c r="U42" s="206">
        <f t="shared" ref="U42" ca="1" si="31">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IVDRH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2">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INDVWH</v>
      </c>
      <c r="H44" s="177"/>
      <c r="I44" s="177"/>
      <c r="K44" s="81"/>
      <c r="L44" s="366"/>
      <c r="M44" s="206"/>
      <c r="N44" s="81"/>
      <c r="O44" s="783"/>
      <c r="P44" s="783"/>
      <c r="Q44" s="81"/>
      <c r="R44" s="333"/>
      <c r="S44" s="333"/>
      <c r="T44" s="333"/>
      <c r="U44" s="206">
        <f t="shared" ref="U44" ca="1" si="33">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INDVDMTELCN4</v>
      </c>
      <c r="E45" s="278" t="str">
        <f>"Industrial heating technology "&amp;$AJ$12&amp;" "&amp;RIGHT(H45,2)&amp;" - Booster Heat pump utilizing waste heat - new 4"</f>
        <v>Industrial heating technology Vehicles MT - Booster Heat pump utilizing waste heat - new 4</v>
      </c>
      <c r="F45" s="239" t="s">
        <v>1274</v>
      </c>
      <c r="G45" s="176" t="s">
        <v>500</v>
      </c>
      <c r="H45" s="177" t="str">
        <f>$AI$14</f>
        <v>IVDMT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0.47</v>
      </c>
      <c r="U45" s="206">
        <f t="shared" ref="U45" ca="1" si="34">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INDVWH</v>
      </c>
      <c r="H46" s="177"/>
      <c r="I46" s="177"/>
      <c r="K46" s="81"/>
      <c r="L46" s="366"/>
      <c r="M46" s="206"/>
      <c r="N46" s="81"/>
      <c r="O46" s="783"/>
      <c r="P46" s="783"/>
      <c r="Q46" s="81"/>
      <c r="R46" s="208"/>
      <c r="S46" s="832"/>
      <c r="T46" s="832"/>
      <c r="U46" s="206">
        <f t="shared" ref="U46" ca="1" si="35">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IVDMT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6">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INDVWH</v>
      </c>
      <c r="H48" s="177"/>
      <c r="I48" s="177"/>
      <c r="K48" s="81"/>
      <c r="L48" s="366"/>
      <c r="M48" s="206"/>
      <c r="N48" s="81"/>
      <c r="O48" s="783"/>
      <c r="P48" s="783"/>
      <c r="Q48" s="81"/>
      <c r="R48" s="333"/>
      <c r="S48" s="333"/>
      <c r="T48" s="333"/>
      <c r="U48" s="206">
        <f t="shared" ref="U48" ca="1" si="37">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IVDMT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8">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INDVWH</v>
      </c>
      <c r="H50" s="177"/>
      <c r="I50" s="177"/>
      <c r="K50" s="81"/>
      <c r="L50" s="366"/>
      <c r="M50" s="206"/>
      <c r="N50" s="81"/>
      <c r="O50" s="783"/>
      <c r="P50" s="783"/>
      <c r="Q50" s="81"/>
      <c r="R50" s="333"/>
      <c r="S50" s="333"/>
      <c r="T50" s="333"/>
      <c r="U50" s="206">
        <f t="shared" ref="U50" ca="1" si="39">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INDVDRHELCN4</v>
      </c>
      <c r="E51" s="278" t="str">
        <f>"Industrial heating technology "&amp;$AJ$12&amp;" "&amp;RIGHT(H51,2)&amp;" - Booster Heat pump utilizing waste heat - new 4"</f>
        <v>Industrial heating technology Vehicles RH - Booster Heat pump utilizing waste heat - new 4</v>
      </c>
      <c r="F51" s="239" t="s">
        <v>1274</v>
      </c>
      <c r="G51" s="176" t="s">
        <v>500</v>
      </c>
      <c r="H51" s="177" t="str">
        <f>$AI$15</f>
        <v>IVDRH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0">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INDVWH</v>
      </c>
      <c r="H52" s="177"/>
      <c r="I52" s="177"/>
      <c r="K52" s="81"/>
      <c r="L52" s="366"/>
      <c r="M52" s="206"/>
      <c r="N52" s="81"/>
      <c r="O52" s="783"/>
      <c r="P52" s="783"/>
      <c r="Q52" s="81"/>
      <c r="R52" s="208"/>
      <c r="S52" s="832"/>
      <c r="T52" s="832"/>
      <c r="U52" s="206">
        <f t="shared" ref="U52" ca="1" si="41">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IVDRH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2">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INDVWH</v>
      </c>
      <c r="H54" s="177"/>
      <c r="I54" s="177"/>
      <c r="K54" s="81"/>
      <c r="L54" s="366"/>
      <c r="M54" s="206"/>
      <c r="N54" s="81"/>
      <c r="O54" s="783"/>
      <c r="P54" s="783"/>
      <c r="Q54" s="81"/>
      <c r="R54" s="333"/>
      <c r="S54" s="333"/>
      <c r="T54" s="333"/>
      <c r="U54" s="206">
        <f t="shared" ref="U54" ca="1" si="43">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IVDRH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4">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INDVWH</v>
      </c>
      <c r="H56" s="177"/>
      <c r="I56" s="177"/>
      <c r="K56" s="81"/>
      <c r="L56" s="366"/>
      <c r="M56" s="206"/>
      <c r="N56" s="81"/>
      <c r="O56" s="783"/>
      <c r="P56" s="783"/>
      <c r="Q56" s="81"/>
      <c r="R56" s="333"/>
      <c r="S56" s="333"/>
      <c r="T56" s="333"/>
      <c r="U56" s="206">
        <f t="shared" ref="U56" ca="1" si="45">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INDVDMTELCN5</v>
      </c>
      <c r="E57" s="278" t="str">
        <f>"Industrial heating technology "&amp;$AJ$12&amp;" "&amp;RIGHT(H57,2)&amp;" - MVR utilizing waste heat - new 5"</f>
        <v>Industrial heating technology Vehicles MT - MVR utilizing waste heat - new 5</v>
      </c>
      <c r="F57" s="239" t="s">
        <v>1274</v>
      </c>
      <c r="G57" s="176" t="s">
        <v>500</v>
      </c>
      <c r="H57" s="177" t="str">
        <f>$AI$14</f>
        <v>IVDMT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0.06</v>
      </c>
      <c r="U57" s="206">
        <f t="shared" ref="U57" ca="1" si="46">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INDVWH</v>
      </c>
      <c r="H58" s="177"/>
      <c r="I58" s="177"/>
      <c r="K58" s="81"/>
      <c r="L58" s="206"/>
      <c r="M58" s="206"/>
      <c r="N58" s="81"/>
      <c r="O58" s="783"/>
      <c r="P58" s="783"/>
      <c r="Q58" s="81"/>
      <c r="R58" s="208"/>
      <c r="S58" s="832"/>
      <c r="T58" s="832"/>
      <c r="U58" s="206">
        <f t="shared" ref="U58" ca="1" si="47">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IVDMT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8">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INDVWH</v>
      </c>
      <c r="H60" s="177"/>
      <c r="I60" s="177"/>
      <c r="K60" s="81"/>
      <c r="L60" s="206"/>
      <c r="M60" s="206"/>
      <c r="N60" s="81"/>
      <c r="O60" s="783"/>
      <c r="P60" s="783"/>
      <c r="Q60" s="81"/>
      <c r="R60" s="333"/>
      <c r="S60" s="333"/>
      <c r="T60" s="333"/>
      <c r="U60" s="206">
        <f t="shared" ref="U60" ca="1" si="49">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IVDMT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0">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INDVWH</v>
      </c>
      <c r="H62" s="848"/>
      <c r="I62" s="848"/>
      <c r="K62" s="849"/>
      <c r="L62" s="850"/>
      <c r="M62" s="850"/>
      <c r="N62" s="849"/>
      <c r="O62" s="851"/>
      <c r="P62" s="851"/>
      <c r="Q62" s="849"/>
      <c r="R62" s="852"/>
      <c r="S62" s="852"/>
      <c r="T62" s="852"/>
      <c r="U62" s="206">
        <f t="shared" ref="U62" ca="1" si="51">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Vehicles HT - Hotdisc - new 1</v>
      </c>
      <c r="F63" s="239" t="s">
        <v>1274</v>
      </c>
      <c r="G63" s="892" t="s">
        <v>1130</v>
      </c>
      <c r="H63" s="177" t="str">
        <f>$AI$13</f>
        <v>IVDHT</v>
      </c>
      <c r="I63" s="176" t="str">
        <f t="shared" ref="I63:I94" si="52">$AI$20</f>
        <v>INDVWH</v>
      </c>
      <c r="J63" s="239">
        <f t="shared" ref="J63:J94" si="53">IF(AD63=2020,2011,AD63)</f>
        <v>2011</v>
      </c>
      <c r="K63" s="332">
        <f>J63</f>
        <v>2011</v>
      </c>
      <c r="L63" s="759">
        <f t="shared" ref="L63:L80" ca="1" si="54">VLOOKUP($AD63,INDIRECT("'"&amp;$B63&amp;"'!"&amp;"$P$39:$AD$42"),3,FALSE)</f>
        <v>0.9</v>
      </c>
      <c r="M63" s="759"/>
      <c r="N63" s="332">
        <f ca="1">VLOOKUP($AD63,INDIRECT("'"&amp;$B63&amp;"'!"&amp;"$P$39:$AD$42"),5,FALSE)</f>
        <v>20</v>
      </c>
      <c r="O63" s="785">
        <f t="shared" ref="O63:O80" ca="1" si="55">VLOOKUP($AD63,INDIRECT("'"&amp;$B63&amp;"'!"&amp;"$P$39:$AD$42"),6,FALSE)/1000</f>
        <v>3.7250000000000001</v>
      </c>
      <c r="P63" s="785">
        <f t="shared" ref="P63:P80" ca="1" si="56">VLOOKUP($AD63,INDIRECT("'"&amp;$B63&amp;"'!"&amp;"$P$39:$AD$42"),7,FALSE)/1000</f>
        <v>2.98E-3</v>
      </c>
      <c r="Q63" s="332">
        <f t="shared" ref="Q63:Q80" ca="1" si="57">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8">IF(VLOOKUP($AD63,INDIRECT("'"&amp;$B63&amp;"'!"&amp;"$P$39:$AD$42"),11,FALSE)="Cf. the utilized electricity",0,VLOOKUP($AD63,INDIRECT("'"&amp;$B63&amp;"'!"&amp;"$P$39:$AD$42"),11,FALSE))</f>
        <v>8.3000000000000007</v>
      </c>
      <c r="Y63" s="332">
        <f t="shared" ref="Y63:Y80" ca="1" si="59">VLOOKUP($AD63,INDIRECT("'"&amp;$B63&amp;"'!"&amp;"$P$39:$AD$42"),12,FALSE)</f>
        <v>56</v>
      </c>
      <c r="Z63" s="332">
        <f t="shared" ref="Z63:Z80" ca="1" si="60">VLOOKUP($AD63,INDIRECT("'"&amp;$B63&amp;"'!"&amp;"$P$39:$AD$42"),13,FALSE)</f>
        <v>0.1</v>
      </c>
      <c r="AA63" s="332">
        <f t="shared" ref="AA63:AA80" ca="1" si="61">VLOOKUP($AD63,INDIRECT("'"&amp;$B63&amp;"'!"&amp;"$P$39:$AD$42"),14,FALSE)</f>
        <v>1</v>
      </c>
      <c r="AB63" s="332">
        <f t="shared" ref="AB63:AB80" ca="1" si="62">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2"/>
        <v>INDVWH</v>
      </c>
      <c r="J64" s="239">
        <f t="shared" si="53"/>
        <v>2030</v>
      </c>
      <c r="K64" s="81"/>
      <c r="L64" s="206">
        <f t="shared" ca="1" si="54"/>
        <v>0.91</v>
      </c>
      <c r="M64" s="206"/>
      <c r="N64" s="81"/>
      <c r="O64" s="783">
        <f t="shared" ca="1" si="55"/>
        <v>3.4642500000000003</v>
      </c>
      <c r="P64" s="783">
        <f t="shared" ca="1" si="56"/>
        <v>2.98E-3</v>
      </c>
      <c r="Q64" s="81">
        <f t="shared" ca="1" si="57"/>
        <v>2.4729861111111116</v>
      </c>
      <c r="R64" s="333"/>
      <c r="S64" s="333"/>
      <c r="T64" s="333"/>
      <c r="U64" s="333"/>
      <c r="V64" s="759">
        <f ca="1">IF(IF(RIGHT(H63,2)="MT",(1-L64)+$W$2,IF(RIGHT(H63,2)="HT",(1-L64)+$W$1,IF(RIGHT(H63,2)="RH",(1-L64)+$W$3,"")))&lt;0,0,IF(RIGHT(H63,2)="MT",(1-L64)+$W$2,IF(RIGHT(H63,2)="HT",(1-L64)+$W$1,IF(RIGHT(H63,2)="RH",(1-L64)+$W$3,""))))</f>
        <v>0.38999999999999996</v>
      </c>
      <c r="W64" s="331"/>
      <c r="X64" s="758">
        <f t="shared" ca="1" si="58"/>
        <v>8.3000000000000007</v>
      </c>
      <c r="Y64" s="81">
        <f t="shared" ca="1" si="59"/>
        <v>45</v>
      </c>
      <c r="Z64" s="81">
        <f t="shared" ca="1" si="60"/>
        <v>0.1</v>
      </c>
      <c r="AA64" s="81">
        <f t="shared" ca="1" si="61"/>
        <v>1</v>
      </c>
      <c r="AB64" s="81">
        <f t="shared" ca="1" si="62"/>
        <v>0.28999999999999998</v>
      </c>
      <c r="AD64" s="81">
        <v>2030</v>
      </c>
      <c r="AE64" s="81"/>
      <c r="AF64" s="232"/>
    </row>
    <row r="65" spans="2:32">
      <c r="B65" s="393" t="s">
        <v>1045</v>
      </c>
      <c r="D65" s="223" t="str">
        <f ca="1">IF(T63=0,"*",IF(T65&gt;0,"IND"&amp;RIGHT(H63,4)&amp;RIGHT(G63,3)&amp;"N"&amp;RIGHT(E63,1),""))</f>
        <v>*</v>
      </c>
      <c r="E65" s="223"/>
      <c r="F65" s="239" t="s">
        <v>1274</v>
      </c>
      <c r="H65" s="177"/>
      <c r="I65" s="176" t="str">
        <f t="shared" si="52"/>
        <v>INDVWH</v>
      </c>
      <c r="J65" s="239">
        <f t="shared" si="53"/>
        <v>2050</v>
      </c>
      <c r="K65" s="81"/>
      <c r="L65" s="206">
        <f t="shared" ca="1" si="54"/>
        <v>0.93</v>
      </c>
      <c r="M65" s="206"/>
      <c r="N65" s="81"/>
      <c r="O65" s="783">
        <f t="shared" ca="1" si="55"/>
        <v>3.3525</v>
      </c>
      <c r="P65" s="783">
        <f t="shared" ca="1" si="56"/>
        <v>2.98E-3</v>
      </c>
      <c r="Q65" s="81">
        <f t="shared" ca="1" si="57"/>
        <v>2.4936805555555561</v>
      </c>
      <c r="R65" s="333"/>
      <c r="S65" s="333"/>
      <c r="T65" s="333"/>
      <c r="U65" s="333"/>
      <c r="V65" s="759">
        <f ca="1">IF(IF(RIGHT(H63,2)="MT",(1-L65)+$W$2,IF(RIGHT(H63,2)="HT",(1-L65)+$W$1,IF(RIGHT(H63,2)="RH",(1-L65)+$W$3,"")))&lt;0,0,IF(RIGHT(H63,2)="MT",(1-L65)+$W$2,IF(RIGHT(H63,2)="HT",(1-L65)+$W$1,IF(RIGHT(H63,2)="RH",(1-L65)+$W$3,""))))</f>
        <v>0.36999999999999994</v>
      </c>
      <c r="W65" s="331"/>
      <c r="X65" s="758">
        <f t="shared" ca="1" si="58"/>
        <v>8.3000000000000007</v>
      </c>
      <c r="Y65" s="81">
        <f t="shared" ca="1" si="59"/>
        <v>11</v>
      </c>
      <c r="Z65" s="81">
        <f t="shared" ca="1" si="60"/>
        <v>0.1</v>
      </c>
      <c r="AA65" s="81">
        <f t="shared" ca="1" si="61"/>
        <v>1</v>
      </c>
      <c r="AB65" s="81">
        <f t="shared" ca="1" si="62"/>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Vehicles MT - Dielectric heating - new 6</v>
      </c>
      <c r="F66" s="239" t="s">
        <v>1274</v>
      </c>
      <c r="G66" s="176" t="s">
        <v>500</v>
      </c>
      <c r="H66" s="177" t="str">
        <f>$AI$14</f>
        <v>IVDMT</v>
      </c>
      <c r="I66" s="176" t="str">
        <f t="shared" si="52"/>
        <v>INDVWH</v>
      </c>
      <c r="J66" s="239">
        <f t="shared" si="53"/>
        <v>2011</v>
      </c>
      <c r="K66" s="332">
        <f>J66</f>
        <v>2011</v>
      </c>
      <c r="L66" s="206">
        <f t="shared" ca="1" si="54"/>
        <v>0.95</v>
      </c>
      <c r="M66" s="206"/>
      <c r="N66" s="81">
        <f ca="1">VLOOKUP($AD66,INDIRECT("'"&amp;$B66&amp;"'!"&amp;"$P$39:$AD$42"),5,FALSE)</f>
        <v>30</v>
      </c>
      <c r="O66" s="783">
        <f t="shared" ca="1" si="55"/>
        <v>20.115000000000002</v>
      </c>
      <c r="P66" s="783">
        <f t="shared" ca="1" si="56"/>
        <v>0</v>
      </c>
      <c r="Q66" s="81">
        <f t="shared" ca="1" si="57"/>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8"/>
        <v>0</v>
      </c>
      <c r="Y66" s="81">
        <f t="shared" ca="1" si="59"/>
        <v>0</v>
      </c>
      <c r="Z66" s="81">
        <f t="shared" ca="1" si="60"/>
        <v>0</v>
      </c>
      <c r="AA66" s="81">
        <f t="shared" ca="1" si="61"/>
        <v>0</v>
      </c>
      <c r="AB66" s="81">
        <f t="shared" ca="1" si="62"/>
        <v>0</v>
      </c>
      <c r="AD66" s="81">
        <v>2020</v>
      </c>
      <c r="AE66" s="81"/>
      <c r="AF66" s="232"/>
    </row>
    <row r="67" spans="2:32">
      <c r="B67" s="393" t="s">
        <v>1047</v>
      </c>
      <c r="D67" s="223" t="str">
        <f ca="1">IF(T66=0,"*",IF(T67&gt;0,"IND"&amp;RIGHT(H66,4)&amp;RIGHT(G66,3)&amp;"N"&amp;RIGHT(E66,1),""))</f>
        <v>*</v>
      </c>
      <c r="E67" s="223"/>
      <c r="F67" s="239" t="s">
        <v>1274</v>
      </c>
      <c r="H67" s="177"/>
      <c r="I67" s="176" t="str">
        <f t="shared" si="52"/>
        <v>INDVWH</v>
      </c>
      <c r="J67" s="239">
        <f t="shared" si="53"/>
        <v>2030</v>
      </c>
      <c r="K67" s="81"/>
      <c r="L67" s="206">
        <f t="shared" ca="1" si="54"/>
        <v>0.95</v>
      </c>
      <c r="M67" s="206"/>
      <c r="N67" s="81"/>
      <c r="O67" s="783">
        <f t="shared" ca="1" si="55"/>
        <v>19.511550000000003</v>
      </c>
      <c r="P67" s="783">
        <f t="shared" ca="1" si="56"/>
        <v>0</v>
      </c>
      <c r="Q67" s="81">
        <f t="shared" ca="1" si="57"/>
        <v>94.832291666666663</v>
      </c>
      <c r="R67" s="333"/>
      <c r="S67" s="333"/>
      <c r="T67" s="333"/>
      <c r="U67" s="333"/>
      <c r="V67" s="759">
        <f ca="1">IF(IF(RIGHT(H66,2)="MT",(1-L67)+$W$2,IF(RIGHT(H66,2)="HT",(1-L67)+$W$1,IF(RIGHT(H66,2)="RH",(1-L67)+$W$3,"")))&lt;0,0,IF(RIGHT(H66,2)="MT",(1-L67)+$W$2,IF(RIGHT(H66,2)="HT",(1-L67)+$W$1,IF(RIGHT(H66,2)="RH",(1-L67)+$W$3,""))))</f>
        <v>0.25000000000000006</v>
      </c>
      <c r="W67" s="331"/>
      <c r="X67" s="758">
        <f t="shared" ca="1" si="58"/>
        <v>0</v>
      </c>
      <c r="Y67" s="81">
        <f t="shared" ca="1" si="59"/>
        <v>0</v>
      </c>
      <c r="Z67" s="81">
        <f t="shared" ca="1" si="60"/>
        <v>0</v>
      </c>
      <c r="AA67" s="81">
        <f t="shared" ca="1" si="61"/>
        <v>0</v>
      </c>
      <c r="AB67" s="81">
        <f t="shared" ca="1" si="62"/>
        <v>0</v>
      </c>
      <c r="AD67" s="81">
        <v>2030</v>
      </c>
      <c r="AE67" s="81"/>
      <c r="AF67" s="232"/>
    </row>
    <row r="68" spans="2:32">
      <c r="B68" s="393" t="s">
        <v>1047</v>
      </c>
      <c r="D68" s="223" t="str">
        <f ca="1">IF(T66=0,"*",IF(T68&gt;0,"IND"&amp;RIGHT(H66,4)&amp;RIGHT(G66,3)&amp;"N"&amp;RIGHT(E66,1),""))</f>
        <v>*</v>
      </c>
      <c r="E68" s="223"/>
      <c r="F68" s="239" t="s">
        <v>1274</v>
      </c>
      <c r="H68" s="177"/>
      <c r="I68" s="176" t="str">
        <f t="shared" si="52"/>
        <v>INDVWH</v>
      </c>
      <c r="J68" s="239">
        <f t="shared" si="53"/>
        <v>2050</v>
      </c>
      <c r="K68" s="81"/>
      <c r="L68" s="206">
        <f t="shared" ca="1" si="54"/>
        <v>0.95</v>
      </c>
      <c r="M68" s="206"/>
      <c r="N68" s="81"/>
      <c r="O68" s="783">
        <f t="shared" ca="1" si="55"/>
        <v>18.1035</v>
      </c>
      <c r="P68" s="783">
        <f t="shared" ca="1" si="56"/>
        <v>0</v>
      </c>
      <c r="Q68" s="81">
        <f t="shared" ca="1" si="57"/>
        <v>94.834361111111107</v>
      </c>
      <c r="R68" s="333"/>
      <c r="S68" s="333"/>
      <c r="T68" s="333"/>
      <c r="U68" s="333"/>
      <c r="V68" s="759">
        <f ca="1">IF(IF(RIGHT(H66,2)="MT",(1-L68)+$W$2,IF(RIGHT(H66,2)="HT",(1-L68)+$W$1,IF(RIGHT(H66,2)="RH",(1-L68)+$W$3,"")))&lt;0,0,IF(RIGHT(H66,2)="MT",(1-L68)+$W$2,IF(RIGHT(H66,2)="HT",(1-L68)+$W$1,IF(RIGHT(H66,2)="RH",(1-L68)+$W$3,""))))</f>
        <v>0.25000000000000006</v>
      </c>
      <c r="W68" s="331"/>
      <c r="X68" s="758">
        <f t="shared" ca="1" si="58"/>
        <v>0</v>
      </c>
      <c r="Y68" s="81">
        <f t="shared" ca="1" si="59"/>
        <v>0</v>
      </c>
      <c r="Z68" s="81">
        <f t="shared" ca="1" si="60"/>
        <v>0</v>
      </c>
      <c r="AA68" s="81">
        <f t="shared" ca="1" si="61"/>
        <v>0</v>
      </c>
      <c r="AB68" s="81">
        <f t="shared" ca="1" si="62"/>
        <v>0</v>
      </c>
      <c r="AD68" s="81">
        <v>2050</v>
      </c>
      <c r="AE68" s="81"/>
      <c r="AF68" s="232"/>
    </row>
    <row r="69" spans="2:32">
      <c r="B69" s="393" t="s">
        <v>1131</v>
      </c>
      <c r="D69" s="223" t="str">
        <f ca="1">IF(T69=0,"*",IF(T69&gt;0,"IND"&amp;RIGHT(H69,4)&amp;RIGHT(G69,3)&amp;"N"&amp;RIGHT(E69,1),""))</f>
        <v>INDVDMTELCN7</v>
      </c>
      <c r="E69" s="278" t="str">
        <f>"Industrial heating technology "&amp;$AJ$12&amp;" "&amp;RIGHT(H69,2)&amp;" - Infrared heating - new 7"</f>
        <v>Industrial heating technology Vehicles MT - Infrared heating - new 7</v>
      </c>
      <c r="F69" s="239" t="s">
        <v>1274</v>
      </c>
      <c r="G69" s="176" t="s">
        <v>500</v>
      </c>
      <c r="H69" s="177" t="str">
        <f>$AI$14</f>
        <v>IVDMT</v>
      </c>
      <c r="I69" s="176" t="str">
        <f t="shared" si="52"/>
        <v>INDVWH</v>
      </c>
      <c r="J69" s="239">
        <f t="shared" si="53"/>
        <v>2011</v>
      </c>
      <c r="K69" s="332">
        <f>J69</f>
        <v>2011</v>
      </c>
      <c r="L69" s="206">
        <f t="shared" ca="1" si="54"/>
        <v>0.96</v>
      </c>
      <c r="M69" s="206"/>
      <c r="N69" s="81">
        <f ca="1">VLOOKUP($AD69,INDIRECT("'"&amp;$B69&amp;"'!"&amp;"$P$39:$AD$42"),5,FALSE)</f>
        <v>30</v>
      </c>
      <c r="O69" s="783">
        <f t="shared" ca="1" si="55"/>
        <v>2.6074999999999999</v>
      </c>
      <c r="P69" s="783">
        <f t="shared" ca="1" si="56"/>
        <v>0</v>
      </c>
      <c r="Q69" s="81">
        <f t="shared" ca="1" si="57"/>
        <v>242.27606944444443</v>
      </c>
      <c r="R69" s="81">
        <v>3.1536000000000002E-2</v>
      </c>
      <c r="S69" s="206">
        <v>0.5</v>
      </c>
      <c r="T69" s="206">
        <f ca="1">IF(HLOOKUP($T$2,INDIRECT("'"&amp;$B69&amp;"'!"&amp;"$P$6:$AE$19"),IF(H69=$AI$13,6,IF(H69=$AI$14,9,14)),FALSE)&lt;0.03,0,HLOOKUP($T$2,INDIRECT("'"&amp;$B69&amp;"'!"&amp;"$P$6:$AE$19"),IF(H69=$AI$13,6,IF(H69=$AI$14,9,14)),FALSE))</f>
        <v>0.05</v>
      </c>
      <c r="U69" s="832"/>
      <c r="V69" s="759">
        <f ca="1">IF(IF(RIGHT(H69,2)="MT",(1-L69)+$W$2,IF(RIGHT(H69,2)="HT",(1-L69)+$W$1,IF(RIGHT(H69,2)="RH",(1-L69)+$W$3,"")))&lt;0,0,IF(RIGHT(H69,2)="MT",(1-L69)+$W$2,IF(RIGHT(H69,2)="HT",(1-L69)+$W$1,IF(RIGHT(H69,2)="RH",(1-L69)+$W$3,""))))</f>
        <v>0.24000000000000005</v>
      </c>
      <c r="W69" s="331"/>
      <c r="X69" s="758">
        <f t="shared" ca="1" si="58"/>
        <v>0</v>
      </c>
      <c r="Y69" s="81">
        <f t="shared" ca="1" si="59"/>
        <v>0</v>
      </c>
      <c r="Z69" s="81">
        <f t="shared" ca="1" si="60"/>
        <v>0</v>
      </c>
      <c r="AA69" s="81">
        <f t="shared" ca="1" si="61"/>
        <v>0</v>
      </c>
      <c r="AB69" s="81">
        <f t="shared" ca="1" si="62"/>
        <v>0</v>
      </c>
      <c r="AD69" s="81">
        <v>2020</v>
      </c>
      <c r="AE69" s="81"/>
      <c r="AF69" s="232"/>
    </row>
    <row r="70" spans="2:32">
      <c r="B70" s="393" t="s">
        <v>1131</v>
      </c>
      <c r="D70" s="223" t="str">
        <f ca="1">IF(T69=0,"*",IF(T70&gt;0,"IND"&amp;RIGHT(H69,4)&amp;RIGHT(G69,3)&amp;"N"&amp;RIGHT(E69,1),""))</f>
        <v/>
      </c>
      <c r="E70" s="223"/>
      <c r="F70" s="239" t="s">
        <v>1274</v>
      </c>
      <c r="H70" s="177"/>
      <c r="I70" s="176" t="str">
        <f t="shared" si="52"/>
        <v>INDVWH</v>
      </c>
      <c r="J70" s="239">
        <f t="shared" si="53"/>
        <v>2030</v>
      </c>
      <c r="K70" s="81"/>
      <c r="L70" s="206">
        <f t="shared" ca="1" si="54"/>
        <v>0.96</v>
      </c>
      <c r="M70" s="206"/>
      <c r="N70" s="81"/>
      <c r="O70" s="783">
        <f t="shared" ca="1" si="55"/>
        <v>2.5330000000000004</v>
      </c>
      <c r="P70" s="783">
        <f t="shared" ca="1" si="56"/>
        <v>0</v>
      </c>
      <c r="Q70" s="81">
        <f t="shared" ca="1" si="57"/>
        <v>242.28020833333332</v>
      </c>
      <c r="R70" s="333"/>
      <c r="S70" s="333"/>
      <c r="T70" s="333"/>
      <c r="U70" s="333"/>
      <c r="V70" s="759">
        <f ca="1">IF(IF(RIGHT(H69,2)="MT",(1-L70)+$W$2,IF(RIGHT(H69,2)="HT",(1-L70)+$W$1,IF(RIGHT(H69,2)="RH",(1-L70)+$W$3,"")))&lt;0,0,IF(RIGHT(H69,2)="MT",(1-L70)+$W$2,IF(RIGHT(H69,2)="HT",(1-L70)+$W$1,IF(RIGHT(H69,2)="RH",(1-L70)+$W$3,""))))</f>
        <v>0.24000000000000005</v>
      </c>
      <c r="W70" s="331"/>
      <c r="X70" s="758">
        <f t="shared" ca="1" si="58"/>
        <v>0</v>
      </c>
      <c r="Y70" s="81">
        <f t="shared" ca="1" si="59"/>
        <v>0</v>
      </c>
      <c r="Z70" s="81">
        <f t="shared" ca="1" si="60"/>
        <v>0</v>
      </c>
      <c r="AA70" s="81">
        <f t="shared" ca="1" si="61"/>
        <v>0</v>
      </c>
      <c r="AB70" s="81">
        <f t="shared" ca="1" si="62"/>
        <v>0</v>
      </c>
      <c r="AD70" s="81">
        <v>2030</v>
      </c>
      <c r="AE70" s="81"/>
      <c r="AF70" s="232"/>
    </row>
    <row r="71" spans="2:32">
      <c r="B71" s="393" t="s">
        <v>1131</v>
      </c>
      <c r="D71" s="223" t="str">
        <f ca="1">IF(T69=0,"*",IF(T71&gt;0,"IND"&amp;RIGHT(H69,4)&amp;RIGHT(G69,3)&amp;"N"&amp;RIGHT(E69,1),""))</f>
        <v/>
      </c>
      <c r="E71" s="223"/>
      <c r="F71" s="239" t="s">
        <v>1274</v>
      </c>
      <c r="H71" s="177"/>
      <c r="I71" s="177" t="str">
        <f t="shared" si="52"/>
        <v>INDVWH</v>
      </c>
      <c r="J71" s="239">
        <f t="shared" si="53"/>
        <v>2050</v>
      </c>
      <c r="K71" s="81"/>
      <c r="L71" s="206">
        <f t="shared" ca="1" si="54"/>
        <v>0.96</v>
      </c>
      <c r="M71" s="206"/>
      <c r="N71" s="81"/>
      <c r="O71" s="783">
        <f t="shared" ca="1" si="55"/>
        <v>2.3467500000000001</v>
      </c>
      <c r="P71" s="783">
        <f t="shared" ca="1" si="56"/>
        <v>0</v>
      </c>
      <c r="Q71" s="81">
        <f t="shared" ca="1" si="57"/>
        <v>242.28227777777775</v>
      </c>
      <c r="R71" s="333"/>
      <c r="S71" s="333"/>
      <c r="T71" s="333"/>
      <c r="U71" s="333"/>
      <c r="V71" s="759">
        <f ca="1">IF(IF(RIGHT(H69,2)="MT",(1-L71)+$W$2,IF(RIGHT(H69,2)="HT",(1-L71)+$W$1,IF(RIGHT(H69,2)="RH",(1-L71)+$W$3,"")))&lt;0,0,IF(RIGHT(H69,2)="MT",(1-L71)+$W$2,IF(RIGHT(H69,2)="HT",(1-L71)+$W$1,IF(RIGHT(H69,2)="RH",(1-L71)+$W$3,""))))</f>
        <v>0.24000000000000005</v>
      </c>
      <c r="W71" s="331"/>
      <c r="X71" s="758">
        <f t="shared" ca="1" si="58"/>
        <v>0</v>
      </c>
      <c r="Y71" s="81">
        <f t="shared" ca="1" si="59"/>
        <v>0</v>
      </c>
      <c r="Z71" s="81">
        <f t="shared" ca="1" si="60"/>
        <v>0</v>
      </c>
      <c r="AA71" s="81">
        <f t="shared" ca="1" si="61"/>
        <v>0</v>
      </c>
      <c r="AB71" s="81">
        <f t="shared" ca="1" si="62"/>
        <v>0</v>
      </c>
      <c r="AD71" s="81">
        <v>2050</v>
      </c>
      <c r="AE71" s="81"/>
      <c r="AF71" s="232"/>
    </row>
    <row r="72" spans="2:32">
      <c r="B72" s="393" t="s">
        <v>1132</v>
      </c>
      <c r="D72" s="223" t="str">
        <f ca="1">IF(T72=0,"*",IF(T72&gt;0,"IND"&amp;RIGHT(H72,4)&amp;RIGHT(G72,3)&amp;"N"&amp;RIGHT(E72,1),""))</f>
        <v>INDVDHTELCN8</v>
      </c>
      <c r="E72" s="278" t="str">
        <f>"Industrial heating technology "&amp;$AJ$12&amp;" "&amp;RIGHT(H72,2)&amp;" - Electric boiler (Steam) - new 8"</f>
        <v>Industrial heating technology Vehicles HT - Electric boiler (Steam) - new 8</v>
      </c>
      <c r="F72" s="239" t="s">
        <v>1274</v>
      </c>
      <c r="G72" s="176" t="s">
        <v>500</v>
      </c>
      <c r="H72" s="177" t="str">
        <f>$AI$13</f>
        <v>IVDHT</v>
      </c>
      <c r="I72" s="177" t="str">
        <f t="shared" si="52"/>
        <v>INDVWH</v>
      </c>
      <c r="J72" s="239">
        <f t="shared" si="53"/>
        <v>2011</v>
      </c>
      <c r="K72" s="332">
        <f>J72</f>
        <v>2011</v>
      </c>
      <c r="L72" s="206">
        <f t="shared" ca="1" si="54"/>
        <v>0.99</v>
      </c>
      <c r="M72" s="206"/>
      <c r="N72" s="81">
        <f ca="1">VLOOKUP($AD72,INDIRECT("'"&amp;$B72&amp;"'!"&amp;"$P$39:$AD$42"),5,FALSE)</f>
        <v>25</v>
      </c>
      <c r="O72" s="783">
        <f t="shared" ca="1" si="55"/>
        <v>0.59599999999999997</v>
      </c>
      <c r="P72" s="783">
        <f t="shared" ca="1" si="56"/>
        <v>7.9714999999999994E-3</v>
      </c>
      <c r="Q72" s="81">
        <f t="shared" ca="1" si="57"/>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8"/>
        <v>0</v>
      </c>
      <c r="Y72" s="81">
        <f t="shared" ca="1" si="59"/>
        <v>0</v>
      </c>
      <c r="Z72" s="81">
        <f t="shared" ca="1" si="60"/>
        <v>0</v>
      </c>
      <c r="AA72" s="81">
        <f t="shared" ca="1" si="61"/>
        <v>0</v>
      </c>
      <c r="AB72" s="81">
        <f t="shared" ca="1" si="62"/>
        <v>0</v>
      </c>
      <c r="AD72" s="81">
        <v>2020</v>
      </c>
      <c r="AE72" s="81"/>
      <c r="AF72" s="232"/>
    </row>
    <row r="73" spans="2:32">
      <c r="B73" s="393" t="s">
        <v>1132</v>
      </c>
      <c r="D73" s="223" t="str">
        <f ca="1">IF(T72=0,"*",IF(T73&gt;0,"IND"&amp;RIGHT(H72,4)&amp;RIGHT(G72,3)&amp;"N"&amp;RIGHT(E72,1),""))</f>
        <v/>
      </c>
      <c r="E73" s="223"/>
      <c r="F73" s="239" t="s">
        <v>1274</v>
      </c>
      <c r="H73" s="177"/>
      <c r="I73" s="177" t="str">
        <f t="shared" si="52"/>
        <v>INDVWH</v>
      </c>
      <c r="J73" s="239">
        <f t="shared" si="53"/>
        <v>2030</v>
      </c>
      <c r="K73" s="81"/>
      <c r="L73" s="206">
        <f t="shared" ca="1" si="54"/>
        <v>0.99</v>
      </c>
      <c r="M73" s="206"/>
      <c r="N73" s="81"/>
      <c r="O73" s="783">
        <f t="shared" ca="1" si="55"/>
        <v>0.52150000000000007</v>
      </c>
      <c r="P73" s="783">
        <f t="shared" ca="1" si="56"/>
        <v>7.5989999999999999E-3</v>
      </c>
      <c r="Q73" s="81">
        <f t="shared" ca="1" si="57"/>
        <v>1.8107638888888888</v>
      </c>
      <c r="R73" s="333"/>
      <c r="S73" s="333"/>
      <c r="T73" s="333"/>
      <c r="U73" s="333"/>
      <c r="V73" s="759">
        <f ca="1">IF(IF(RIGHT(H72,2)="MT",(1-L73)+$W$2,IF(RIGHT(H72,2)="HT",(1-L73)+$W$1,IF(RIGHT(H72,2)="RH",(1-L73)+$W$3,"")))&lt;0,0,IF(RIGHT(H72,2)="MT",(1-L73)+$W$2,IF(RIGHT(H72,2)="HT",(1-L73)+$W$1,IF(RIGHT(H72,2)="RH",(1-L73)+$W$3,""))))</f>
        <v>0.31</v>
      </c>
      <c r="W73" s="331"/>
      <c r="X73" s="758">
        <f t="shared" ca="1" si="58"/>
        <v>0</v>
      </c>
      <c r="Y73" s="81">
        <f t="shared" ca="1" si="59"/>
        <v>0</v>
      </c>
      <c r="Z73" s="81">
        <f t="shared" ca="1" si="60"/>
        <v>0</v>
      </c>
      <c r="AA73" s="81">
        <f t="shared" ca="1" si="61"/>
        <v>0</v>
      </c>
      <c r="AB73" s="81">
        <f t="shared" ca="1" si="62"/>
        <v>0</v>
      </c>
      <c r="AD73" s="81">
        <v>2030</v>
      </c>
      <c r="AE73" s="81"/>
      <c r="AF73" s="232"/>
    </row>
    <row r="74" spans="2:32">
      <c r="B74" s="393" t="s">
        <v>1132</v>
      </c>
      <c r="D74" s="223" t="str">
        <f ca="1">IF(T72=0,"*",IF(T74&gt;0,"IND"&amp;RIGHT(H72,4)&amp;RIGHT(G72,3)&amp;"N"&amp;RIGHT(E72,1),""))</f>
        <v/>
      </c>
      <c r="E74" s="223"/>
      <c r="F74" s="239" t="s">
        <v>1274</v>
      </c>
      <c r="H74" s="177"/>
      <c r="I74" s="177" t="str">
        <f t="shared" si="52"/>
        <v>INDVWH</v>
      </c>
      <c r="J74" s="239">
        <f t="shared" si="53"/>
        <v>2050</v>
      </c>
      <c r="K74" s="81"/>
      <c r="L74" s="206">
        <f t="shared" ca="1" si="54"/>
        <v>0.99</v>
      </c>
      <c r="M74" s="206"/>
      <c r="N74" s="81"/>
      <c r="O74" s="783">
        <f t="shared" ca="1" si="55"/>
        <v>0.52150000000000007</v>
      </c>
      <c r="P74" s="783">
        <f t="shared" ca="1" si="56"/>
        <v>6.8539999999999998E-3</v>
      </c>
      <c r="Q74" s="81">
        <f t="shared" ca="1" si="57"/>
        <v>1.6141666666666665</v>
      </c>
      <c r="R74" s="333"/>
      <c r="S74" s="333"/>
      <c r="T74" s="333"/>
      <c r="U74" s="333"/>
      <c r="V74" s="759">
        <f ca="1">IF(IF(RIGHT(H72,2)="MT",(1-L74)+$W$2,IF(RIGHT(H72,2)="HT",(1-L74)+$W$1,IF(RIGHT(H72,2)="RH",(1-L74)+$W$3,"")))&lt;0,0,IF(RIGHT(H72,2)="MT",(1-L74)+$W$2,IF(RIGHT(H72,2)="HT",(1-L74)+$W$1,IF(RIGHT(H72,2)="RH",(1-L74)+$W$3,""))))</f>
        <v>0.31</v>
      </c>
      <c r="W74" s="331"/>
      <c r="X74" s="758">
        <f t="shared" ca="1" si="58"/>
        <v>0</v>
      </c>
      <c r="Y74" s="81">
        <f t="shared" ca="1" si="59"/>
        <v>0</v>
      </c>
      <c r="Z74" s="81">
        <f t="shared" ca="1" si="60"/>
        <v>0</v>
      </c>
      <c r="AA74" s="81">
        <f t="shared" ca="1" si="61"/>
        <v>0</v>
      </c>
      <c r="AB74" s="81">
        <f t="shared" ca="1" si="62"/>
        <v>0</v>
      </c>
      <c r="AD74" s="81">
        <v>2050</v>
      </c>
      <c r="AE74" s="81"/>
      <c r="AF74" s="232"/>
    </row>
    <row r="75" spans="2:32">
      <c r="B75" s="393" t="s">
        <v>1132</v>
      </c>
      <c r="D75" s="223" t="str">
        <f ca="1">IF(T75=0,"*",IF(T75&gt;0,"IND"&amp;RIGHT(H75,4)&amp;RIGHT(G75,3)&amp;"N"&amp;RIGHT(E75,1),""))</f>
        <v>INDVDMTELCN8</v>
      </c>
      <c r="E75" s="278" t="str">
        <f>"Industrial heating technology "&amp;$AJ$12&amp;" "&amp;RIGHT(H75,2)&amp;" - Electric boiler (Steam) - new 8"</f>
        <v>Industrial heating technology Vehicles MT - Electric boiler (Steam) - new 8</v>
      </c>
      <c r="F75" s="239" t="s">
        <v>1274</v>
      </c>
      <c r="G75" s="176" t="s">
        <v>500</v>
      </c>
      <c r="H75" s="177" t="str">
        <f>$AI$14</f>
        <v>IVDMT</v>
      </c>
      <c r="I75" s="177" t="str">
        <f t="shared" si="52"/>
        <v>INDVWH</v>
      </c>
      <c r="J75" s="239">
        <f t="shared" si="53"/>
        <v>2011</v>
      </c>
      <c r="K75" s="332">
        <f>J75</f>
        <v>2011</v>
      </c>
      <c r="L75" s="206">
        <f t="shared" ca="1" si="54"/>
        <v>0.99</v>
      </c>
      <c r="M75" s="206"/>
      <c r="N75" s="81">
        <f ca="1">VLOOKUP($AD75,INDIRECT("'"&amp;$B75&amp;"'!"&amp;"$P$39:$AD$42"),5,FALSE)</f>
        <v>25</v>
      </c>
      <c r="O75" s="783">
        <f t="shared" ca="1" si="55"/>
        <v>0.59599999999999997</v>
      </c>
      <c r="P75" s="783">
        <f t="shared" ca="1" si="56"/>
        <v>7.9714999999999994E-3</v>
      </c>
      <c r="Q75" s="81">
        <f t="shared" ca="1" si="57"/>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8"/>
        <v>0</v>
      </c>
      <c r="Y75" s="81">
        <f t="shared" ca="1" si="59"/>
        <v>0</v>
      </c>
      <c r="Z75" s="81">
        <f t="shared" ca="1" si="60"/>
        <v>0</v>
      </c>
      <c r="AA75" s="81">
        <f t="shared" ca="1" si="61"/>
        <v>0</v>
      </c>
      <c r="AB75" s="81">
        <f t="shared" ca="1" si="62"/>
        <v>0</v>
      </c>
      <c r="AD75" s="81">
        <v>2020</v>
      </c>
      <c r="AE75" s="81"/>
      <c r="AF75" s="232"/>
    </row>
    <row r="76" spans="2:32">
      <c r="B76" s="393" t="s">
        <v>1132</v>
      </c>
      <c r="D76" s="223" t="str">
        <f ca="1">IF(T75=0,"*",IF(T76&gt;0,"IND"&amp;RIGHT(H75,4)&amp;RIGHT(G75,3)&amp;"N"&amp;RIGHT(E75,1),""))</f>
        <v/>
      </c>
      <c r="E76" s="223"/>
      <c r="F76" s="239" t="s">
        <v>1274</v>
      </c>
      <c r="H76" s="177"/>
      <c r="I76" s="177" t="str">
        <f t="shared" si="52"/>
        <v>INDVWH</v>
      </c>
      <c r="J76" s="239">
        <f t="shared" si="53"/>
        <v>2030</v>
      </c>
      <c r="K76" s="81"/>
      <c r="L76" s="206">
        <f t="shared" ca="1" si="54"/>
        <v>0.99</v>
      </c>
      <c r="M76" s="206"/>
      <c r="N76" s="81"/>
      <c r="O76" s="783">
        <f t="shared" ca="1" si="55"/>
        <v>0.52150000000000007</v>
      </c>
      <c r="P76" s="783">
        <f t="shared" ca="1" si="56"/>
        <v>7.5989999999999999E-3</v>
      </c>
      <c r="Q76" s="81">
        <f t="shared" ca="1" si="57"/>
        <v>1.8107638888888888</v>
      </c>
      <c r="R76" s="333"/>
      <c r="S76" s="333"/>
      <c r="T76" s="333"/>
      <c r="U76" s="333"/>
      <c r="V76" s="759">
        <f ca="1">IF(IF(RIGHT(H75,2)="MT",(1-L76)+$W$2,IF(RIGHT(H75,2)="HT",(1-L76)+$W$1,IF(RIGHT(H75,2)="RH",(1-L76)+$W$3,"")))&lt;0,0,IF(RIGHT(H75,2)="MT",(1-L76)+$W$2,IF(RIGHT(H75,2)="HT",(1-L76)+$W$1,IF(RIGHT(H75,2)="RH",(1-L76)+$W$3,""))))</f>
        <v>0.21000000000000002</v>
      </c>
      <c r="W76" s="331"/>
      <c r="X76" s="758">
        <f t="shared" ca="1" si="58"/>
        <v>0</v>
      </c>
      <c r="Y76" s="81">
        <f t="shared" ca="1" si="59"/>
        <v>0</v>
      </c>
      <c r="Z76" s="81">
        <f t="shared" ca="1" si="60"/>
        <v>0</v>
      </c>
      <c r="AA76" s="81">
        <f t="shared" ca="1" si="61"/>
        <v>0</v>
      </c>
      <c r="AB76" s="81">
        <f t="shared" ca="1" si="62"/>
        <v>0</v>
      </c>
      <c r="AD76" s="81">
        <v>2030</v>
      </c>
      <c r="AE76" s="81"/>
      <c r="AF76" s="232"/>
    </row>
    <row r="77" spans="2:32">
      <c r="B77" s="393" t="s">
        <v>1132</v>
      </c>
      <c r="D77" s="223" t="str">
        <f ca="1">IF(T75=0,"*",IF(T77&gt;0,"IND"&amp;RIGHT(H75,4)&amp;RIGHT(G75,3)&amp;"N"&amp;RIGHT(E75,1),""))</f>
        <v/>
      </c>
      <c r="E77" s="223"/>
      <c r="F77" s="239" t="s">
        <v>1274</v>
      </c>
      <c r="H77" s="177"/>
      <c r="I77" s="177" t="str">
        <f t="shared" si="52"/>
        <v>INDVWH</v>
      </c>
      <c r="J77" s="239">
        <f t="shared" si="53"/>
        <v>2050</v>
      </c>
      <c r="K77" s="81"/>
      <c r="L77" s="206">
        <f t="shared" ca="1" si="54"/>
        <v>0.99</v>
      </c>
      <c r="M77" s="206"/>
      <c r="N77" s="81"/>
      <c r="O77" s="783">
        <f t="shared" ca="1" si="55"/>
        <v>0.52150000000000007</v>
      </c>
      <c r="P77" s="783">
        <f t="shared" ca="1" si="56"/>
        <v>6.8539999999999998E-3</v>
      </c>
      <c r="Q77" s="81">
        <f t="shared" ca="1" si="57"/>
        <v>1.6141666666666665</v>
      </c>
      <c r="R77" s="333"/>
      <c r="S77" s="333"/>
      <c r="T77" s="333"/>
      <c r="U77" s="333"/>
      <c r="V77" s="759">
        <f ca="1">IF(IF(RIGHT(H75,2)="MT",(1-L77)+$W$2,IF(RIGHT(H75,2)="HT",(1-L77)+$W$1,IF(RIGHT(H75,2)="RH",(1-L77)+$W$3,"")))&lt;0,0,IF(RIGHT(H75,2)="MT",(1-L77)+$W$2,IF(RIGHT(H75,2)="HT",(1-L77)+$W$1,IF(RIGHT(H75,2)="RH",(1-L77)+$W$3,""))))</f>
        <v>0.21000000000000002</v>
      </c>
      <c r="W77" s="331"/>
      <c r="X77" s="758">
        <f t="shared" ca="1" si="58"/>
        <v>0</v>
      </c>
      <c r="Y77" s="81">
        <f t="shared" ca="1" si="59"/>
        <v>0</v>
      </c>
      <c r="Z77" s="81">
        <f t="shared" ca="1" si="60"/>
        <v>0</v>
      </c>
      <c r="AA77" s="81">
        <f t="shared" ca="1" si="61"/>
        <v>0</v>
      </c>
      <c r="AB77" s="81">
        <f t="shared" ca="1" si="62"/>
        <v>0</v>
      </c>
      <c r="AD77" s="81">
        <v>2050</v>
      </c>
      <c r="AE77" s="766"/>
      <c r="AF77" s="232"/>
    </row>
    <row r="78" spans="2:32">
      <c r="B78" s="393" t="s">
        <v>1132</v>
      </c>
      <c r="D78" s="223" t="str">
        <f ca="1">IF(T78=0,"*",IF(T78&gt;0,"IND"&amp;RIGHT(H78,4)&amp;RIGHT(G78,3)&amp;"N"&amp;RIGHT(E78,1),""))</f>
        <v>INDVDRHELCN8</v>
      </c>
      <c r="E78" s="278" t="str">
        <f>"Industrial heating technology "&amp;$AJ$12&amp;" "&amp;RIGHT(H78,2)&amp;" - Electric boiler (Steam) - new 8"</f>
        <v>Industrial heating technology Vehicles RH - Electric boiler (Steam) - new 8</v>
      </c>
      <c r="F78" s="239" t="s">
        <v>1274</v>
      </c>
      <c r="G78" s="176" t="s">
        <v>500</v>
      </c>
      <c r="H78" s="177" t="str">
        <f>$AI$15</f>
        <v>IVDRH</v>
      </c>
      <c r="I78" s="177" t="str">
        <f t="shared" si="52"/>
        <v>INDVWH</v>
      </c>
      <c r="J78" s="239">
        <f t="shared" si="53"/>
        <v>2011</v>
      </c>
      <c r="K78" s="332">
        <f>J78</f>
        <v>2011</v>
      </c>
      <c r="L78" s="206">
        <f t="shared" ca="1" si="54"/>
        <v>0.99</v>
      </c>
      <c r="M78" s="206"/>
      <c r="N78" s="81">
        <f ca="1">VLOOKUP($AD78,INDIRECT("'"&amp;$B78&amp;"'!"&amp;"$P$39:$AD$42"),5,FALSE)</f>
        <v>25</v>
      </c>
      <c r="O78" s="783">
        <f t="shared" ca="1" si="55"/>
        <v>0.59599999999999997</v>
      </c>
      <c r="P78" s="783">
        <f t="shared" ca="1" si="56"/>
        <v>7.9714999999999994E-3</v>
      </c>
      <c r="Q78" s="81">
        <f t="shared" ca="1" si="57"/>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8"/>
        <v>0</v>
      </c>
      <c r="Y78" s="81">
        <f t="shared" ca="1" si="59"/>
        <v>0</v>
      </c>
      <c r="Z78" s="81">
        <f t="shared" ca="1" si="60"/>
        <v>0</v>
      </c>
      <c r="AA78" s="81">
        <f t="shared" ca="1" si="61"/>
        <v>0</v>
      </c>
      <c r="AB78" s="81">
        <f t="shared" ca="1" si="62"/>
        <v>0</v>
      </c>
      <c r="AC78" s="329"/>
      <c r="AD78" s="81">
        <v>2020</v>
      </c>
      <c r="AE78" s="81"/>
      <c r="AF78" s="770"/>
    </row>
    <row r="79" spans="2:32">
      <c r="B79" s="393" t="s">
        <v>1132</v>
      </c>
      <c r="D79" s="223" t="str">
        <f ca="1">IF(T78=0,"*",IF(T79&gt;0,"IND"&amp;RIGHT(H78,4)&amp;RIGHT(G78,3)&amp;"N"&amp;RIGHT(E78,1),""))</f>
        <v/>
      </c>
      <c r="E79" s="223"/>
      <c r="F79" s="239" t="s">
        <v>1274</v>
      </c>
      <c r="H79" s="177"/>
      <c r="I79" s="177" t="str">
        <f t="shared" si="52"/>
        <v>INDVWH</v>
      </c>
      <c r="J79" s="239">
        <f t="shared" si="53"/>
        <v>2030</v>
      </c>
      <c r="K79" s="81"/>
      <c r="L79" s="206">
        <f t="shared" ca="1" si="54"/>
        <v>0.99</v>
      </c>
      <c r="M79" s="206"/>
      <c r="N79" s="81"/>
      <c r="O79" s="783">
        <f t="shared" ca="1" si="55"/>
        <v>0.52150000000000007</v>
      </c>
      <c r="P79" s="783">
        <f t="shared" ca="1" si="56"/>
        <v>7.5989999999999999E-3</v>
      </c>
      <c r="Q79" s="81">
        <f t="shared" ca="1" si="57"/>
        <v>1.8107638888888888</v>
      </c>
      <c r="R79" s="333"/>
      <c r="S79" s="333"/>
      <c r="T79" s="333"/>
      <c r="U79" s="333"/>
      <c r="V79" s="759">
        <f ca="1">IF(IF(RIGHT(H78,2)="MT",(1-L79)+$W$2,IF(RIGHT(H78,2)="HT",(1-L79)+$W$1,IF(RIGHT(H78,2)="RH",(1-L79)+$W$3,"")))&lt;0,0,IF(RIGHT(H78,2)="MT",(1-L79)+$W$2,IF(RIGHT(H78,2)="HT",(1-L79)+$W$1,IF(RIGHT(H78,2)="RH",(1-L79)+$W$3,""))))</f>
        <v>1.0000000000000009E-2</v>
      </c>
      <c r="W79" s="331"/>
      <c r="X79" s="758">
        <f t="shared" ca="1" si="58"/>
        <v>0</v>
      </c>
      <c r="Y79" s="81">
        <f t="shared" ca="1" si="59"/>
        <v>0</v>
      </c>
      <c r="Z79" s="81">
        <f t="shared" ca="1" si="60"/>
        <v>0</v>
      </c>
      <c r="AA79" s="81">
        <f t="shared" ca="1" si="61"/>
        <v>0</v>
      </c>
      <c r="AB79" s="81">
        <f t="shared" ca="1" si="62"/>
        <v>0</v>
      </c>
      <c r="AC79" s="55"/>
      <c r="AD79" s="81">
        <v>2030</v>
      </c>
      <c r="AE79" s="81"/>
      <c r="AF79" s="760"/>
    </row>
    <row r="80" spans="2:32">
      <c r="B80" s="393" t="s">
        <v>1132</v>
      </c>
      <c r="D80" s="223" t="str">
        <f ca="1">IF(T78=0,"*",IF(T80&gt;0,"IND"&amp;RIGHT(H78,4)&amp;RIGHT(G78,3)&amp;"N"&amp;RIGHT(E78,1),""))</f>
        <v/>
      </c>
      <c r="E80" s="223"/>
      <c r="F80" s="239" t="s">
        <v>1274</v>
      </c>
      <c r="H80" s="177"/>
      <c r="I80" s="177" t="str">
        <f t="shared" si="52"/>
        <v>INDVWH</v>
      </c>
      <c r="J80" s="239">
        <f t="shared" si="53"/>
        <v>2050</v>
      </c>
      <c r="K80" s="766"/>
      <c r="L80" s="206">
        <f t="shared" ca="1" si="54"/>
        <v>0.99</v>
      </c>
      <c r="M80" s="834"/>
      <c r="N80" s="766"/>
      <c r="O80" s="784">
        <f t="shared" ca="1" si="55"/>
        <v>0.52150000000000007</v>
      </c>
      <c r="P80" s="784">
        <f t="shared" ca="1" si="56"/>
        <v>6.8539999999999998E-3</v>
      </c>
      <c r="Q80" s="766">
        <f t="shared" ca="1" si="57"/>
        <v>1.6141666666666665</v>
      </c>
      <c r="R80" s="333"/>
      <c r="S80" s="333"/>
      <c r="T80" s="333"/>
      <c r="U80" s="333"/>
      <c r="V80" s="759">
        <f ca="1">IF(IF(RIGHT(H78,2)="MT",(1-L80)+$W$2,IF(RIGHT(H78,2)="HT",(1-L80)+$W$1,IF(RIGHT(H78,2)="RH",(1-L80)+$W$3,"")))&lt;0,0,IF(RIGHT(H78,2)="MT",(1-L80)+$W$2,IF(RIGHT(H78,2)="HT",(1-L80)+$W$1,IF(RIGHT(H78,2)="RH",(1-L80)+$W$3,""))))</f>
        <v>1.0000000000000009E-2</v>
      </c>
      <c r="W80" s="331"/>
      <c r="X80" s="758">
        <f t="shared" ca="1" si="58"/>
        <v>0</v>
      </c>
      <c r="Y80" s="766">
        <f t="shared" ca="1" si="59"/>
        <v>0</v>
      </c>
      <c r="Z80" s="766">
        <f t="shared" ca="1" si="60"/>
        <v>0</v>
      </c>
      <c r="AA80" s="766">
        <f t="shared" ca="1" si="61"/>
        <v>0</v>
      </c>
      <c r="AB80" s="766">
        <f t="shared" ca="1" si="62"/>
        <v>0</v>
      </c>
      <c r="AC80" s="55"/>
      <c r="AD80" s="766">
        <v>2050</v>
      </c>
      <c r="AE80" s="81"/>
      <c r="AF80" s="760"/>
    </row>
    <row r="81" spans="1:33">
      <c r="B81" s="776" t="s">
        <v>1132</v>
      </c>
      <c r="C81" s="329"/>
      <c r="D81" s="223" t="str">
        <f ca="1">IF(T81=0,"*",IF(T81&gt;0,"IND"&amp;RIGHT(H81,4)&amp;RIGHT(G81,3)&amp;"N"&amp;RIGHT(E81,1),""))</f>
        <v>INDVDMTELCN9</v>
      </c>
      <c r="E81" s="767" t="str">
        <f>"Industrial heating technology "&amp;$AJ$12&amp;" "&amp;RIGHT(H81,2)&amp;" - Electric boiler (Hot Water) - new 9"</f>
        <v>Industrial heating technology Vehicles MT - Electric boiler (Hot Water) - new 9</v>
      </c>
      <c r="F81" s="239" t="s">
        <v>1274</v>
      </c>
      <c r="G81" s="768" t="s">
        <v>500</v>
      </c>
      <c r="H81" s="768" t="str">
        <f>$AI$14</f>
        <v>IVDMT</v>
      </c>
      <c r="I81" s="768" t="str">
        <f t="shared" si="52"/>
        <v>INDVWH</v>
      </c>
      <c r="J81" s="239">
        <f t="shared" si="53"/>
        <v>2011</v>
      </c>
      <c r="K81" s="332">
        <f>J81</f>
        <v>2011</v>
      </c>
      <c r="L81" s="206">
        <f t="shared" ref="L81:L86" ca="1" si="63">VLOOKUP($AD81,INDIRECT("'"&amp;$B81&amp;"'!"&amp;"$P$118:$AD$121"),3,FALSE)</f>
        <v>0.99</v>
      </c>
      <c r="M81" s="206"/>
      <c r="N81" s="81">
        <f ca="1">VLOOKUP($AD81,INDIRECT("'"&amp;$B81&amp;"'!"&amp;"$P$118:$AD$121"),5,FALSE)</f>
        <v>25</v>
      </c>
      <c r="O81" s="783">
        <f t="shared" ref="O81:O86" ca="1" si="64">VLOOKUP($AD81,INDIRECT("'"&amp;$B81&amp;"'!"&amp;"$P$118:$AD$121"),6,FALSE)/1000</f>
        <v>0.52150000000000007</v>
      </c>
      <c r="P81" s="783">
        <f t="shared" ref="P81:P86" ca="1" si="65">VLOOKUP($AD81,INDIRECT("'"&amp;$B81&amp;"'!"&amp;"$P$118:$AD$121"),7,FALSE)/1000</f>
        <v>7.9714999999999994E-3</v>
      </c>
      <c r="Q81" s="81">
        <f t="shared" ref="Q81:Q86" ca="1" si="66">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8"/>
        <v>0</v>
      </c>
      <c r="Y81" s="758">
        <f t="shared" ref="Y81:Y86" ca="1" si="67">VLOOKUP($AD81,INDIRECT("'"&amp;$B81&amp;"'!"&amp;"$P$118:$AD$121"),12,FALSE)</f>
        <v>0</v>
      </c>
      <c r="Z81" s="758">
        <f t="shared" ref="Z81:Z86" ca="1" si="68">VLOOKUP($AD81,INDIRECT("'"&amp;$B81&amp;"'!"&amp;"$P$118:$AD$121"),13,FALSE)</f>
        <v>0</v>
      </c>
      <c r="AA81" s="758">
        <f t="shared" ref="AA81:AA86" ca="1" si="69">VLOOKUP($AD81,INDIRECT("'"&amp;$B81&amp;"'!"&amp;"$P$118:$AD$121"),14,FALSE)</f>
        <v>0</v>
      </c>
      <c r="AB81" s="758">
        <f t="shared" ref="AB81:AB86" ca="1" si="70">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2"/>
        <v>INDVWH</v>
      </c>
      <c r="J82" s="239">
        <f t="shared" si="53"/>
        <v>2030</v>
      </c>
      <c r="K82" s="81"/>
      <c r="L82" s="206">
        <f t="shared" ca="1" si="63"/>
        <v>0.99</v>
      </c>
      <c r="M82" s="206"/>
      <c r="N82" s="81"/>
      <c r="O82" s="783">
        <f t="shared" ca="1" si="64"/>
        <v>0.44700000000000001</v>
      </c>
      <c r="P82" s="783">
        <f t="shared" ca="1" si="65"/>
        <v>7.5989999999999999E-3</v>
      </c>
      <c r="Q82" s="81">
        <f t="shared" ca="1" si="66"/>
        <v>1.8107638888888888</v>
      </c>
      <c r="R82" s="333"/>
      <c r="S82" s="333"/>
      <c r="T82" s="333"/>
      <c r="U82" s="333"/>
      <c r="V82" s="759">
        <f ca="1">IF(IF(RIGHT(H81,2)="MT",(1-L82)+$W$2,IF(RIGHT(H81,2)="HT",(1-L82)+$W$1,IF(RIGHT(H81,2)="RH",(1-L82)+$W$3,"")))&lt;0,0,IF(RIGHT(H81,2)="MT",(1-L82)+$W$2,IF(RIGHT(H81,2)="HT",(1-L82)+$W$1,IF(RIGHT(H81,2)="RH",(1-L82)+$W$3,""))))</f>
        <v>0.21000000000000002</v>
      </c>
      <c r="W82" s="331"/>
      <c r="X82" s="758">
        <f t="shared" ca="1" si="58"/>
        <v>0</v>
      </c>
      <c r="Y82" s="758">
        <f t="shared" ca="1" si="67"/>
        <v>0</v>
      </c>
      <c r="Z82" s="758">
        <f t="shared" ca="1" si="68"/>
        <v>0</v>
      </c>
      <c r="AA82" s="758">
        <f t="shared" ca="1" si="69"/>
        <v>0</v>
      </c>
      <c r="AB82" s="758">
        <f t="shared" ca="1" si="70"/>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2"/>
        <v>INDVWH</v>
      </c>
      <c r="J83" s="239">
        <f t="shared" si="53"/>
        <v>2050</v>
      </c>
      <c r="K83" s="81"/>
      <c r="L83" s="206">
        <f t="shared" ca="1" si="63"/>
        <v>0.99</v>
      </c>
      <c r="M83" s="206"/>
      <c r="N83" s="81"/>
      <c r="O83" s="783">
        <f t="shared" ca="1" si="64"/>
        <v>0.44700000000000001</v>
      </c>
      <c r="P83" s="783">
        <f t="shared" ca="1" si="65"/>
        <v>6.8539999999999998E-3</v>
      </c>
      <c r="Q83" s="81">
        <f t="shared" ca="1" si="66"/>
        <v>1.6141666666666665</v>
      </c>
      <c r="R83" s="333"/>
      <c r="S83" s="333"/>
      <c r="T83" s="333"/>
      <c r="U83" s="333"/>
      <c r="V83" s="759">
        <f ca="1">IF(IF(RIGHT(H81,2)="MT",(1-L83)+$W$2,IF(RIGHT(H81,2)="HT",(1-L83)+$W$1,IF(RIGHT(H81,2)="RH",(1-L83)+$W$3,"")))&lt;0,0,IF(RIGHT(H81,2)="MT",(1-L83)+$W$2,IF(RIGHT(H81,2)="HT",(1-L83)+$W$1,IF(RIGHT(H81,2)="RH",(1-L83)+$W$3,""))))</f>
        <v>0.21000000000000002</v>
      </c>
      <c r="W83" s="331"/>
      <c r="X83" s="758">
        <f t="shared" ca="1" si="58"/>
        <v>0</v>
      </c>
      <c r="Y83" s="758">
        <f t="shared" ca="1" si="67"/>
        <v>0</v>
      </c>
      <c r="Z83" s="758">
        <f t="shared" ca="1" si="68"/>
        <v>0</v>
      </c>
      <c r="AA83" s="758">
        <f t="shared" ca="1" si="69"/>
        <v>0</v>
      </c>
      <c r="AB83" s="758">
        <f t="shared" ca="1" si="70"/>
        <v>0</v>
      </c>
      <c r="AC83" s="211"/>
      <c r="AD83" s="81">
        <v>2050</v>
      </c>
      <c r="AE83" s="81"/>
      <c r="AF83" s="765"/>
    </row>
    <row r="84" spans="1:33">
      <c r="B84" s="393" t="s">
        <v>1132</v>
      </c>
      <c r="C84" s="55"/>
      <c r="D84" s="223" t="str">
        <f ca="1">IF(T84=0,"*",IF(T84&gt;0,"IND"&amp;RIGHT(H84,4)&amp;RIGHT(G84,3)&amp;"N"&amp;RIGHT(E84,1),""))</f>
        <v>INDVDRHELCN9</v>
      </c>
      <c r="E84" s="278" t="str">
        <f>"Industrial heating technology "&amp;$AJ$12&amp;" "&amp;RIGHT(H84,2)&amp;" - Electric boiler (Hot Water) - new 9"</f>
        <v>Industrial heating technology Vehicles RH - Electric boiler (Hot Water) - new 9</v>
      </c>
      <c r="F84" s="239" t="s">
        <v>1274</v>
      </c>
      <c r="G84" s="177" t="s">
        <v>500</v>
      </c>
      <c r="H84" s="177" t="str">
        <f>$AI$15</f>
        <v>IVDRH</v>
      </c>
      <c r="I84" s="177" t="str">
        <f t="shared" si="52"/>
        <v>INDVWH</v>
      </c>
      <c r="J84" s="239">
        <f t="shared" si="53"/>
        <v>2011</v>
      </c>
      <c r="K84" s="332">
        <f>J84</f>
        <v>2011</v>
      </c>
      <c r="L84" s="206">
        <f t="shared" ca="1" si="63"/>
        <v>0.99</v>
      </c>
      <c r="M84" s="206"/>
      <c r="N84" s="81">
        <f ca="1">VLOOKUP($AD84,INDIRECT("'"&amp;$B84&amp;"'!"&amp;"$P$118:$AD$121"),5,FALSE)</f>
        <v>25</v>
      </c>
      <c r="O84" s="783">
        <f t="shared" ca="1" si="64"/>
        <v>0.52150000000000007</v>
      </c>
      <c r="P84" s="783">
        <f t="shared" ca="1" si="65"/>
        <v>7.9714999999999994E-3</v>
      </c>
      <c r="Q84" s="81">
        <f t="shared" ca="1" si="66"/>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8"/>
        <v>0</v>
      </c>
      <c r="Y84" s="758">
        <f t="shared" ca="1" si="67"/>
        <v>0</v>
      </c>
      <c r="Z84" s="758">
        <f t="shared" ca="1" si="68"/>
        <v>0</v>
      </c>
      <c r="AA84" s="758">
        <f t="shared" ca="1" si="69"/>
        <v>0</v>
      </c>
      <c r="AB84" s="758">
        <f t="shared" ca="1" si="70"/>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2"/>
        <v>INDVWH</v>
      </c>
      <c r="J85" s="239">
        <f t="shared" si="53"/>
        <v>2030</v>
      </c>
      <c r="K85" s="81"/>
      <c r="L85" s="206">
        <f t="shared" ca="1" si="63"/>
        <v>0.99</v>
      </c>
      <c r="M85" s="206"/>
      <c r="N85" s="81"/>
      <c r="O85" s="783">
        <f t="shared" ca="1" si="64"/>
        <v>0.44700000000000001</v>
      </c>
      <c r="P85" s="783">
        <f t="shared" ca="1" si="65"/>
        <v>7.5989999999999999E-3</v>
      </c>
      <c r="Q85" s="81">
        <f t="shared" ca="1" si="66"/>
        <v>1.8107638888888888</v>
      </c>
      <c r="R85" s="333"/>
      <c r="S85" s="333"/>
      <c r="T85" s="333"/>
      <c r="U85" s="333"/>
      <c r="V85" s="759">
        <f ca="1">IF(IF(RIGHT(H84,2)="MT",(1-L85)+$W$2,IF(RIGHT(H84,2)="HT",(1-L85)+$W$1,IF(RIGHT(H84,2)="RH",(1-L85)+$W$3,"")))&lt;0,0,IF(RIGHT(H84,2)="MT",(1-L85)+$W$2,IF(RIGHT(H84,2)="HT",(1-L85)+$W$1,IF(RIGHT(H84,2)="RH",(1-L85)+$W$3,""))))</f>
        <v>1.0000000000000009E-2</v>
      </c>
      <c r="W85" s="331"/>
      <c r="X85" s="758">
        <f t="shared" ca="1" si="58"/>
        <v>0</v>
      </c>
      <c r="Y85" s="758">
        <f t="shared" ca="1" si="67"/>
        <v>0</v>
      </c>
      <c r="Z85" s="758">
        <f t="shared" ca="1" si="68"/>
        <v>0</v>
      </c>
      <c r="AA85" s="758">
        <f t="shared" ca="1" si="69"/>
        <v>0</v>
      </c>
      <c r="AB85" s="758">
        <f t="shared" ca="1" si="70"/>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2"/>
        <v>INDVWH</v>
      </c>
      <c r="J86" s="239">
        <f t="shared" si="53"/>
        <v>2050</v>
      </c>
      <c r="K86" s="81"/>
      <c r="L86" s="206">
        <f t="shared" ca="1" si="63"/>
        <v>0.99</v>
      </c>
      <c r="M86" s="206"/>
      <c r="N86" s="81"/>
      <c r="O86" s="783">
        <f t="shared" ca="1" si="64"/>
        <v>0.44700000000000001</v>
      </c>
      <c r="P86" s="783">
        <f t="shared" ca="1" si="65"/>
        <v>6.8539999999999998E-3</v>
      </c>
      <c r="Q86" s="81">
        <f t="shared" ca="1" si="66"/>
        <v>1.6141666666666665</v>
      </c>
      <c r="R86" s="763"/>
      <c r="S86" s="763"/>
      <c r="T86" s="763"/>
      <c r="U86" s="763"/>
      <c r="V86" s="759">
        <f ca="1">IF(IF(RIGHT(H84,2)="MT",(1-L86)+$W$2,IF(RIGHT(H84,2)="HT",(1-L86)+$W$1,IF(RIGHT(H84,2)="RH",(1-L86)+$W$3,"")))&lt;0,0,IF(RIGHT(H84,2)="MT",(1-L86)+$W$2,IF(RIGHT(H84,2)="HT",(1-L86)+$W$1,IF(RIGHT(H84,2)="RH",(1-L86)+$W$3,""))))</f>
        <v>1.0000000000000009E-2</v>
      </c>
      <c r="W86" s="764"/>
      <c r="X86" s="758">
        <f t="shared" ca="1" si="58"/>
        <v>0</v>
      </c>
      <c r="Y86" s="758">
        <f t="shared" ca="1" si="67"/>
        <v>0</v>
      </c>
      <c r="Z86" s="758">
        <f t="shared" ca="1" si="68"/>
        <v>0</v>
      </c>
      <c r="AA86" s="758">
        <f t="shared" ca="1" si="69"/>
        <v>0</v>
      </c>
      <c r="AB86" s="758">
        <f t="shared" ca="1" si="70"/>
        <v>0</v>
      </c>
      <c r="AD86" s="81">
        <v>2050</v>
      </c>
      <c r="AE86" s="81"/>
      <c r="AF86" s="232"/>
    </row>
    <row r="87" spans="1:33">
      <c r="B87" s="393" t="s">
        <v>1133</v>
      </c>
      <c r="D87" s="223" t="str">
        <f ca="1">IF(T87=0,"*",IF(T87&gt;0,"IND"&amp;RIGHT(H87,4)&amp;RIGHT(G87,3)&amp;"N"&amp;RIGHT(E87,1),""))</f>
        <v>INDVDHTWCHN1</v>
      </c>
      <c r="E87" s="278" t="str">
        <f>"Industrial heating technology "&amp;$AJ$12&amp;" "&amp;RIGHT(H87,2)&amp;" - Wood chip boiler (Steam) - new 1"</f>
        <v>Industrial heating technology Vehicles HT - Wood chip boiler (Steam) - new 1</v>
      </c>
      <c r="F87" s="239" t="s">
        <v>1274</v>
      </c>
      <c r="G87" s="176" t="s">
        <v>499</v>
      </c>
      <c r="H87" s="177" t="str">
        <f>$AI$13</f>
        <v>IVDHT</v>
      </c>
      <c r="I87" s="177" t="str">
        <f t="shared" si="52"/>
        <v>INDVWH</v>
      </c>
      <c r="J87" s="239">
        <f t="shared" si="53"/>
        <v>2011</v>
      </c>
      <c r="K87" s="332">
        <f>J87</f>
        <v>2011</v>
      </c>
      <c r="L87" s="206">
        <f t="shared" ref="L87:L95" ca="1" si="71">VLOOKUP($AD87,INDIRECT("'"&amp;$B87&amp;"'!"&amp;"$P$39:$AD$42"),3,FALSE)</f>
        <v>0.89</v>
      </c>
      <c r="M87" s="759"/>
      <c r="N87" s="332">
        <f ca="1">VLOOKUP($AD87,INDIRECT("'"&amp;$B87&amp;"'!"&amp;"$P$39:$AD$42"),5,FALSE)</f>
        <v>25</v>
      </c>
      <c r="O87" s="785">
        <f t="shared" ref="O87:O95" ca="1" si="72">VLOOKUP($AD87,INDIRECT("'"&amp;$B87&amp;"'!"&amp;"$P$39:$AD$42"),6,FALSE)/1000</f>
        <v>4.6054545454545455</v>
      </c>
      <c r="P87" s="785">
        <f t="shared" ref="P87:P95" ca="1" si="73">VLOOKUP($AD87,INDIRECT("'"&amp;$B87&amp;"'!"&amp;"$P$39:$AD$42"),7,FALSE)/1000</f>
        <v>0.25106499999999998</v>
      </c>
      <c r="Q87" s="332">
        <f t="shared" ref="Q87:Q95" ca="1" si="74">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8"/>
        <v>11</v>
      </c>
      <c r="Y87" s="332">
        <f t="shared" ref="Y87:Y95" ca="1" si="75">VLOOKUP($AD87,INDIRECT("'"&amp;$B87&amp;"'!"&amp;"$P$39:$AD$42"),12,FALSE)</f>
        <v>63</v>
      </c>
      <c r="Z87" s="332">
        <f t="shared" ref="Z87:Z95" ca="1" si="76">VLOOKUP($AD87,INDIRECT("'"&amp;$B87&amp;"'!"&amp;"$P$39:$AD$42"),13,FALSE)</f>
        <v>11</v>
      </c>
      <c r="AA87" s="332">
        <f t="shared" ref="AA87:AA95" ca="1" si="77">VLOOKUP($AD87,INDIRECT("'"&amp;$B87&amp;"'!"&amp;"$P$39:$AD$42"),14,FALSE)</f>
        <v>3</v>
      </c>
      <c r="AB87" s="332">
        <f t="shared" ref="AB87:AB95" ca="1" si="78">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2"/>
        <v>INDVWH</v>
      </c>
      <c r="J88" s="239">
        <f t="shared" si="53"/>
        <v>2030</v>
      </c>
      <c r="K88" s="81"/>
      <c r="L88" s="206">
        <f t="shared" ca="1" si="71"/>
        <v>0.89</v>
      </c>
      <c r="M88" s="206"/>
      <c r="N88" s="81"/>
      <c r="O88" s="783">
        <f t="shared" ca="1" si="72"/>
        <v>4.4022727272727264</v>
      </c>
      <c r="P88" s="783">
        <f t="shared" ca="1" si="73"/>
        <v>0.267455</v>
      </c>
      <c r="Q88" s="81">
        <f t="shared" ca="1" si="74"/>
        <v>5.8461805555555557</v>
      </c>
      <c r="R88" s="333"/>
      <c r="S88" s="333"/>
      <c r="T88" s="333"/>
      <c r="U88" s="333"/>
      <c r="V88" s="759">
        <f ca="1">IF(IF(RIGHT(H87,2)="MT",(1-L88)+$W$2,IF(RIGHT(H87,2)="HT",(1-L88)+$W$1,IF(RIGHT(H87,2)="RH",(1-L88)+$W$3,"")))&lt;0,0,IF(RIGHT(H87,2)="MT",(1-L88)+$W$2,IF(RIGHT(H87,2)="HT",(1-L88)+$W$1,IF(RIGHT(H87,2)="RH",(1-L88)+$W$3,""))))</f>
        <v>0.41</v>
      </c>
      <c r="W88" s="331"/>
      <c r="X88" s="758">
        <f t="shared" ca="1" si="58"/>
        <v>11</v>
      </c>
      <c r="Y88" s="81">
        <f t="shared" ca="1" si="75"/>
        <v>49</v>
      </c>
      <c r="Z88" s="81">
        <f t="shared" ca="1" si="76"/>
        <v>8</v>
      </c>
      <c r="AA88" s="81">
        <f t="shared" ca="1" si="77"/>
        <v>3</v>
      </c>
      <c r="AB88" s="81">
        <f t="shared" ca="1" si="78"/>
        <v>10</v>
      </c>
      <c r="AD88" s="81">
        <v>2030</v>
      </c>
      <c r="AE88" s="81"/>
      <c r="AF88" s="232"/>
    </row>
    <row r="89" spans="1:33">
      <c r="B89" s="393" t="s">
        <v>1133</v>
      </c>
      <c r="D89" s="223" t="str">
        <f ca="1">IF(T87=0,"*",IF(T89&gt;0,"IND"&amp;RIGHT(H87,4)&amp;RIGHT(G87,3)&amp;"N"&amp;RIGHT(E87,1),""))</f>
        <v/>
      </c>
      <c r="E89" s="223"/>
      <c r="F89" s="239" t="s">
        <v>1274</v>
      </c>
      <c r="H89" s="177"/>
      <c r="I89" s="177" t="str">
        <f t="shared" si="52"/>
        <v>INDVWH</v>
      </c>
      <c r="J89" s="239">
        <f t="shared" si="53"/>
        <v>2050</v>
      </c>
      <c r="K89" s="81"/>
      <c r="L89" s="206">
        <f t="shared" ca="1" si="71"/>
        <v>0.9</v>
      </c>
      <c r="M89" s="206"/>
      <c r="N89" s="81"/>
      <c r="O89" s="783">
        <f t="shared" ca="1" si="72"/>
        <v>3.9959090909090902</v>
      </c>
      <c r="P89" s="783">
        <f t="shared" ca="1" si="73"/>
        <v>0.25106499999999998</v>
      </c>
      <c r="Q89" s="81">
        <f t="shared" ca="1" si="74"/>
        <v>5.8937777777777782</v>
      </c>
      <c r="R89" s="333"/>
      <c r="S89" s="333"/>
      <c r="T89" s="333"/>
      <c r="U89" s="333"/>
      <c r="V89" s="759">
        <f ca="1">IF(IF(RIGHT(H87,2)="MT",(1-L89)+$W$2,IF(RIGHT(H87,2)="HT",(1-L89)+$W$1,IF(RIGHT(H87,2)="RH",(1-L89)+$W$3,"")))&lt;0,0,IF(RIGHT(H87,2)="MT",(1-L89)+$W$2,IF(RIGHT(H87,2)="HT",(1-L89)+$W$1,IF(RIGHT(H87,2)="RH",(1-L89)+$W$3,""))))</f>
        <v>0.39999999999999997</v>
      </c>
      <c r="W89" s="331"/>
      <c r="X89" s="758">
        <f t="shared" ca="1" si="58"/>
        <v>11</v>
      </c>
      <c r="Y89" s="81">
        <f t="shared" ca="1" si="75"/>
        <v>41</v>
      </c>
      <c r="Z89" s="81">
        <f t="shared" ca="1" si="76"/>
        <v>4</v>
      </c>
      <c r="AA89" s="81">
        <f t="shared" ca="1" si="77"/>
        <v>1</v>
      </c>
      <c r="AB89" s="81">
        <f t="shared" ca="1" si="78"/>
        <v>10</v>
      </c>
      <c r="AD89" s="81">
        <v>2050</v>
      </c>
      <c r="AE89" s="81"/>
      <c r="AF89" s="232"/>
    </row>
    <row r="90" spans="1:33" s="241" customFormat="1">
      <c r="A90" s="239"/>
      <c r="B90" s="393" t="s">
        <v>1133</v>
      </c>
      <c r="C90" s="239"/>
      <c r="D90" s="223" t="str">
        <f ca="1">IF(T90=0,"*",IF(T90&gt;0,"IND"&amp;RIGHT(H90,4)&amp;RIGHT(G90,3)&amp;"N"&amp;RIGHT(E90,1),""))</f>
        <v>INDVDMTWCHN1</v>
      </c>
      <c r="E90" s="278" t="str">
        <f>"Industrial heating technology "&amp;$AJ$12&amp;" "&amp;RIGHT(H90,2)&amp;" - Wood chip boiler (Steam) - new 1"</f>
        <v>Industrial heating technology Vehicles MT - Wood chip boiler (Steam) - new 1</v>
      </c>
      <c r="F90" s="239" t="s">
        <v>1274</v>
      </c>
      <c r="G90" s="176" t="s">
        <v>499</v>
      </c>
      <c r="H90" s="177" t="str">
        <f>$AI$14</f>
        <v>IVDMT</v>
      </c>
      <c r="I90" s="177" t="str">
        <f t="shared" si="52"/>
        <v>INDVWH</v>
      </c>
      <c r="J90" s="239">
        <f t="shared" si="53"/>
        <v>2011</v>
      </c>
      <c r="K90" s="332">
        <f>J90</f>
        <v>2011</v>
      </c>
      <c r="L90" s="206">
        <f t="shared" ca="1" si="71"/>
        <v>0.89</v>
      </c>
      <c r="M90" s="206"/>
      <c r="N90" s="81">
        <f ca="1">VLOOKUP($AD90,INDIRECT("'"&amp;$B90&amp;"'!"&amp;"$P$39:$AD$42"),5,FALSE)</f>
        <v>25</v>
      </c>
      <c r="O90" s="783">
        <f t="shared" ca="1" si="72"/>
        <v>4.6054545454545455</v>
      </c>
      <c r="P90" s="783">
        <f t="shared" ca="1" si="73"/>
        <v>0.25106499999999998</v>
      </c>
      <c r="Q90" s="81">
        <f t="shared" ca="1" si="74"/>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8"/>
        <v>11</v>
      </c>
      <c r="Y90" s="81">
        <f t="shared" ca="1" si="75"/>
        <v>63</v>
      </c>
      <c r="Z90" s="81">
        <f t="shared" ca="1" si="76"/>
        <v>11</v>
      </c>
      <c r="AA90" s="81">
        <f t="shared" ca="1" si="77"/>
        <v>3</v>
      </c>
      <c r="AB90" s="81">
        <f t="shared" ca="1" si="78"/>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2"/>
        <v>INDVWH</v>
      </c>
      <c r="J91" s="239">
        <f t="shared" si="53"/>
        <v>2030</v>
      </c>
      <c r="K91" s="81"/>
      <c r="L91" s="206">
        <f t="shared" ca="1" si="71"/>
        <v>0.89</v>
      </c>
      <c r="M91" s="206"/>
      <c r="N91" s="81"/>
      <c r="O91" s="783">
        <f t="shared" ca="1" si="72"/>
        <v>4.4022727272727264</v>
      </c>
      <c r="P91" s="783">
        <f t="shared" ca="1" si="73"/>
        <v>0.267455</v>
      </c>
      <c r="Q91" s="81">
        <f t="shared" ca="1" si="74"/>
        <v>5.8461805555555557</v>
      </c>
      <c r="R91" s="333"/>
      <c r="S91" s="333"/>
      <c r="T91" s="333"/>
      <c r="U91" s="333"/>
      <c r="V91" s="759">
        <f ca="1">IF(IF(RIGHT(H90,2)="MT",(1-L91)+$W$2,IF(RIGHT(H90,2)="HT",(1-L91)+$W$1,IF(RIGHT(H90,2)="RH",(1-L91)+$W$3,"")))&lt;0,0,IF(RIGHT(H90,2)="MT",(1-L91)+$W$2,IF(RIGHT(H90,2)="HT",(1-L91)+$W$1,IF(RIGHT(H90,2)="RH",(1-L91)+$W$3,""))))</f>
        <v>0.31</v>
      </c>
      <c r="W91" s="331"/>
      <c r="X91" s="758">
        <f t="shared" ca="1" si="58"/>
        <v>11</v>
      </c>
      <c r="Y91" s="81">
        <f t="shared" ca="1" si="75"/>
        <v>49</v>
      </c>
      <c r="Z91" s="81">
        <f t="shared" ca="1" si="76"/>
        <v>8</v>
      </c>
      <c r="AA91" s="81">
        <f t="shared" ca="1" si="77"/>
        <v>3</v>
      </c>
      <c r="AB91" s="81">
        <f t="shared" ca="1" si="78"/>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2"/>
        <v>INDVWH</v>
      </c>
      <c r="J92" s="239">
        <f t="shared" si="53"/>
        <v>2050</v>
      </c>
      <c r="K92" s="81"/>
      <c r="L92" s="206">
        <f t="shared" ca="1" si="71"/>
        <v>0.9</v>
      </c>
      <c r="M92" s="206"/>
      <c r="N92" s="81"/>
      <c r="O92" s="783">
        <f t="shared" ca="1" si="72"/>
        <v>3.9959090909090902</v>
      </c>
      <c r="P92" s="783">
        <f t="shared" ca="1" si="73"/>
        <v>0.25106499999999998</v>
      </c>
      <c r="Q92" s="81">
        <f t="shared" ca="1" si="74"/>
        <v>5.8937777777777782</v>
      </c>
      <c r="R92" s="333"/>
      <c r="S92" s="333"/>
      <c r="T92" s="333"/>
      <c r="U92" s="333"/>
      <c r="V92" s="759">
        <f ca="1">IF(IF(RIGHT(H90,2)="MT",(1-L92)+$W$2,IF(RIGHT(H90,2)="HT",(1-L92)+$W$1,IF(RIGHT(H90,2)="RH",(1-L92)+$W$3,"")))&lt;0,0,IF(RIGHT(H90,2)="MT",(1-L92)+$W$2,IF(RIGHT(H90,2)="HT",(1-L92)+$W$1,IF(RIGHT(H90,2)="RH",(1-L92)+$W$3,""))))</f>
        <v>0.3</v>
      </c>
      <c r="W92" s="331"/>
      <c r="X92" s="758">
        <f t="shared" ca="1" si="58"/>
        <v>11</v>
      </c>
      <c r="Y92" s="81">
        <f t="shared" ca="1" si="75"/>
        <v>41</v>
      </c>
      <c r="Z92" s="81">
        <f t="shared" ca="1" si="76"/>
        <v>4</v>
      </c>
      <c r="AA92" s="81">
        <f t="shared" ca="1" si="77"/>
        <v>1</v>
      </c>
      <c r="AB92" s="81">
        <f t="shared" ca="1" si="78"/>
        <v>10</v>
      </c>
      <c r="AC92" s="239"/>
      <c r="AD92" s="81">
        <v>2050</v>
      </c>
      <c r="AE92" s="766"/>
      <c r="AF92" s="232"/>
    </row>
    <row r="93" spans="1:33" s="241" customFormat="1">
      <c r="A93" s="239"/>
      <c r="B93" s="393" t="s">
        <v>1133</v>
      </c>
      <c r="C93" s="239"/>
      <c r="D93" s="223" t="str">
        <f ca="1">IF(T93=0,"*",IF(T93&gt;0,"IND"&amp;RIGHT(H93,4)&amp;RIGHT(G93,3)&amp;"N"&amp;RIGHT(E93,1),""))</f>
        <v>INDVDRHWCHN1</v>
      </c>
      <c r="E93" s="278" t="str">
        <f>"Industrial heating technology "&amp;$AJ$12&amp;" "&amp;RIGHT(H93,2)&amp;" - Wood chip boiler (Steam) - new 1"</f>
        <v>Industrial heating technology Vehicles RH - Wood chip boiler (Steam) - new 1</v>
      </c>
      <c r="F93" s="239" t="s">
        <v>1274</v>
      </c>
      <c r="G93" s="176" t="s">
        <v>499</v>
      </c>
      <c r="H93" s="177" t="str">
        <f>$AI$15</f>
        <v>IVDRH</v>
      </c>
      <c r="I93" s="177" t="str">
        <f t="shared" si="52"/>
        <v>INDVWH</v>
      </c>
      <c r="J93" s="239">
        <f t="shared" si="53"/>
        <v>2011</v>
      </c>
      <c r="K93" s="332">
        <f>J93</f>
        <v>2011</v>
      </c>
      <c r="L93" s="206">
        <f t="shared" ca="1" si="71"/>
        <v>0.89</v>
      </c>
      <c r="M93" s="206"/>
      <c r="N93" s="81">
        <f ca="1">VLOOKUP($AD93,INDIRECT("'"&amp;$B93&amp;"'!"&amp;"$P$39:$AD$42"),5,FALSE)</f>
        <v>25</v>
      </c>
      <c r="O93" s="783">
        <f t="shared" ca="1" si="72"/>
        <v>4.6054545454545455</v>
      </c>
      <c r="P93" s="783">
        <f t="shared" ca="1" si="73"/>
        <v>0.25106499999999998</v>
      </c>
      <c r="Q93" s="81">
        <f t="shared" ca="1" si="74"/>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8"/>
        <v>11</v>
      </c>
      <c r="Y93" s="81">
        <f t="shared" ca="1" si="75"/>
        <v>63</v>
      </c>
      <c r="Z93" s="81">
        <f t="shared" ca="1" si="76"/>
        <v>11</v>
      </c>
      <c r="AA93" s="81">
        <f t="shared" ca="1" si="77"/>
        <v>3</v>
      </c>
      <c r="AB93" s="81">
        <f t="shared" ca="1" si="78"/>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2"/>
        <v>INDVWH</v>
      </c>
      <c r="J94" s="239">
        <f t="shared" si="53"/>
        <v>2030</v>
      </c>
      <c r="K94" s="81"/>
      <c r="L94" s="206">
        <f t="shared" ca="1" si="71"/>
        <v>0.89</v>
      </c>
      <c r="M94" s="206"/>
      <c r="N94" s="81"/>
      <c r="O94" s="783">
        <f t="shared" ca="1" si="72"/>
        <v>4.4022727272727264</v>
      </c>
      <c r="P94" s="783">
        <f t="shared" ca="1" si="73"/>
        <v>0.267455</v>
      </c>
      <c r="Q94" s="81">
        <f t="shared" ca="1" si="74"/>
        <v>5.8461805555555557</v>
      </c>
      <c r="R94" s="333"/>
      <c r="S94" s="333"/>
      <c r="T94" s="333"/>
      <c r="U94" s="333"/>
      <c r="V94" s="759">
        <f ca="1">IF(IF(RIGHT(H93,2)="MT",(1-L94)+$W$2,IF(RIGHT(H93,2)="HT",(1-L94)+$W$1,IF(RIGHT(H93,2)="RH",(1-L94)+$W$3,"")))&lt;0,0,IF(RIGHT(H93,2)="MT",(1-L94)+$W$2,IF(RIGHT(H93,2)="HT",(1-L94)+$W$1,IF(RIGHT(H93,2)="RH",(1-L94)+$W$3,""))))</f>
        <v>0.10999999999999999</v>
      </c>
      <c r="W94" s="331"/>
      <c r="X94" s="758">
        <f t="shared" ca="1" si="58"/>
        <v>11</v>
      </c>
      <c r="Y94" s="81">
        <f t="shared" ca="1" si="75"/>
        <v>49</v>
      </c>
      <c r="Z94" s="81">
        <f t="shared" ca="1" si="76"/>
        <v>8</v>
      </c>
      <c r="AA94" s="81">
        <f t="shared" ca="1" si="77"/>
        <v>3</v>
      </c>
      <c r="AB94" s="81">
        <f t="shared" ca="1" si="78"/>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79">$AI$20</f>
        <v>INDVWH</v>
      </c>
      <c r="J95" s="239">
        <f t="shared" ref="J95:J126" si="80">IF(AD95=2020,2011,AD95)</f>
        <v>2050</v>
      </c>
      <c r="K95" s="766"/>
      <c r="L95" s="206">
        <f t="shared" ca="1" si="71"/>
        <v>0.9</v>
      </c>
      <c r="M95" s="834"/>
      <c r="N95" s="766"/>
      <c r="O95" s="784">
        <f t="shared" ca="1" si="72"/>
        <v>3.9959090909090902</v>
      </c>
      <c r="P95" s="784">
        <f t="shared" ca="1" si="73"/>
        <v>0.25106499999999998</v>
      </c>
      <c r="Q95" s="766">
        <f t="shared" ca="1" si="74"/>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1">IF(VLOOKUP($AD95,INDIRECT("'"&amp;$B95&amp;"'!"&amp;"$P$39:$AD$42"),11,FALSE)="Cf. the utilized electricity",0,VLOOKUP($AD95,INDIRECT("'"&amp;$B95&amp;"'!"&amp;"$P$39:$AD$42"),11,FALSE))</f>
        <v>11</v>
      </c>
      <c r="Y95" s="766">
        <f t="shared" ca="1" si="75"/>
        <v>41</v>
      </c>
      <c r="Z95" s="766">
        <f t="shared" ca="1" si="76"/>
        <v>4</v>
      </c>
      <c r="AA95" s="766">
        <f t="shared" ca="1" si="77"/>
        <v>1</v>
      </c>
      <c r="AB95" s="766">
        <f t="shared" ca="1" si="78"/>
        <v>10</v>
      </c>
      <c r="AC95" s="55"/>
      <c r="AD95" s="766">
        <v>2050</v>
      </c>
      <c r="AE95" s="81"/>
      <c r="AF95" s="760"/>
    </row>
    <row r="96" spans="1:33">
      <c r="B96" s="776" t="s">
        <v>1133</v>
      </c>
      <c r="C96" s="329"/>
      <c r="D96" s="223" t="str">
        <f ca="1">IF(T96=0,"*",IF(T96&gt;0,"IND"&amp;RIGHT(H96,4)&amp;RIGHT(G96,3)&amp;"N"&amp;RIGHT(E96,1),""))</f>
        <v>INDVDMTWCHN2</v>
      </c>
      <c r="E96" s="767" t="str">
        <f>"Industrial heating technology "&amp;$AJ$12&amp;" "&amp;RIGHT(H96,2)&amp;" - Wood chip boiler (Steam - condensing) - new 2"</f>
        <v>Industrial heating technology Vehicles MT - Wood chip boiler (Steam - condensing) - new 2</v>
      </c>
      <c r="F96" s="239" t="s">
        <v>1274</v>
      </c>
      <c r="G96" s="768" t="s">
        <v>499</v>
      </c>
      <c r="H96" s="768" t="str">
        <f>$AI$14</f>
        <v>IVDMT</v>
      </c>
      <c r="I96" s="768" t="str">
        <f t="shared" si="79"/>
        <v>INDVWH</v>
      </c>
      <c r="J96" s="239">
        <f t="shared" si="80"/>
        <v>2011</v>
      </c>
      <c r="K96" s="332">
        <f>J96</f>
        <v>2011</v>
      </c>
      <c r="L96" s="206">
        <f t="shared" ref="L96:L101" ca="1" si="82">VLOOKUP($AD96,INDIRECT("'"&amp;$B96&amp;"'!"&amp;"$P$118:$AD$121"),3,FALSE)</f>
        <v>1.1618960947726835</v>
      </c>
      <c r="M96" s="206"/>
      <c r="N96" s="81">
        <f ca="1">VLOOKUP($AD96,INDIRECT("'"&amp;$B96&amp;"'!"&amp;"$P$118:$AD$121"),5,FALSE)</f>
        <v>25</v>
      </c>
      <c r="O96" s="783">
        <f t="shared" ref="O96:O101" ca="1" si="83">VLOOKUP($AD96,INDIRECT("'"&amp;$B96&amp;"'!"&amp;"$P$118:$AD$121"),6,FALSE)/1000</f>
        <v>5.0660000000000007</v>
      </c>
      <c r="P96" s="783">
        <f t="shared" ref="P96:P101" ca="1" si="84">VLOOKUP($AD96,INDIRECT("'"&amp;$B96&amp;"'!"&amp;"$P$118:$AD$121"),7,FALSE)/1000</f>
        <v>0.27564999999999995</v>
      </c>
      <c r="Q96" s="81">
        <f t="shared" ref="Q96:Q101" ca="1" si="85">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1"/>
        <v>11</v>
      </c>
      <c r="Y96" s="758">
        <f t="shared" ref="Y96:Y101" ca="1" si="86">VLOOKUP($AD96,INDIRECT("'"&amp;$B96&amp;"'!"&amp;"$P$118:$AD$121"),12,FALSE)</f>
        <v>63</v>
      </c>
      <c r="Z96" s="758">
        <f t="shared" ref="Z96:Z101" ca="1" si="87">VLOOKUP($AD96,INDIRECT("'"&amp;$B96&amp;"'!"&amp;"$P$118:$AD$121"),13,FALSE)</f>
        <v>11</v>
      </c>
      <c r="AA96" s="758">
        <f t="shared" ref="AA96:AA101" ca="1" si="88">VLOOKUP($AD96,INDIRECT("'"&amp;$B96&amp;"'!"&amp;"$P$118:$AD$121"),14,FALSE)</f>
        <v>3</v>
      </c>
      <c r="AB96" s="758">
        <f t="shared" ref="AB96:AB101" ca="1" si="89">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79"/>
        <v>INDVWH</v>
      </c>
      <c r="J97" s="239">
        <f t="shared" si="80"/>
        <v>2030</v>
      </c>
      <c r="K97" s="81"/>
      <c r="L97" s="206">
        <f t="shared" ca="1" si="82"/>
        <v>1.1618960947726835</v>
      </c>
      <c r="M97" s="206"/>
      <c r="N97" s="81"/>
      <c r="O97" s="783">
        <f t="shared" ca="1" si="83"/>
        <v>4.8425000000000002</v>
      </c>
      <c r="P97" s="783">
        <f t="shared" ca="1" si="84"/>
        <v>0.267455</v>
      </c>
      <c r="Q97" s="81">
        <f t="shared" ca="1" si="85"/>
        <v>5.8461805555555557</v>
      </c>
      <c r="R97" s="333"/>
      <c r="S97" s="333"/>
      <c r="T97" s="333"/>
      <c r="U97" s="333"/>
      <c r="V97" s="759">
        <f ca="1">IF(IF(RIGHT(H96,2)="MT",(1-L97)+$W$2,IF(RIGHT(H96,2)="HT",(1-L97)+$W$1,IF(RIGHT(H96,2)="RH",(1-L97)+$W$3,"")))&lt;0,0,IF(RIGHT(H96,2)="MT",(1-L97)+$W$2,IF(RIGHT(H96,2)="HT",(1-L97)+$W$1,IF(RIGHT(H96,2)="RH",(1-L97)+$W$3,""))))</f>
        <v>3.8103905227316492E-2</v>
      </c>
      <c r="W97" s="331"/>
      <c r="X97" s="758">
        <f t="shared" ca="1" si="81"/>
        <v>11</v>
      </c>
      <c r="Y97" s="758">
        <f t="shared" ca="1" si="86"/>
        <v>49</v>
      </c>
      <c r="Z97" s="758">
        <f t="shared" ca="1" si="87"/>
        <v>8</v>
      </c>
      <c r="AA97" s="758">
        <f t="shared" ca="1" si="88"/>
        <v>3</v>
      </c>
      <c r="AB97" s="758">
        <f t="shared" ca="1" si="89"/>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79"/>
        <v>INDVWH</v>
      </c>
      <c r="J98" s="239">
        <f t="shared" si="80"/>
        <v>2050</v>
      </c>
      <c r="K98" s="81"/>
      <c r="L98" s="206">
        <f t="shared" ca="1" si="82"/>
        <v>1.1618960947726835</v>
      </c>
      <c r="M98" s="206"/>
      <c r="N98" s="81"/>
      <c r="O98" s="783">
        <f t="shared" ca="1" si="83"/>
        <v>4.3955000000000002</v>
      </c>
      <c r="P98" s="783">
        <f t="shared" ca="1" si="84"/>
        <v>0.25106499999999998</v>
      </c>
      <c r="Q98" s="81">
        <f t="shared" ca="1" si="85"/>
        <v>5.8937777777777782</v>
      </c>
      <c r="R98" s="333"/>
      <c r="S98" s="333"/>
      <c r="T98" s="333"/>
      <c r="U98" s="333"/>
      <c r="V98" s="759">
        <f ca="1">IF(IF(RIGHT(H96,2)="MT",(1-L98)+$W$2,IF(RIGHT(H96,2)="HT",(1-L98)+$W$1,IF(RIGHT(H96,2)="RH",(1-L98)+$W$3,"")))&lt;0,0,IF(RIGHT(H96,2)="MT",(1-L98)+$W$2,IF(RIGHT(H96,2)="HT",(1-L98)+$W$1,IF(RIGHT(H96,2)="RH",(1-L98)+$W$3,""))))</f>
        <v>3.8103905227316492E-2</v>
      </c>
      <c r="W98" s="331"/>
      <c r="X98" s="758">
        <f t="shared" ca="1" si="81"/>
        <v>11</v>
      </c>
      <c r="Y98" s="758">
        <f t="shared" ca="1" si="86"/>
        <v>41</v>
      </c>
      <c r="Z98" s="758">
        <f t="shared" ca="1" si="87"/>
        <v>4</v>
      </c>
      <c r="AA98" s="758">
        <f t="shared" ca="1" si="88"/>
        <v>1</v>
      </c>
      <c r="AB98" s="758">
        <f t="shared" ca="1" si="89"/>
        <v>10</v>
      </c>
      <c r="AC98" s="211"/>
      <c r="AD98" s="81">
        <v>2050</v>
      </c>
      <c r="AE98" s="81"/>
      <c r="AF98" s="765"/>
    </row>
    <row r="99" spans="2:32">
      <c r="B99" s="393" t="s">
        <v>1133</v>
      </c>
      <c r="C99" s="55"/>
      <c r="D99" s="223" t="str">
        <f ca="1">IF(T99=0,"*",IF(T99&gt;0,"IND"&amp;RIGHT(H99,4)&amp;RIGHT(G99,3)&amp;"N"&amp;RIGHT(E99,1),""))</f>
        <v>INDVDRHWCHN2</v>
      </c>
      <c r="E99" s="278" t="str">
        <f>"Industrial heating technology "&amp;$AJ$12&amp;" "&amp;RIGHT(H99,2)&amp;" - Wood chip boiler (Steam - condensing) - new 2"</f>
        <v>Industrial heating technology Vehicles RH - Wood chip boiler (Steam - condensing) - new 2</v>
      </c>
      <c r="F99" s="239" t="s">
        <v>1274</v>
      </c>
      <c r="G99" s="177" t="s">
        <v>499</v>
      </c>
      <c r="H99" s="177" t="str">
        <f>$AI$15</f>
        <v>IVDRH</v>
      </c>
      <c r="I99" s="177" t="str">
        <f t="shared" si="79"/>
        <v>INDVWH</v>
      </c>
      <c r="J99" s="239">
        <f t="shared" si="80"/>
        <v>2011</v>
      </c>
      <c r="K99" s="332">
        <f>J99</f>
        <v>2011</v>
      </c>
      <c r="L99" s="206">
        <f t="shared" ca="1" si="82"/>
        <v>1.1618960947726835</v>
      </c>
      <c r="M99" s="206"/>
      <c r="N99" s="81">
        <f ca="1">VLOOKUP($AD99,INDIRECT("'"&amp;$B99&amp;"'!"&amp;"$P$118:$AD$121"),5,FALSE)</f>
        <v>25</v>
      </c>
      <c r="O99" s="783">
        <f t="shared" ca="1" si="83"/>
        <v>5.0660000000000007</v>
      </c>
      <c r="P99" s="783">
        <f t="shared" ca="1" si="84"/>
        <v>0.27564999999999995</v>
      </c>
      <c r="Q99" s="81">
        <f t="shared" ca="1" si="85"/>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1"/>
        <v>11</v>
      </c>
      <c r="Y99" s="758">
        <f t="shared" ca="1" si="86"/>
        <v>63</v>
      </c>
      <c r="Z99" s="758">
        <f t="shared" ca="1" si="87"/>
        <v>11</v>
      </c>
      <c r="AA99" s="758">
        <f t="shared" ca="1" si="88"/>
        <v>3</v>
      </c>
      <c r="AB99" s="758">
        <f t="shared" ca="1" si="89"/>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79"/>
        <v>INDVWH</v>
      </c>
      <c r="J100" s="239">
        <f t="shared" si="80"/>
        <v>2030</v>
      </c>
      <c r="K100" s="81"/>
      <c r="L100" s="206">
        <f t="shared" ca="1" si="82"/>
        <v>1.1618960947726835</v>
      </c>
      <c r="M100" s="206"/>
      <c r="N100" s="81"/>
      <c r="O100" s="783">
        <f t="shared" ca="1" si="83"/>
        <v>4.8425000000000002</v>
      </c>
      <c r="P100" s="783">
        <f t="shared" ca="1" si="84"/>
        <v>0.267455</v>
      </c>
      <c r="Q100" s="81">
        <f t="shared" ca="1" si="85"/>
        <v>5.8461805555555557</v>
      </c>
      <c r="R100" s="333"/>
      <c r="S100" s="333"/>
      <c r="T100" s="333"/>
      <c r="U100" s="333"/>
      <c r="V100" s="759">
        <f ca="1">IF(IF(RIGHT(H99,2)="MT",(1-L100)+$W$2,IF(RIGHT(H99,2)="HT",(1-L100)+$W$1,IF(RIGHT(H99,2)="RH",(1-L100)+$W$3,"")))&lt;0,0,IF(RIGHT(H99,2)="MT",(1-L100)+$W$2,IF(RIGHT(H99,2)="HT",(1-L100)+$W$1,IF(RIGHT(H99,2)="RH",(1-L100)+$W$3,""))))</f>
        <v>0</v>
      </c>
      <c r="W100" s="331"/>
      <c r="X100" s="758">
        <f t="shared" ca="1" si="81"/>
        <v>11</v>
      </c>
      <c r="Y100" s="758">
        <f t="shared" ca="1" si="86"/>
        <v>49</v>
      </c>
      <c r="Z100" s="758">
        <f t="shared" ca="1" si="87"/>
        <v>8</v>
      </c>
      <c r="AA100" s="758">
        <f t="shared" ca="1" si="88"/>
        <v>3</v>
      </c>
      <c r="AB100" s="758">
        <f t="shared" ca="1" si="89"/>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79"/>
        <v>INDVWH</v>
      </c>
      <c r="J101" s="239">
        <f t="shared" si="80"/>
        <v>2050</v>
      </c>
      <c r="K101" s="81"/>
      <c r="L101" s="206">
        <f t="shared" ca="1" si="82"/>
        <v>1.1618960947726835</v>
      </c>
      <c r="M101" s="206"/>
      <c r="N101" s="81"/>
      <c r="O101" s="783">
        <f t="shared" ca="1" si="83"/>
        <v>4.3955000000000002</v>
      </c>
      <c r="P101" s="783">
        <f t="shared" ca="1" si="84"/>
        <v>0.25106499999999998</v>
      </c>
      <c r="Q101" s="81">
        <f t="shared" ca="1" si="85"/>
        <v>5.8937777777777782</v>
      </c>
      <c r="R101" s="763"/>
      <c r="S101" s="763"/>
      <c r="T101" s="763"/>
      <c r="U101" s="763"/>
      <c r="V101" s="759">
        <f ca="1">IF(IF(RIGHT(H99,2)="MT",(1-L101)+$W$2,IF(RIGHT(H99,2)="HT",(1-L101)+$W$1,IF(RIGHT(H99,2)="RH",(1-L101)+$W$3,"")))&lt;0,0,IF(RIGHT(H99,2)="MT",(1-L101)+$W$2,IF(RIGHT(H99,2)="HT",(1-L101)+$W$1,IF(RIGHT(H99,2)="RH",(1-L101)+$W$3,""))))</f>
        <v>0</v>
      </c>
      <c r="W101" s="764"/>
      <c r="X101" s="758">
        <f t="shared" ca="1" si="81"/>
        <v>11</v>
      </c>
      <c r="Y101" s="758">
        <f t="shared" ca="1" si="86"/>
        <v>41</v>
      </c>
      <c r="Z101" s="758">
        <f t="shared" ca="1" si="87"/>
        <v>4</v>
      </c>
      <c r="AA101" s="758">
        <f t="shared" ca="1" si="88"/>
        <v>1</v>
      </c>
      <c r="AB101" s="758">
        <f t="shared" ca="1" si="89"/>
        <v>10</v>
      </c>
      <c r="AC101" s="55"/>
      <c r="AD101" s="81">
        <v>2050</v>
      </c>
      <c r="AE101" s="81"/>
      <c r="AF101" s="760"/>
    </row>
    <row r="102" spans="2:32">
      <c r="B102" s="777" t="s">
        <v>1133</v>
      </c>
      <c r="C102" s="772"/>
      <c r="D102" s="223" t="str">
        <f ca="1">IF(T102=0,"*",IF(T102&gt;0,"IND"&amp;RIGHT(H102,4)&amp;RIGHT(G102,3)&amp;"N"&amp;RIGHT(E102,1),""))</f>
        <v>INDVDMTWCHN3</v>
      </c>
      <c r="E102" s="767" t="str">
        <f>"Industrial heating technology "&amp;$AJ$12&amp;" "&amp;RIGHT(H102,2)&amp;" - Wood chip boiler (Hot Water) - new 3"</f>
        <v>Industrial heating technology Vehicles MT - Wood chip boiler (Hot Water) - new 3</v>
      </c>
      <c r="F102" s="239" t="s">
        <v>1274</v>
      </c>
      <c r="G102" s="768" t="s">
        <v>499</v>
      </c>
      <c r="H102" s="768" t="str">
        <f>$AI$14</f>
        <v>IVDMT</v>
      </c>
      <c r="I102" s="768" t="str">
        <f t="shared" si="79"/>
        <v>INDVWH</v>
      </c>
      <c r="J102" s="239">
        <f t="shared" si="80"/>
        <v>2011</v>
      </c>
      <c r="K102" s="332">
        <f>J102</f>
        <v>2011</v>
      </c>
      <c r="L102" s="206">
        <f t="shared" ref="L102:L107" ca="1" si="90">VLOOKUP($AD102,INDIRECT("'"&amp;$B102&amp;"'!"&amp;"$P$200:$AD$203"),3,FALSE)</f>
        <v>0.9</v>
      </c>
      <c r="M102" s="206"/>
      <c r="N102" s="81">
        <f ca="1">VLOOKUP($AD102,INDIRECT("'"&amp;$B102&amp;"'!"&amp;"$P$200:$AD$203"),5,FALSE)</f>
        <v>25</v>
      </c>
      <c r="O102" s="783">
        <f t="shared" ref="O102:O107" ca="1" si="91">VLOOKUP($AD102,INDIRECT("'"&amp;$B102&amp;"'!"&amp;"$P$200:$AD$203"),6,FALSE)/1000</f>
        <v>4.6054545454545437</v>
      </c>
      <c r="P102" s="783">
        <f t="shared" ref="P102:P107" ca="1" si="92">VLOOKUP($AD102,INDIRECT("'"&amp;$B102&amp;"'!"&amp;"$P$200:$AD$203"),7,FALSE)/1000</f>
        <v>0.25106499999999998</v>
      </c>
      <c r="Q102" s="81">
        <f t="shared" ref="Q102:Q107" ca="1" si="93">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1"/>
        <v>11</v>
      </c>
      <c r="Y102" s="758">
        <f t="shared" ref="Y102:Y107" ca="1" si="94">VLOOKUP($AD102,INDIRECT("'"&amp;$B102&amp;"'!"&amp;"$P$200:$AD$203"),12,FALSE)</f>
        <v>63</v>
      </c>
      <c r="Z102" s="758">
        <f t="shared" ref="Z102:Z107" ca="1" si="95">VLOOKUP($AD102,INDIRECT("'"&amp;$B102&amp;"'!"&amp;"$P$200:$AD$203"),13,FALSE)</f>
        <v>11</v>
      </c>
      <c r="AA102" s="758">
        <f t="shared" ref="AA102:AA107" ca="1" si="96">VLOOKUP($AD102,INDIRECT("'"&amp;$B102&amp;"'!"&amp;"$P$200:$AD$203"),14,FALSE)</f>
        <v>3</v>
      </c>
      <c r="AB102" s="758">
        <f t="shared" ref="AB102:AB107" ca="1" si="97">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79"/>
        <v>INDVWH</v>
      </c>
      <c r="J103" s="239">
        <f t="shared" si="80"/>
        <v>2030</v>
      </c>
      <c r="K103" s="81"/>
      <c r="L103" s="206">
        <f t="shared" ca="1" si="90"/>
        <v>0.9</v>
      </c>
      <c r="M103" s="206"/>
      <c r="N103" s="81"/>
      <c r="O103" s="783">
        <f t="shared" ca="1" si="91"/>
        <v>4.4022727272727282</v>
      </c>
      <c r="P103" s="783">
        <f t="shared" ca="1" si="92"/>
        <v>0.267455</v>
      </c>
      <c r="Q103" s="81">
        <f t="shared" ca="1" si="93"/>
        <v>5.8461805555555557</v>
      </c>
      <c r="R103" s="333"/>
      <c r="S103" s="333"/>
      <c r="T103" s="333"/>
      <c r="U103" s="333"/>
      <c r="V103" s="759">
        <f ca="1">IF(IF(RIGHT(H102,2)="MT",(1-L103)+$W$2,IF(RIGHT(H102,2)="HT",(1-L103)+$W$1,IF(RIGHT(H102,2)="RH",(1-L103)+$W$3,"")))&lt;0,0,IF(RIGHT(H102,2)="MT",(1-L103)+$W$2,IF(RIGHT(H102,2)="HT",(1-L103)+$W$1,IF(RIGHT(H102,2)="RH",(1-L103)+$W$3,""))))</f>
        <v>0.3</v>
      </c>
      <c r="W103" s="331"/>
      <c r="X103" s="758">
        <f t="shared" ca="1" si="81"/>
        <v>11</v>
      </c>
      <c r="Y103" s="758">
        <f t="shared" ca="1" si="94"/>
        <v>49</v>
      </c>
      <c r="Z103" s="758">
        <f t="shared" ca="1" si="95"/>
        <v>8</v>
      </c>
      <c r="AA103" s="758">
        <f t="shared" ca="1" si="96"/>
        <v>3</v>
      </c>
      <c r="AB103" s="758">
        <f t="shared" ca="1" si="97"/>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79"/>
        <v>INDVWH</v>
      </c>
      <c r="J104" s="239">
        <f t="shared" si="80"/>
        <v>2050</v>
      </c>
      <c r="K104" s="81"/>
      <c r="L104" s="206">
        <f t="shared" ca="1" si="90"/>
        <v>0.91</v>
      </c>
      <c r="M104" s="206"/>
      <c r="N104" s="81"/>
      <c r="O104" s="783">
        <f t="shared" ca="1" si="91"/>
        <v>3.9959090909090884</v>
      </c>
      <c r="P104" s="783">
        <f t="shared" ca="1" si="92"/>
        <v>0.25106499999999998</v>
      </c>
      <c r="Q104" s="81">
        <f t="shared" ca="1" si="93"/>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1"/>
        <v>11</v>
      </c>
      <c r="Y104" s="758">
        <f t="shared" ca="1" si="94"/>
        <v>41</v>
      </c>
      <c r="Z104" s="758">
        <f t="shared" ca="1" si="95"/>
        <v>4</v>
      </c>
      <c r="AA104" s="758">
        <f t="shared" ca="1" si="96"/>
        <v>1</v>
      </c>
      <c r="AB104" s="758">
        <f t="shared" ca="1" si="97"/>
        <v>10</v>
      </c>
      <c r="AC104" s="211"/>
      <c r="AD104" s="81">
        <v>2050</v>
      </c>
      <c r="AE104" s="81"/>
      <c r="AF104" s="765"/>
    </row>
    <row r="105" spans="2:32">
      <c r="B105" s="778" t="s">
        <v>1133</v>
      </c>
      <c r="C105" s="241"/>
      <c r="D105" s="223" t="str">
        <f ca="1">IF(T105=0,"*",IF(T105&gt;0,"IND"&amp;RIGHT(H105,4)&amp;RIGHT(G105,3)&amp;"N"&amp;RIGHT(E105,1),""))</f>
        <v>INDVDRHWCHN3</v>
      </c>
      <c r="E105" s="278" t="str">
        <f>"Industrial heating technology "&amp;$AJ$12&amp;" "&amp;RIGHT(H105,2)&amp;" - Wood chip boiler (Hot Water) - new 3"</f>
        <v>Industrial heating technology Vehicles RH - Wood chip boiler (Hot Water) - new 3</v>
      </c>
      <c r="F105" s="239" t="s">
        <v>1274</v>
      </c>
      <c r="G105" s="177" t="s">
        <v>499</v>
      </c>
      <c r="H105" s="177" t="str">
        <f>$AI$15</f>
        <v>IVDRH</v>
      </c>
      <c r="I105" s="177" t="str">
        <f t="shared" si="79"/>
        <v>INDVWH</v>
      </c>
      <c r="J105" s="239">
        <f t="shared" si="80"/>
        <v>2011</v>
      </c>
      <c r="K105" s="332">
        <f>J105</f>
        <v>2011</v>
      </c>
      <c r="L105" s="206">
        <f t="shared" ca="1" si="90"/>
        <v>0.9</v>
      </c>
      <c r="M105" s="206"/>
      <c r="N105" s="81">
        <f ca="1">VLOOKUP($AD105,INDIRECT("'"&amp;$B105&amp;"'!"&amp;"$P$200:$AD$203"),5,FALSE)</f>
        <v>25</v>
      </c>
      <c r="O105" s="783">
        <f t="shared" ca="1" si="91"/>
        <v>4.6054545454545437</v>
      </c>
      <c r="P105" s="783">
        <f t="shared" ca="1" si="92"/>
        <v>0.25106499999999998</v>
      </c>
      <c r="Q105" s="81">
        <f t="shared" ca="1" si="93"/>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1"/>
        <v>11</v>
      </c>
      <c r="Y105" s="758">
        <f t="shared" ca="1" si="94"/>
        <v>63</v>
      </c>
      <c r="Z105" s="758">
        <f t="shared" ca="1" si="95"/>
        <v>11</v>
      </c>
      <c r="AA105" s="758">
        <f t="shared" ca="1" si="96"/>
        <v>3</v>
      </c>
      <c r="AB105" s="758">
        <f t="shared" ca="1" si="97"/>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79"/>
        <v>INDVWH</v>
      </c>
      <c r="J106" s="239">
        <f t="shared" si="80"/>
        <v>2030</v>
      </c>
      <c r="K106" s="81"/>
      <c r="L106" s="206">
        <f t="shared" ca="1" si="90"/>
        <v>0.9</v>
      </c>
      <c r="M106" s="206"/>
      <c r="N106" s="81"/>
      <c r="O106" s="783">
        <f t="shared" ca="1" si="91"/>
        <v>4.4022727272727282</v>
      </c>
      <c r="P106" s="783">
        <f t="shared" ca="1" si="92"/>
        <v>0.267455</v>
      </c>
      <c r="Q106" s="81">
        <f t="shared" ca="1" si="93"/>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1"/>
        <v>11</v>
      </c>
      <c r="Y106" s="758">
        <f t="shared" ca="1" si="94"/>
        <v>49</v>
      </c>
      <c r="Z106" s="758">
        <f t="shared" ca="1" si="95"/>
        <v>8</v>
      </c>
      <c r="AA106" s="758">
        <f t="shared" ca="1" si="96"/>
        <v>3</v>
      </c>
      <c r="AB106" s="758">
        <f t="shared" ca="1" si="97"/>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79"/>
        <v>INDVWH</v>
      </c>
      <c r="J107" s="239">
        <f t="shared" si="80"/>
        <v>2050</v>
      </c>
      <c r="K107" s="81"/>
      <c r="L107" s="206">
        <f t="shared" ca="1" si="90"/>
        <v>0.91</v>
      </c>
      <c r="M107" s="206"/>
      <c r="N107" s="81"/>
      <c r="O107" s="783">
        <f t="shared" ca="1" si="91"/>
        <v>3.9959090909090884</v>
      </c>
      <c r="P107" s="783">
        <f t="shared" ca="1" si="92"/>
        <v>0.25106499999999998</v>
      </c>
      <c r="Q107" s="81">
        <f t="shared" ca="1" si="93"/>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1"/>
        <v>11</v>
      </c>
      <c r="Y107" s="758">
        <f t="shared" ca="1" si="94"/>
        <v>41</v>
      </c>
      <c r="Z107" s="758">
        <f t="shared" ca="1" si="95"/>
        <v>4</v>
      </c>
      <c r="AA107" s="758">
        <f t="shared" ca="1" si="96"/>
        <v>1</v>
      </c>
      <c r="AB107" s="758">
        <f t="shared" ca="1" si="97"/>
        <v>10</v>
      </c>
      <c r="AC107" s="55"/>
      <c r="AD107" s="81">
        <v>2050</v>
      </c>
      <c r="AE107" s="81"/>
      <c r="AF107" s="760"/>
    </row>
    <row r="108" spans="2:32">
      <c r="B108" s="777" t="s">
        <v>1133</v>
      </c>
      <c r="C108" s="772"/>
      <c r="D108" s="223" t="str">
        <f ca="1">IF(T108=0,"*",IF(T108&gt;0,"IND"&amp;RIGHT(H108,4)&amp;RIGHT(G108,3)&amp;"N"&amp;RIGHT(E108,1),""))</f>
        <v>INDVDMTWCHN4</v>
      </c>
      <c r="E108" s="767" t="str">
        <f>"Industrial heating technology "&amp;$AJ$12&amp;" "&amp;RIGHT(H108,2)&amp;" - Wood chip boiler (Hot Water - condensing) - new 4"</f>
        <v>Industrial heating technology Vehicles MT - Wood chip boiler (Hot Water - condensing) - new 4</v>
      </c>
      <c r="F108" s="239" t="s">
        <v>1274</v>
      </c>
      <c r="G108" s="768" t="s">
        <v>499</v>
      </c>
      <c r="H108" s="768" t="str">
        <f>$AI$14</f>
        <v>IVDMT</v>
      </c>
      <c r="I108" s="768" t="str">
        <f t="shared" si="79"/>
        <v>INDVWH</v>
      </c>
      <c r="J108" s="239">
        <f t="shared" si="80"/>
        <v>2011</v>
      </c>
      <c r="K108" s="332">
        <f>J108</f>
        <v>2011</v>
      </c>
      <c r="L108" s="206">
        <f t="shared" ref="L108:L113" ca="1" si="98">VLOOKUP($AD108,INDIRECT("'"&amp;$B108&amp;"'!"&amp;"$P$279:$AD$282"),3,FALSE)</f>
        <v>1.1618960947726835</v>
      </c>
      <c r="M108" s="206"/>
      <c r="N108" s="81">
        <f ca="1">VLOOKUP($AD108,INDIRECT("'"&amp;$B108&amp;"'!"&amp;"$P$279:$AD$282"),5,FALSE)</f>
        <v>25</v>
      </c>
      <c r="O108" s="783">
        <f t="shared" ref="O108:O113" ca="1" si="99">VLOOKUP($AD108,INDIRECT("'"&amp;$B108&amp;"'!"&amp;"$P$279:$AD$282"),6,FALSE)/1000</f>
        <v>5.0660000000000007</v>
      </c>
      <c r="P108" s="783">
        <f t="shared" ref="P108:P113" ca="1" si="100">VLOOKUP($AD108,INDIRECT("'"&amp;$B108&amp;"'!"&amp;"$P$279:$AD$282"),7,FALSE)/1000</f>
        <v>0.27564999999999995</v>
      </c>
      <c r="Q108" s="81">
        <f t="shared" ref="Q108:Q113" ca="1" si="101">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1"/>
        <v>11</v>
      </c>
      <c r="Y108" s="758">
        <f t="shared" ref="Y108:Y113" ca="1" si="102">VLOOKUP($AD108,INDIRECT("'"&amp;$B108&amp;"'!"&amp;"$P$279:$AD$282"),12,FALSE)</f>
        <v>63</v>
      </c>
      <c r="Z108" s="758">
        <f t="shared" ref="Z108:Z113" ca="1" si="103">VLOOKUP($AD108,INDIRECT("'"&amp;$B108&amp;"'!"&amp;"$P$279:$AD$282"),13,FALSE)</f>
        <v>11</v>
      </c>
      <c r="AA108" s="758">
        <f t="shared" ref="AA108:AA113" ca="1" si="104">VLOOKUP($AD108,INDIRECT("'"&amp;$B108&amp;"'!"&amp;"$P$279:$AD$282"),14,FALSE)</f>
        <v>3</v>
      </c>
      <c r="AB108" s="758">
        <f t="shared" ref="AB108:AB113" ca="1" si="105">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79"/>
        <v>INDVWH</v>
      </c>
      <c r="J109" s="239">
        <f t="shared" si="80"/>
        <v>2030</v>
      </c>
      <c r="K109" s="81"/>
      <c r="L109" s="206">
        <f t="shared" ca="1" si="98"/>
        <v>1.1618960947726835</v>
      </c>
      <c r="M109" s="206"/>
      <c r="N109" s="81"/>
      <c r="O109" s="783">
        <f t="shared" ca="1" si="99"/>
        <v>4.8425000000000002</v>
      </c>
      <c r="P109" s="783">
        <f t="shared" ca="1" si="100"/>
        <v>0.267455</v>
      </c>
      <c r="Q109" s="81">
        <f t="shared" ca="1" si="101"/>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1"/>
        <v>11</v>
      </c>
      <c r="Y109" s="758">
        <f t="shared" ca="1" si="102"/>
        <v>49</v>
      </c>
      <c r="Z109" s="758">
        <f t="shared" ca="1" si="103"/>
        <v>8</v>
      </c>
      <c r="AA109" s="758">
        <f t="shared" ca="1" si="104"/>
        <v>3</v>
      </c>
      <c r="AB109" s="758">
        <f t="shared" ca="1" si="105"/>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79"/>
        <v>INDVWH</v>
      </c>
      <c r="J110" s="239">
        <f t="shared" si="80"/>
        <v>2050</v>
      </c>
      <c r="K110" s="81"/>
      <c r="L110" s="206">
        <f t="shared" ca="1" si="98"/>
        <v>1.1618960947726835</v>
      </c>
      <c r="M110" s="206"/>
      <c r="N110" s="81"/>
      <c r="O110" s="783">
        <f t="shared" ca="1" si="99"/>
        <v>4.3955000000000002</v>
      </c>
      <c r="P110" s="783">
        <f t="shared" ca="1" si="100"/>
        <v>0.25106499999999998</v>
      </c>
      <c r="Q110" s="81">
        <f t="shared" ca="1" si="101"/>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1"/>
        <v>11</v>
      </c>
      <c r="Y110" s="758">
        <f t="shared" ca="1" si="102"/>
        <v>41</v>
      </c>
      <c r="Z110" s="758">
        <f t="shared" ca="1" si="103"/>
        <v>4</v>
      </c>
      <c r="AA110" s="758">
        <f t="shared" ca="1" si="104"/>
        <v>1</v>
      </c>
      <c r="AB110" s="758">
        <f t="shared" ca="1" si="105"/>
        <v>10</v>
      </c>
      <c r="AC110" s="211"/>
      <c r="AD110" s="81">
        <v>2050</v>
      </c>
      <c r="AE110" s="81"/>
      <c r="AF110" s="765"/>
    </row>
    <row r="111" spans="2:32">
      <c r="B111" s="778" t="s">
        <v>1133</v>
      </c>
      <c r="C111" s="241"/>
      <c r="D111" s="223" t="str">
        <f ca="1">IF(T111=0,"*",IF(T111&gt;0,"IND"&amp;RIGHT(H111,4)&amp;RIGHT(G111,3)&amp;"N"&amp;RIGHT(E111,1),""))</f>
        <v>INDVDRHWCHN4</v>
      </c>
      <c r="E111" s="278" t="str">
        <f>"Industrial heating technology "&amp;$AJ$12&amp;" "&amp;RIGHT(H111,2)&amp;" - Wood chip boiler (Hot Water- condensing) - new 4"</f>
        <v>Industrial heating technology Vehicles RH - Wood chip boiler (Hot Water- condensing) - new 4</v>
      </c>
      <c r="F111" s="239" t="s">
        <v>1274</v>
      </c>
      <c r="G111" s="177" t="s">
        <v>499</v>
      </c>
      <c r="H111" s="177" t="str">
        <f>$AI$15</f>
        <v>IVDRH</v>
      </c>
      <c r="I111" s="177" t="str">
        <f t="shared" si="79"/>
        <v>INDVWH</v>
      </c>
      <c r="J111" s="239">
        <f t="shared" si="80"/>
        <v>2011</v>
      </c>
      <c r="K111" s="332">
        <f>J111</f>
        <v>2011</v>
      </c>
      <c r="L111" s="206">
        <f t="shared" ca="1" si="98"/>
        <v>1.1618960947726835</v>
      </c>
      <c r="M111" s="206"/>
      <c r="N111" s="81">
        <f ca="1">VLOOKUP($AD111,INDIRECT("'"&amp;$B111&amp;"'!"&amp;"$P$279:$AD$282"),5,FALSE)</f>
        <v>25</v>
      </c>
      <c r="O111" s="783">
        <f t="shared" ca="1" si="99"/>
        <v>5.0660000000000007</v>
      </c>
      <c r="P111" s="783">
        <f t="shared" ca="1" si="100"/>
        <v>0.27564999999999995</v>
      </c>
      <c r="Q111" s="81">
        <f t="shared" ca="1" si="101"/>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1"/>
        <v>11</v>
      </c>
      <c r="Y111" s="758">
        <f t="shared" ca="1" si="102"/>
        <v>63</v>
      </c>
      <c r="Z111" s="758">
        <f t="shared" ca="1" si="103"/>
        <v>11</v>
      </c>
      <c r="AA111" s="758">
        <f t="shared" ca="1" si="104"/>
        <v>3</v>
      </c>
      <c r="AB111" s="758">
        <f t="shared" ca="1" si="105"/>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79"/>
        <v>INDVWH</v>
      </c>
      <c r="J112" s="239">
        <f t="shared" si="80"/>
        <v>2030</v>
      </c>
      <c r="K112" s="81"/>
      <c r="L112" s="206">
        <f t="shared" ca="1" si="98"/>
        <v>1.1618960947726835</v>
      </c>
      <c r="M112" s="206"/>
      <c r="N112" s="81"/>
      <c r="O112" s="783">
        <f t="shared" ca="1" si="99"/>
        <v>4.8425000000000002</v>
      </c>
      <c r="P112" s="783">
        <f t="shared" ca="1" si="100"/>
        <v>0.267455</v>
      </c>
      <c r="Q112" s="81">
        <f t="shared" ca="1" si="101"/>
        <v>5.8461805555555557</v>
      </c>
      <c r="R112" s="333"/>
      <c r="S112" s="333"/>
      <c r="T112" s="333"/>
      <c r="U112" s="333"/>
      <c r="V112" s="759">
        <f ca="1">IF(IF(RIGHT(H111,2)="MT",(1-L112)+$W$2,IF(RIGHT(H111,2)="HT",(1-L112)+$W$1,IF(RIGHT(H111,2)="RH",(1-L112)+$W$3,"")))&lt;0,0,IF(RIGHT(H111,2)="MT",(1-L112)+$W$2,IF(RIGHT(H111,2)="HT",(1-L112)+$W$1,IF(RIGHT(H111,2)="RH",(1-L112)+$W$3,""))))</f>
        <v>0</v>
      </c>
      <c r="W112" s="331"/>
      <c r="X112" s="758">
        <f t="shared" ca="1" si="81"/>
        <v>11</v>
      </c>
      <c r="Y112" s="758">
        <f t="shared" ca="1" si="102"/>
        <v>49</v>
      </c>
      <c r="Z112" s="758">
        <f t="shared" ca="1" si="103"/>
        <v>8</v>
      </c>
      <c r="AA112" s="758">
        <f t="shared" ca="1" si="104"/>
        <v>3</v>
      </c>
      <c r="AB112" s="758">
        <f t="shared" ca="1" si="105"/>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79"/>
        <v>INDVWH</v>
      </c>
      <c r="J113" s="239">
        <f t="shared" si="80"/>
        <v>2050</v>
      </c>
      <c r="K113" s="81"/>
      <c r="L113" s="206">
        <f t="shared" ca="1" si="98"/>
        <v>1.1618960947726835</v>
      </c>
      <c r="M113" s="206"/>
      <c r="N113" s="81"/>
      <c r="O113" s="783">
        <f t="shared" ca="1" si="99"/>
        <v>4.3955000000000002</v>
      </c>
      <c r="P113" s="783">
        <f t="shared" ca="1" si="100"/>
        <v>0.25106499999999998</v>
      </c>
      <c r="Q113" s="81">
        <f t="shared" ca="1" si="101"/>
        <v>5.8937777777777782</v>
      </c>
      <c r="R113" s="333"/>
      <c r="S113" s="333"/>
      <c r="T113" s="333"/>
      <c r="U113" s="333"/>
      <c r="V113" s="759">
        <f ca="1">IF(IF(RIGHT(H111,2)="MT",(1-L113)+$W$2,IF(RIGHT(H111,2)="HT",(1-L113)+$W$1,IF(RIGHT(H111,2)="RH",(1-L113)+$W$3,"")))&lt;0,0,IF(RIGHT(H111,2)="MT",(1-L113)+$W$2,IF(RIGHT(H111,2)="HT",(1-L113)+$W$1,IF(RIGHT(H111,2)="RH",(1-L113)+$W$3,""))))</f>
        <v>0</v>
      </c>
      <c r="W113" s="774"/>
      <c r="X113" s="758">
        <f t="shared" ca="1" si="81"/>
        <v>11</v>
      </c>
      <c r="Y113" s="758">
        <f t="shared" ca="1" si="102"/>
        <v>41</v>
      </c>
      <c r="Z113" s="758">
        <f t="shared" ca="1" si="103"/>
        <v>4</v>
      </c>
      <c r="AA113" s="758">
        <f t="shared" ca="1" si="104"/>
        <v>1</v>
      </c>
      <c r="AB113" s="758">
        <f t="shared" ca="1" si="105"/>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Vehicles HT - Direct electric heating - new 10</v>
      </c>
      <c r="F114" s="239" t="s">
        <v>1274</v>
      </c>
      <c r="G114" s="176" t="s">
        <v>500</v>
      </c>
      <c r="H114" s="177" t="str">
        <f>$AI$13</f>
        <v>IVDHT</v>
      </c>
      <c r="I114" s="177" t="str">
        <f t="shared" si="79"/>
        <v>INDVWH</v>
      </c>
      <c r="J114" s="239">
        <f t="shared" si="80"/>
        <v>2011</v>
      </c>
      <c r="K114" s="332">
        <f>J114</f>
        <v>2011</v>
      </c>
      <c r="L114" s="206">
        <f t="shared" ref="L114:L128" ca="1" si="106">VLOOKUP($AD114,INDIRECT("'"&amp;$B114&amp;"'!"&amp;"$P$39:$AD$42"),3,FALSE)</f>
        <v>1</v>
      </c>
      <c r="M114" s="206"/>
      <c r="N114" s="81">
        <f ca="1">VLOOKUP($AD114,INDIRECT("'"&amp;$B114&amp;"'!"&amp;"$P$39:$AD$42"),5,FALSE)</f>
        <v>12.5</v>
      </c>
      <c r="O114" s="783">
        <f t="shared" ref="O114:O128" ca="1" si="107">VLOOKUP($AD114,INDIRECT("'"&amp;$B114&amp;"'!"&amp;"$P$39:$AD$42"),6,FALSE)/1000</f>
        <v>0.44700000000000001</v>
      </c>
      <c r="P114" s="783">
        <f t="shared" ref="P114:P128" ca="1" si="108">VLOOKUP($AD114,INDIRECT("'"&amp;$B114&amp;"'!"&amp;"$P$39:$AD$42"),7,FALSE)/1000</f>
        <v>0</v>
      </c>
      <c r="Q114" s="81">
        <f t="shared" ref="Q114:Q128" ca="1" si="109">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1"/>
        <v>0</v>
      </c>
      <c r="Y114" s="81">
        <f t="shared" ref="Y114:Y128" ca="1" si="110">VLOOKUP($AD114,INDIRECT("'"&amp;$B114&amp;"'!"&amp;"$P$39:$AD$42"),12,FALSE)</f>
        <v>0</v>
      </c>
      <c r="Z114" s="81">
        <f t="shared" ref="Z114:Z128" ca="1" si="111">VLOOKUP($AD114,INDIRECT("'"&amp;$B114&amp;"'!"&amp;"$P$39:$AD$42"),13,FALSE)</f>
        <v>0</v>
      </c>
      <c r="AA114" s="81">
        <f t="shared" ref="AA114:AA128" ca="1" si="112">VLOOKUP($AD114,INDIRECT("'"&amp;$B114&amp;"'!"&amp;"$P$39:$AD$42"),14,FALSE)</f>
        <v>0</v>
      </c>
      <c r="AB114" s="81">
        <f t="shared" ref="AB114:AB128" ca="1" si="113">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79"/>
        <v>INDVWH</v>
      </c>
      <c r="J115" s="239">
        <f t="shared" si="80"/>
        <v>2030</v>
      </c>
      <c r="K115" s="81"/>
      <c r="L115" s="206">
        <f t="shared" ca="1" si="106"/>
        <v>1</v>
      </c>
      <c r="M115" s="206"/>
      <c r="N115" s="81"/>
      <c r="O115" s="783">
        <f t="shared" ca="1" si="107"/>
        <v>0.44700000000000001</v>
      </c>
      <c r="P115" s="783">
        <f t="shared" ca="1" si="108"/>
        <v>0</v>
      </c>
      <c r="Q115" s="81">
        <f t="shared" ca="1" si="109"/>
        <v>0.38802083333333331</v>
      </c>
      <c r="R115" s="333"/>
      <c r="S115" s="333"/>
      <c r="T115" s="333"/>
      <c r="U115" s="333"/>
      <c r="V115" s="759">
        <f ca="1">IF(IF(RIGHT(H114,2)="MT",(1-L115)+$W$2,IF(RIGHT(H114,2)="HT",(1-L115)+$W$1,IF(RIGHT(H114,2)="RH",(1-L115)+$W$3,"")))&lt;0,0,IF(RIGHT(H114,2)="MT",(1-L115)+$W$2,IF(RIGHT(H114,2)="HT",(1-L115)+$W$1,IF(RIGHT(H114,2)="RH",(1-L115)+$W$3,""))))</f>
        <v>0.3</v>
      </c>
      <c r="W115" s="331"/>
      <c r="X115" s="758">
        <f t="shared" ca="1" si="81"/>
        <v>0</v>
      </c>
      <c r="Y115" s="81">
        <f t="shared" ca="1" si="110"/>
        <v>0</v>
      </c>
      <c r="Z115" s="81">
        <f t="shared" ca="1" si="111"/>
        <v>0</v>
      </c>
      <c r="AA115" s="81">
        <f t="shared" ca="1" si="112"/>
        <v>0</v>
      </c>
      <c r="AB115" s="81">
        <f t="shared" ca="1" si="113"/>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79"/>
        <v>INDVWH</v>
      </c>
      <c r="J116" s="239">
        <f t="shared" si="80"/>
        <v>2050</v>
      </c>
      <c r="K116" s="81"/>
      <c r="L116" s="206">
        <f t="shared" ca="1" si="106"/>
        <v>1</v>
      </c>
      <c r="M116" s="206"/>
      <c r="N116" s="81"/>
      <c r="O116" s="783">
        <f t="shared" ca="1" si="107"/>
        <v>0.44700000000000001</v>
      </c>
      <c r="P116" s="783">
        <f t="shared" ca="1" si="108"/>
        <v>0</v>
      </c>
      <c r="Q116" s="81">
        <f t="shared" ca="1" si="109"/>
        <v>0.39319444444444446</v>
      </c>
      <c r="R116" s="333"/>
      <c r="S116" s="333"/>
      <c r="T116" s="333"/>
      <c r="U116" s="333"/>
      <c r="V116" s="759">
        <f ca="1">IF(IF(RIGHT(H114,2)="MT",(1-L116)+$W$2,IF(RIGHT(H114,2)="HT",(1-L116)+$W$1,IF(RIGHT(H114,2)="RH",(1-L116)+$W$3,"")))&lt;0,0,IF(RIGHT(H114,2)="MT",(1-L116)+$W$2,IF(RIGHT(H114,2)="HT",(1-L116)+$W$1,IF(RIGHT(H114,2)="RH",(1-L116)+$W$3,""))))</f>
        <v>0.3</v>
      </c>
      <c r="W116" s="331"/>
      <c r="X116" s="758">
        <f t="shared" ca="1" si="81"/>
        <v>0</v>
      </c>
      <c r="Y116" s="81">
        <f t="shared" ca="1" si="110"/>
        <v>0</v>
      </c>
      <c r="Z116" s="81">
        <f t="shared" ca="1" si="111"/>
        <v>0</v>
      </c>
      <c r="AA116" s="81">
        <f t="shared" ca="1" si="112"/>
        <v>0</v>
      </c>
      <c r="AB116" s="81">
        <f t="shared" ca="1" si="113"/>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Vehicles MT - Direct electric heating - new 10</v>
      </c>
      <c r="F117" s="239" t="s">
        <v>1274</v>
      </c>
      <c r="G117" s="176" t="s">
        <v>500</v>
      </c>
      <c r="H117" s="177" t="str">
        <f>$AI$14</f>
        <v>IVDMT</v>
      </c>
      <c r="I117" s="177" t="str">
        <f t="shared" si="79"/>
        <v>INDVWH</v>
      </c>
      <c r="J117" s="239">
        <f t="shared" si="80"/>
        <v>2011</v>
      </c>
      <c r="K117" s="332">
        <f>J117</f>
        <v>2011</v>
      </c>
      <c r="L117" s="206">
        <f t="shared" ca="1" si="106"/>
        <v>1</v>
      </c>
      <c r="M117" s="206"/>
      <c r="N117" s="81">
        <f ca="1">VLOOKUP($AD117,INDIRECT("'"&amp;$B117&amp;"'!"&amp;"$P$39:$AD$42"),5,FALSE)</f>
        <v>12.5</v>
      </c>
      <c r="O117" s="783">
        <f t="shared" ca="1" si="107"/>
        <v>0.44700000000000001</v>
      </c>
      <c r="P117" s="783">
        <f t="shared" ca="1" si="108"/>
        <v>0</v>
      </c>
      <c r="Q117" s="81">
        <f t="shared" ca="1" si="109"/>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1"/>
        <v>0</v>
      </c>
      <c r="Y117" s="81">
        <f t="shared" ca="1" si="110"/>
        <v>0</v>
      </c>
      <c r="Z117" s="81">
        <f t="shared" ca="1" si="111"/>
        <v>0</v>
      </c>
      <c r="AA117" s="81">
        <f t="shared" ca="1" si="112"/>
        <v>0</v>
      </c>
      <c r="AB117" s="81">
        <f t="shared" ca="1" si="113"/>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79"/>
        <v>INDVWH</v>
      </c>
      <c r="J118" s="239">
        <f t="shared" si="80"/>
        <v>2030</v>
      </c>
      <c r="K118" s="81"/>
      <c r="L118" s="206">
        <f t="shared" ca="1" si="106"/>
        <v>1</v>
      </c>
      <c r="M118" s="206"/>
      <c r="N118" s="81"/>
      <c r="O118" s="783">
        <f t="shared" ca="1" si="107"/>
        <v>0.44700000000000001</v>
      </c>
      <c r="P118" s="783">
        <f t="shared" ca="1" si="108"/>
        <v>0</v>
      </c>
      <c r="Q118" s="81">
        <f t="shared" ca="1" si="109"/>
        <v>0.38802083333333331</v>
      </c>
      <c r="R118" s="333"/>
      <c r="S118" s="333"/>
      <c r="T118" s="333"/>
      <c r="U118" s="333"/>
      <c r="V118" s="759">
        <f ca="1">IF(IF(RIGHT(H117,2)="MT",(1-L118)+$W$2,IF(RIGHT(H117,2)="HT",(1-L118)+$W$1,IF(RIGHT(H117,2)="RH",(1-L118)+$W$3,"")))&lt;0,0,IF(RIGHT(H117,2)="MT",(1-L118)+$W$2,IF(RIGHT(H117,2)="HT",(1-L118)+$W$1,IF(RIGHT(H117,2)="RH",(1-L118)+$W$3,""))))</f>
        <v>0.2</v>
      </c>
      <c r="W118" s="331"/>
      <c r="X118" s="758">
        <f t="shared" ca="1" si="81"/>
        <v>0</v>
      </c>
      <c r="Y118" s="81">
        <f t="shared" ca="1" si="110"/>
        <v>0</v>
      </c>
      <c r="Z118" s="81">
        <f t="shared" ca="1" si="111"/>
        <v>0</v>
      </c>
      <c r="AA118" s="81">
        <f t="shared" ca="1" si="112"/>
        <v>0</v>
      </c>
      <c r="AB118" s="81">
        <f t="shared" ca="1" si="113"/>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79"/>
        <v>INDVWH</v>
      </c>
      <c r="J119" s="239">
        <f t="shared" si="80"/>
        <v>2050</v>
      </c>
      <c r="K119" s="81"/>
      <c r="L119" s="206">
        <f t="shared" ca="1" si="106"/>
        <v>1</v>
      </c>
      <c r="M119" s="206"/>
      <c r="N119" s="81"/>
      <c r="O119" s="783">
        <f t="shared" ca="1" si="107"/>
        <v>0.44700000000000001</v>
      </c>
      <c r="P119" s="783">
        <f t="shared" ca="1" si="108"/>
        <v>0</v>
      </c>
      <c r="Q119" s="81">
        <f t="shared" ca="1" si="109"/>
        <v>0.39319444444444446</v>
      </c>
      <c r="R119" s="763"/>
      <c r="S119" s="763"/>
      <c r="T119" s="763"/>
      <c r="U119" s="763"/>
      <c r="V119" s="759">
        <f ca="1">IF(IF(RIGHT(H117,2)="MT",(1-L119)+$W$2,IF(RIGHT(H117,2)="HT",(1-L119)+$W$1,IF(RIGHT(H117,2)="RH",(1-L119)+$W$3,"")))&lt;0,0,IF(RIGHT(H117,2)="MT",(1-L119)+$W$2,IF(RIGHT(H117,2)="HT",(1-L119)+$W$1,IF(RIGHT(H117,2)="RH",(1-L119)+$W$3,""))))</f>
        <v>0.2</v>
      </c>
      <c r="W119" s="764"/>
      <c r="X119" s="758">
        <f t="shared" ca="1" si="81"/>
        <v>0</v>
      </c>
      <c r="Y119" s="81">
        <f t="shared" ca="1" si="110"/>
        <v>0</v>
      </c>
      <c r="Z119" s="81">
        <f t="shared" ca="1" si="111"/>
        <v>0</v>
      </c>
      <c r="AA119" s="81">
        <f t="shared" ca="1" si="112"/>
        <v>0</v>
      </c>
      <c r="AB119" s="81">
        <f t="shared" ca="1" si="113"/>
        <v>0</v>
      </c>
      <c r="AD119" s="81">
        <v>2050</v>
      </c>
      <c r="AE119" s="81"/>
      <c r="AF119" s="232"/>
    </row>
    <row r="120" spans="2:32">
      <c r="B120" s="778" t="s">
        <v>1134</v>
      </c>
      <c r="C120" s="241"/>
      <c r="D120" s="223" t="str">
        <f ca="1">IF(T120=0,"*",IF(T120&gt;0,"IND"&amp;RIGHT(H120,4)&amp;RIGHT(G120,3)&amp;"N"&amp;RIGHT(E120,1),""))</f>
        <v>INDVDHTDSEN1</v>
      </c>
      <c r="E120" s="278" t="str">
        <f>"Industrial heating technology "&amp;$AJ$12&amp;" "&amp;RIGHT(H120,2)&amp;" - Oil boiler (Steam) - new 1"</f>
        <v>Industrial heating technology Vehicles HT - Oil boiler (Steam) - new 1</v>
      </c>
      <c r="F120" s="239" t="s">
        <v>1274</v>
      </c>
      <c r="G120" s="176" t="s">
        <v>1437</v>
      </c>
      <c r="H120" s="177" t="str">
        <f>$AI$13</f>
        <v>IVDHT</v>
      </c>
      <c r="I120" s="177" t="str">
        <f t="shared" si="79"/>
        <v>INDVWH</v>
      </c>
      <c r="J120" s="239">
        <f t="shared" si="80"/>
        <v>2011</v>
      </c>
      <c r="K120" s="332">
        <f>J120</f>
        <v>2011</v>
      </c>
      <c r="L120" s="206">
        <f t="shared" ca="1" si="106"/>
        <v>0.94</v>
      </c>
      <c r="M120" s="759"/>
      <c r="N120" s="332">
        <f ca="1">VLOOKUP($AD120,INDIRECT("'"&amp;$B120&amp;"'!"&amp;"$P$39:$AD$42"),5,FALSE)</f>
        <v>25</v>
      </c>
      <c r="O120" s="785">
        <f t="shared" ca="1" si="107"/>
        <v>0.40975</v>
      </c>
      <c r="P120" s="785">
        <f t="shared" ca="1" si="108"/>
        <v>1.341E-2</v>
      </c>
      <c r="Q120" s="332">
        <f t="shared" ca="1" si="109"/>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1"/>
        <v>0.5</v>
      </c>
      <c r="Y120" s="332">
        <f t="shared" ca="1" si="110"/>
        <v>25</v>
      </c>
      <c r="Z120" s="332">
        <f t="shared" ca="1" si="111"/>
        <v>0</v>
      </c>
      <c r="AA120" s="332">
        <f t="shared" ca="1" si="112"/>
        <v>0</v>
      </c>
      <c r="AB120" s="332">
        <f t="shared" ca="1" si="113"/>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79"/>
        <v>INDVWH</v>
      </c>
      <c r="J121" s="239">
        <f t="shared" si="80"/>
        <v>2030</v>
      </c>
      <c r="K121" s="81"/>
      <c r="L121" s="206">
        <f t="shared" ca="1" si="106"/>
        <v>0.95</v>
      </c>
      <c r="M121" s="206"/>
      <c r="N121" s="81"/>
      <c r="O121" s="783">
        <f t="shared" ca="1" si="107"/>
        <v>0.3469940346244772</v>
      </c>
      <c r="P121" s="783">
        <f t="shared" ca="1" si="108"/>
        <v>1.2664999999999999E-2</v>
      </c>
      <c r="Q121" s="81">
        <f t="shared" ca="1" si="109"/>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1"/>
        <v>0.5</v>
      </c>
      <c r="Y121" s="81">
        <f t="shared" ca="1" si="110"/>
        <v>20</v>
      </c>
      <c r="Z121" s="81">
        <f t="shared" ca="1" si="111"/>
        <v>0</v>
      </c>
      <c r="AA121" s="81">
        <f t="shared" ca="1" si="112"/>
        <v>0</v>
      </c>
      <c r="AB121" s="81">
        <f t="shared" ca="1" si="113"/>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79"/>
        <v>INDVWH</v>
      </c>
      <c r="J122" s="239">
        <f t="shared" si="80"/>
        <v>2050</v>
      </c>
      <c r="K122" s="81"/>
      <c r="L122" s="206">
        <f t="shared" ca="1" si="106"/>
        <v>0.96</v>
      </c>
      <c r="M122" s="206"/>
      <c r="N122" s="81"/>
      <c r="O122" s="783">
        <f t="shared" ca="1" si="107"/>
        <v>0.32813985758696651</v>
      </c>
      <c r="P122" s="783">
        <f t="shared" ca="1" si="108"/>
        <v>1.1175000000000001E-2</v>
      </c>
      <c r="Q122" s="81">
        <f t="shared" ca="1" si="109"/>
        <v>1.8625</v>
      </c>
      <c r="R122" s="333"/>
      <c r="S122" s="333"/>
      <c r="T122" s="333"/>
      <c r="U122" s="333"/>
      <c r="V122" s="759">
        <f ca="1">IF(IF(RIGHT(H120,2)="MT",(1-L122)+$W$2,IF(RIGHT(H120,2)="HT",(1-L122)+$W$1,IF(RIGHT(H120,2)="RH",(1-L122)+$W$3,"")))&lt;0,0,IF(RIGHT(H120,2)="MT",(1-L122)+$W$2,IF(RIGHT(H120,2)="HT",(1-L122)+$W$1,IF(RIGHT(H120,2)="RH",(1-L122)+$W$3,""))))</f>
        <v>0.34</v>
      </c>
      <c r="W122" s="331"/>
      <c r="X122" s="758">
        <f t="shared" ca="1" si="81"/>
        <v>0.5</v>
      </c>
      <c r="Y122" s="81">
        <f t="shared" ca="1" si="110"/>
        <v>15</v>
      </c>
      <c r="Z122" s="81">
        <f t="shared" ca="1" si="111"/>
        <v>0</v>
      </c>
      <c r="AA122" s="81">
        <f t="shared" ca="1" si="112"/>
        <v>0</v>
      </c>
      <c r="AB122" s="81">
        <f t="shared" ca="1" si="113"/>
        <v>0.1</v>
      </c>
      <c r="AD122" s="81">
        <v>2050</v>
      </c>
      <c r="AE122" s="81"/>
      <c r="AF122" s="232"/>
    </row>
    <row r="123" spans="2:32">
      <c r="B123" s="778" t="s">
        <v>1134</v>
      </c>
      <c r="C123" s="241"/>
      <c r="D123" s="223" t="str">
        <f ca="1">IF(T123=0,"*",IF(T123&gt;0,"IND"&amp;RIGHT(H123,4)&amp;RIGHT(G123,3)&amp;"N"&amp;RIGHT(E123,1),""))</f>
        <v>INDVDMTDSEN1</v>
      </c>
      <c r="E123" s="278" t="str">
        <f>"Industrial heating technology "&amp;$AJ$12&amp;" "&amp;RIGHT(H123,2)&amp;" - Oil boiler (Steam) - new 1"</f>
        <v>Industrial heating technology Vehicles MT - Oil boiler (Steam) - new 1</v>
      </c>
      <c r="F123" s="239" t="s">
        <v>1274</v>
      </c>
      <c r="G123" s="176" t="s">
        <v>1437</v>
      </c>
      <c r="H123" s="177" t="str">
        <f>$AI$14</f>
        <v>IVDMT</v>
      </c>
      <c r="I123" s="177" t="str">
        <f t="shared" si="79"/>
        <v>INDVWH</v>
      </c>
      <c r="J123" s="239">
        <f t="shared" si="80"/>
        <v>2011</v>
      </c>
      <c r="K123" s="332">
        <f>J123</f>
        <v>2011</v>
      </c>
      <c r="L123" s="206">
        <f t="shared" ca="1" si="106"/>
        <v>0.94</v>
      </c>
      <c r="M123" s="206"/>
      <c r="N123" s="81">
        <f ca="1">VLOOKUP($AD123,INDIRECT("'"&amp;$B123&amp;"'!"&amp;"$P$39:$AD$42"),5,FALSE)</f>
        <v>25</v>
      </c>
      <c r="O123" s="783">
        <f t="shared" ca="1" si="107"/>
        <v>0.40975</v>
      </c>
      <c r="P123" s="783">
        <f t="shared" ca="1" si="108"/>
        <v>1.341E-2</v>
      </c>
      <c r="Q123" s="81">
        <f t="shared" ca="1" si="109"/>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1"/>
        <v>0.5</v>
      </c>
      <c r="Y123" s="81">
        <f t="shared" ca="1" si="110"/>
        <v>25</v>
      </c>
      <c r="Z123" s="81">
        <f t="shared" ca="1" si="111"/>
        <v>0</v>
      </c>
      <c r="AA123" s="81">
        <f t="shared" ca="1" si="112"/>
        <v>0</v>
      </c>
      <c r="AB123" s="81">
        <f t="shared" ca="1" si="113"/>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79"/>
        <v>INDVWH</v>
      </c>
      <c r="J124" s="239">
        <f t="shared" si="80"/>
        <v>2030</v>
      </c>
      <c r="K124" s="81"/>
      <c r="L124" s="206">
        <f t="shared" ca="1" si="106"/>
        <v>0.95</v>
      </c>
      <c r="M124" s="206"/>
      <c r="N124" s="81"/>
      <c r="O124" s="783">
        <f t="shared" ca="1" si="107"/>
        <v>0.3469940346244772</v>
      </c>
      <c r="P124" s="783">
        <f t="shared" ca="1" si="108"/>
        <v>1.2664999999999999E-2</v>
      </c>
      <c r="Q124" s="81">
        <f t="shared" ca="1" si="109"/>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1"/>
        <v>0.5</v>
      </c>
      <c r="Y124" s="81">
        <f t="shared" ca="1" si="110"/>
        <v>20</v>
      </c>
      <c r="Z124" s="81">
        <f t="shared" ca="1" si="111"/>
        <v>0</v>
      </c>
      <c r="AA124" s="81">
        <f t="shared" ca="1" si="112"/>
        <v>0</v>
      </c>
      <c r="AB124" s="81">
        <f t="shared" ca="1" si="113"/>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79"/>
        <v>INDVWH</v>
      </c>
      <c r="J125" s="239">
        <f t="shared" si="80"/>
        <v>2050</v>
      </c>
      <c r="K125" s="81"/>
      <c r="L125" s="206">
        <f t="shared" ca="1" si="106"/>
        <v>0.96</v>
      </c>
      <c r="M125" s="206"/>
      <c r="N125" s="81"/>
      <c r="O125" s="783">
        <f t="shared" ca="1" si="107"/>
        <v>0.32813985758696651</v>
      </c>
      <c r="P125" s="783">
        <f t="shared" ca="1" si="108"/>
        <v>1.1175000000000001E-2</v>
      </c>
      <c r="Q125" s="81">
        <f t="shared" ca="1" si="109"/>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1"/>
        <v>0.5</v>
      </c>
      <c r="Y125" s="81">
        <f t="shared" ca="1" si="110"/>
        <v>15</v>
      </c>
      <c r="Z125" s="81">
        <f t="shared" ca="1" si="111"/>
        <v>0</v>
      </c>
      <c r="AA125" s="81">
        <f t="shared" ca="1" si="112"/>
        <v>0</v>
      </c>
      <c r="AB125" s="81">
        <f t="shared" ca="1" si="113"/>
        <v>0.1</v>
      </c>
      <c r="AC125" s="211"/>
      <c r="AD125" s="81">
        <v>2050</v>
      </c>
      <c r="AE125" s="81"/>
      <c r="AF125" s="765"/>
    </row>
    <row r="126" spans="2:32">
      <c r="B126" s="778" t="s">
        <v>1134</v>
      </c>
      <c r="C126" s="241"/>
      <c r="D126" s="223" t="str">
        <f ca="1">IF(T126=0,"*",IF(T126&gt;0,"IND"&amp;RIGHT(H126,4)&amp;RIGHT(G126,3)&amp;"N"&amp;RIGHT(E126,1),""))</f>
        <v>INDVDRHDSEN1</v>
      </c>
      <c r="E126" s="278" t="str">
        <f>"Industrial heating technology "&amp;$AJ$12&amp;" "&amp;RIGHT(H126,2)&amp;" - Oil boiler (Steam) - new 1"</f>
        <v>Industrial heating technology Vehicles RH - Oil boiler (Steam) - new 1</v>
      </c>
      <c r="F126" s="239" t="s">
        <v>1274</v>
      </c>
      <c r="G126" s="176" t="s">
        <v>1437</v>
      </c>
      <c r="H126" s="177" t="str">
        <f>$AI$15</f>
        <v>IVDRH</v>
      </c>
      <c r="I126" s="177" t="str">
        <f t="shared" si="79"/>
        <v>INDVWH</v>
      </c>
      <c r="J126" s="239">
        <f t="shared" si="80"/>
        <v>2011</v>
      </c>
      <c r="K126" s="332">
        <f>J126</f>
        <v>2011</v>
      </c>
      <c r="L126" s="206">
        <f t="shared" ca="1" si="106"/>
        <v>0.94</v>
      </c>
      <c r="M126" s="206"/>
      <c r="N126" s="81">
        <f ca="1">VLOOKUP($AD126,INDIRECT("'"&amp;$B126&amp;"'!"&amp;"$P$39:$AD$42"),5,FALSE)</f>
        <v>25</v>
      </c>
      <c r="O126" s="783">
        <f t="shared" ca="1" si="107"/>
        <v>0.40975</v>
      </c>
      <c r="P126" s="783">
        <f t="shared" ca="1" si="108"/>
        <v>1.341E-2</v>
      </c>
      <c r="Q126" s="81">
        <f t="shared" ca="1" si="109"/>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1"/>
        <v>0.5</v>
      </c>
      <c r="Y126" s="81">
        <f t="shared" ca="1" si="110"/>
        <v>25</v>
      </c>
      <c r="Z126" s="81">
        <f t="shared" ca="1" si="111"/>
        <v>0</v>
      </c>
      <c r="AA126" s="81">
        <f t="shared" ca="1" si="112"/>
        <v>0</v>
      </c>
      <c r="AB126" s="81">
        <f t="shared" ca="1" si="113"/>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4">$AI$20</f>
        <v>INDVWH</v>
      </c>
      <c r="J127" s="239">
        <f t="shared" ref="J127:J158" si="115">IF(AD127=2020,2011,AD127)</f>
        <v>2030</v>
      </c>
      <c r="K127" s="81"/>
      <c r="L127" s="206">
        <f t="shared" ca="1" si="106"/>
        <v>0.95</v>
      </c>
      <c r="M127" s="206"/>
      <c r="N127" s="81"/>
      <c r="O127" s="783">
        <f t="shared" ca="1" si="107"/>
        <v>0.3469940346244772</v>
      </c>
      <c r="P127" s="783">
        <f t="shared" ca="1" si="108"/>
        <v>1.2664999999999999E-2</v>
      </c>
      <c r="Q127" s="81">
        <f t="shared" ca="1" si="109"/>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6">IF(VLOOKUP($AD127,INDIRECT("'"&amp;$B127&amp;"'!"&amp;"$P$39:$AD$42"),11,FALSE)="Cf. the utilized electricity",0,VLOOKUP($AD127,INDIRECT("'"&amp;$B127&amp;"'!"&amp;"$P$39:$AD$42"),11,FALSE))</f>
        <v>0.5</v>
      </c>
      <c r="Y127" s="81">
        <f t="shared" ca="1" si="110"/>
        <v>20</v>
      </c>
      <c r="Z127" s="81">
        <f t="shared" ca="1" si="111"/>
        <v>0</v>
      </c>
      <c r="AA127" s="81">
        <f t="shared" ca="1" si="112"/>
        <v>0</v>
      </c>
      <c r="AB127" s="81">
        <f t="shared" ca="1" si="113"/>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4"/>
        <v>INDVWH</v>
      </c>
      <c r="J128" s="239">
        <f t="shared" si="115"/>
        <v>2050</v>
      </c>
      <c r="K128" s="81"/>
      <c r="L128" s="206">
        <f t="shared" ca="1" si="106"/>
        <v>0.96</v>
      </c>
      <c r="M128" s="206"/>
      <c r="N128" s="81"/>
      <c r="O128" s="783">
        <f t="shared" ca="1" si="107"/>
        <v>0.32813985758696651</v>
      </c>
      <c r="P128" s="783">
        <f t="shared" ca="1" si="108"/>
        <v>1.1175000000000001E-2</v>
      </c>
      <c r="Q128" s="81">
        <f t="shared" ca="1" si="109"/>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6"/>
        <v>0.5</v>
      </c>
      <c r="Y128" s="81">
        <f t="shared" ca="1" si="110"/>
        <v>15</v>
      </c>
      <c r="Z128" s="81">
        <f t="shared" ca="1" si="111"/>
        <v>0</v>
      </c>
      <c r="AA128" s="81">
        <f t="shared" ca="1" si="112"/>
        <v>0</v>
      </c>
      <c r="AB128" s="81">
        <f t="shared" ca="1" si="113"/>
        <v>0.1</v>
      </c>
      <c r="AC128" s="55"/>
      <c r="AD128" s="81">
        <v>2050</v>
      </c>
      <c r="AE128" s="81"/>
      <c r="AF128" s="760"/>
    </row>
    <row r="129" spans="2:32">
      <c r="B129" s="778" t="s">
        <v>1134</v>
      </c>
      <c r="C129" s="241"/>
      <c r="D129" s="223" t="str">
        <f ca="1">IF(T129=0,"*",IF(T129&gt;0,"IND"&amp;RIGHT(H129,4)&amp;RIGHT(G129,3)&amp;"N"&amp;RIGHT(E129,1),""))</f>
        <v>INDVDMTDSEN2</v>
      </c>
      <c r="E129" s="767" t="str">
        <f>"Industrial heating technology "&amp;$AJ$12&amp;" "&amp;RIGHT(H129,2)&amp;" - Oil boiler (Steam - condensing) - new 2"</f>
        <v>Industrial heating technology Vehicles MT - Oil boiler (Steam - condensing) - new 2</v>
      </c>
      <c r="F129" s="239" t="s">
        <v>1274</v>
      </c>
      <c r="G129" s="176" t="s">
        <v>1437</v>
      </c>
      <c r="H129" s="768" t="str">
        <f>$AI$14</f>
        <v>IVDMT</v>
      </c>
      <c r="I129" s="768" t="str">
        <f t="shared" si="114"/>
        <v>INDVWH</v>
      </c>
      <c r="J129" s="239">
        <f t="shared" si="115"/>
        <v>2011</v>
      </c>
      <c r="K129" s="332">
        <f>J129</f>
        <v>2011</v>
      </c>
      <c r="L129" s="206">
        <f t="shared" ref="L129:L134" ca="1" si="117">VLOOKUP($AD129,INDIRECT("'"&amp;$B129&amp;"'!"&amp;"$P$118:$AD$121"),3,FALSE)</f>
        <v>0.95</v>
      </c>
      <c r="M129" s="206"/>
      <c r="N129" s="81">
        <f ca="1">VLOOKUP($AD129,INDIRECT("'"&amp;$B129&amp;"'!"&amp;"$P$118:$AD$121"),5,FALSE)</f>
        <v>25</v>
      </c>
      <c r="O129" s="783">
        <f t="shared" ref="O129:O134" ca="1" si="118">VLOOKUP($AD129,INDIRECT("'"&amp;$B129&amp;"'!"&amp;"$P$118:$AD$121"),6,FALSE)/1000</f>
        <v>0.32780000000000004</v>
      </c>
      <c r="P129" s="783">
        <f t="shared" ref="P129:P134" ca="1" si="119">VLOOKUP($AD129,INDIRECT("'"&amp;$B129&amp;"'!"&amp;"$P$118:$AD$121"),7,FALSE)/1000</f>
        <v>1.341E-2</v>
      </c>
      <c r="Q129" s="81">
        <f t="shared" ref="Q129:Q134" ca="1" si="120">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6"/>
        <v>0.5</v>
      </c>
      <c r="Y129" s="758">
        <f t="shared" ref="Y129:Y134" ca="1" si="121">VLOOKUP($AD129,INDIRECT("'"&amp;$B129&amp;"'!"&amp;"$P$118:$AD$121"),12,FALSE)</f>
        <v>25</v>
      </c>
      <c r="Z129" s="758">
        <f t="shared" ref="Z129:Z134" ca="1" si="122">VLOOKUP($AD129,INDIRECT("'"&amp;$B129&amp;"'!"&amp;"$P$118:$AD$121"),13,FALSE)</f>
        <v>0</v>
      </c>
      <c r="AA129" s="758">
        <f t="shared" ref="AA129:AA134" ca="1" si="123">VLOOKUP($AD129,INDIRECT("'"&amp;$B129&amp;"'!"&amp;"$P$118:$AD$121"),14,FALSE)</f>
        <v>0</v>
      </c>
      <c r="AB129" s="758">
        <f t="shared" ref="AB129:AB134" ca="1" si="124">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4"/>
        <v>INDVWH</v>
      </c>
      <c r="J130" s="239">
        <f t="shared" si="115"/>
        <v>2030</v>
      </c>
      <c r="K130" s="81"/>
      <c r="L130" s="206">
        <f t="shared" ca="1" si="117"/>
        <v>0.96</v>
      </c>
      <c r="M130" s="206"/>
      <c r="N130" s="81"/>
      <c r="O130" s="783">
        <f t="shared" ca="1" si="118"/>
        <v>0.27759522769958173</v>
      </c>
      <c r="P130" s="783">
        <f t="shared" ca="1" si="119"/>
        <v>1.2664999999999999E-2</v>
      </c>
      <c r="Q130" s="81">
        <f t="shared" ca="1" si="120"/>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6"/>
        <v>0.5</v>
      </c>
      <c r="Y130" s="758">
        <f t="shared" ca="1" si="121"/>
        <v>20</v>
      </c>
      <c r="Z130" s="758">
        <f t="shared" ca="1" si="122"/>
        <v>0</v>
      </c>
      <c r="AA130" s="758">
        <f t="shared" ca="1" si="123"/>
        <v>0</v>
      </c>
      <c r="AB130" s="758">
        <f t="shared" ca="1" si="124"/>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4"/>
        <v>INDVWH</v>
      </c>
      <c r="J131" s="239">
        <f t="shared" si="115"/>
        <v>2050</v>
      </c>
      <c r="K131" s="81"/>
      <c r="L131" s="206">
        <f t="shared" ca="1" si="117"/>
        <v>0.97</v>
      </c>
      <c r="M131" s="206"/>
      <c r="N131" s="81"/>
      <c r="O131" s="783">
        <f t="shared" ca="1" si="118"/>
        <v>0.26251188606957326</v>
      </c>
      <c r="P131" s="783">
        <f t="shared" ca="1" si="119"/>
        <v>1.1175000000000001E-2</v>
      </c>
      <c r="Q131" s="81">
        <f t="shared" ca="1" si="120"/>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6"/>
        <v>0.5</v>
      </c>
      <c r="Y131" s="758">
        <f t="shared" ca="1" si="121"/>
        <v>15</v>
      </c>
      <c r="Z131" s="758">
        <f t="shared" ca="1" si="122"/>
        <v>0</v>
      </c>
      <c r="AA131" s="758">
        <f t="shared" ca="1" si="123"/>
        <v>0</v>
      </c>
      <c r="AB131" s="758">
        <f t="shared" ca="1" si="124"/>
        <v>0.1</v>
      </c>
      <c r="AC131" s="211"/>
      <c r="AD131" s="81">
        <v>2050</v>
      </c>
      <c r="AE131" s="81"/>
      <c r="AF131" s="765"/>
    </row>
    <row r="132" spans="2:32">
      <c r="B132" s="778" t="s">
        <v>1134</v>
      </c>
      <c r="C132" s="241"/>
      <c r="D132" s="223" t="str">
        <f ca="1">IF(T132=0,"*",IF(T132&gt;0,"IND"&amp;RIGHT(H132,4)&amp;RIGHT(G132,3)&amp;"N"&amp;RIGHT(E132,1),""))</f>
        <v>INDVDRHDSEN2</v>
      </c>
      <c r="E132" s="278" t="str">
        <f>"Industrial heating technology "&amp;$AJ$12&amp;" "&amp;RIGHT(H132,2)&amp;" - Oil boiler (Steam - condensing) - new 2"</f>
        <v>Industrial heating technology Vehicles RH - Oil boiler (Steam - condensing) - new 2</v>
      </c>
      <c r="F132" s="239" t="s">
        <v>1274</v>
      </c>
      <c r="G132" s="176" t="s">
        <v>1437</v>
      </c>
      <c r="H132" s="177" t="str">
        <f>$AI$15</f>
        <v>IVDRH</v>
      </c>
      <c r="I132" s="177" t="str">
        <f t="shared" si="114"/>
        <v>INDVWH</v>
      </c>
      <c r="J132" s="239">
        <f t="shared" si="115"/>
        <v>2011</v>
      </c>
      <c r="K132" s="332">
        <f>J132</f>
        <v>2011</v>
      </c>
      <c r="L132" s="206">
        <f t="shared" ca="1" si="117"/>
        <v>0.95</v>
      </c>
      <c r="M132" s="206"/>
      <c r="N132" s="81">
        <f ca="1">VLOOKUP($AD132,INDIRECT("'"&amp;$B132&amp;"'!"&amp;"$P$118:$AD$121"),5,FALSE)</f>
        <v>25</v>
      </c>
      <c r="O132" s="783">
        <f t="shared" ca="1" si="118"/>
        <v>0.32780000000000004</v>
      </c>
      <c r="P132" s="783">
        <f t="shared" ca="1" si="119"/>
        <v>1.341E-2</v>
      </c>
      <c r="Q132" s="81">
        <f t="shared" ca="1" si="120"/>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6"/>
        <v>0.5</v>
      </c>
      <c r="Y132" s="758">
        <f t="shared" ca="1" si="121"/>
        <v>25</v>
      </c>
      <c r="Z132" s="758">
        <f t="shared" ca="1" si="122"/>
        <v>0</v>
      </c>
      <c r="AA132" s="758">
        <f t="shared" ca="1" si="123"/>
        <v>0</v>
      </c>
      <c r="AB132" s="758">
        <f t="shared" ca="1" si="124"/>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4"/>
        <v>INDVWH</v>
      </c>
      <c r="J133" s="239">
        <f t="shared" si="115"/>
        <v>2030</v>
      </c>
      <c r="K133" s="81"/>
      <c r="L133" s="206">
        <f t="shared" ca="1" si="117"/>
        <v>0.96</v>
      </c>
      <c r="M133" s="206"/>
      <c r="N133" s="81"/>
      <c r="O133" s="783">
        <f t="shared" ca="1" si="118"/>
        <v>0.27759522769958173</v>
      </c>
      <c r="P133" s="783">
        <f t="shared" ca="1" si="119"/>
        <v>1.2664999999999999E-2</v>
      </c>
      <c r="Q133" s="81">
        <f t="shared" ca="1" si="120"/>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6"/>
        <v>0.5</v>
      </c>
      <c r="Y133" s="758">
        <f t="shared" ca="1" si="121"/>
        <v>20</v>
      </c>
      <c r="Z133" s="758">
        <f t="shared" ca="1" si="122"/>
        <v>0</v>
      </c>
      <c r="AA133" s="758">
        <f t="shared" ca="1" si="123"/>
        <v>0</v>
      </c>
      <c r="AB133" s="758">
        <f t="shared" ca="1" si="124"/>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4"/>
        <v>INDVWH</v>
      </c>
      <c r="J134" s="239">
        <f t="shared" si="115"/>
        <v>2050</v>
      </c>
      <c r="K134" s="81"/>
      <c r="L134" s="206">
        <f t="shared" ca="1" si="117"/>
        <v>0.97</v>
      </c>
      <c r="M134" s="206"/>
      <c r="N134" s="81"/>
      <c r="O134" s="783">
        <f t="shared" ca="1" si="118"/>
        <v>0.26251188606957326</v>
      </c>
      <c r="P134" s="783">
        <f t="shared" ca="1" si="119"/>
        <v>1.1175000000000001E-2</v>
      </c>
      <c r="Q134" s="81">
        <f t="shared" ca="1" si="120"/>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6"/>
        <v>0.5</v>
      </c>
      <c r="Y134" s="758">
        <f t="shared" ca="1" si="121"/>
        <v>15</v>
      </c>
      <c r="Z134" s="758">
        <f t="shared" ca="1" si="122"/>
        <v>0</v>
      </c>
      <c r="AA134" s="758">
        <f t="shared" ca="1" si="123"/>
        <v>0</v>
      </c>
      <c r="AB134" s="758">
        <f t="shared" ca="1" si="124"/>
        <v>0.1</v>
      </c>
      <c r="AD134" s="81">
        <v>2050</v>
      </c>
      <c r="AE134" s="81"/>
      <c r="AF134" s="232"/>
    </row>
    <row r="135" spans="2:32">
      <c r="B135" s="778" t="s">
        <v>1135</v>
      </c>
      <c r="C135" s="241"/>
      <c r="D135" s="223" t="str">
        <f ca="1">IF(T135=0,"*",IF(T135&gt;0,"IND"&amp;RIGHT(H135,4)&amp;RIGHT(G135,3)&amp;"N"&amp;RIGHT(E135,1),""))</f>
        <v>INDVDHTDH2N1</v>
      </c>
      <c r="E135" s="278" t="str">
        <f>"Industrial heating technology "&amp;$AJ$12&amp;" "&amp;RIGHT(H135,2)&amp;" - Gas boiler (Steam) - new 1"</f>
        <v>Industrial heating technology Vehicles HT - Gas boiler (Steam) - new 1</v>
      </c>
      <c r="F135" s="239" t="s">
        <v>1274</v>
      </c>
      <c r="G135" s="176" t="s">
        <v>1438</v>
      </c>
      <c r="H135" s="177" t="str">
        <f>$AI$13</f>
        <v>IVDHT</v>
      </c>
      <c r="I135" s="177" t="str">
        <f t="shared" si="114"/>
        <v>INDVWH</v>
      </c>
      <c r="J135" s="239">
        <f t="shared" si="115"/>
        <v>2011</v>
      </c>
      <c r="K135" s="332">
        <f>J135</f>
        <v>2011</v>
      </c>
      <c r="L135" s="206">
        <f t="shared" ref="L135:L143" ca="1" si="125">VLOOKUP($AD135,INDIRECT("'"&amp;$B135&amp;"'!"&amp;"$P$39:$AD$42"),3,FALSE)</f>
        <v>0.92</v>
      </c>
      <c r="M135" s="759"/>
      <c r="N135" s="332">
        <f ca="1">VLOOKUP($AD135,INDIRECT("'"&amp;$B135&amp;"'!"&amp;"$P$39:$AD$42"),5,FALSE)</f>
        <v>25</v>
      </c>
      <c r="O135" s="785">
        <f t="shared" ref="O135:O143" ca="1" si="126">VLOOKUP($AD135,INDIRECT("'"&amp;$B135&amp;"'!"&amp;"$P$39:$AD$42"),6,FALSE)/1000</f>
        <v>0.40636363636363632</v>
      </c>
      <c r="P135" s="785">
        <f t="shared" ref="P135:P143" ca="1" si="127">VLOOKUP($AD135,INDIRECT("'"&amp;$B135&amp;"'!"&amp;"$P$39:$AD$42"),7,FALSE)/1000</f>
        <v>1.49E-2</v>
      </c>
      <c r="Q135" s="332">
        <f t="shared" ref="Q135:Q143" ca="1" si="128">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6"/>
        <v>0.3</v>
      </c>
      <c r="Y135" s="332">
        <f t="shared" ref="Y135:Y143" ca="1" si="129">VLOOKUP($AD135,INDIRECT("'"&amp;$B135&amp;"'!"&amp;"$P$39:$AD$42"),12,FALSE)</f>
        <v>9</v>
      </c>
      <c r="Z135" s="332">
        <f t="shared" ref="Z135:Z143" ca="1" si="130">VLOOKUP($AD135,INDIRECT("'"&amp;$B135&amp;"'!"&amp;"$P$39:$AD$42"),13,FALSE)</f>
        <v>3</v>
      </c>
      <c r="AA135" s="332">
        <f t="shared" ref="AA135:AA143" ca="1" si="131">VLOOKUP($AD135,INDIRECT("'"&amp;$B135&amp;"'!"&amp;"$P$39:$AD$42"),14,FALSE)</f>
        <v>1</v>
      </c>
      <c r="AB135" s="332">
        <f t="shared" ref="AB135:AB143" ca="1" si="132">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4"/>
        <v>INDVWH</v>
      </c>
      <c r="J136" s="239">
        <f t="shared" si="115"/>
        <v>2030</v>
      </c>
      <c r="K136" s="81"/>
      <c r="L136" s="206">
        <f t="shared" ca="1" si="125"/>
        <v>0.93</v>
      </c>
      <c r="M136" s="206"/>
      <c r="N136" s="81"/>
      <c r="O136" s="783">
        <f t="shared" ca="1" si="126"/>
        <v>0.33863636363636368</v>
      </c>
      <c r="P136" s="783">
        <f t="shared" ca="1" si="127"/>
        <v>1.4154999999999999E-2</v>
      </c>
      <c r="Q136" s="81">
        <f t="shared" ca="1" si="128"/>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6"/>
        <v>0.3</v>
      </c>
      <c r="Y136" s="81">
        <f t="shared" ca="1" si="129"/>
        <v>7</v>
      </c>
      <c r="Z136" s="81">
        <f t="shared" ca="1" si="130"/>
        <v>2</v>
      </c>
      <c r="AA136" s="81">
        <f t="shared" ca="1" si="131"/>
        <v>1</v>
      </c>
      <c r="AB136" s="81">
        <f t="shared" ca="1" si="132"/>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4"/>
        <v>INDVWH</v>
      </c>
      <c r="J137" s="239">
        <f t="shared" si="115"/>
        <v>2050</v>
      </c>
      <c r="K137" s="81"/>
      <c r="L137" s="206">
        <f t="shared" ca="1" si="125"/>
        <v>0.94</v>
      </c>
      <c r="M137" s="206"/>
      <c r="N137" s="81"/>
      <c r="O137" s="783">
        <f t="shared" ca="1" si="126"/>
        <v>0.33863636363636368</v>
      </c>
      <c r="P137" s="783">
        <f t="shared" ca="1" si="127"/>
        <v>1.2664999999999999E-2</v>
      </c>
      <c r="Q137" s="81">
        <f t="shared" ca="1" si="128"/>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6"/>
        <v>0.3</v>
      </c>
      <c r="Y137" s="81">
        <f t="shared" ca="1" si="129"/>
        <v>6</v>
      </c>
      <c r="Z137" s="81">
        <f t="shared" ca="1" si="130"/>
        <v>2</v>
      </c>
      <c r="AA137" s="81">
        <f t="shared" ca="1" si="131"/>
        <v>1</v>
      </c>
      <c r="AB137" s="81">
        <f t="shared" ca="1" si="132"/>
        <v>0.1</v>
      </c>
      <c r="AD137" s="81">
        <v>2050</v>
      </c>
      <c r="AE137" s="81"/>
      <c r="AF137" s="232"/>
    </row>
    <row r="138" spans="2:32">
      <c r="B138" s="778" t="s">
        <v>1135</v>
      </c>
      <c r="C138" s="241"/>
      <c r="D138" s="223" t="str">
        <f ca="1">IF(T138=0,"*",IF(T138&gt;0,"IND"&amp;RIGHT(H138,4)&amp;RIGHT(G138,3)&amp;"N"&amp;RIGHT(E138,1),""))</f>
        <v>INDVDMTDH2N1</v>
      </c>
      <c r="E138" s="278" t="str">
        <f>"Industrial heating technology "&amp;$AJ$12&amp;" "&amp;RIGHT(H138,2)&amp;" - Gas boiler (Steam) - new 1"</f>
        <v>Industrial heating technology Vehicles MT - Gas boiler (Steam) - new 1</v>
      </c>
      <c r="F138" s="239" t="s">
        <v>1274</v>
      </c>
      <c r="G138" s="176" t="s">
        <v>1438</v>
      </c>
      <c r="H138" s="177" t="str">
        <f>$AI$14</f>
        <v>IVDMT</v>
      </c>
      <c r="I138" s="177" t="str">
        <f t="shared" si="114"/>
        <v>INDVWH</v>
      </c>
      <c r="J138" s="239">
        <f t="shared" si="115"/>
        <v>2011</v>
      </c>
      <c r="K138" s="332">
        <f>J138</f>
        <v>2011</v>
      </c>
      <c r="L138" s="206">
        <f t="shared" ca="1" si="125"/>
        <v>0.92</v>
      </c>
      <c r="M138" s="206"/>
      <c r="N138" s="81">
        <f ca="1">VLOOKUP($AD138,INDIRECT("'"&amp;$B138&amp;"'!"&amp;"$P$39:$AD$42"),5,FALSE)</f>
        <v>25</v>
      </c>
      <c r="O138" s="783">
        <f t="shared" ca="1" si="126"/>
        <v>0.40636363636363632</v>
      </c>
      <c r="P138" s="783">
        <f t="shared" ca="1" si="127"/>
        <v>1.49E-2</v>
      </c>
      <c r="Q138" s="81">
        <f t="shared" ca="1" si="128"/>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6"/>
        <v>0.3</v>
      </c>
      <c r="Y138" s="81">
        <f t="shared" ca="1" si="129"/>
        <v>9</v>
      </c>
      <c r="Z138" s="81">
        <f t="shared" ca="1" si="130"/>
        <v>3</v>
      </c>
      <c r="AA138" s="81">
        <f t="shared" ca="1" si="131"/>
        <v>1</v>
      </c>
      <c r="AB138" s="81">
        <f t="shared" ca="1" si="132"/>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4"/>
        <v>INDVWH</v>
      </c>
      <c r="J139" s="239">
        <f t="shared" si="115"/>
        <v>2030</v>
      </c>
      <c r="K139" s="81"/>
      <c r="L139" s="206">
        <f t="shared" ca="1" si="125"/>
        <v>0.93</v>
      </c>
      <c r="M139" s="206"/>
      <c r="N139" s="81"/>
      <c r="O139" s="783">
        <f t="shared" ca="1" si="126"/>
        <v>0.33863636363636368</v>
      </c>
      <c r="P139" s="783">
        <f t="shared" ca="1" si="127"/>
        <v>1.4154999999999999E-2</v>
      </c>
      <c r="Q139" s="81">
        <f t="shared" ca="1" si="128"/>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6"/>
        <v>0.3</v>
      </c>
      <c r="Y139" s="81">
        <f t="shared" ca="1" si="129"/>
        <v>7</v>
      </c>
      <c r="Z139" s="81">
        <f t="shared" ca="1" si="130"/>
        <v>2</v>
      </c>
      <c r="AA139" s="81">
        <f t="shared" ca="1" si="131"/>
        <v>1</v>
      </c>
      <c r="AB139" s="81">
        <f t="shared" ca="1" si="132"/>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4"/>
        <v>INDVWH</v>
      </c>
      <c r="J140" s="239">
        <f t="shared" si="115"/>
        <v>2050</v>
      </c>
      <c r="K140" s="81"/>
      <c r="L140" s="206">
        <f t="shared" ca="1" si="125"/>
        <v>0.94</v>
      </c>
      <c r="M140" s="206"/>
      <c r="N140" s="81"/>
      <c r="O140" s="783">
        <f t="shared" ca="1" si="126"/>
        <v>0.33863636363636368</v>
      </c>
      <c r="P140" s="783">
        <f t="shared" ca="1" si="127"/>
        <v>1.2664999999999999E-2</v>
      </c>
      <c r="Q140" s="81">
        <f t="shared" ca="1" si="128"/>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6"/>
        <v>0.3</v>
      </c>
      <c r="Y140" s="81">
        <f t="shared" ca="1" si="129"/>
        <v>6</v>
      </c>
      <c r="Z140" s="81">
        <f t="shared" ca="1" si="130"/>
        <v>2</v>
      </c>
      <c r="AA140" s="81">
        <f t="shared" ca="1" si="131"/>
        <v>1</v>
      </c>
      <c r="AB140" s="81">
        <f t="shared" ca="1" si="132"/>
        <v>0.1</v>
      </c>
      <c r="AC140" s="211"/>
      <c r="AD140" s="81">
        <v>2050</v>
      </c>
      <c r="AE140" s="81"/>
      <c r="AF140" s="765"/>
    </row>
    <row r="141" spans="2:32">
      <c r="B141" s="778" t="s">
        <v>1135</v>
      </c>
      <c r="C141" s="241"/>
      <c r="D141" s="223" t="str">
        <f ca="1">IF(T141=0,"*",IF(T141&gt;0,"IND"&amp;RIGHT(H141,4)&amp;RIGHT(G141,3)&amp;"N"&amp;RIGHT(E141,1),""))</f>
        <v>INDVDRHDH2N1</v>
      </c>
      <c r="E141" s="278" t="str">
        <f>"Industrial heating technology "&amp;$AJ$12&amp;" "&amp;RIGHT(H141,2)&amp;" - Gas boiler (Steam) - new 1"</f>
        <v>Industrial heating technology Vehicles RH - Gas boiler (Steam) - new 1</v>
      </c>
      <c r="F141" s="239" t="s">
        <v>1274</v>
      </c>
      <c r="G141" s="176" t="s">
        <v>1438</v>
      </c>
      <c r="H141" s="177" t="str">
        <f>$AI$15</f>
        <v>IVDRH</v>
      </c>
      <c r="I141" s="177" t="str">
        <f t="shared" si="114"/>
        <v>INDVWH</v>
      </c>
      <c r="J141" s="239">
        <f t="shared" si="115"/>
        <v>2011</v>
      </c>
      <c r="K141" s="332">
        <f>J141</f>
        <v>2011</v>
      </c>
      <c r="L141" s="206">
        <f t="shared" ca="1" si="125"/>
        <v>0.92</v>
      </c>
      <c r="M141" s="206"/>
      <c r="N141" s="81">
        <f ca="1">VLOOKUP($AD141,INDIRECT("'"&amp;$B141&amp;"'!"&amp;"$P$39:$AD$42"),5,FALSE)</f>
        <v>25</v>
      </c>
      <c r="O141" s="783">
        <f t="shared" ca="1" si="126"/>
        <v>0.40636363636363632</v>
      </c>
      <c r="P141" s="783">
        <f t="shared" ca="1" si="127"/>
        <v>1.49E-2</v>
      </c>
      <c r="Q141" s="81">
        <f t="shared" ca="1" si="128"/>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6"/>
        <v>0.3</v>
      </c>
      <c r="Y141" s="81">
        <f t="shared" ca="1" si="129"/>
        <v>9</v>
      </c>
      <c r="Z141" s="81">
        <f t="shared" ca="1" si="130"/>
        <v>3</v>
      </c>
      <c r="AA141" s="81">
        <f t="shared" ca="1" si="131"/>
        <v>1</v>
      </c>
      <c r="AB141" s="81">
        <f t="shared" ca="1" si="132"/>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4"/>
        <v>INDVWH</v>
      </c>
      <c r="J142" s="239">
        <f t="shared" si="115"/>
        <v>2030</v>
      </c>
      <c r="K142" s="81"/>
      <c r="L142" s="206">
        <f t="shared" ca="1" si="125"/>
        <v>0.93</v>
      </c>
      <c r="M142" s="206"/>
      <c r="N142" s="81"/>
      <c r="O142" s="783">
        <f t="shared" ca="1" si="126"/>
        <v>0.33863636363636368</v>
      </c>
      <c r="P142" s="783">
        <f t="shared" ca="1" si="127"/>
        <v>1.4154999999999999E-2</v>
      </c>
      <c r="Q142" s="81">
        <f t="shared" ca="1" si="128"/>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6"/>
        <v>0.3</v>
      </c>
      <c r="Y142" s="81">
        <f t="shared" ca="1" si="129"/>
        <v>7</v>
      </c>
      <c r="Z142" s="81">
        <f t="shared" ca="1" si="130"/>
        <v>2</v>
      </c>
      <c r="AA142" s="81">
        <f t="shared" ca="1" si="131"/>
        <v>1</v>
      </c>
      <c r="AB142" s="81">
        <f t="shared" ca="1" si="132"/>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4"/>
        <v>INDVWH</v>
      </c>
      <c r="J143" s="239">
        <f t="shared" si="115"/>
        <v>2050</v>
      </c>
      <c r="K143" s="81"/>
      <c r="L143" s="206">
        <f t="shared" ca="1" si="125"/>
        <v>0.94</v>
      </c>
      <c r="M143" s="206"/>
      <c r="N143" s="81"/>
      <c r="O143" s="783">
        <f t="shared" ca="1" si="126"/>
        <v>0.33863636363636368</v>
      </c>
      <c r="P143" s="783">
        <f t="shared" ca="1" si="127"/>
        <v>1.2664999999999999E-2</v>
      </c>
      <c r="Q143" s="81">
        <f t="shared" ca="1" si="128"/>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6"/>
        <v>0.3</v>
      </c>
      <c r="Y143" s="81">
        <f t="shared" ca="1" si="129"/>
        <v>6</v>
      </c>
      <c r="Z143" s="81">
        <f t="shared" ca="1" si="130"/>
        <v>2</v>
      </c>
      <c r="AA143" s="81">
        <f t="shared" ca="1" si="131"/>
        <v>1</v>
      </c>
      <c r="AB143" s="81">
        <f t="shared" ca="1" si="132"/>
        <v>0.1</v>
      </c>
      <c r="AC143" s="55"/>
      <c r="AD143" s="81">
        <v>2050</v>
      </c>
      <c r="AE143" s="81"/>
      <c r="AF143" s="760"/>
    </row>
    <row r="144" spans="2:32">
      <c r="B144" s="778" t="s">
        <v>1135</v>
      </c>
      <c r="C144" s="241"/>
      <c r="D144" s="223" t="str">
        <f ca="1">IF(T144=0,"*",IF(T144&gt;0,"IND"&amp;RIGHT(H144,4)&amp;RIGHT(G144,3)&amp;"N"&amp;RIGHT(E144,1),""))</f>
        <v>INDVDMTDH2N2</v>
      </c>
      <c r="E144" s="767" t="str">
        <f>"Industrial heating technology "&amp;$AJ$12&amp;" "&amp;RIGHT(H144,2)&amp;" - Gas boiler (Steam - condensing) - new 2"</f>
        <v>Industrial heating technology Vehicles MT - Gas boiler (Steam - condensing) - new 2</v>
      </c>
      <c r="F144" s="239" t="s">
        <v>1274</v>
      </c>
      <c r="G144" s="176" t="s">
        <v>1438</v>
      </c>
      <c r="H144" s="768" t="str">
        <f>$AI$14</f>
        <v>IVDMT</v>
      </c>
      <c r="I144" s="768" t="str">
        <f t="shared" si="114"/>
        <v>INDVWH</v>
      </c>
      <c r="J144" s="239">
        <f t="shared" si="115"/>
        <v>2011</v>
      </c>
      <c r="K144" s="332">
        <f>J144</f>
        <v>2011</v>
      </c>
      <c r="L144" s="206">
        <f t="shared" ref="L144:L149" ca="1" si="133">VLOOKUP($AD144,INDIRECT("'"&amp;$B144&amp;"'!"&amp;"$P$118:$AD$121"),3,FALSE)</f>
        <v>1.01</v>
      </c>
      <c r="M144" s="206"/>
      <c r="N144" s="81">
        <f ca="1">VLOOKUP($AD144,INDIRECT("'"&amp;$B144&amp;"'!"&amp;"$P$118:$AD$121"),5,FALSE)</f>
        <v>25</v>
      </c>
      <c r="O144" s="783">
        <f t="shared" ref="O144:O149" ca="1" si="134">VLOOKUP($AD144,INDIRECT("'"&amp;$B144&amp;"'!"&amp;"$P$118:$AD$121"),6,FALSE)/1000</f>
        <v>0.44700000000000001</v>
      </c>
      <c r="P144" s="783">
        <f t="shared" ref="P144:P149" ca="1" si="135">VLOOKUP($AD144,INDIRECT("'"&amp;$B144&amp;"'!"&amp;"$P$118:$AD$121"),7,FALSE)/1000</f>
        <v>1.49E-2</v>
      </c>
      <c r="Q144" s="81">
        <f t="shared" ref="Q144:Q149" ca="1" si="136">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6"/>
        <v>0.3</v>
      </c>
      <c r="Y144" s="758">
        <f t="shared" ref="Y144:Y149" ca="1" si="137">VLOOKUP($AD144,INDIRECT("'"&amp;$B144&amp;"'!"&amp;"$P$118:$AD$121"),12,FALSE)</f>
        <v>9</v>
      </c>
      <c r="Z144" s="758">
        <f t="shared" ref="Z144:Z149" ca="1" si="138">VLOOKUP($AD144,INDIRECT("'"&amp;$B144&amp;"'!"&amp;"$P$118:$AD$121"),13,FALSE)</f>
        <v>3</v>
      </c>
      <c r="AA144" s="758">
        <f t="shared" ref="AA144:AA149" ca="1" si="139">VLOOKUP($AD144,INDIRECT("'"&amp;$B144&amp;"'!"&amp;"$P$118:$AD$121"),14,FALSE)</f>
        <v>1</v>
      </c>
      <c r="AB144" s="758">
        <f t="shared" ref="AB144:AB149" ca="1" si="140">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4"/>
        <v>INDVWH</v>
      </c>
      <c r="J145" s="239">
        <f t="shared" si="115"/>
        <v>2030</v>
      </c>
      <c r="K145" s="81"/>
      <c r="L145" s="206">
        <f t="shared" ca="1" si="133"/>
        <v>1.03</v>
      </c>
      <c r="M145" s="206"/>
      <c r="N145" s="81"/>
      <c r="O145" s="783">
        <f t="shared" ca="1" si="134"/>
        <v>0.37250000000000005</v>
      </c>
      <c r="P145" s="783">
        <f t="shared" ca="1" si="135"/>
        <v>1.4154999999999999E-2</v>
      </c>
      <c r="Q145" s="81">
        <f t="shared" ca="1" si="136"/>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6"/>
        <v>0.3</v>
      </c>
      <c r="Y145" s="758">
        <f t="shared" ca="1" si="137"/>
        <v>7</v>
      </c>
      <c r="Z145" s="758">
        <f t="shared" ca="1" si="138"/>
        <v>2</v>
      </c>
      <c r="AA145" s="758">
        <f t="shared" ca="1" si="139"/>
        <v>1</v>
      </c>
      <c r="AB145" s="758">
        <f t="shared" ca="1" si="140"/>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4"/>
        <v>INDVWH</v>
      </c>
      <c r="J146" s="239">
        <f t="shared" si="115"/>
        <v>2050</v>
      </c>
      <c r="K146" s="81"/>
      <c r="L146" s="206">
        <f t="shared" ca="1" si="133"/>
        <v>1.03</v>
      </c>
      <c r="M146" s="206"/>
      <c r="N146" s="81"/>
      <c r="O146" s="783">
        <f t="shared" ca="1" si="134"/>
        <v>0.37250000000000005</v>
      </c>
      <c r="P146" s="783">
        <f t="shared" ca="1" si="135"/>
        <v>1.2664999999999999E-2</v>
      </c>
      <c r="Q146" s="81">
        <f t="shared" ca="1" si="136"/>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6"/>
        <v>0.3</v>
      </c>
      <c r="Y146" s="758">
        <f t="shared" ca="1" si="137"/>
        <v>6</v>
      </c>
      <c r="Z146" s="758">
        <f t="shared" ca="1" si="138"/>
        <v>2</v>
      </c>
      <c r="AA146" s="758">
        <f t="shared" ca="1" si="139"/>
        <v>1</v>
      </c>
      <c r="AB146" s="758">
        <f t="shared" ca="1" si="140"/>
        <v>0.1</v>
      </c>
      <c r="AC146" s="211"/>
      <c r="AD146" s="81">
        <v>2050</v>
      </c>
      <c r="AE146" s="81"/>
      <c r="AF146" s="765"/>
    </row>
    <row r="147" spans="1:32">
      <c r="A147" s="241"/>
      <c r="B147" s="778" t="s">
        <v>1135</v>
      </c>
      <c r="C147" s="241"/>
      <c r="D147" s="223" t="str">
        <f ca="1">IF(T147=0,"*",IF(T147&gt;0,"IND"&amp;RIGHT(H147,4)&amp;RIGHT(G147,3)&amp;"N"&amp;RIGHT(E147,1),""))</f>
        <v>INDVDRHDH2N2</v>
      </c>
      <c r="E147" s="278" t="str">
        <f>"Industrial heating technology "&amp;$AJ$12&amp;" "&amp;RIGHT(H147,2)&amp;" - Gas boiler (Steam - condensing) - new 2"</f>
        <v>Industrial heating technology Vehicles RH - Gas boiler (Steam - condensing) - new 2</v>
      </c>
      <c r="F147" s="239" t="s">
        <v>1274</v>
      </c>
      <c r="G147" s="176" t="s">
        <v>1438</v>
      </c>
      <c r="H147" s="177" t="str">
        <f>$AI$15</f>
        <v>IVDRH</v>
      </c>
      <c r="I147" s="177" t="str">
        <f t="shared" si="114"/>
        <v>INDVWH</v>
      </c>
      <c r="J147" s="239">
        <f t="shared" si="115"/>
        <v>2011</v>
      </c>
      <c r="K147" s="332">
        <f>J147</f>
        <v>2011</v>
      </c>
      <c r="L147" s="206">
        <f t="shared" ca="1" si="133"/>
        <v>1.01</v>
      </c>
      <c r="M147" s="206"/>
      <c r="N147" s="81">
        <f ca="1">VLOOKUP($AD147,INDIRECT("'"&amp;$B147&amp;"'!"&amp;"$P$118:$AD$121"),5,FALSE)</f>
        <v>25</v>
      </c>
      <c r="O147" s="783">
        <f t="shared" ca="1" si="134"/>
        <v>0.44700000000000001</v>
      </c>
      <c r="P147" s="783">
        <f t="shared" ca="1" si="135"/>
        <v>1.49E-2</v>
      </c>
      <c r="Q147" s="81">
        <f t="shared" ca="1" si="136"/>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6"/>
        <v>0.3</v>
      </c>
      <c r="Y147" s="758">
        <f t="shared" ca="1" si="137"/>
        <v>9</v>
      </c>
      <c r="Z147" s="758">
        <f t="shared" ca="1" si="138"/>
        <v>3</v>
      </c>
      <c r="AA147" s="758">
        <f t="shared" ca="1" si="139"/>
        <v>1</v>
      </c>
      <c r="AB147" s="758">
        <f t="shared" ca="1" si="140"/>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4"/>
        <v>INDVWH</v>
      </c>
      <c r="J148" s="239">
        <f t="shared" si="115"/>
        <v>2030</v>
      </c>
      <c r="K148" s="81"/>
      <c r="L148" s="206">
        <f t="shared" ca="1" si="133"/>
        <v>1.03</v>
      </c>
      <c r="M148" s="206"/>
      <c r="N148" s="81"/>
      <c r="O148" s="783">
        <f t="shared" ca="1" si="134"/>
        <v>0.37250000000000005</v>
      </c>
      <c r="P148" s="783">
        <f t="shared" ca="1" si="135"/>
        <v>1.4154999999999999E-2</v>
      </c>
      <c r="Q148" s="81">
        <f t="shared" ca="1" si="136"/>
        <v>2.0694444444444446</v>
      </c>
      <c r="R148" s="333"/>
      <c r="S148" s="333"/>
      <c r="T148" s="333"/>
      <c r="U148" s="333"/>
      <c r="V148" s="759">
        <f ca="1">IF(IF(RIGHT(H147,2)="MT",(1-L148)+$W$2,IF(RIGHT(H147,2)="HT",(1-L148)+$W$1,IF(RIGHT(H147,2)="RH",(1-L148)+$W$3,"")))&lt;0,0,IF(RIGHT(H147,2)="MT",(1-L148)+$W$2,IF(RIGHT(H147,2)="HT",(1-L148)+$W$1,IF(RIGHT(H147,2)="RH",(1-L148)+$W$3,""))))</f>
        <v>0</v>
      </c>
      <c r="W148" s="331"/>
      <c r="X148" s="758">
        <f t="shared" ca="1" si="116"/>
        <v>0.3</v>
      </c>
      <c r="Y148" s="758">
        <f t="shared" ca="1" si="137"/>
        <v>7</v>
      </c>
      <c r="Z148" s="758">
        <f t="shared" ca="1" si="138"/>
        <v>2</v>
      </c>
      <c r="AA148" s="758">
        <f t="shared" ca="1" si="139"/>
        <v>1</v>
      </c>
      <c r="AB148" s="758">
        <f t="shared" ca="1" si="140"/>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4"/>
        <v>INDVWH</v>
      </c>
      <c r="J149" s="239">
        <f t="shared" si="115"/>
        <v>2050</v>
      </c>
      <c r="K149" s="81"/>
      <c r="L149" s="206">
        <f t="shared" ca="1" si="133"/>
        <v>1.03</v>
      </c>
      <c r="M149" s="206"/>
      <c r="N149" s="81"/>
      <c r="O149" s="783">
        <f t="shared" ca="1" si="134"/>
        <v>0.37250000000000005</v>
      </c>
      <c r="P149" s="783">
        <f t="shared" ca="1" si="135"/>
        <v>1.2664999999999999E-2</v>
      </c>
      <c r="Q149" s="81">
        <f t="shared" ca="1" si="136"/>
        <v>2.0694444444444446</v>
      </c>
      <c r="R149" s="763"/>
      <c r="S149" s="763"/>
      <c r="T149" s="763"/>
      <c r="U149" s="763"/>
      <c r="V149" s="759">
        <f ca="1">IF(IF(RIGHT(H147,2)="MT",(1-L149)+$W$2,IF(RIGHT(H147,2)="HT",(1-L149)+$W$1,IF(RIGHT(H147,2)="RH",(1-L149)+$W$3,"")))&lt;0,0,IF(RIGHT(H147,2)="MT",(1-L149)+$W$2,IF(RIGHT(H147,2)="HT",(1-L149)+$W$1,IF(RIGHT(H147,2)="RH",(1-L149)+$W$3,""))))</f>
        <v>0</v>
      </c>
      <c r="W149" s="764"/>
      <c r="X149" s="758">
        <f t="shared" ca="1" si="116"/>
        <v>0.3</v>
      </c>
      <c r="Y149" s="758">
        <f t="shared" ca="1" si="137"/>
        <v>6</v>
      </c>
      <c r="Z149" s="758">
        <f t="shared" ca="1" si="138"/>
        <v>2</v>
      </c>
      <c r="AA149" s="758">
        <f t="shared" ca="1" si="139"/>
        <v>1</v>
      </c>
      <c r="AB149" s="758">
        <f t="shared" ca="1" si="140"/>
        <v>0.1</v>
      </c>
      <c r="AC149" s="55"/>
      <c r="AD149" s="81">
        <v>2050</v>
      </c>
      <c r="AE149" s="81"/>
      <c r="AF149" s="760"/>
    </row>
    <row r="150" spans="1:32">
      <c r="A150" s="241"/>
      <c r="B150" s="778" t="s">
        <v>1135</v>
      </c>
      <c r="C150" s="241"/>
      <c r="D150" s="223" t="str">
        <f ca="1">IF(T150=0,"*",IF(T150&gt;0,"IND"&amp;RIGHT(H150,4)&amp;RIGHT(G150,3)&amp;"N"&amp;RIGHT(E150,1),""))</f>
        <v>INDVDMTDH2N3</v>
      </c>
      <c r="E150" s="767" t="str">
        <f>"Industrial heating technology "&amp;$AJ$12&amp;" "&amp;RIGHT(H150,2)&amp;" - Gas boiler (Hot Water) - new 3"</f>
        <v>Industrial heating technology Vehicles MT - Gas boiler (Hot Water) - new 3</v>
      </c>
      <c r="F150" s="239" t="s">
        <v>1274</v>
      </c>
      <c r="G150" s="176" t="s">
        <v>1438</v>
      </c>
      <c r="H150" s="768" t="str">
        <f>$AI$14</f>
        <v>IVDMT</v>
      </c>
      <c r="I150" s="768" t="str">
        <f t="shared" si="114"/>
        <v>INDVWH</v>
      </c>
      <c r="J150" s="239">
        <f t="shared" si="115"/>
        <v>2011</v>
      </c>
      <c r="K150" s="332">
        <f>J150</f>
        <v>2011</v>
      </c>
      <c r="L150" s="206">
        <f t="shared" ref="L150:L155" ca="1" si="141">VLOOKUP($AD150,INDIRECT("'"&amp;$B150&amp;"'!"&amp;"$P$200:$AD$203"),3,FALSE)</f>
        <v>0.93</v>
      </c>
      <c r="M150" s="206"/>
      <c r="N150" s="81">
        <f ca="1">VLOOKUP($AD150,INDIRECT("'"&amp;$B150&amp;"'!"&amp;"$P$200:$AD$203"),5,FALSE)</f>
        <v>25</v>
      </c>
      <c r="O150" s="783">
        <f t="shared" ref="O150:O155" ca="1" si="142">VLOOKUP($AD150,INDIRECT("'"&amp;$B150&amp;"'!"&amp;"$P$200:$AD$203"),6,FALSE)/1000</f>
        <v>0.3250909090909091</v>
      </c>
      <c r="P150" s="783">
        <f t="shared" ref="P150:P155" ca="1" si="143">VLOOKUP($AD150,INDIRECT("'"&amp;$B150&amp;"'!"&amp;"$P$200:$AD$203"),7,FALSE)/1000</f>
        <v>1.49E-2</v>
      </c>
      <c r="Q150" s="81">
        <f t="shared" ref="Q150:Q155" ca="1" si="144">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6"/>
        <v>0.3</v>
      </c>
      <c r="Y150" s="758">
        <f t="shared" ref="Y150:Y155" ca="1" si="145">VLOOKUP($AD150,INDIRECT("'"&amp;$B150&amp;"'!"&amp;"$P$200:$AD$203"),12,FALSE)</f>
        <v>9</v>
      </c>
      <c r="Z150" s="758">
        <f t="shared" ref="Z150:Z155" ca="1" si="146">VLOOKUP($AD150,INDIRECT("'"&amp;$B150&amp;"'!"&amp;"$P$200:$AD$203"),13,FALSE)</f>
        <v>3</v>
      </c>
      <c r="AA150" s="758">
        <f t="shared" ref="AA150:AA155" ca="1" si="147">VLOOKUP($AD150,INDIRECT("'"&amp;$B150&amp;"'!"&amp;"$P$200:$AD$203"),14,FALSE)</f>
        <v>1</v>
      </c>
      <c r="AB150" s="758">
        <f t="shared" ref="AB150:AB155" ca="1" si="148">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4"/>
        <v>INDVWH</v>
      </c>
      <c r="J151" s="239">
        <f t="shared" si="115"/>
        <v>2030</v>
      </c>
      <c r="K151" s="81"/>
      <c r="L151" s="206">
        <f t="shared" ca="1" si="141"/>
        <v>0.94</v>
      </c>
      <c r="M151" s="206"/>
      <c r="N151" s="81"/>
      <c r="O151" s="783">
        <f t="shared" ca="1" si="142"/>
        <v>0.27090909090909093</v>
      </c>
      <c r="P151" s="783">
        <f t="shared" ca="1" si="143"/>
        <v>1.4154999999999999E-2</v>
      </c>
      <c r="Q151" s="81">
        <f t="shared" ca="1" si="144"/>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6"/>
        <v>0.3</v>
      </c>
      <c r="Y151" s="758">
        <f t="shared" ca="1" si="145"/>
        <v>7</v>
      </c>
      <c r="Z151" s="758">
        <f t="shared" ca="1" si="146"/>
        <v>2</v>
      </c>
      <c r="AA151" s="758">
        <f t="shared" ca="1" si="147"/>
        <v>1</v>
      </c>
      <c r="AB151" s="758">
        <f t="shared" ca="1" si="148"/>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4"/>
        <v>INDVWH</v>
      </c>
      <c r="J152" s="239">
        <f t="shared" si="115"/>
        <v>2050</v>
      </c>
      <c r="K152" s="81"/>
      <c r="L152" s="206">
        <f t="shared" ca="1" si="141"/>
        <v>0.95</v>
      </c>
      <c r="M152" s="206"/>
      <c r="N152" s="81"/>
      <c r="O152" s="783">
        <f t="shared" ca="1" si="142"/>
        <v>0.27090909090909093</v>
      </c>
      <c r="P152" s="783">
        <f t="shared" ca="1" si="143"/>
        <v>1.2664999999999999E-2</v>
      </c>
      <c r="Q152" s="81">
        <f t="shared" ca="1" si="144"/>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6"/>
        <v>0.3</v>
      </c>
      <c r="Y152" s="758">
        <f t="shared" ca="1" si="145"/>
        <v>6</v>
      </c>
      <c r="Z152" s="758">
        <f t="shared" ca="1" si="146"/>
        <v>2</v>
      </c>
      <c r="AA152" s="758">
        <f t="shared" ca="1" si="147"/>
        <v>1</v>
      </c>
      <c r="AB152" s="758">
        <f t="shared" ca="1" si="148"/>
        <v>0.1</v>
      </c>
      <c r="AC152" s="211"/>
      <c r="AD152" s="81">
        <v>2050</v>
      </c>
      <c r="AE152" s="81"/>
      <c r="AF152" s="765"/>
    </row>
    <row r="153" spans="1:32">
      <c r="B153" s="778" t="s">
        <v>1135</v>
      </c>
      <c r="C153" s="64"/>
      <c r="D153" s="223" t="str">
        <f ca="1">IF(T153=0,"*",IF(T153&gt;0,"IND"&amp;RIGHT(H153,4)&amp;RIGHT(G153,3)&amp;"N"&amp;RIGHT(E153,1),""))</f>
        <v>INDVDRHDH2N3</v>
      </c>
      <c r="E153" s="278" t="str">
        <f>"Industrial heating technology "&amp;$AJ$12&amp;" "&amp;RIGHT(H153,2)&amp;" - Gas boiler (Hot Water) - new 3"</f>
        <v>Industrial heating technology Vehicles RH - Gas boiler (Hot Water) - new 3</v>
      </c>
      <c r="F153" s="239" t="s">
        <v>1274</v>
      </c>
      <c r="G153" s="176" t="s">
        <v>1438</v>
      </c>
      <c r="H153" s="177" t="str">
        <f>$AI$15</f>
        <v>IVDRH</v>
      </c>
      <c r="I153" s="177" t="str">
        <f t="shared" si="114"/>
        <v>INDVWH</v>
      </c>
      <c r="J153" s="239">
        <f t="shared" si="115"/>
        <v>2011</v>
      </c>
      <c r="K153" s="332">
        <f>J153</f>
        <v>2011</v>
      </c>
      <c r="L153" s="206">
        <f t="shared" ca="1" si="141"/>
        <v>0.93</v>
      </c>
      <c r="M153" s="206"/>
      <c r="N153" s="81">
        <f ca="1">VLOOKUP($AD153,INDIRECT("'"&amp;$B153&amp;"'!"&amp;"$P$200:$AD$203"),5,FALSE)</f>
        <v>25</v>
      </c>
      <c r="O153" s="783">
        <f t="shared" ca="1" si="142"/>
        <v>0.3250909090909091</v>
      </c>
      <c r="P153" s="783">
        <f t="shared" ca="1" si="143"/>
        <v>1.49E-2</v>
      </c>
      <c r="Q153" s="81">
        <f t="shared" ca="1" si="144"/>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6"/>
        <v>0.3</v>
      </c>
      <c r="Y153" s="758">
        <f t="shared" ca="1" si="145"/>
        <v>9</v>
      </c>
      <c r="Z153" s="758">
        <f t="shared" ca="1" si="146"/>
        <v>3</v>
      </c>
      <c r="AA153" s="758">
        <f t="shared" ca="1" si="147"/>
        <v>1</v>
      </c>
      <c r="AB153" s="758">
        <f t="shared" ca="1" si="148"/>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4"/>
        <v>INDVWH</v>
      </c>
      <c r="J154" s="239">
        <f t="shared" si="115"/>
        <v>2030</v>
      </c>
      <c r="K154" s="81"/>
      <c r="L154" s="206">
        <f t="shared" ca="1" si="141"/>
        <v>0.94</v>
      </c>
      <c r="M154" s="206"/>
      <c r="N154" s="81"/>
      <c r="O154" s="783">
        <f t="shared" ca="1" si="142"/>
        <v>0.27090909090909093</v>
      </c>
      <c r="P154" s="783">
        <f t="shared" ca="1" si="143"/>
        <v>1.4154999999999999E-2</v>
      </c>
      <c r="Q154" s="81">
        <f t="shared" ca="1" si="144"/>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6"/>
        <v>0.3</v>
      </c>
      <c r="Y154" s="758">
        <f t="shared" ca="1" si="145"/>
        <v>7</v>
      </c>
      <c r="Z154" s="758">
        <f t="shared" ca="1" si="146"/>
        <v>2</v>
      </c>
      <c r="AA154" s="758">
        <f t="shared" ca="1" si="147"/>
        <v>1</v>
      </c>
      <c r="AB154" s="758">
        <f t="shared" ca="1" si="148"/>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4"/>
        <v>INDVWH</v>
      </c>
      <c r="J155" s="239">
        <f t="shared" si="115"/>
        <v>2050</v>
      </c>
      <c r="K155" s="81"/>
      <c r="L155" s="206">
        <f t="shared" ca="1" si="141"/>
        <v>0.95</v>
      </c>
      <c r="M155" s="206"/>
      <c r="N155" s="81"/>
      <c r="O155" s="783">
        <f t="shared" ca="1" si="142"/>
        <v>0.27090909090909093</v>
      </c>
      <c r="P155" s="783">
        <f t="shared" ca="1" si="143"/>
        <v>1.2664999999999999E-2</v>
      </c>
      <c r="Q155" s="81">
        <f t="shared" ca="1" si="144"/>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6"/>
        <v>0.3</v>
      </c>
      <c r="Y155" s="758">
        <f t="shared" ca="1" si="145"/>
        <v>6</v>
      </c>
      <c r="Z155" s="758">
        <f t="shared" ca="1" si="146"/>
        <v>2</v>
      </c>
      <c r="AA155" s="758">
        <f t="shared" ca="1" si="147"/>
        <v>1</v>
      </c>
      <c r="AB155" s="758">
        <f t="shared" ca="1" si="148"/>
        <v>0.1</v>
      </c>
      <c r="AC155" s="55"/>
      <c r="AD155" s="81">
        <v>2050</v>
      </c>
      <c r="AE155" s="81"/>
      <c r="AF155" s="760"/>
    </row>
    <row r="156" spans="1:32">
      <c r="B156" s="778" t="s">
        <v>1135</v>
      </c>
      <c r="C156" s="64"/>
      <c r="D156" s="223" t="str">
        <f ca="1">IF(T156=0,"*",IF(T156&gt;0,"IND"&amp;RIGHT(H156,4)&amp;RIGHT(G156,3)&amp;"N"&amp;RIGHT(E156,1),""))</f>
        <v>INDVDMTDH2N4</v>
      </c>
      <c r="E156" s="767" t="str">
        <f>"Industrial heating technology "&amp;$AJ$12&amp;" "&amp;RIGHT(H156,2)&amp;" - Gas boiler (Hot Water - condensing) - new 4"</f>
        <v>Industrial heating technology Vehicles MT - Gas boiler (Hot Water - condensing) - new 4</v>
      </c>
      <c r="F156" s="239" t="s">
        <v>1274</v>
      </c>
      <c r="G156" s="176" t="s">
        <v>1438</v>
      </c>
      <c r="H156" s="768" t="str">
        <f>$AI$14</f>
        <v>IVDMT</v>
      </c>
      <c r="I156" s="768" t="str">
        <f t="shared" si="114"/>
        <v>INDVWH</v>
      </c>
      <c r="J156" s="239">
        <f t="shared" si="115"/>
        <v>2011</v>
      </c>
      <c r="K156" s="332">
        <f>J156</f>
        <v>2011</v>
      </c>
      <c r="L156" s="206">
        <f t="shared" ref="L156:L161" ca="1" si="149">VLOOKUP($AD156,INDIRECT("'"&amp;$B156&amp;"'!"&amp;"$P$279:$AD$282"),3,FALSE)</f>
        <v>1.01</v>
      </c>
      <c r="M156" s="206"/>
      <c r="N156" s="81">
        <f ca="1">VLOOKUP($AD156,INDIRECT("'"&amp;$B156&amp;"'!"&amp;"$P$279:$AD$282"),5,FALSE)</f>
        <v>25</v>
      </c>
      <c r="O156" s="783">
        <f t="shared" ref="O156:O161" ca="1" si="150">VLOOKUP($AD156,INDIRECT("'"&amp;$B156&amp;"'!"&amp;"$P$279:$AD$282"),6,FALSE)/1000</f>
        <v>0.35760000000000003</v>
      </c>
      <c r="P156" s="783">
        <f t="shared" ref="P156:P161" ca="1" si="151">VLOOKUP($AD156,INDIRECT("'"&amp;$B156&amp;"'!"&amp;"$P$279:$AD$282"),7,FALSE)/1000</f>
        <v>1.49E-2</v>
      </c>
      <c r="Q156" s="81">
        <f t="shared" ref="Q156:Q161" ca="1" si="152">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6"/>
        <v>0.3</v>
      </c>
      <c r="Y156" s="758">
        <f t="shared" ref="Y156:Y161" ca="1" si="153">VLOOKUP($AD156,INDIRECT("'"&amp;$B156&amp;"'!"&amp;"$P$279:$AD$282"),12,FALSE)</f>
        <v>9</v>
      </c>
      <c r="Z156" s="758">
        <f t="shared" ref="Z156:Z161" ca="1" si="154">VLOOKUP($AD156,INDIRECT("'"&amp;$B156&amp;"'!"&amp;"$P$279:$AD$282"),13,FALSE)</f>
        <v>3</v>
      </c>
      <c r="AA156" s="758">
        <f t="shared" ref="AA156:AA161" ca="1" si="155">VLOOKUP($AD156,INDIRECT("'"&amp;$B156&amp;"'!"&amp;"$P$279:$AD$282"),14,FALSE)</f>
        <v>1</v>
      </c>
      <c r="AB156" s="758">
        <f t="shared" ref="AB156:AB161" ca="1" si="156">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4"/>
        <v>INDVWH</v>
      </c>
      <c r="J157" s="239">
        <f t="shared" si="115"/>
        <v>2030</v>
      </c>
      <c r="K157" s="81"/>
      <c r="L157" s="206">
        <f t="shared" ca="1" si="149"/>
        <v>1.03</v>
      </c>
      <c r="M157" s="206"/>
      <c r="N157" s="81"/>
      <c r="O157" s="783">
        <f t="shared" ca="1" si="150"/>
        <v>0.29800000000000004</v>
      </c>
      <c r="P157" s="783">
        <f t="shared" ca="1" si="151"/>
        <v>1.4154999999999999E-2</v>
      </c>
      <c r="Q157" s="81">
        <f t="shared" ca="1" si="152"/>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6"/>
        <v>0.3</v>
      </c>
      <c r="Y157" s="758">
        <f t="shared" ca="1" si="153"/>
        <v>7</v>
      </c>
      <c r="Z157" s="758">
        <f t="shared" ca="1" si="154"/>
        <v>2</v>
      </c>
      <c r="AA157" s="758">
        <f t="shared" ca="1" si="155"/>
        <v>1</v>
      </c>
      <c r="AB157" s="758">
        <f t="shared" ca="1" si="156"/>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4"/>
        <v>INDVWH</v>
      </c>
      <c r="J158" s="239">
        <f t="shared" si="115"/>
        <v>2050</v>
      </c>
      <c r="K158" s="81"/>
      <c r="L158" s="206">
        <f t="shared" ca="1" si="149"/>
        <v>1.03</v>
      </c>
      <c r="M158" s="206"/>
      <c r="N158" s="81"/>
      <c r="O158" s="783">
        <f t="shared" ca="1" si="150"/>
        <v>0.29800000000000004</v>
      </c>
      <c r="P158" s="783">
        <f t="shared" ca="1" si="151"/>
        <v>1.2664999999999999E-2</v>
      </c>
      <c r="Q158" s="81">
        <f t="shared" ca="1" si="152"/>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6"/>
        <v>0.3</v>
      </c>
      <c r="Y158" s="758">
        <f t="shared" ca="1" si="153"/>
        <v>6</v>
      </c>
      <c r="Z158" s="758">
        <f t="shared" ca="1" si="154"/>
        <v>2</v>
      </c>
      <c r="AA158" s="758">
        <f t="shared" ca="1" si="155"/>
        <v>1</v>
      </c>
      <c r="AB158" s="758">
        <f t="shared" ca="1" si="156"/>
        <v>0.1</v>
      </c>
      <c r="AC158" s="211"/>
      <c r="AD158" s="81">
        <v>2050</v>
      </c>
      <c r="AE158" s="81"/>
      <c r="AF158" s="765"/>
    </row>
    <row r="159" spans="1:32">
      <c r="A159" s="241"/>
      <c r="B159" s="778" t="s">
        <v>1135</v>
      </c>
      <c r="C159" s="64"/>
      <c r="D159" s="223" t="str">
        <f ca="1">IF(T159=0,"*",IF(T159&gt;0,"IND"&amp;RIGHT(H159,4)&amp;RIGHT(G159,3)&amp;"N"&amp;RIGHT(E159,1),""))</f>
        <v>INDVDRHDH2N4</v>
      </c>
      <c r="E159" s="278" t="str">
        <f>"Industrial heating technology "&amp;$AJ$12&amp;" "&amp;RIGHT(H159,2)&amp;" - Gas boiler (Hot Water- condensing) - new 4"</f>
        <v>Industrial heating technology Vehicles RH - Gas boiler (Hot Water- condensing) - new 4</v>
      </c>
      <c r="F159" s="239" t="s">
        <v>1274</v>
      </c>
      <c r="G159" s="176" t="s">
        <v>1438</v>
      </c>
      <c r="H159" s="177" t="str">
        <f>$AI$15</f>
        <v>IVDRH</v>
      </c>
      <c r="I159" s="177" t="str">
        <f t="shared" ref="I159:I182" si="157">$AI$20</f>
        <v>INDVWH</v>
      </c>
      <c r="J159" s="239">
        <f t="shared" ref="J159:J185" si="158">IF(AD159=2020,2011,AD159)</f>
        <v>2011</v>
      </c>
      <c r="K159" s="332">
        <f>J159</f>
        <v>2011</v>
      </c>
      <c r="L159" s="206">
        <f t="shared" ca="1" si="149"/>
        <v>1.01</v>
      </c>
      <c r="M159" s="206"/>
      <c r="N159" s="81">
        <f ca="1">VLOOKUP($AD159,INDIRECT("'"&amp;$B159&amp;"'!"&amp;"$P$279:$AD$282"),5,FALSE)</f>
        <v>25</v>
      </c>
      <c r="O159" s="783">
        <f t="shared" ca="1" si="150"/>
        <v>0.35760000000000003</v>
      </c>
      <c r="P159" s="783">
        <f t="shared" ca="1" si="151"/>
        <v>1.49E-2</v>
      </c>
      <c r="Q159" s="81">
        <f t="shared" ca="1" si="152"/>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59">IF(VLOOKUP($AD159,INDIRECT("'"&amp;$B159&amp;"'!"&amp;"$P$39:$AD$42"),11,FALSE)="Cf. the utilized electricity",0,VLOOKUP($AD159,INDIRECT("'"&amp;$B159&amp;"'!"&amp;"$P$39:$AD$42"),11,FALSE))</f>
        <v>0.3</v>
      </c>
      <c r="Y159" s="758">
        <f t="shared" ca="1" si="153"/>
        <v>9</v>
      </c>
      <c r="Z159" s="758">
        <f t="shared" ca="1" si="154"/>
        <v>3</v>
      </c>
      <c r="AA159" s="758">
        <f t="shared" ca="1" si="155"/>
        <v>1</v>
      </c>
      <c r="AB159" s="758">
        <f t="shared" ca="1" si="156"/>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7"/>
        <v>INDVWH</v>
      </c>
      <c r="J160" s="239">
        <f t="shared" si="158"/>
        <v>2030</v>
      </c>
      <c r="K160" s="81"/>
      <c r="L160" s="206">
        <f t="shared" ca="1" si="149"/>
        <v>1.03</v>
      </c>
      <c r="M160" s="206"/>
      <c r="N160" s="81"/>
      <c r="O160" s="783">
        <f t="shared" ca="1" si="150"/>
        <v>0.29800000000000004</v>
      </c>
      <c r="P160" s="783">
        <f t="shared" ca="1" si="151"/>
        <v>1.4154999999999999E-2</v>
      </c>
      <c r="Q160" s="81">
        <f t="shared" ca="1" si="152"/>
        <v>2.0694444444444446</v>
      </c>
      <c r="R160" s="333"/>
      <c r="S160" s="333"/>
      <c r="T160" s="333"/>
      <c r="U160" s="333"/>
      <c r="V160" s="759">
        <f ca="1">IF(IF(RIGHT(H159,2)="MT",(1-L160)+$W$2,IF(RIGHT(H159,2)="HT",(1-L160)+$W$1,IF(RIGHT(H159,2)="RH",(1-L160)+$W$3,"")))&lt;0,0,IF(RIGHT(H159,2)="MT",(1-L160)+$W$2,IF(RIGHT(H159,2)="HT",(1-L160)+$W$1,IF(RIGHT(H159,2)="RH",(1-L160)+$W$3,""))))</f>
        <v>0</v>
      </c>
      <c r="W160" s="331"/>
      <c r="X160" s="758">
        <f t="shared" ca="1" si="159"/>
        <v>0.3</v>
      </c>
      <c r="Y160" s="758">
        <f t="shared" ca="1" si="153"/>
        <v>7</v>
      </c>
      <c r="Z160" s="758">
        <f t="shared" ca="1" si="154"/>
        <v>2</v>
      </c>
      <c r="AA160" s="758">
        <f t="shared" ca="1" si="155"/>
        <v>1</v>
      </c>
      <c r="AB160" s="758">
        <f t="shared" ca="1" si="156"/>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7"/>
        <v>INDVWH</v>
      </c>
      <c r="J161" s="239">
        <f t="shared" si="158"/>
        <v>2050</v>
      </c>
      <c r="K161" s="81"/>
      <c r="L161" s="206">
        <f t="shared" ca="1" si="149"/>
        <v>1.03</v>
      </c>
      <c r="M161" s="206"/>
      <c r="N161" s="81"/>
      <c r="O161" s="783">
        <f t="shared" ca="1" si="150"/>
        <v>0.29800000000000004</v>
      </c>
      <c r="P161" s="783">
        <f t="shared" ca="1" si="151"/>
        <v>1.2664999999999999E-2</v>
      </c>
      <c r="Q161" s="81">
        <f t="shared" ca="1" si="152"/>
        <v>2.0694444444444446</v>
      </c>
      <c r="R161" s="333"/>
      <c r="S161" s="333"/>
      <c r="T161" s="333"/>
      <c r="U161" s="333"/>
      <c r="V161" s="759">
        <f ca="1">IF(IF(RIGHT(H159,2)="MT",(1-L161)+$W$2,IF(RIGHT(H159,2)="HT",(1-L161)+$W$1,IF(RIGHT(H159,2)="RH",(1-L161)+$W$3,"")))&lt;0,0,IF(RIGHT(H159,2)="MT",(1-L161)+$W$2,IF(RIGHT(H159,2)="HT",(1-L161)+$W$1,IF(RIGHT(H159,2)="RH",(1-L161)+$W$3,""))))</f>
        <v>0</v>
      </c>
      <c r="W161" s="774"/>
      <c r="X161" s="758">
        <f t="shared" ca="1" si="159"/>
        <v>0.3</v>
      </c>
      <c r="Y161" s="758">
        <f t="shared" ca="1" si="153"/>
        <v>6</v>
      </c>
      <c r="Z161" s="758">
        <f t="shared" ca="1" si="154"/>
        <v>2</v>
      </c>
      <c r="AA161" s="758">
        <f t="shared" ca="1" si="155"/>
        <v>1</v>
      </c>
      <c r="AB161" s="758">
        <f t="shared" ca="1" si="156"/>
        <v>0.1</v>
      </c>
      <c r="AC161" s="55"/>
      <c r="AD161" s="81">
        <v>2050</v>
      </c>
      <c r="AE161" s="81"/>
      <c r="AF161" s="760"/>
    </row>
    <row r="162" spans="1:32">
      <c r="B162" s="778" t="s">
        <v>1135</v>
      </c>
      <c r="C162" s="64"/>
      <c r="D162" s="223" t="str">
        <f ca="1">IF(T162=0,"*",IF(T162&gt;0,"IND"&amp;RIGHT(H162,4)&amp;RIGHT(G162,3)&amp;"N"&amp;RIGHT(E162,1),""))</f>
        <v>INDVDHTDH2N5</v>
      </c>
      <c r="E162" s="767" t="str">
        <f>"Industrial heating technology "&amp;$AJ$12&amp;" "&amp;RIGHT(H162,2)&amp;" - Gas boiler (Direct firing) - new 5"</f>
        <v>Industrial heating technology Vehicles HT - Gas boiler (Direct firing) - new 5</v>
      </c>
      <c r="F162" s="239" t="s">
        <v>1274</v>
      </c>
      <c r="G162" s="176" t="s">
        <v>1438</v>
      </c>
      <c r="H162" s="177" t="str">
        <f>$AI$13</f>
        <v>IVDHT</v>
      </c>
      <c r="I162" s="177" t="str">
        <f t="shared" si="157"/>
        <v>INDVWH</v>
      </c>
      <c r="J162" s="239">
        <f t="shared" si="158"/>
        <v>2011</v>
      </c>
      <c r="K162" s="332">
        <f>J162</f>
        <v>2011</v>
      </c>
      <c r="L162" s="206">
        <f t="shared" ref="L162:L167" ca="1" si="160">VLOOKUP($AD162,INDIRECT("'"&amp;$B162&amp;"'!"&amp;"$P$345:$AD$348"),3,FALSE)</f>
        <v>1</v>
      </c>
      <c r="M162" s="206"/>
      <c r="N162" s="81">
        <f ca="1">VLOOKUP($AD162,INDIRECT("'"&amp;$B162&amp;"'!"&amp;"$P$345:$AD$348"),5,FALSE)</f>
        <v>15</v>
      </c>
      <c r="O162" s="783">
        <f t="shared" ref="O162:O167" ca="1" si="161">VLOOKUP($AD162,INDIRECT("'"&amp;$B162&amp;"'!"&amp;"$P$345:$AD$348"),6,FALSE)/1000</f>
        <v>0.11175</v>
      </c>
      <c r="P162" s="783">
        <f t="shared" ref="P162:P167" ca="1" si="162">VLOOKUP($AD162,INDIRECT("'"&amp;$B162&amp;"'!"&amp;"$P$345:$AD$348"),7,FALSE)/1000</f>
        <v>1.3545454545454561E-3</v>
      </c>
      <c r="Q162" s="81">
        <f t="shared" ref="Q162:Q167" ca="1" si="163">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59"/>
        <v>0.3</v>
      </c>
      <c r="Y162" s="758">
        <f t="shared" ref="Y162:Y167" ca="1" si="164">VLOOKUP($AD162,INDIRECT("'"&amp;$B162&amp;"'!"&amp;"$P$345:$AD$348"),12,FALSE)</f>
        <v>9</v>
      </c>
      <c r="Z162" s="758">
        <f t="shared" ref="Z162:Z167" ca="1" si="165">VLOOKUP($AD162,INDIRECT("'"&amp;$B162&amp;"'!"&amp;"$P$345:$AD$348"),13,FALSE)</f>
        <v>3</v>
      </c>
      <c r="AA162" s="758">
        <f t="shared" ref="AA162:AA167" ca="1" si="166">VLOOKUP($AD162,INDIRECT("'"&amp;$B162&amp;"'!"&amp;"$P$345:$AD$348"),14,FALSE)</f>
        <v>1</v>
      </c>
      <c r="AB162" s="758">
        <f t="shared" ref="AB162:AB167" ca="1" si="167">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7"/>
        <v>INDVWH</v>
      </c>
      <c r="J163" s="239">
        <f t="shared" si="158"/>
        <v>2030</v>
      </c>
      <c r="K163" s="81"/>
      <c r="L163" s="206">
        <f t="shared" ca="1" si="160"/>
        <v>1</v>
      </c>
      <c r="M163" s="206"/>
      <c r="N163" s="81"/>
      <c r="O163" s="783">
        <f t="shared" ca="1" si="161"/>
        <v>0.11175</v>
      </c>
      <c r="P163" s="783">
        <f t="shared" ca="1" si="162"/>
        <v>1.3206818181818161E-3</v>
      </c>
      <c r="Q163" s="81">
        <f t="shared" ca="1" si="163"/>
        <v>0.5742708333333334</v>
      </c>
      <c r="R163" s="333"/>
      <c r="S163" s="333"/>
      <c r="T163" s="333"/>
      <c r="U163" s="333"/>
      <c r="V163" s="759">
        <f ca="1">IF(IF(RIGHT(H162,2)="MT",(1-L163)+$W$2,IF(RIGHT(H162,2)="HT",(1-L163)+$W$1,IF(RIGHT(H162,2)="RH",(1-L163)+$W$3,"")))&lt;0,0,IF(RIGHT(H162,2)="MT",(1-L163)+$W$2,IF(RIGHT(H162,2)="HT",(1-L163)+$W$1,IF(RIGHT(H162,2)="RH",(1-L163)+$W$3,""))))</f>
        <v>0.3</v>
      </c>
      <c r="W163" s="331"/>
      <c r="X163" s="758">
        <f t="shared" ca="1" si="159"/>
        <v>0.3</v>
      </c>
      <c r="Y163" s="758">
        <f t="shared" ca="1" si="164"/>
        <v>7</v>
      </c>
      <c r="Z163" s="758">
        <f t="shared" ca="1" si="165"/>
        <v>2</v>
      </c>
      <c r="AA163" s="758">
        <f t="shared" ca="1" si="166"/>
        <v>1</v>
      </c>
      <c r="AB163" s="758">
        <f t="shared" ca="1" si="167"/>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7"/>
        <v>INDVWH</v>
      </c>
      <c r="J164" s="239">
        <f t="shared" si="158"/>
        <v>2050</v>
      </c>
      <c r="K164" s="81"/>
      <c r="L164" s="206">
        <f t="shared" ca="1" si="160"/>
        <v>1</v>
      </c>
      <c r="M164" s="206"/>
      <c r="N164" s="81"/>
      <c r="O164" s="783">
        <f t="shared" ca="1" si="161"/>
        <v>0.11175</v>
      </c>
      <c r="P164" s="783">
        <f t="shared" ca="1" si="162"/>
        <v>1.1513636363636396E-3</v>
      </c>
      <c r="Q164" s="81">
        <f t="shared" ca="1" si="163"/>
        <v>0.57944444444444443</v>
      </c>
      <c r="R164" s="333"/>
      <c r="S164" s="333"/>
      <c r="T164" s="333"/>
      <c r="U164" s="333"/>
      <c r="V164" s="759">
        <f ca="1">IF(IF(RIGHT(H162,2)="MT",(1-L164)+$W$2,IF(RIGHT(H162,2)="HT",(1-L164)+$W$1,IF(RIGHT(H162,2)="RH",(1-L164)+$W$3,"")))&lt;0,0,IF(RIGHT(H162,2)="MT",(1-L164)+$W$2,IF(RIGHT(H162,2)="HT",(1-L164)+$W$1,IF(RIGHT(H162,2)="RH",(1-L164)+$W$3,""))))</f>
        <v>0.3</v>
      </c>
      <c r="W164" s="331"/>
      <c r="X164" s="758">
        <f t="shared" ca="1" si="159"/>
        <v>0.3</v>
      </c>
      <c r="Y164" s="758">
        <f t="shared" ca="1" si="164"/>
        <v>6</v>
      </c>
      <c r="Z164" s="758">
        <f t="shared" ca="1" si="165"/>
        <v>2</v>
      </c>
      <c r="AA164" s="758">
        <f t="shared" ca="1" si="166"/>
        <v>1</v>
      </c>
      <c r="AB164" s="758">
        <f t="shared" ca="1" si="167"/>
        <v>0.1</v>
      </c>
      <c r="AC164" s="211"/>
      <c r="AD164" s="81">
        <v>2050</v>
      </c>
      <c r="AE164" s="81"/>
      <c r="AF164" s="760"/>
    </row>
    <row r="165" spans="1:32">
      <c r="B165" s="778" t="s">
        <v>1135</v>
      </c>
      <c r="C165" s="64"/>
      <c r="D165" s="223" t="str">
        <f ca="1">IF(T165=0,"*",IF(T165&gt;0,"IND"&amp;RIGHT(H165,4)&amp;RIGHT(G165,3)&amp;"N"&amp;RIGHT(E165,1),""))</f>
        <v>INDVDMTDH2N5</v>
      </c>
      <c r="E165" s="278" t="str">
        <f>"Industrial heating technology "&amp;$AJ$12&amp;" "&amp;RIGHT(H165,2)&amp;" - Gas boiler (Direct firing) - new 5"</f>
        <v>Industrial heating technology Vehicles MT - Gas boiler (Direct firing) - new 5</v>
      </c>
      <c r="F165" s="239" t="s">
        <v>1274</v>
      </c>
      <c r="G165" s="176" t="s">
        <v>1438</v>
      </c>
      <c r="H165" s="177" t="str">
        <f>$AI$14</f>
        <v>IVDMT</v>
      </c>
      <c r="I165" s="781" t="str">
        <f t="shared" si="157"/>
        <v>INDVWH</v>
      </c>
      <c r="J165" s="239">
        <f t="shared" si="158"/>
        <v>2011</v>
      </c>
      <c r="K165" s="332">
        <f>J165</f>
        <v>2011</v>
      </c>
      <c r="L165" s="206">
        <f t="shared" ca="1" si="160"/>
        <v>1</v>
      </c>
      <c r="M165" s="206"/>
      <c r="N165" s="81">
        <f ca="1">VLOOKUP($AD165,INDIRECT("'"&amp;$B165&amp;"'!"&amp;"$P$279:$AD$282"),5,FALSE)</f>
        <v>25</v>
      </c>
      <c r="O165" s="783">
        <f t="shared" ca="1" si="161"/>
        <v>0.11175</v>
      </c>
      <c r="P165" s="783">
        <f t="shared" ca="1" si="162"/>
        <v>1.3545454545454561E-3</v>
      </c>
      <c r="Q165" s="81">
        <f t="shared" ca="1" si="163"/>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59"/>
        <v>0.3</v>
      </c>
      <c r="Y165" s="758">
        <f t="shared" ca="1" si="164"/>
        <v>9</v>
      </c>
      <c r="Z165" s="758">
        <f t="shared" ca="1" si="165"/>
        <v>3</v>
      </c>
      <c r="AA165" s="758">
        <f t="shared" ca="1" si="166"/>
        <v>1</v>
      </c>
      <c r="AB165" s="758">
        <f t="shared" ca="1" si="167"/>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7"/>
        <v>INDVWH</v>
      </c>
      <c r="J166" s="239">
        <f t="shared" si="158"/>
        <v>2030</v>
      </c>
      <c r="K166" s="81"/>
      <c r="L166" s="206">
        <f t="shared" ca="1" si="160"/>
        <v>1</v>
      </c>
      <c r="M166" s="206"/>
      <c r="N166" s="81"/>
      <c r="O166" s="783">
        <f t="shared" ca="1" si="161"/>
        <v>0.11175</v>
      </c>
      <c r="P166" s="783">
        <f t="shared" ca="1" si="162"/>
        <v>1.3206818181818161E-3</v>
      </c>
      <c r="Q166" s="81">
        <f t="shared" ca="1" si="163"/>
        <v>0.5742708333333334</v>
      </c>
      <c r="R166" s="333"/>
      <c r="S166" s="333"/>
      <c r="T166" s="333"/>
      <c r="U166" s="333"/>
      <c r="V166" s="759">
        <f ca="1">IF(IF(RIGHT(H165,2)="MT",(1-L166)+$W$2,IF(RIGHT(H165,2)="HT",(1-L166)+$W$1,IF(RIGHT(H165,2)="RH",(1-L166)+$W$3,"")))&lt;0,0,IF(RIGHT(H165,2)="MT",(1-L166)+$W$2,IF(RIGHT(H165,2)="HT",(1-L166)+$W$1,IF(RIGHT(H165,2)="RH",(1-L166)+$W$3,""))))</f>
        <v>0.2</v>
      </c>
      <c r="W166" s="331"/>
      <c r="X166" s="758">
        <f t="shared" ca="1" si="159"/>
        <v>0.3</v>
      </c>
      <c r="Y166" s="758">
        <f t="shared" ca="1" si="164"/>
        <v>7</v>
      </c>
      <c r="Z166" s="758">
        <f t="shared" ca="1" si="165"/>
        <v>2</v>
      </c>
      <c r="AA166" s="758">
        <f t="shared" ca="1" si="166"/>
        <v>1</v>
      </c>
      <c r="AB166" s="758">
        <f t="shared" ca="1" si="167"/>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7"/>
        <v>INDVWH</v>
      </c>
      <c r="J167" s="239">
        <f t="shared" si="158"/>
        <v>2050</v>
      </c>
      <c r="K167" s="81"/>
      <c r="L167" s="206">
        <f t="shared" ca="1" si="160"/>
        <v>1</v>
      </c>
      <c r="M167" s="206"/>
      <c r="N167" s="81"/>
      <c r="O167" s="783">
        <f t="shared" ca="1" si="161"/>
        <v>0.11175</v>
      </c>
      <c r="P167" s="783">
        <f t="shared" ca="1" si="162"/>
        <v>1.1513636363636396E-3</v>
      </c>
      <c r="Q167" s="81">
        <f t="shared" ca="1" si="163"/>
        <v>0.57944444444444443</v>
      </c>
      <c r="R167" s="782"/>
      <c r="S167" s="763"/>
      <c r="T167" s="763"/>
      <c r="U167" s="763"/>
      <c r="V167" s="759">
        <f ca="1">IF(IF(RIGHT(H165,2)="MT",(1-L167)+$W$2,IF(RIGHT(H165,2)="HT",(1-L167)+$W$1,IF(RIGHT(H165,2)="RH",(1-L167)+$W$3,"")))&lt;0,0,IF(RIGHT(H165,2)="MT",(1-L167)+$W$2,IF(RIGHT(H165,2)="HT",(1-L167)+$W$1,IF(RIGHT(H165,2)="RH",(1-L167)+$W$3,""))))</f>
        <v>0.2</v>
      </c>
      <c r="W167" s="774"/>
      <c r="X167" s="758">
        <f t="shared" ca="1" si="159"/>
        <v>0.3</v>
      </c>
      <c r="Y167" s="758">
        <f t="shared" ca="1" si="164"/>
        <v>6</v>
      </c>
      <c r="Z167" s="758">
        <f t="shared" ca="1" si="165"/>
        <v>2</v>
      </c>
      <c r="AA167" s="758">
        <f t="shared" ca="1" si="166"/>
        <v>1</v>
      </c>
      <c r="AB167" s="758">
        <f t="shared" ca="1" si="167"/>
        <v>0.1</v>
      </c>
      <c r="AD167" s="81">
        <v>2050</v>
      </c>
      <c r="AE167" s="290"/>
      <c r="AF167" s="888"/>
    </row>
    <row r="168" spans="1:32">
      <c r="A168" s="172"/>
      <c r="B168" s="778" t="s">
        <v>1224</v>
      </c>
      <c r="C168" s="241"/>
      <c r="D168" s="223" t="str">
        <f ca="1">IF(T168=0,"*",IF(T168&gt;0,"IND"&amp;RIGHT(H168,4)&amp;RIGHT(G168,3)&amp;"N"&amp;RIGHT(E168,1),""))</f>
        <v>INDVDHTCOAN1</v>
      </c>
      <c r="E168" s="278" t="str">
        <f>"Industrial heating technology "&amp;$AJ$12&amp;" "&amp;RIGHT(H168,2)&amp;" - Coal boiler (Steam) - new 1"</f>
        <v>Industrial heating technology Vehicles HT - Coal boiler (Steam) - new 1</v>
      </c>
      <c r="F168" s="239" t="s">
        <v>1274</v>
      </c>
      <c r="G168" s="55" t="s">
        <v>662</v>
      </c>
      <c r="H168" s="177" t="str">
        <f>$AI$13</f>
        <v>IVDHT</v>
      </c>
      <c r="I168" s="177" t="str">
        <f t="shared" si="157"/>
        <v>INDVWH</v>
      </c>
      <c r="J168" s="239">
        <f t="shared" si="158"/>
        <v>2011</v>
      </c>
      <c r="K168" s="332">
        <f>J168</f>
        <v>2011</v>
      </c>
      <c r="L168" s="206">
        <f t="shared" ref="L168:L176" ca="1" si="168">VLOOKUP($AD168,INDIRECT("'"&amp;$B168&amp;"'!"&amp;"$P$39:$AD$42"),3,FALSE)</f>
        <v>0.89</v>
      </c>
      <c r="M168" s="759"/>
      <c r="N168" s="332">
        <f ca="1">VLOOKUP($AD168,INDIRECT("'"&amp;$B168&amp;"'!"&amp;"$P$39:$AD$42"),5,FALSE)</f>
        <v>25</v>
      </c>
      <c r="O168" s="785">
        <f t="shared" ref="O168:O176" ca="1" si="169">VLOOKUP($AD168,INDIRECT("'"&amp;$B168&amp;"'!"&amp;"$P$39:$AD$42"),6,FALSE)/1000</f>
        <v>3.7250000000000001</v>
      </c>
      <c r="P168" s="785">
        <f t="shared" ref="P168:P176" ca="1" si="170">VLOOKUP($AD168,INDIRECT("'"&amp;$B168&amp;"'!"&amp;"$P$39:$AD$42"),7,FALSE)/1000</f>
        <v>0.25106499999999998</v>
      </c>
      <c r="Q168" s="332">
        <f t="shared" ref="Q168:Q176" ca="1" si="171">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59"/>
        <v>8</v>
      </c>
      <c r="Y168" s="332">
        <f t="shared" ref="Y168:Y176" ca="1" si="172">VLOOKUP($AD168,INDIRECT("'"&amp;$B168&amp;"'!"&amp;"$P$39:$AD$42"),12,FALSE)</f>
        <v>35</v>
      </c>
      <c r="Z168" s="332">
        <f t="shared" ref="Z168:Z176" ca="1" si="173">VLOOKUP($AD168,INDIRECT("'"&amp;$B168&amp;"'!"&amp;"$P$39:$AD$42"),13,FALSE)</f>
        <v>1.5</v>
      </c>
      <c r="AA168" s="332">
        <f t="shared" ref="AA168:AA176" ca="1" si="174">VLOOKUP($AD168,INDIRECT("'"&amp;$B168&amp;"'!"&amp;"$P$39:$AD$42"),14,FALSE)</f>
        <v>0.8</v>
      </c>
      <c r="AB168" s="332">
        <f t="shared" ref="AB168:AB176" ca="1" si="175">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7"/>
        <v>INDVWH</v>
      </c>
      <c r="J169" s="239">
        <f t="shared" si="158"/>
        <v>2030</v>
      </c>
      <c r="K169" s="81"/>
      <c r="L169" s="206">
        <f t="shared" ca="1" si="168"/>
        <v>0.89</v>
      </c>
      <c r="M169" s="832"/>
      <c r="N169" s="208"/>
      <c r="O169" s="785">
        <f t="shared" ca="1" si="169"/>
        <v>3.4699403462447704</v>
      </c>
      <c r="P169" s="785">
        <f t="shared" ca="1" si="170"/>
        <v>0.24287</v>
      </c>
      <c r="Q169" s="332">
        <f t="shared" ca="1" si="171"/>
        <v>3.9836805555555559</v>
      </c>
      <c r="R169" s="883"/>
      <c r="S169" s="333"/>
      <c r="T169" s="333"/>
      <c r="U169" s="333"/>
      <c r="V169" s="759">
        <f ca="1">IF(IF(RIGHT(H168,2)="MT",(1-L169)+$W$2,IF(RIGHT(H168,2)="HT",(1-L169)+$W$1,IF(RIGHT(H168,2)="RH",(1-L169)+$W$3,"")))&lt;0,0,IF(RIGHT(H168,2)="MT",(1-L169)+$W$2,IF(RIGHT(H168,2)="HT",(1-L169)+$W$1,IF(RIGHT(H168,2)="RH",(1-L169)+$W$3,""))))</f>
        <v>0.41</v>
      </c>
      <c r="W169" s="331"/>
      <c r="X169" s="758">
        <f t="shared" ca="1" si="159"/>
        <v>8</v>
      </c>
      <c r="Y169" s="332">
        <f t="shared" ca="1" si="172"/>
        <v>35</v>
      </c>
      <c r="Z169" s="332">
        <f t="shared" ca="1" si="173"/>
        <v>1.5</v>
      </c>
      <c r="AA169" s="332">
        <f t="shared" ca="1" si="174"/>
        <v>0.8</v>
      </c>
      <c r="AB169" s="332">
        <f t="shared" ca="1" si="175"/>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7"/>
        <v>INDVWH</v>
      </c>
      <c r="J170" s="239">
        <f t="shared" si="158"/>
        <v>2050</v>
      </c>
      <c r="K170" s="81"/>
      <c r="L170" s="206">
        <f t="shared" ca="1" si="168"/>
        <v>0.91</v>
      </c>
      <c r="M170" s="832"/>
      <c r="N170" s="208"/>
      <c r="O170" s="785">
        <f t="shared" ca="1" si="169"/>
        <v>3.2813985758696647</v>
      </c>
      <c r="P170" s="785">
        <f t="shared" ca="1" si="170"/>
        <v>0.22797000000000001</v>
      </c>
      <c r="Q170" s="332">
        <f t="shared" ca="1" si="171"/>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59"/>
        <v>8</v>
      </c>
      <c r="Y170" s="332">
        <f t="shared" ca="1" si="172"/>
        <v>35</v>
      </c>
      <c r="Z170" s="332">
        <f t="shared" ca="1" si="173"/>
        <v>1.5</v>
      </c>
      <c r="AA170" s="332">
        <f t="shared" ca="1" si="174"/>
        <v>0.8</v>
      </c>
      <c r="AB170" s="332">
        <f t="shared" ca="1" si="175"/>
        <v>2.1</v>
      </c>
      <c r="AD170" s="81">
        <v>2050</v>
      </c>
      <c r="AE170" s="290"/>
      <c r="AF170" s="888"/>
    </row>
    <row r="171" spans="1:32">
      <c r="A171" s="172"/>
      <c r="B171" s="778" t="s">
        <v>1224</v>
      </c>
      <c r="C171" s="241"/>
      <c r="D171" s="223" t="str">
        <f ca="1">IF(T171=0,"*",IF(T171&gt;0,"IND"&amp;RIGHT(H171,4)&amp;RIGHT(G171,3)&amp;"N"&amp;RIGHT(E171,1),""))</f>
        <v>INDVDMTCOAN1</v>
      </c>
      <c r="E171" s="278" t="str">
        <f>"Industrial heating technology "&amp;$AJ$12&amp;" "&amp;RIGHT(H171,2)&amp;" - Coal boiler (Steam) - new 1"</f>
        <v>Industrial heating technology Vehicles MT - Coal boiler (Steam) - new 1</v>
      </c>
      <c r="F171" s="239" t="s">
        <v>1274</v>
      </c>
      <c r="G171" s="55" t="s">
        <v>662</v>
      </c>
      <c r="H171" s="177" t="str">
        <f>$AI$14</f>
        <v>IVDMT</v>
      </c>
      <c r="I171" s="177" t="str">
        <f t="shared" si="157"/>
        <v>INDVWH</v>
      </c>
      <c r="J171" s="239">
        <f t="shared" si="158"/>
        <v>2011</v>
      </c>
      <c r="K171" s="332">
        <f>J171</f>
        <v>2011</v>
      </c>
      <c r="L171" s="206">
        <f t="shared" ca="1" si="168"/>
        <v>0.89</v>
      </c>
      <c r="M171" s="206"/>
      <c r="N171" s="81">
        <f ca="1">VLOOKUP($AD171,INDIRECT("'"&amp;$B171&amp;"'!"&amp;"$P$39:$AD$42"),5,FALSE)</f>
        <v>25</v>
      </c>
      <c r="O171" s="785">
        <f t="shared" ca="1" si="169"/>
        <v>3.7250000000000001</v>
      </c>
      <c r="P171" s="785">
        <f t="shared" ca="1" si="170"/>
        <v>0.25106499999999998</v>
      </c>
      <c r="Q171" s="332">
        <f t="shared" ca="1" si="171"/>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59"/>
        <v>8</v>
      </c>
      <c r="Y171" s="332">
        <f t="shared" ca="1" si="172"/>
        <v>35</v>
      </c>
      <c r="Z171" s="332">
        <f t="shared" ca="1" si="173"/>
        <v>1.5</v>
      </c>
      <c r="AA171" s="332">
        <f t="shared" ca="1" si="174"/>
        <v>0.8</v>
      </c>
      <c r="AB171" s="332">
        <f t="shared" ca="1" si="175"/>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7"/>
        <v>INDVWH</v>
      </c>
      <c r="J172" s="239">
        <f t="shared" si="158"/>
        <v>2030</v>
      </c>
      <c r="K172" s="81"/>
      <c r="L172" s="206">
        <f t="shared" ca="1" si="168"/>
        <v>0.89</v>
      </c>
      <c r="M172" s="832"/>
      <c r="N172" s="208"/>
      <c r="O172" s="785">
        <f t="shared" ca="1" si="169"/>
        <v>3.4699403462447704</v>
      </c>
      <c r="P172" s="785">
        <f t="shared" ca="1" si="170"/>
        <v>0.24287</v>
      </c>
      <c r="Q172" s="332">
        <f t="shared" ca="1" si="171"/>
        <v>3.9836805555555559</v>
      </c>
      <c r="R172" s="883"/>
      <c r="S172" s="333"/>
      <c r="T172" s="333"/>
      <c r="U172" s="333"/>
      <c r="V172" s="759">
        <f ca="1">IF(IF(RIGHT(H171,2)="MT",(1-L172)+$W$2,IF(RIGHT(H171,2)="HT",(1-L172)+$W$1,IF(RIGHT(H171,2)="RH",(1-L172)+$W$3,"")))&lt;0,0,IF(RIGHT(H171,2)="MT",(1-L172)+$W$2,IF(RIGHT(H171,2)="HT",(1-L172)+$W$1,IF(RIGHT(H171,2)="RH",(1-L172)+$W$3,""))))</f>
        <v>0.31</v>
      </c>
      <c r="W172" s="331"/>
      <c r="X172" s="758">
        <f t="shared" ca="1" si="159"/>
        <v>8</v>
      </c>
      <c r="Y172" s="332">
        <f t="shared" ca="1" si="172"/>
        <v>35</v>
      </c>
      <c r="Z172" s="332">
        <f t="shared" ca="1" si="173"/>
        <v>1.5</v>
      </c>
      <c r="AA172" s="332">
        <f t="shared" ca="1" si="174"/>
        <v>0.8</v>
      </c>
      <c r="AB172" s="332">
        <f t="shared" ca="1" si="175"/>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7"/>
        <v>INDVWH</v>
      </c>
      <c r="J173" s="239">
        <f t="shared" si="158"/>
        <v>2050</v>
      </c>
      <c r="K173" s="81"/>
      <c r="L173" s="206">
        <f t="shared" ca="1" si="168"/>
        <v>0.91</v>
      </c>
      <c r="M173" s="832"/>
      <c r="N173" s="208"/>
      <c r="O173" s="785">
        <f t="shared" ca="1" si="169"/>
        <v>3.2813985758696647</v>
      </c>
      <c r="P173" s="785">
        <f t="shared" ca="1" si="170"/>
        <v>0.22797000000000001</v>
      </c>
      <c r="Q173" s="332">
        <f t="shared" ca="1" si="171"/>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59"/>
        <v>8</v>
      </c>
      <c r="Y173" s="332">
        <f t="shared" ca="1" si="172"/>
        <v>35</v>
      </c>
      <c r="Z173" s="332">
        <f t="shared" ca="1" si="173"/>
        <v>1.5</v>
      </c>
      <c r="AA173" s="332">
        <f t="shared" ca="1" si="174"/>
        <v>0.8</v>
      </c>
      <c r="AB173" s="332">
        <f t="shared" ca="1" si="175"/>
        <v>2.1</v>
      </c>
      <c r="AD173" s="81">
        <v>2050</v>
      </c>
      <c r="AE173" s="290"/>
      <c r="AF173" s="888"/>
    </row>
    <row r="174" spans="1:32">
      <c r="A174" s="172"/>
      <c r="B174" s="778" t="s">
        <v>1224</v>
      </c>
      <c r="C174" s="241"/>
      <c r="D174" s="223" t="str">
        <f ca="1">IF(T174=0,"*",IF(T174&gt;0,"IND"&amp;RIGHT(H174,4)&amp;RIGHT(G174,3)&amp;"N"&amp;RIGHT(E174,1),""))</f>
        <v>INDVDRHCOAN1</v>
      </c>
      <c r="E174" s="278" t="str">
        <f>"Industrial heating technology "&amp;$AJ$12&amp;" "&amp;RIGHT(H174,2)&amp;" - Coal boiler (Steam) - new 1"</f>
        <v>Industrial heating technology Vehicles RH - Coal boiler (Steam) - new 1</v>
      </c>
      <c r="F174" s="239" t="s">
        <v>1274</v>
      </c>
      <c r="G174" s="55" t="s">
        <v>662</v>
      </c>
      <c r="H174" s="177" t="str">
        <f>$AI$15</f>
        <v>IVDRH</v>
      </c>
      <c r="I174" s="177" t="str">
        <f t="shared" si="157"/>
        <v>INDVWH</v>
      </c>
      <c r="J174" s="239">
        <f t="shared" si="158"/>
        <v>2011</v>
      </c>
      <c r="K174" s="332">
        <f>J174</f>
        <v>2011</v>
      </c>
      <c r="L174" s="206">
        <f t="shared" ca="1" si="168"/>
        <v>0.89</v>
      </c>
      <c r="M174" s="206"/>
      <c r="N174" s="81">
        <f ca="1">VLOOKUP($AD174,INDIRECT("'"&amp;$B174&amp;"'!"&amp;"$P$39:$AD$42"),5,FALSE)</f>
        <v>25</v>
      </c>
      <c r="O174" s="785">
        <f t="shared" ca="1" si="169"/>
        <v>3.7250000000000001</v>
      </c>
      <c r="P174" s="785">
        <f t="shared" ca="1" si="170"/>
        <v>0.25106499999999998</v>
      </c>
      <c r="Q174" s="332">
        <f t="shared" ca="1" si="171"/>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59"/>
        <v>8</v>
      </c>
      <c r="Y174" s="332">
        <f t="shared" ca="1" si="172"/>
        <v>35</v>
      </c>
      <c r="Z174" s="332">
        <f t="shared" ca="1" si="173"/>
        <v>1.5</v>
      </c>
      <c r="AA174" s="332">
        <f t="shared" ca="1" si="174"/>
        <v>0.8</v>
      </c>
      <c r="AB174" s="332">
        <f t="shared" ca="1" si="175"/>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7"/>
        <v>INDVWH</v>
      </c>
      <c r="J175" s="239">
        <f t="shared" si="158"/>
        <v>2030</v>
      </c>
      <c r="K175" s="81"/>
      <c r="L175" s="206">
        <f t="shared" ca="1" si="168"/>
        <v>0.89</v>
      </c>
      <c r="M175" s="832"/>
      <c r="N175" s="208"/>
      <c r="O175" s="785">
        <f t="shared" ca="1" si="169"/>
        <v>3.4699403462447704</v>
      </c>
      <c r="P175" s="785">
        <f t="shared" ca="1" si="170"/>
        <v>0.24287</v>
      </c>
      <c r="Q175" s="332">
        <f t="shared" ca="1" si="171"/>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59"/>
        <v>8</v>
      </c>
      <c r="Y175" s="332">
        <f t="shared" ca="1" si="172"/>
        <v>35</v>
      </c>
      <c r="Z175" s="332">
        <f t="shared" ca="1" si="173"/>
        <v>1.5</v>
      </c>
      <c r="AA175" s="332">
        <f t="shared" ca="1" si="174"/>
        <v>0.8</v>
      </c>
      <c r="AB175" s="332">
        <f t="shared" ca="1" si="175"/>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7"/>
        <v>INDVWH</v>
      </c>
      <c r="J176" s="239">
        <f t="shared" si="158"/>
        <v>2050</v>
      </c>
      <c r="K176" s="81"/>
      <c r="L176" s="206">
        <f t="shared" ca="1" si="168"/>
        <v>0.91</v>
      </c>
      <c r="M176" s="886"/>
      <c r="N176" s="885"/>
      <c r="O176" s="785">
        <f t="shared" ca="1" si="169"/>
        <v>3.2813985758696647</v>
      </c>
      <c r="P176" s="785">
        <f t="shared" ca="1" si="170"/>
        <v>0.22797000000000001</v>
      </c>
      <c r="Q176" s="332">
        <f t="shared" ca="1" si="171"/>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59"/>
        <v>8</v>
      </c>
      <c r="Y176" s="332">
        <f t="shared" ca="1" si="172"/>
        <v>35</v>
      </c>
      <c r="Z176" s="332">
        <f t="shared" ca="1" si="173"/>
        <v>1.5</v>
      </c>
      <c r="AA176" s="332">
        <f t="shared" ca="1" si="174"/>
        <v>0.8</v>
      </c>
      <c r="AB176" s="332">
        <f t="shared" ca="1" si="175"/>
        <v>2.1</v>
      </c>
      <c r="AC176" s="211"/>
      <c r="AD176" s="81">
        <v>2050</v>
      </c>
      <c r="AE176" s="290"/>
      <c r="AF176" s="889"/>
    </row>
    <row r="177" spans="1:32">
      <c r="A177" s="172"/>
      <c r="B177" s="778" t="s">
        <v>1224</v>
      </c>
      <c r="C177" s="241"/>
      <c r="D177" s="223" t="str">
        <f ca="1">IF(T177=0,"*",IF(T177&gt;0,"IND"&amp;RIGHT(H177,4)&amp;RIGHT(G177,3)&amp;"N"&amp;RIGHT(E177,1),""))</f>
        <v>INDVDMTCOAN2</v>
      </c>
      <c r="E177" s="278" t="str">
        <f>"Industrial heating technology "&amp;$AJ$12&amp;" "&amp;RIGHT(H177,2)&amp;" - Coal boiler (Hot Water) - new 2"</f>
        <v>Industrial heating technology Vehicles MT - Coal boiler (Hot Water) - new 2</v>
      </c>
      <c r="F177" s="239" t="s">
        <v>1274</v>
      </c>
      <c r="G177" s="55" t="s">
        <v>662</v>
      </c>
      <c r="H177" s="177" t="str">
        <f>$AI$14</f>
        <v>IVDMT</v>
      </c>
      <c r="I177" s="177" t="str">
        <f t="shared" si="157"/>
        <v>INDVWH</v>
      </c>
      <c r="J177" s="239">
        <f t="shared" si="158"/>
        <v>2011</v>
      </c>
      <c r="K177" s="332">
        <f>J177</f>
        <v>2011</v>
      </c>
      <c r="L177" s="206">
        <f t="shared" ref="L177:L182" ca="1" si="176">VLOOKUP($AD177,INDIRECT("'"&amp;$B177&amp;"'!"&amp;"$P$118:$AD$121"),3,FALSE)</f>
        <v>0.89</v>
      </c>
      <c r="M177" s="206"/>
      <c r="N177" s="81">
        <f ca="1">VLOOKUP($AD177,INDIRECT("'"&amp;$B177&amp;"'!"&amp;"$P$118:$AD$121"),5,FALSE)</f>
        <v>25</v>
      </c>
      <c r="O177" s="783">
        <f t="shared" ref="O177:O182" ca="1" si="177">VLOOKUP($AD177,INDIRECT("'"&amp;$B177&amp;"'!"&amp;"$P$118:$AD$121"),6,FALSE)/1000</f>
        <v>3.7250000000000001</v>
      </c>
      <c r="P177" s="783">
        <f t="shared" ref="P177:P182" ca="1" si="178">VLOOKUP($AD177,INDIRECT("'"&amp;$B177&amp;"'!"&amp;"$P$118:$AD$121"),7,FALSE)/1000</f>
        <v>0.25106499999999998</v>
      </c>
      <c r="Q177" s="81">
        <f t="shared" ref="Q177:Q182" ca="1" si="179">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59"/>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7"/>
        <v>INDVWH</v>
      </c>
      <c r="J178" s="239">
        <f t="shared" si="158"/>
        <v>2030</v>
      </c>
      <c r="K178" s="81"/>
      <c r="L178" s="206">
        <f t="shared" ca="1" si="176"/>
        <v>0.89</v>
      </c>
      <c r="M178" s="832"/>
      <c r="N178" s="208"/>
      <c r="O178" s="783">
        <f t="shared" ca="1" si="177"/>
        <v>3.7250000000000001</v>
      </c>
      <c r="P178" s="783">
        <f t="shared" ca="1" si="178"/>
        <v>0.24287</v>
      </c>
      <c r="Q178" s="81">
        <f t="shared" ca="1" si="179"/>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7"/>
        <v>INDVWH</v>
      </c>
      <c r="J179" s="239">
        <f t="shared" si="158"/>
        <v>2050</v>
      </c>
      <c r="K179" s="81"/>
      <c r="L179" s="206">
        <f t="shared" ca="1" si="176"/>
        <v>0.91</v>
      </c>
      <c r="M179" s="832"/>
      <c r="N179" s="208"/>
      <c r="O179" s="783">
        <f t="shared" ca="1" si="177"/>
        <v>3.7250000000000001</v>
      </c>
      <c r="P179" s="783">
        <f t="shared" ca="1" si="178"/>
        <v>0.22797000000000001</v>
      </c>
      <c r="Q179" s="81">
        <f t="shared" ca="1" si="179"/>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INDVDRHCOAN2</v>
      </c>
      <c r="E180" s="278" t="str">
        <f>"Industrial heating technology "&amp;$AJ$12&amp;" "&amp;RIGHT(H180,2)&amp;" - Coal boiler (Hot Water) - new 2"</f>
        <v>Industrial heating technology Vehicles RH - Coal boiler (Hot Water) - new 2</v>
      </c>
      <c r="F180" s="239" t="s">
        <v>1274</v>
      </c>
      <c r="G180" s="55" t="s">
        <v>662</v>
      </c>
      <c r="H180" s="177" t="str">
        <f>$AI$15</f>
        <v>IVDRH</v>
      </c>
      <c r="I180" s="177" t="str">
        <f t="shared" si="157"/>
        <v>INDVWH</v>
      </c>
      <c r="J180" s="239">
        <f t="shared" si="158"/>
        <v>2011</v>
      </c>
      <c r="K180" s="332">
        <f>J180</f>
        <v>2011</v>
      </c>
      <c r="L180" s="206">
        <f t="shared" ca="1" si="176"/>
        <v>0.89</v>
      </c>
      <c r="M180" s="206"/>
      <c r="N180" s="81">
        <f ca="1">VLOOKUP($AD180,INDIRECT("'"&amp;$B180&amp;"'!"&amp;"$P$118:$AD$121"),5,FALSE)</f>
        <v>25</v>
      </c>
      <c r="O180" s="783">
        <f t="shared" ca="1" si="177"/>
        <v>3.7250000000000001</v>
      </c>
      <c r="P180" s="783">
        <f t="shared" ca="1" si="178"/>
        <v>0.25106499999999998</v>
      </c>
      <c r="Q180" s="81">
        <f t="shared" ca="1" si="179"/>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7"/>
        <v>INDVWH</v>
      </c>
      <c r="J181" s="239">
        <f t="shared" si="158"/>
        <v>2030</v>
      </c>
      <c r="K181" s="208"/>
      <c r="L181" s="206">
        <f t="shared" ca="1" si="176"/>
        <v>0.89</v>
      </c>
      <c r="M181" s="832"/>
      <c r="N181" s="208"/>
      <c r="O181" s="783">
        <f t="shared" ca="1" si="177"/>
        <v>3.7250000000000001</v>
      </c>
      <c r="P181" s="783">
        <f t="shared" ca="1" si="178"/>
        <v>0.24287</v>
      </c>
      <c r="Q181" s="81">
        <f t="shared" ca="1" si="179"/>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7"/>
        <v>INDVWH</v>
      </c>
      <c r="J182" s="239">
        <f t="shared" si="158"/>
        <v>2050</v>
      </c>
      <c r="K182" s="885"/>
      <c r="L182" s="206">
        <f t="shared" ca="1" si="176"/>
        <v>0.91</v>
      </c>
      <c r="M182" s="886"/>
      <c r="N182" s="885"/>
      <c r="O182" s="783">
        <f t="shared" ca="1" si="177"/>
        <v>3.7250000000000001</v>
      </c>
      <c r="P182" s="783">
        <f t="shared" ca="1" si="178"/>
        <v>0.22797000000000001</v>
      </c>
      <c r="Q182" s="81">
        <f t="shared" ca="1" si="179"/>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INDVDRHSOLN1</v>
      </c>
      <c r="E183" s="278" t="str">
        <f>"Industrial heating technology "&amp;$AJ$12&amp;" "&amp;RIGHT(H183,2)&amp;" - Solar - new 1"</f>
        <v>Industrial heating technology Vehicles RH - Solar - new 1</v>
      </c>
      <c r="F183" s="239" t="s">
        <v>1274</v>
      </c>
      <c r="G183" s="55" t="s">
        <v>501</v>
      </c>
      <c r="H183" s="177" t="str">
        <f>$AI$15</f>
        <v>IVDRH</v>
      </c>
      <c r="I183" s="177"/>
      <c r="J183" s="239">
        <f t="shared" si="158"/>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8"/>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8"/>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INDVDRHHCEN1</v>
      </c>
      <c r="E187" s="239" t="str">
        <f>"Industrial heating technology "&amp;$AJ$12&amp;" "&amp;RIGHT(H187,2)&amp;" - central district heating - within DH area - new 1"</f>
        <v>Industrial heating technology Vehicles RH - central district heating - within DH area - new 1</v>
      </c>
      <c r="F187" s="239" t="s">
        <v>1274</v>
      </c>
      <c r="G187" s="240" t="s">
        <v>502</v>
      </c>
      <c r="H187" s="240" t="str">
        <f>AI15</f>
        <v>IVDRH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INDVDRHHDEN1</v>
      </c>
      <c r="E188" s="239" t="str">
        <f>"Industrial heating technology "&amp;$AJ$12&amp;" "&amp;RIGHT(H188,2)&amp;" - decentral district heating - within DH area - new 1"</f>
        <v>Industrial heating technology Vehicles RH - decentral district heating - within DH area - new 1</v>
      </c>
      <c r="F188" s="239" t="s">
        <v>1274</v>
      </c>
      <c r="G188" s="276" t="s">
        <v>503</v>
      </c>
      <c r="H188" s="282" t="str">
        <f>AI15</f>
        <v>IVDRH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INDVDLAELCN1</v>
      </c>
      <c r="E190" s="239" t="str">
        <f>"Industry "&amp;$AJ$12&amp;" "&amp;RIGHT(H190,2)&amp;" Electricity Light Appliance - New 1"</f>
        <v>Industry Vehicles LA Electricity Light Appliance - New 1</v>
      </c>
      <c r="F190" s="239" t="s">
        <v>1274</v>
      </c>
      <c r="G190" s="240" t="s">
        <v>500</v>
      </c>
      <c r="H190" s="240" t="str">
        <f>AI16</f>
        <v>IVDLA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INDVDEMELCN1</v>
      </c>
      <c r="E194" s="239" t="str">
        <f>"Industry "&amp;$AJ$12&amp;" "&amp;RIGHT(H194,2)&amp;" Electricity Motors - New 1"</f>
        <v>Industry Vehicles EM Electricity Motors - New 1</v>
      </c>
      <c r="F194" s="239" t="s">
        <v>1274</v>
      </c>
      <c r="G194" s="240" t="s">
        <v>500</v>
      </c>
      <c r="H194" s="240" t="str">
        <f>AI17</f>
        <v>IVDEM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INDVDTFDSLN1</v>
      </c>
      <c r="E198" s="239" t="str">
        <f>"Industry "&amp;$AJ$12&amp;" "&amp;RIGHT(H198,2)&amp;" Tractors, Trucks, Fishing boats - New 1"</f>
        <v>Industry Vehicles TF Tractors, Trucks, Fishing boats - New 1</v>
      </c>
      <c r="F198" s="239" t="s">
        <v>1274</v>
      </c>
      <c r="G198" s="176" t="s">
        <v>1437</v>
      </c>
      <c r="H198" s="177" t="str">
        <f>AI18</f>
        <v>IVDTF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INDVDFLDH2N1</v>
      </c>
      <c r="E202" s="239" t="str">
        <f>"Industry "&amp;$AJ$12&amp;" "&amp;RIGHT(H198,2)&amp;" Forklifts - New 1"</f>
        <v>Industry Vehicles TF Forklifts - New 1</v>
      </c>
      <c r="F202" s="239" t="s">
        <v>1274</v>
      </c>
      <c r="G202" s="176" t="s">
        <v>1438</v>
      </c>
      <c r="H202" s="239" t="str">
        <f>AI19</f>
        <v>IVDFL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INDVDMTELCN1</v>
      </c>
      <c r="E213" s="223" t="str">
        <f t="shared" ref="E213:E244" ca="1" si="180">VLOOKUP(D213,$D$9:$E$206,2,FALSE)</f>
        <v>Industrial heating technology Vehicles MT - Heat pump utilizing waste heat - new 1</v>
      </c>
      <c r="F213" s="222" t="s">
        <v>450</v>
      </c>
      <c r="G213" s="222" t="s">
        <v>449</v>
      </c>
      <c r="H213" s="334" t="s">
        <v>665</v>
      </c>
      <c r="I213" s="334"/>
      <c r="J213" s="219" t="s">
        <v>469</v>
      </c>
    </row>
    <row r="214" spans="1:11">
      <c r="A214" s="172"/>
      <c r="B214" s="334"/>
      <c r="C214" s="222" t="str">
        <f t="shared" ref="C214:C268" ca="1" si="181">IF(D214="*","*","DMD")</f>
        <v>DMD</v>
      </c>
      <c r="D214" s="223" t="str">
        <f t="shared" ref="D214:D222" ca="1" si="182">OFFSET($D$9,(ROW(D1)*6),0)</f>
        <v>INDVDRHELCN1</v>
      </c>
      <c r="E214" s="223" t="str">
        <f t="shared" ca="1" si="180"/>
        <v>Industrial heating technology Vehicles RH - Heat pump utilizing waste heat - new 1</v>
      </c>
      <c r="F214" s="279" t="s">
        <v>450</v>
      </c>
      <c r="G214" s="279" t="s">
        <v>449</v>
      </c>
      <c r="H214" s="334" t="s">
        <v>665</v>
      </c>
      <c r="I214" s="334"/>
      <c r="J214" s="281" t="s">
        <v>469</v>
      </c>
    </row>
    <row r="215" spans="1:11">
      <c r="A215" s="172"/>
      <c r="C215" s="222" t="str">
        <f t="shared" ca="1" si="181"/>
        <v>*</v>
      </c>
      <c r="D215" s="223" t="str">
        <f t="shared" ca="1" si="182"/>
        <v>*</v>
      </c>
      <c r="E215" s="223" t="str">
        <f t="shared" ca="1" si="180"/>
        <v>Industrial heating technology Vehicles MT - Heat pump utilizing waste heat - new 1</v>
      </c>
      <c r="F215" s="222" t="s">
        <v>450</v>
      </c>
      <c r="G215" s="222" t="s">
        <v>449</v>
      </c>
      <c r="H215" s="334" t="s">
        <v>665</v>
      </c>
      <c r="I215" s="219"/>
      <c r="J215" s="281" t="s">
        <v>469</v>
      </c>
    </row>
    <row r="216" spans="1:11">
      <c r="A216" s="172"/>
      <c r="B216" s="222"/>
      <c r="C216" s="222" t="str">
        <f t="shared" ca="1" si="181"/>
        <v>DMD</v>
      </c>
      <c r="D216" s="223" t="str">
        <f t="shared" ca="1" si="182"/>
        <v>INDVDRHELCN2</v>
      </c>
      <c r="E216" s="223" t="str">
        <f t="shared" ca="1" si="180"/>
        <v>Industrial heating technology Vehicles RH - Heat driven heat pump utilizing waste heat - new 2</v>
      </c>
      <c r="F216" s="279" t="s">
        <v>450</v>
      </c>
      <c r="G216" s="279" t="s">
        <v>449</v>
      </c>
      <c r="H216" s="334" t="s">
        <v>665</v>
      </c>
      <c r="I216" s="281"/>
      <c r="J216" s="281" t="s">
        <v>469</v>
      </c>
    </row>
    <row r="217" spans="1:11">
      <c r="A217" s="172"/>
      <c r="B217" s="222"/>
      <c r="C217" s="222" t="str">
        <f t="shared" ca="1" si="181"/>
        <v>DMD</v>
      </c>
      <c r="D217" s="223" t="str">
        <f t="shared" ca="1" si="182"/>
        <v>INDVDMTELCN3</v>
      </c>
      <c r="E217" s="223" t="str">
        <f t="shared" ca="1" si="180"/>
        <v>Industrial heating technology Vehicles MT - High Temp abs. Heat pump utilizing waste heat - new 3</v>
      </c>
      <c r="F217" s="279" t="s">
        <v>450</v>
      </c>
      <c r="G217" s="279" t="s">
        <v>449</v>
      </c>
      <c r="H217" s="334" t="s">
        <v>665</v>
      </c>
      <c r="I217" s="281"/>
      <c r="J217" s="281" t="s">
        <v>469</v>
      </c>
    </row>
    <row r="218" spans="1:11">
      <c r="A218" s="172"/>
      <c r="B218" s="222"/>
      <c r="C218" s="222" t="str">
        <f t="shared" ca="1" si="181"/>
        <v>DMD</v>
      </c>
      <c r="D218" s="223" t="str">
        <f t="shared" ca="1" si="182"/>
        <v>INDVDRHELCN3</v>
      </c>
      <c r="E218" s="223" t="str">
        <f t="shared" ca="1" si="180"/>
        <v>Industrial heating technology Vehicles RH - High Temp abs. Heat pump utilizing waste heat - new 3</v>
      </c>
      <c r="F218" s="279" t="s">
        <v>450</v>
      </c>
      <c r="G218" s="279" t="s">
        <v>449</v>
      </c>
      <c r="H218" s="334" t="s">
        <v>665</v>
      </c>
      <c r="I218" s="281"/>
      <c r="J218" s="281" t="s">
        <v>469</v>
      </c>
    </row>
    <row r="219" spans="1:11">
      <c r="A219" s="172"/>
      <c r="B219" s="222"/>
      <c r="C219" s="222" t="str">
        <f t="shared" ca="1" si="181"/>
        <v>DMD</v>
      </c>
      <c r="D219" s="223" t="str">
        <f t="shared" ca="1" si="182"/>
        <v>INDVDMTELCN4</v>
      </c>
      <c r="E219" s="223" t="str">
        <f t="shared" ca="1" si="180"/>
        <v>Industrial heating technology Vehicles MT - Booster Heat pump utilizing waste heat - new 4</v>
      </c>
      <c r="F219" s="279" t="s">
        <v>450</v>
      </c>
      <c r="G219" s="279" t="s">
        <v>449</v>
      </c>
      <c r="H219" s="334" t="s">
        <v>665</v>
      </c>
      <c r="I219" s="281"/>
      <c r="J219" s="281" t="s">
        <v>469</v>
      </c>
    </row>
    <row r="220" spans="1:11">
      <c r="A220" s="172"/>
      <c r="B220" s="222"/>
      <c r="C220" s="222" t="str">
        <f t="shared" ca="1" si="181"/>
        <v>DMD</v>
      </c>
      <c r="D220" s="223" t="str">
        <f t="shared" ca="1" si="182"/>
        <v>INDVDRHELCN4</v>
      </c>
      <c r="E220" s="223" t="str">
        <f t="shared" ca="1" si="180"/>
        <v>Industrial heating technology Vehicles RH - Booster Heat pump utilizing waste heat - new 4</v>
      </c>
      <c r="F220" s="279" t="s">
        <v>450</v>
      </c>
      <c r="G220" s="279" t="s">
        <v>449</v>
      </c>
      <c r="H220" s="334" t="s">
        <v>665</v>
      </c>
      <c r="I220" s="281"/>
      <c r="J220" s="281" t="s">
        <v>469</v>
      </c>
    </row>
    <row r="221" spans="1:11">
      <c r="A221" s="172"/>
      <c r="B221" s="222"/>
      <c r="C221" s="222" t="str">
        <f t="shared" ca="1" si="181"/>
        <v>DMD</v>
      </c>
      <c r="D221" s="223" t="str">
        <f t="shared" ca="1" si="182"/>
        <v>INDVDMTELCN5</v>
      </c>
      <c r="E221" s="223" t="str">
        <f t="shared" ca="1" si="180"/>
        <v>Industrial heating technology Vehicles MT - MVR utilizing waste heat - new 5</v>
      </c>
      <c r="F221" s="279" t="s">
        <v>450</v>
      </c>
      <c r="G221" s="279" t="s">
        <v>449</v>
      </c>
      <c r="H221" s="280"/>
      <c r="I221" s="281"/>
      <c r="J221" s="281" t="s">
        <v>469</v>
      </c>
    </row>
    <row r="222" spans="1:11">
      <c r="A222" s="172"/>
      <c r="B222" s="222"/>
      <c r="C222" s="222" t="str">
        <f t="shared" ca="1" si="181"/>
        <v>*</v>
      </c>
      <c r="D222" s="223" t="str">
        <f t="shared" ca="1" si="182"/>
        <v>*</v>
      </c>
      <c r="E222" s="223" t="str">
        <f t="shared" ca="1" si="180"/>
        <v>Industrial heating technology Vehicles MT - Heat pump utilizing waste heat - new 1</v>
      </c>
      <c r="F222" s="279" t="s">
        <v>450</v>
      </c>
      <c r="G222" s="279" t="s">
        <v>449</v>
      </c>
      <c r="H222" s="334" t="s">
        <v>665</v>
      </c>
      <c r="I222" s="281"/>
      <c r="J222" s="281" t="s">
        <v>469</v>
      </c>
    </row>
    <row r="223" spans="1:11">
      <c r="A223" s="172"/>
      <c r="B223" s="222"/>
      <c r="C223" s="222" t="str">
        <f t="shared" ca="1" si="181"/>
        <v>*</v>
      </c>
      <c r="D223" s="223" t="str">
        <f t="shared" ref="D223:D262" ca="1" si="183">OFFSET($D$9,(ROW(D19)*3),0)</f>
        <v>*</v>
      </c>
      <c r="E223" s="223" t="str">
        <f t="shared" ca="1" si="180"/>
        <v>Industrial heating technology Vehicles MT - Heat pump utilizing waste heat - new 1</v>
      </c>
      <c r="F223" s="279" t="s">
        <v>450</v>
      </c>
      <c r="G223" s="279" t="s">
        <v>449</v>
      </c>
      <c r="H223" s="334" t="s">
        <v>665</v>
      </c>
      <c r="I223" s="281"/>
      <c r="J223" s="281" t="s">
        <v>469</v>
      </c>
    </row>
    <row r="224" spans="1:11">
      <c r="A224" s="172"/>
      <c r="B224" s="222"/>
      <c r="C224" s="222" t="str">
        <f t="shared" ca="1" si="181"/>
        <v>DMD</v>
      </c>
      <c r="D224" s="223" t="str">
        <f t="shared" ca="1" si="183"/>
        <v>INDVDMTELCN7</v>
      </c>
      <c r="E224" s="223" t="str">
        <f t="shared" ca="1" si="180"/>
        <v>Industrial heating technology Vehicles MT - Infrared heating - new 7</v>
      </c>
      <c r="F224" s="279" t="s">
        <v>450</v>
      </c>
      <c r="G224" s="279" t="s">
        <v>449</v>
      </c>
      <c r="H224" s="334" t="s">
        <v>665</v>
      </c>
      <c r="I224" s="281"/>
      <c r="J224" s="281" t="s">
        <v>469</v>
      </c>
    </row>
    <row r="225" spans="1:16">
      <c r="A225" s="172"/>
      <c r="B225" s="222"/>
      <c r="C225" s="222" t="str">
        <f t="shared" ca="1" si="181"/>
        <v>DMD</v>
      </c>
      <c r="D225" s="223" t="str">
        <f t="shared" ca="1" si="183"/>
        <v>INDVDHTELCN8</v>
      </c>
      <c r="E225" s="223" t="str">
        <f t="shared" ca="1" si="180"/>
        <v>Industrial heating technology Vehicles HT - Electric boiler (Steam) - new 8</v>
      </c>
      <c r="F225" s="279" t="s">
        <v>450</v>
      </c>
      <c r="G225" s="279" t="s">
        <v>449</v>
      </c>
      <c r="H225" s="334" t="s">
        <v>665</v>
      </c>
      <c r="I225" s="281"/>
      <c r="J225" s="281" t="s">
        <v>469</v>
      </c>
    </row>
    <row r="226" spans="1:16">
      <c r="A226" s="172"/>
      <c r="B226" s="222"/>
      <c r="C226" s="222" t="str">
        <f t="shared" ca="1" si="181"/>
        <v>DMD</v>
      </c>
      <c r="D226" s="223" t="str">
        <f t="shared" ca="1" si="183"/>
        <v>INDVDMTELCN8</v>
      </c>
      <c r="E226" s="223" t="str">
        <f t="shared" ca="1" si="180"/>
        <v>Industrial heating technology Vehicles MT - Electric boiler (Steam) - new 8</v>
      </c>
      <c r="F226" s="279" t="s">
        <v>450</v>
      </c>
      <c r="G226" s="279" t="s">
        <v>449</v>
      </c>
      <c r="H226" s="334" t="s">
        <v>665</v>
      </c>
      <c r="I226" s="281"/>
      <c r="J226" s="281" t="s">
        <v>469</v>
      </c>
    </row>
    <row r="227" spans="1:16">
      <c r="A227" s="172"/>
      <c r="B227" s="222"/>
      <c r="C227" s="222" t="str">
        <f t="shared" ca="1" si="181"/>
        <v>DMD</v>
      </c>
      <c r="D227" s="223" t="str">
        <f t="shared" ca="1" si="183"/>
        <v>INDVDRHELCN8</v>
      </c>
      <c r="E227" s="223" t="str">
        <f t="shared" ca="1" si="180"/>
        <v>Industrial heating technology Vehicles RH - Electric boiler (Steam) - new 8</v>
      </c>
      <c r="F227" s="279" t="s">
        <v>450</v>
      </c>
      <c r="G227" s="279" t="s">
        <v>449</v>
      </c>
      <c r="H227" s="334" t="s">
        <v>665</v>
      </c>
      <c r="I227" s="281"/>
      <c r="J227" s="281" t="s">
        <v>469</v>
      </c>
      <c r="P227" s="176"/>
    </row>
    <row r="228" spans="1:16">
      <c r="A228" s="172"/>
      <c r="B228" s="222"/>
      <c r="C228" s="222" t="str">
        <f t="shared" ca="1" si="181"/>
        <v>DMD</v>
      </c>
      <c r="D228" s="223" t="str">
        <f t="shared" ca="1" si="183"/>
        <v>INDVDMTELCN9</v>
      </c>
      <c r="E228" s="223" t="str">
        <f t="shared" ca="1" si="180"/>
        <v>Industrial heating technology Vehicles MT - Electric boiler (Hot Water) - new 9</v>
      </c>
      <c r="F228" s="279" t="s">
        <v>450</v>
      </c>
      <c r="G228" s="279" t="s">
        <v>449</v>
      </c>
      <c r="H228" s="334" t="s">
        <v>665</v>
      </c>
      <c r="I228" s="281"/>
      <c r="J228" s="281" t="s">
        <v>469</v>
      </c>
      <c r="P228" s="176"/>
    </row>
    <row r="229" spans="1:16">
      <c r="A229" s="172"/>
      <c r="B229" s="222"/>
      <c r="C229" s="222" t="str">
        <f t="shared" ca="1" si="181"/>
        <v>DMD</v>
      </c>
      <c r="D229" s="223" t="str">
        <f t="shared" ca="1" si="183"/>
        <v>INDVDRHELCN9</v>
      </c>
      <c r="E229" s="223" t="str">
        <f t="shared" ca="1" si="180"/>
        <v>Industrial heating technology Vehicles RH - Electric boiler (Hot Water) - new 9</v>
      </c>
      <c r="F229" s="279" t="s">
        <v>450</v>
      </c>
      <c r="G229" s="279" t="s">
        <v>449</v>
      </c>
      <c r="H229" s="334" t="s">
        <v>665</v>
      </c>
      <c r="I229" s="281"/>
      <c r="J229" s="281" t="s">
        <v>469</v>
      </c>
      <c r="P229" s="176"/>
    </row>
    <row r="230" spans="1:16">
      <c r="A230" s="172"/>
      <c r="B230" s="222"/>
      <c r="C230" s="222" t="str">
        <f t="shared" ca="1" si="181"/>
        <v>DMD</v>
      </c>
      <c r="D230" s="223" t="str">
        <f t="shared" ca="1" si="183"/>
        <v>INDVDHTWCHN1</v>
      </c>
      <c r="E230" s="223" t="str">
        <f t="shared" ca="1" si="180"/>
        <v>Industrial heating technology Vehicles HT - Wood chip boiler (Steam) - new 1</v>
      </c>
      <c r="F230" s="279" t="s">
        <v>450</v>
      </c>
      <c r="G230" s="279" t="s">
        <v>449</v>
      </c>
      <c r="H230" s="280"/>
      <c r="I230" s="281"/>
      <c r="J230" s="281" t="s">
        <v>469</v>
      </c>
      <c r="P230" s="176"/>
    </row>
    <row r="231" spans="1:16">
      <c r="A231" s="172"/>
      <c r="B231" s="222"/>
      <c r="C231" s="222" t="str">
        <f t="shared" ca="1" si="181"/>
        <v>DMD</v>
      </c>
      <c r="D231" s="223" t="str">
        <f t="shared" ca="1" si="183"/>
        <v>INDVDMTWCHN1</v>
      </c>
      <c r="E231" s="223" t="str">
        <f t="shared" ca="1" si="180"/>
        <v>Industrial heating technology Vehicles MT - Wood chip boiler (Steam) - new 1</v>
      </c>
      <c r="F231" s="279" t="s">
        <v>450</v>
      </c>
      <c r="G231" s="279" t="s">
        <v>449</v>
      </c>
      <c r="H231" s="280"/>
      <c r="I231" s="281"/>
      <c r="J231" s="281" t="s">
        <v>469</v>
      </c>
      <c r="M231" s="174"/>
      <c r="N231" s="174"/>
      <c r="P231" s="176"/>
    </row>
    <row r="232" spans="1:16">
      <c r="A232" s="172"/>
      <c r="B232" s="222"/>
      <c r="C232" s="222" t="str">
        <f t="shared" ca="1" si="181"/>
        <v>DMD</v>
      </c>
      <c r="D232" s="223" t="str">
        <f t="shared" ca="1" si="183"/>
        <v>INDVDRHWCHN1</v>
      </c>
      <c r="E232" s="223" t="str">
        <f t="shared" ca="1" si="180"/>
        <v>Industrial heating technology Vehicles RH - Wood chip boiler (Steam) - new 1</v>
      </c>
      <c r="F232" s="279" t="s">
        <v>450</v>
      </c>
      <c r="G232" s="279" t="s">
        <v>449</v>
      </c>
      <c r="H232" s="280"/>
      <c r="I232" s="281"/>
      <c r="J232" s="281" t="s">
        <v>469</v>
      </c>
      <c r="M232" s="174"/>
      <c r="N232" s="174"/>
      <c r="P232" s="176"/>
    </row>
    <row r="233" spans="1:16">
      <c r="A233" s="172"/>
      <c r="B233" s="222"/>
      <c r="C233" s="222" t="str">
        <f t="shared" ca="1" si="181"/>
        <v>DMD</v>
      </c>
      <c r="D233" s="223" t="str">
        <f t="shared" ca="1" si="183"/>
        <v>INDVDMTWCHN2</v>
      </c>
      <c r="E233" s="223" t="str">
        <f t="shared" ca="1" si="180"/>
        <v>Industrial heating technology Vehicles MT - Wood chip boiler (Steam - condensing) - new 2</v>
      </c>
      <c r="F233" s="279" t="s">
        <v>450</v>
      </c>
      <c r="G233" s="279" t="s">
        <v>449</v>
      </c>
      <c r="H233" s="280"/>
      <c r="I233" s="281"/>
      <c r="J233" s="281" t="s">
        <v>469</v>
      </c>
      <c r="M233" s="174"/>
      <c r="N233" s="174"/>
      <c r="P233" s="176"/>
    </row>
    <row r="234" spans="1:16">
      <c r="A234" s="172"/>
      <c r="B234" s="223"/>
      <c r="C234" s="222" t="str">
        <f t="shared" ca="1" si="181"/>
        <v>DMD</v>
      </c>
      <c r="D234" s="223" t="str">
        <f t="shared" ca="1" si="183"/>
        <v>INDVDRHWCHN2</v>
      </c>
      <c r="E234" s="223" t="str">
        <f t="shared" ca="1" si="180"/>
        <v>Industrial heating technology Vehicles RH - Wood chip boiler (Steam - condensing) - new 2</v>
      </c>
      <c r="F234" s="279" t="s">
        <v>450</v>
      </c>
      <c r="G234" s="279" t="s">
        <v>449</v>
      </c>
      <c r="H234" s="280"/>
      <c r="I234" s="281"/>
      <c r="J234" s="281" t="s">
        <v>469</v>
      </c>
    </row>
    <row r="235" spans="1:16">
      <c r="A235" s="172"/>
      <c r="B235" s="223"/>
      <c r="C235" s="222" t="str">
        <f t="shared" ca="1" si="181"/>
        <v>DMD</v>
      </c>
      <c r="D235" s="223" t="str">
        <f t="shared" ca="1" si="183"/>
        <v>INDVDMTWCHN3</v>
      </c>
      <c r="E235" s="223" t="str">
        <f t="shared" ca="1" si="180"/>
        <v>Industrial heating technology Vehicles MT - Wood chip boiler (Hot Water) - new 3</v>
      </c>
      <c r="F235" s="279" t="s">
        <v>450</v>
      </c>
      <c r="G235" s="279" t="s">
        <v>449</v>
      </c>
      <c r="H235" s="278"/>
      <c r="I235" s="278"/>
      <c r="J235" s="281" t="s">
        <v>469</v>
      </c>
    </row>
    <row r="236" spans="1:16">
      <c r="A236" s="172"/>
      <c r="B236" s="223"/>
      <c r="C236" s="222" t="str">
        <f t="shared" ca="1" si="181"/>
        <v>DMD</v>
      </c>
      <c r="D236" s="223" t="str">
        <f t="shared" ca="1" si="183"/>
        <v>INDVDRHWCHN3</v>
      </c>
      <c r="E236" s="223" t="str">
        <f t="shared" ca="1" si="180"/>
        <v>Industrial heating technology Vehicles RH - Wood chip boiler (Hot Water) - new 3</v>
      </c>
      <c r="F236" s="279" t="s">
        <v>450</v>
      </c>
      <c r="G236" s="279" t="s">
        <v>449</v>
      </c>
      <c r="H236" s="278"/>
      <c r="I236" s="278"/>
      <c r="J236" s="281" t="s">
        <v>469</v>
      </c>
    </row>
    <row r="237" spans="1:16">
      <c r="A237" s="172"/>
      <c r="B237" s="223"/>
      <c r="C237" s="222" t="str">
        <f t="shared" ca="1" si="181"/>
        <v>DMD</v>
      </c>
      <c r="D237" s="223" t="str">
        <f t="shared" ca="1" si="183"/>
        <v>INDVDMTWCHN4</v>
      </c>
      <c r="E237" s="223" t="str">
        <f t="shared" ca="1" si="180"/>
        <v>Industrial heating technology Vehicles MT - Wood chip boiler (Hot Water - condensing) - new 4</v>
      </c>
      <c r="F237" s="279" t="s">
        <v>450</v>
      </c>
      <c r="G237" s="279" t="s">
        <v>449</v>
      </c>
      <c r="H237" s="278"/>
      <c r="I237" s="278"/>
      <c r="J237" s="281" t="s">
        <v>469</v>
      </c>
    </row>
    <row r="238" spans="1:16">
      <c r="A238" s="172"/>
      <c r="B238" s="223"/>
      <c r="C238" s="222" t="str">
        <f t="shared" ca="1" si="181"/>
        <v>DMD</v>
      </c>
      <c r="D238" s="223" t="str">
        <f t="shared" ca="1" si="183"/>
        <v>INDVDRHWCHN4</v>
      </c>
      <c r="E238" s="223" t="str">
        <f t="shared" ca="1" si="180"/>
        <v>Industrial heating technology Vehicles RH - Wood chip boiler (Hot Water- condensing) - new 4</v>
      </c>
      <c r="F238" s="279" t="s">
        <v>450</v>
      </c>
      <c r="G238" s="279" t="s">
        <v>449</v>
      </c>
      <c r="H238" s="278"/>
      <c r="I238" s="278"/>
      <c r="J238" s="281" t="s">
        <v>469</v>
      </c>
    </row>
    <row r="239" spans="1:16">
      <c r="B239" s="223"/>
      <c r="C239" s="222" t="str">
        <f t="shared" ca="1" si="181"/>
        <v>*</v>
      </c>
      <c r="D239" s="223" t="str">
        <f t="shared" ca="1" si="183"/>
        <v>*</v>
      </c>
      <c r="E239" s="223" t="str">
        <f t="shared" ca="1" si="180"/>
        <v>Industrial heating technology Vehicles MT - Heat pump utilizing waste heat - new 1</v>
      </c>
      <c r="F239" s="279" t="s">
        <v>450</v>
      </c>
      <c r="G239" s="279" t="s">
        <v>449</v>
      </c>
      <c r="H239" s="334" t="s">
        <v>665</v>
      </c>
      <c r="I239" s="278"/>
      <c r="J239" s="281" t="s">
        <v>469</v>
      </c>
    </row>
    <row r="240" spans="1:16">
      <c r="B240" s="223"/>
      <c r="C240" s="222" t="str">
        <f t="shared" ca="1" si="181"/>
        <v>*</v>
      </c>
      <c r="D240" s="223" t="str">
        <f t="shared" ca="1" si="183"/>
        <v>*</v>
      </c>
      <c r="E240" s="223" t="str">
        <f t="shared" ca="1" si="180"/>
        <v>Industrial heating technology Vehicles MT - Heat pump utilizing waste heat - new 1</v>
      </c>
      <c r="F240" s="279" t="s">
        <v>450</v>
      </c>
      <c r="G240" s="279" t="s">
        <v>449</v>
      </c>
      <c r="H240" s="334" t="s">
        <v>665</v>
      </c>
      <c r="I240" s="278"/>
      <c r="J240" s="281" t="s">
        <v>469</v>
      </c>
    </row>
    <row r="241" spans="1:10">
      <c r="B241" s="223"/>
      <c r="C241" s="222" t="str">
        <f t="shared" ca="1" si="181"/>
        <v>DMD</v>
      </c>
      <c r="D241" s="223" t="str">
        <f t="shared" ca="1" si="183"/>
        <v>INDVDHTDSEN1</v>
      </c>
      <c r="E241" s="223" t="str">
        <f t="shared" ca="1" si="180"/>
        <v>Industrial heating technology Vehicles HT - Oil boiler (Steam) - new 1</v>
      </c>
      <c r="F241" s="279" t="s">
        <v>450</v>
      </c>
      <c r="G241" s="279" t="s">
        <v>449</v>
      </c>
      <c r="H241" s="278"/>
      <c r="I241" s="278"/>
      <c r="J241" s="281" t="s">
        <v>469</v>
      </c>
    </row>
    <row r="242" spans="1:10">
      <c r="B242" s="223"/>
      <c r="C242" s="222" t="str">
        <f t="shared" ca="1" si="181"/>
        <v>DMD</v>
      </c>
      <c r="D242" s="223" t="str">
        <f t="shared" ca="1" si="183"/>
        <v>INDVDMTDSEN1</v>
      </c>
      <c r="E242" s="223" t="str">
        <f t="shared" ca="1" si="180"/>
        <v>Industrial heating technology Vehicles MT - Oil boiler (Steam) - new 1</v>
      </c>
      <c r="F242" s="279" t="s">
        <v>450</v>
      </c>
      <c r="G242" s="279" t="s">
        <v>449</v>
      </c>
      <c r="H242" s="278"/>
      <c r="I242" s="278"/>
      <c r="J242" s="281" t="s">
        <v>469</v>
      </c>
    </row>
    <row r="243" spans="1:10">
      <c r="B243" s="223"/>
      <c r="C243" s="222" t="str">
        <f t="shared" ca="1" si="181"/>
        <v>DMD</v>
      </c>
      <c r="D243" s="223" t="str">
        <f t="shared" ca="1" si="183"/>
        <v>INDVDRHDSEN1</v>
      </c>
      <c r="E243" s="223" t="str">
        <f t="shared" ca="1" si="180"/>
        <v>Industrial heating technology Vehicles RH - Oil boiler (Steam) - new 1</v>
      </c>
      <c r="F243" s="279" t="s">
        <v>450</v>
      </c>
      <c r="G243" s="279" t="s">
        <v>449</v>
      </c>
      <c r="H243" s="278"/>
      <c r="I243" s="278"/>
      <c r="J243" s="281" t="s">
        <v>469</v>
      </c>
    </row>
    <row r="244" spans="1:10">
      <c r="A244" s="226"/>
      <c r="B244" s="223"/>
      <c r="C244" s="222" t="str">
        <f t="shared" ca="1" si="181"/>
        <v>DMD</v>
      </c>
      <c r="D244" s="223" t="str">
        <f t="shared" ca="1" si="183"/>
        <v>INDVDMTDSEN2</v>
      </c>
      <c r="E244" s="223" t="str">
        <f t="shared" ca="1" si="180"/>
        <v>Industrial heating technology Vehicles MT - Oil boiler (Steam - condensing) - new 2</v>
      </c>
      <c r="F244" s="279" t="s">
        <v>450</v>
      </c>
      <c r="G244" s="279" t="s">
        <v>449</v>
      </c>
      <c r="H244" s="278"/>
      <c r="I244" s="278"/>
      <c r="J244" s="281" t="s">
        <v>469</v>
      </c>
    </row>
    <row r="245" spans="1:10">
      <c r="A245" s="226"/>
      <c r="B245" s="223"/>
      <c r="C245" s="222" t="str">
        <f t="shared" ca="1" si="181"/>
        <v>DMD</v>
      </c>
      <c r="D245" s="223" t="str">
        <f t="shared" ca="1" si="183"/>
        <v>INDVDRHDSEN2</v>
      </c>
      <c r="E245" s="223" t="str">
        <f t="shared" ref="E245:E268" ca="1" si="184">VLOOKUP(D245,$D$9:$E$206,2,FALSE)</f>
        <v>Industrial heating technology Vehicles RH - Oil boiler (Steam - condensing) - new 2</v>
      </c>
      <c r="F245" s="279" t="s">
        <v>450</v>
      </c>
      <c r="G245" s="279" t="s">
        <v>449</v>
      </c>
      <c r="H245" s="278"/>
      <c r="I245" s="278"/>
      <c r="J245" s="281" t="s">
        <v>469</v>
      </c>
    </row>
    <row r="246" spans="1:10">
      <c r="A246" s="226"/>
      <c r="B246" s="223"/>
      <c r="C246" s="222" t="str">
        <f t="shared" ca="1" si="181"/>
        <v>DMD</v>
      </c>
      <c r="D246" s="223" t="str">
        <f t="shared" ca="1" si="183"/>
        <v>INDVDHTDH2N1</v>
      </c>
      <c r="E246" s="223" t="str">
        <f t="shared" ca="1" si="184"/>
        <v>Industrial heating technology Vehicles HT - Gas boiler (Steam) - new 1</v>
      </c>
      <c r="F246" s="279" t="s">
        <v>450</v>
      </c>
      <c r="G246" s="279" t="s">
        <v>449</v>
      </c>
      <c r="H246" s="278"/>
      <c r="I246" s="278"/>
      <c r="J246" s="281" t="s">
        <v>469</v>
      </c>
    </row>
    <row r="247" spans="1:10">
      <c r="A247" s="226"/>
      <c r="B247" s="223"/>
      <c r="C247" s="222" t="str">
        <f t="shared" ca="1" si="181"/>
        <v>DMD</v>
      </c>
      <c r="D247" s="223" t="str">
        <f t="shared" ca="1" si="183"/>
        <v>INDVDMTDH2N1</v>
      </c>
      <c r="E247" s="223" t="str">
        <f t="shared" ca="1" si="184"/>
        <v>Industrial heating technology Vehicles MT - Gas boiler (Steam) - new 1</v>
      </c>
      <c r="F247" s="279" t="s">
        <v>450</v>
      </c>
      <c r="G247" s="279" t="s">
        <v>449</v>
      </c>
      <c r="H247" s="278"/>
      <c r="I247" s="278"/>
      <c r="J247" s="281" t="s">
        <v>469</v>
      </c>
    </row>
    <row r="248" spans="1:10">
      <c r="B248" s="223"/>
      <c r="C248" s="222" t="str">
        <f t="shared" ca="1" si="181"/>
        <v>DMD</v>
      </c>
      <c r="D248" s="223" t="str">
        <f t="shared" ca="1" si="183"/>
        <v>INDVDRHDH2N1</v>
      </c>
      <c r="E248" s="223" t="str">
        <f t="shared" ca="1" si="184"/>
        <v>Industrial heating technology Vehicles RH - Gas boiler (Steam) - new 1</v>
      </c>
      <c r="F248" s="279" t="s">
        <v>450</v>
      </c>
      <c r="G248" s="279" t="s">
        <v>449</v>
      </c>
      <c r="H248" s="278"/>
      <c r="I248" s="278"/>
      <c r="J248" s="281" t="s">
        <v>469</v>
      </c>
    </row>
    <row r="249" spans="1:10">
      <c r="B249" s="223"/>
      <c r="C249" s="222" t="str">
        <f t="shared" ca="1" si="181"/>
        <v>DMD</v>
      </c>
      <c r="D249" s="223" t="str">
        <f t="shared" ca="1" si="183"/>
        <v>INDVDMTDH2N2</v>
      </c>
      <c r="E249" s="223" t="str">
        <f t="shared" ca="1" si="184"/>
        <v>Industrial heating technology Vehicles MT - Gas boiler (Steam - condensing) - new 2</v>
      </c>
      <c r="F249" s="279" t="s">
        <v>450</v>
      </c>
      <c r="G249" s="279" t="s">
        <v>449</v>
      </c>
      <c r="H249" s="278"/>
      <c r="I249" s="278"/>
      <c r="J249" s="281" t="s">
        <v>469</v>
      </c>
    </row>
    <row r="250" spans="1:10">
      <c r="B250" s="223"/>
      <c r="C250" s="222" t="str">
        <f t="shared" ca="1" si="181"/>
        <v>DMD</v>
      </c>
      <c r="D250" s="223" t="str">
        <f t="shared" ca="1" si="183"/>
        <v>INDVDRHDH2N2</v>
      </c>
      <c r="E250" s="223" t="str">
        <f t="shared" ca="1" si="184"/>
        <v>Industrial heating technology Vehicles RH - Gas boiler (Steam - condensing) - new 2</v>
      </c>
      <c r="F250" s="279" t="s">
        <v>450</v>
      </c>
      <c r="G250" s="279" t="s">
        <v>449</v>
      </c>
      <c r="H250" s="278"/>
      <c r="I250" s="278"/>
      <c r="J250" s="281" t="s">
        <v>469</v>
      </c>
    </row>
    <row r="251" spans="1:10">
      <c r="B251" s="223"/>
      <c r="C251" s="222" t="str">
        <f t="shared" ca="1" si="181"/>
        <v>DMD</v>
      </c>
      <c r="D251" s="223" t="str">
        <f t="shared" ca="1" si="183"/>
        <v>INDVDMTDH2N3</v>
      </c>
      <c r="E251" s="223" t="str">
        <f t="shared" ca="1" si="184"/>
        <v>Industrial heating technology Vehicles MT - Gas boiler (Hot Water) - new 3</v>
      </c>
      <c r="F251" s="279" t="s">
        <v>450</v>
      </c>
      <c r="G251" s="279" t="s">
        <v>449</v>
      </c>
      <c r="H251" s="278"/>
      <c r="I251" s="278"/>
      <c r="J251" s="281" t="s">
        <v>469</v>
      </c>
    </row>
    <row r="252" spans="1:10">
      <c r="B252" s="223"/>
      <c r="C252" s="222" t="str">
        <f t="shared" ca="1" si="181"/>
        <v>DMD</v>
      </c>
      <c r="D252" s="223" t="str">
        <f t="shared" ca="1" si="183"/>
        <v>INDVDRHDH2N3</v>
      </c>
      <c r="E252" s="223" t="str">
        <f t="shared" ca="1" si="184"/>
        <v>Industrial heating technology Vehicles RH - Gas boiler (Hot Water) - new 3</v>
      </c>
      <c r="F252" s="279" t="s">
        <v>450</v>
      </c>
      <c r="G252" s="279" t="s">
        <v>449</v>
      </c>
      <c r="H252" s="278"/>
      <c r="I252" s="278"/>
      <c r="J252" s="281" t="s">
        <v>469</v>
      </c>
    </row>
    <row r="253" spans="1:10">
      <c r="B253" s="223"/>
      <c r="C253" s="222" t="str">
        <f t="shared" ca="1" si="181"/>
        <v>DMD</v>
      </c>
      <c r="D253" s="223" t="str">
        <f t="shared" ca="1" si="183"/>
        <v>INDVDMTDH2N4</v>
      </c>
      <c r="E253" s="223" t="str">
        <f t="shared" ca="1" si="184"/>
        <v>Industrial heating technology Vehicles MT - Gas boiler (Hot Water - condensing) - new 4</v>
      </c>
      <c r="F253" s="279" t="s">
        <v>450</v>
      </c>
      <c r="G253" s="279" t="s">
        <v>449</v>
      </c>
      <c r="H253" s="278"/>
      <c r="I253" s="278"/>
      <c r="J253" s="281" t="s">
        <v>469</v>
      </c>
    </row>
    <row r="254" spans="1:10">
      <c r="B254" s="223"/>
      <c r="C254" s="222" t="str">
        <f t="shared" ca="1" si="181"/>
        <v>DMD</v>
      </c>
      <c r="D254" s="223" t="str">
        <f t="shared" ca="1" si="183"/>
        <v>INDVDRHDH2N4</v>
      </c>
      <c r="E254" s="223" t="str">
        <f t="shared" ca="1" si="184"/>
        <v>Industrial heating technology Vehicles RH - Gas boiler (Hot Water- condensing) - new 4</v>
      </c>
      <c r="F254" s="279" t="s">
        <v>450</v>
      </c>
      <c r="G254" s="279" t="s">
        <v>449</v>
      </c>
      <c r="H254" s="278"/>
      <c r="I254" s="278"/>
      <c r="J254" s="281" t="s">
        <v>469</v>
      </c>
    </row>
    <row r="255" spans="1:10">
      <c r="B255" s="223"/>
      <c r="C255" s="222" t="str">
        <f t="shared" ca="1" si="181"/>
        <v>DMD</v>
      </c>
      <c r="D255" s="223" t="str">
        <f t="shared" ca="1" si="183"/>
        <v>INDVDHTDH2N5</v>
      </c>
      <c r="E255" s="223" t="str">
        <f t="shared" ca="1" si="184"/>
        <v>Industrial heating technology Vehicles HT - Gas boiler (Direct firing) - new 5</v>
      </c>
      <c r="F255" s="279" t="s">
        <v>450</v>
      </c>
      <c r="G255" s="279" t="s">
        <v>449</v>
      </c>
      <c r="H255" s="278"/>
      <c r="I255" s="278"/>
      <c r="J255" s="281" t="s">
        <v>469</v>
      </c>
    </row>
    <row r="256" spans="1:10">
      <c r="B256" s="223"/>
      <c r="C256" s="222" t="str">
        <f t="shared" ca="1" si="181"/>
        <v>DMD</v>
      </c>
      <c r="D256" s="223" t="str">
        <f t="shared" ca="1" si="183"/>
        <v>INDVDMTDH2N5</v>
      </c>
      <c r="E256" s="223" t="str">
        <f t="shared" ca="1" si="184"/>
        <v>Industrial heating technology Vehicles MT - Gas boiler (Direct firing) - new 5</v>
      </c>
      <c r="F256" s="279" t="s">
        <v>450</v>
      </c>
      <c r="G256" s="279" t="s">
        <v>449</v>
      </c>
      <c r="H256" s="278"/>
      <c r="I256" s="278"/>
      <c r="J256" s="281" t="s">
        <v>469</v>
      </c>
    </row>
    <row r="257" spans="2:10">
      <c r="B257" s="223"/>
      <c r="C257" s="222" t="str">
        <f t="shared" ca="1" si="181"/>
        <v>DMD</v>
      </c>
      <c r="D257" s="223" t="str">
        <f t="shared" ca="1" si="183"/>
        <v>INDVDHTCOAN1</v>
      </c>
      <c r="E257" s="223" t="str">
        <f t="shared" ca="1" si="184"/>
        <v>Industrial heating technology Vehicles HT - Coal boiler (Steam) - new 1</v>
      </c>
      <c r="F257" s="279" t="s">
        <v>450</v>
      </c>
      <c r="G257" s="279" t="s">
        <v>449</v>
      </c>
      <c r="H257" s="278"/>
      <c r="I257" s="278"/>
      <c r="J257" s="281" t="s">
        <v>469</v>
      </c>
    </row>
    <row r="258" spans="2:10">
      <c r="B258" s="223"/>
      <c r="C258" s="222" t="str">
        <f t="shared" ca="1" si="181"/>
        <v>DMD</v>
      </c>
      <c r="D258" s="223" t="str">
        <f t="shared" ca="1" si="183"/>
        <v>INDVDMTCOAN1</v>
      </c>
      <c r="E258" s="223" t="str">
        <f t="shared" ca="1" si="184"/>
        <v>Industrial heating technology Vehicles MT - Coal boiler (Steam) - new 1</v>
      </c>
      <c r="F258" s="279" t="s">
        <v>450</v>
      </c>
      <c r="G258" s="279" t="s">
        <v>449</v>
      </c>
      <c r="H258" s="278"/>
      <c r="I258" s="278"/>
      <c r="J258" s="281" t="s">
        <v>469</v>
      </c>
    </row>
    <row r="259" spans="2:10">
      <c r="B259" s="223"/>
      <c r="C259" s="222" t="str">
        <f t="shared" ca="1" si="181"/>
        <v>DMD</v>
      </c>
      <c r="D259" s="223" t="str">
        <f t="shared" ca="1" si="183"/>
        <v>INDVDRHCOAN1</v>
      </c>
      <c r="E259" s="223" t="str">
        <f t="shared" ca="1" si="184"/>
        <v>Industrial heating technology Vehicles RH - Coal boiler (Steam) - new 1</v>
      </c>
      <c r="F259" s="279" t="s">
        <v>450</v>
      </c>
      <c r="G259" s="279" t="s">
        <v>449</v>
      </c>
      <c r="H259" s="278"/>
      <c r="I259" s="278"/>
      <c r="J259" s="281" t="s">
        <v>469</v>
      </c>
    </row>
    <row r="260" spans="2:10">
      <c r="B260" s="223"/>
      <c r="C260" s="222" t="str">
        <f t="shared" ca="1" si="181"/>
        <v>DMD</v>
      </c>
      <c r="D260" s="223" t="str">
        <f t="shared" ca="1" si="183"/>
        <v>INDVDMTCOAN2</v>
      </c>
      <c r="E260" s="223" t="str">
        <f t="shared" ca="1" si="184"/>
        <v>Industrial heating technology Vehicles MT - Coal boiler (Hot Water) - new 2</v>
      </c>
      <c r="F260" s="279" t="s">
        <v>450</v>
      </c>
      <c r="G260" s="279" t="s">
        <v>449</v>
      </c>
      <c r="H260" s="278"/>
      <c r="I260" s="278"/>
      <c r="J260" s="281" t="s">
        <v>469</v>
      </c>
    </row>
    <row r="261" spans="2:10">
      <c r="B261" s="223"/>
      <c r="C261" s="222" t="str">
        <f t="shared" ca="1" si="181"/>
        <v>DMD</v>
      </c>
      <c r="D261" s="223" t="str">
        <f t="shared" ca="1" si="183"/>
        <v>INDVDRHCOAN2</v>
      </c>
      <c r="E261" s="223" t="str">
        <f t="shared" ca="1" si="184"/>
        <v>Industrial heating technology Vehicles RH - Coal boiler (Hot Water) - new 2</v>
      </c>
      <c r="F261" s="279" t="s">
        <v>450</v>
      </c>
      <c r="G261" s="279" t="s">
        <v>449</v>
      </c>
      <c r="H261" s="278"/>
      <c r="I261" s="278"/>
      <c r="J261" s="281" t="s">
        <v>469</v>
      </c>
    </row>
    <row r="262" spans="2:10">
      <c r="B262" s="223"/>
      <c r="C262" s="222" t="str">
        <f t="shared" ca="1" si="181"/>
        <v>DMD</v>
      </c>
      <c r="D262" s="223" t="str">
        <f t="shared" ca="1" si="183"/>
        <v>INDVDRHSOLN1</v>
      </c>
      <c r="E262" s="223" t="str">
        <f t="shared" ca="1" si="184"/>
        <v>Industrial heating technology Vehicles RH - Solar - new 1</v>
      </c>
      <c r="F262" s="279" t="s">
        <v>450</v>
      </c>
      <c r="G262" s="279" t="s">
        <v>449</v>
      </c>
      <c r="H262" s="334" t="s">
        <v>665</v>
      </c>
      <c r="I262" s="278"/>
      <c r="J262" s="281" t="s">
        <v>469</v>
      </c>
    </row>
    <row r="263" spans="2:10">
      <c r="B263" s="223"/>
      <c r="C263" s="222" t="str">
        <f t="shared" si="181"/>
        <v>DMD</v>
      </c>
      <c r="D263" s="949" t="str">
        <f>D187</f>
        <v>INDVDRHHCEN1</v>
      </c>
      <c r="E263" s="949" t="str">
        <f t="shared" ca="1" si="184"/>
        <v>Industrial heating technology Vehicles RH - central district heating - within DH area - new 1</v>
      </c>
      <c r="F263" s="279" t="s">
        <v>450</v>
      </c>
      <c r="G263" s="279" t="s">
        <v>449</v>
      </c>
      <c r="H263" s="334" t="s">
        <v>665</v>
      </c>
      <c r="I263" s="950"/>
      <c r="J263" s="280" t="s">
        <v>469</v>
      </c>
    </row>
    <row r="264" spans="2:10">
      <c r="B264" s="223"/>
      <c r="C264" s="222" t="str">
        <f t="shared" si="181"/>
        <v>DMD</v>
      </c>
      <c r="D264" s="223" t="str">
        <f t="shared" ref="D264" si="185">D188</f>
        <v>INDVDRHHDEN1</v>
      </c>
      <c r="E264" s="223" t="str">
        <f t="shared" ca="1" si="184"/>
        <v>Industrial heating technology Vehicles RH - decentral district heating - within DH area - new 1</v>
      </c>
      <c r="F264" s="279" t="s">
        <v>450</v>
      </c>
      <c r="G264" s="279" t="s">
        <v>449</v>
      </c>
      <c r="H264" s="334" t="s">
        <v>665</v>
      </c>
      <c r="I264" s="278"/>
      <c r="J264" s="281" t="s">
        <v>469</v>
      </c>
    </row>
    <row r="265" spans="2:10">
      <c r="B265" s="223"/>
      <c r="C265" s="222" t="str">
        <f t="shared" si="181"/>
        <v>DMD</v>
      </c>
      <c r="D265" s="223" t="str">
        <f>D190</f>
        <v>INDVDLAELCN1</v>
      </c>
      <c r="E265" s="223" t="str">
        <f t="shared" ca="1" si="184"/>
        <v>Industry Vehicles LA Electricity Light Appliance - New 1</v>
      </c>
      <c r="F265" s="279" t="s">
        <v>450</v>
      </c>
      <c r="G265" s="279" t="s">
        <v>449</v>
      </c>
      <c r="H265" s="334" t="s">
        <v>665</v>
      </c>
      <c r="I265" s="278"/>
      <c r="J265" s="281" t="s">
        <v>469</v>
      </c>
    </row>
    <row r="266" spans="2:10">
      <c r="B266" s="223"/>
      <c r="C266" s="222" t="str">
        <f t="shared" si="181"/>
        <v>DMD</v>
      </c>
      <c r="D266" s="223" t="str">
        <f>D194</f>
        <v>INDVDEMELCN1</v>
      </c>
      <c r="E266" s="223" t="str">
        <f t="shared" ca="1" si="184"/>
        <v>Industry Vehicles EM Electricity Motors - New 1</v>
      </c>
      <c r="F266" s="279" t="s">
        <v>450</v>
      </c>
      <c r="G266" s="279" t="s">
        <v>449</v>
      </c>
      <c r="H266" s="334" t="s">
        <v>665</v>
      </c>
      <c r="I266" s="278"/>
      <c r="J266" s="281" t="s">
        <v>469</v>
      </c>
    </row>
    <row r="267" spans="2:10">
      <c r="B267" s="223"/>
      <c r="C267" s="222" t="str">
        <f t="shared" si="181"/>
        <v>DMD</v>
      </c>
      <c r="D267" s="223" t="str">
        <f>D198</f>
        <v>INDVDTFDSLN1</v>
      </c>
      <c r="E267" s="223" t="str">
        <f t="shared" ca="1" si="184"/>
        <v>Industry Vehicles TF Tractors, Trucks, Fishing boats - New 1</v>
      </c>
      <c r="F267" s="279" t="s">
        <v>450</v>
      </c>
      <c r="G267" s="279" t="s">
        <v>449</v>
      </c>
      <c r="H267" s="278"/>
      <c r="I267" s="278"/>
      <c r="J267" s="281" t="s">
        <v>469</v>
      </c>
    </row>
    <row r="268" spans="2:10">
      <c r="B268" s="223"/>
      <c r="C268" s="222" t="str">
        <f t="shared" si="181"/>
        <v>DMD</v>
      </c>
      <c r="D268" s="223" t="str">
        <f>D202</f>
        <v>INDVDFLDH2N1</v>
      </c>
      <c r="E268" s="223" t="str">
        <f t="shared" ca="1" si="184"/>
        <v>Industry Vehicles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IVDSOx</v>
      </c>
      <c r="E273" s="287" t="str">
        <f>"Industrial heating  heating technology "&amp;$AJ$12&amp;" - SOx emission"</f>
        <v>Industrial heating  heating technology Vehicles - SOx emission</v>
      </c>
      <c r="F273" s="231" t="s">
        <v>352</v>
      </c>
      <c r="G273" s="222"/>
      <c r="H273" s="222"/>
      <c r="I273" s="222"/>
      <c r="J273" s="222"/>
    </row>
    <row r="274" spans="2:10">
      <c r="B274" s="226"/>
      <c r="C274" s="226"/>
      <c r="D274" s="277" t="str">
        <f>"I"&amp;LEFT($AJ$12,1)&amp;"DNOx"</f>
        <v>IVDNOx</v>
      </c>
      <c r="E274" s="287" t="str">
        <f>"Industrial heating  heating technology "&amp;$AJ$12&amp;" - NOx emission"</f>
        <v>Industrial heating  heating technology Vehicles - NOx emission</v>
      </c>
      <c r="F274" s="231" t="s">
        <v>352</v>
      </c>
      <c r="G274" s="222"/>
      <c r="H274" s="226"/>
      <c r="I274" s="226"/>
      <c r="J274" s="226"/>
    </row>
    <row r="275" spans="2:10">
      <c r="B275" s="226"/>
      <c r="C275" s="226"/>
      <c r="D275" s="277" t="str">
        <f>"I"&amp;LEFT($AJ$12,1)&amp;"DCH4"</f>
        <v>IVDCH4</v>
      </c>
      <c r="E275" s="287" t="str">
        <f>"Industrial heating  heating technology "&amp;$AJ$12&amp;" - CH4 emission"</f>
        <v>Industrial heating  heating technology Vehicles - CH4 emission</v>
      </c>
      <c r="F275" s="231" t="s">
        <v>352</v>
      </c>
      <c r="G275" s="222"/>
      <c r="H275" s="226"/>
      <c r="I275" s="226"/>
      <c r="J275" s="226"/>
    </row>
    <row r="276" spans="2:10">
      <c r="B276" s="226"/>
      <c r="C276" s="226"/>
      <c r="D276" s="277" t="str">
        <f>"I"&amp;LEFT($AJ$12,1)&amp;"DNO2"</f>
        <v>IVDNO2</v>
      </c>
      <c r="E276" s="287" t="str">
        <f>"Industrial heating  heating technology "&amp;$AJ$12&amp;" - NO2 emission"</f>
        <v>Industrial heating  heating technology Vehicles - NO2 emission</v>
      </c>
      <c r="F276" s="231" t="s">
        <v>352</v>
      </c>
      <c r="G276" s="222"/>
      <c r="H276" s="226"/>
      <c r="I276" s="226"/>
      <c r="J276" s="226"/>
    </row>
    <row r="277" spans="2:10">
      <c r="B277" s="226"/>
      <c r="C277" s="226"/>
      <c r="D277" s="277" t="str">
        <f>"I"&amp;LEFT($AJ$12,1)&amp;"DPM"</f>
        <v>IVDPM</v>
      </c>
      <c r="E277" s="287" t="str">
        <f>"Industrial heating  heating technology "&amp;$AJ$12&amp;" - Particle emission"</f>
        <v>Industrial heating  heating technology Vehicles - Particle emission</v>
      </c>
      <c r="F277" s="231" t="s">
        <v>352</v>
      </c>
      <c r="G277" s="222"/>
      <c r="H277" s="226"/>
      <c r="I277" s="226"/>
      <c r="J277" s="226"/>
    </row>
    <row r="278" spans="2:10">
      <c r="B278" s="239" t="s">
        <v>1182</v>
      </c>
      <c r="D278" s="239" t="str">
        <f>AI20</f>
        <v>INDVWH</v>
      </c>
      <c r="E278" s="287" t="str">
        <f>"Industrial heating technology "&amp;$AJ$12&amp;" - Waste heat"</f>
        <v>Industrial heating technology Vehicles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AE2F8FF-0AE3-4F75-A812-6EBFB44F3796}">
          <x14:formula1>
            <xm:f>'Oil-fired boiler_NEW'!$T$4:$X$4</xm:f>
          </x14:formula1>
          <xm:sqref>E1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1D02-BE75-4EFB-B97F-D3EE64D18BEC}">
  <sheetPr>
    <tabColor rgb="FF00B050"/>
  </sheetPr>
  <dimension ref="A1:AP281"/>
  <sheetViews>
    <sheetView topLeftCell="F79"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841</v>
      </c>
      <c r="N1" s="64"/>
      <c r="O1" s="64"/>
      <c r="P1" s="64"/>
      <c r="S1" s="787" t="s">
        <v>1129</v>
      </c>
      <c r="T1" s="836" t="s">
        <v>1128</v>
      </c>
      <c r="U1" s="835" t="s">
        <v>1178</v>
      </c>
      <c r="V1" s="836" t="s">
        <v>1179</v>
      </c>
      <c r="W1" s="840">
        <v>0.3</v>
      </c>
    </row>
    <row r="2" spans="2:42" ht="15" thickBot="1">
      <c r="E2" s="790" t="s">
        <v>752</v>
      </c>
      <c r="N2" s="791"/>
      <c r="O2" s="791"/>
      <c r="P2" s="791"/>
      <c r="S2" s="786">
        <v>15</v>
      </c>
      <c r="T2" s="971">
        <v>15</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"FEMIS~"&amp;D276</f>
        <v>FEMIS~IPDSOx</v>
      </c>
      <c r="Y6" s="299" t="str">
        <f>"FEMIS~"&amp;D277</f>
        <v>FEMIS~IPDNOx</v>
      </c>
      <c r="Z6" s="299" t="str">
        <f>"FEMIS~"&amp;D278</f>
        <v>FEMIS~IPDCH4</v>
      </c>
      <c r="AA6" s="299" t="str">
        <f>"FEMIS~"&amp;D279</f>
        <v>FEMIS~IPDNO2</v>
      </c>
      <c r="AB6" s="299" t="str">
        <f>"FEMIS~"&amp;D280</f>
        <v>FEMIS~IPDPM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v>
      </c>
      <c r="E9" s="278" t="str">
        <f>"Industrial heating technology "&amp;$AJ$12&amp;" "&amp;RIGHT(H9,2)&amp;" - Heat pump utilizing waste heat - new 1"</f>
        <v>Industrial heating technology Paper &amp; Pulp MT - Heat pump utilizing waste heat - new 1</v>
      </c>
      <c r="F9" s="239" t="s">
        <v>1274</v>
      </c>
      <c r="G9" s="176" t="s">
        <v>500</v>
      </c>
      <c r="H9" s="177" t="str">
        <f>$AI$14</f>
        <v>IRDMT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0.95</v>
      </c>
      <c r="T9" s="206">
        <f ca="1">IF(HLOOKUP($T$2,INDIRECT("'"&amp;$B9&amp;"'!"&amp;"$P$6:$AE$19"),IF(H9=$AI$13,6,IF(H9=$AI$14,9,14)),FALSE)&lt;0.03,0,HLOOKUP($T$2,INDIRECT("'"&amp;$B9&amp;"'!"&amp;"$P$6:$AE$19"),IF(H9=$AI$13,6,IF(H9=$AI$14,9,14)),FALSE))</f>
        <v>0</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v>
      </c>
      <c r="E10" s="278"/>
      <c r="F10" s="239" t="s">
        <v>1274</v>
      </c>
      <c r="G10" s="176" t="str">
        <f>$AI$20</f>
        <v>INDRWH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v>
      </c>
      <c r="E11" s="223"/>
      <c r="F11" s="239" t="s">
        <v>1274</v>
      </c>
      <c r="G11" s="176" t="s">
        <v>500</v>
      </c>
      <c r="H11" s="177" t="str">
        <f>$AI$14</f>
        <v>IRDMT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v>
      </c>
      <c r="E12" s="223"/>
      <c r="F12" s="239" t="s">
        <v>1274</v>
      </c>
      <c r="G12" s="176" t="str">
        <f>$AI$20</f>
        <v>INDRWH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Paper &amp; Pulp</v>
      </c>
    </row>
    <row r="13" spans="2:42">
      <c r="B13" s="393" t="s">
        <v>1123</v>
      </c>
      <c r="D13" s="223" t="str">
        <f ca="1">IF(T9=0,"*",IF(T13&gt;0,"IND"&amp;RIGHT(H9,4)&amp;RIGHT(G9,3)&amp;"N"&amp;RIGHT(E9,1),""))</f>
        <v>*</v>
      </c>
      <c r="E13" s="223"/>
      <c r="F13" s="239" t="s">
        <v>1274</v>
      </c>
      <c r="G13" s="176" t="s">
        <v>500</v>
      </c>
      <c r="H13" s="177" t="str">
        <f>$AI$14</f>
        <v>IRDMT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IRDHT</v>
      </c>
      <c r="AJ13" s="239" t="str">
        <f>AP14</f>
        <v>Paper &amp; Pulp industry Demand Heat High Temp. over 150C</v>
      </c>
      <c r="AO13" s="239" t="s">
        <v>1414</v>
      </c>
      <c r="AP13" s="239" t="s">
        <v>1415</v>
      </c>
    </row>
    <row r="14" spans="2:42">
      <c r="B14" s="393" t="s">
        <v>1123</v>
      </c>
      <c r="D14" s="223" t="str">
        <f ca="1">IF(T9=0,"*",IF(T14&gt;0,"IND"&amp;RIGHT(H9,4)&amp;RIGHT(G9,3)&amp;"N"&amp;RIGHT(E9,1),""))</f>
        <v>*</v>
      </c>
      <c r="E14" s="223"/>
      <c r="F14" s="239" t="s">
        <v>1274</v>
      </c>
      <c r="G14" s="176" t="str">
        <f>$AI$20</f>
        <v>INDRWH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IRDMT</v>
      </c>
      <c r="AJ14" s="239" t="str">
        <f>AP13</f>
        <v>Paper &amp; Pulp industry Demand Heat Medium Temp. up to 150C</v>
      </c>
      <c r="AO14" s="239" t="s">
        <v>1416</v>
      </c>
      <c r="AP14" s="239" t="s">
        <v>1417</v>
      </c>
    </row>
    <row r="15" spans="2:42">
      <c r="B15" s="393" t="s">
        <v>1123</v>
      </c>
      <c r="D15" s="223" t="str">
        <f ca="1">IF(T15=0,"*",IF(T15&gt;0,"IND"&amp;RIGHT(H15,4)&amp;RIGHT(G15,3)&amp;"N"&amp;RIGHT(E15,1),""))</f>
        <v>INDRDRHELCN1</v>
      </c>
      <c r="E15" s="278" t="str">
        <f>"Industrial heating technology "&amp;$AJ$12&amp;" "&amp;RIGHT(H15,2)&amp;" - Heat pump utilizing waste heat - new 1"</f>
        <v>Industrial heating technology Paper &amp; Pulp RH - Heat pump utilizing waste heat - new 1</v>
      </c>
      <c r="F15" s="239" t="s">
        <v>1274</v>
      </c>
      <c r="G15" s="176" t="s">
        <v>500</v>
      </c>
      <c r="H15" s="177" t="str">
        <f>$AI$15</f>
        <v>IRDRH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0.95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IRDRH</v>
      </c>
      <c r="AJ15" s="239" t="str">
        <f>AP15</f>
        <v>Paper &amp; Pulp industry Demand Heat Room Heat</v>
      </c>
      <c r="AO15" s="239" t="s">
        <v>1418</v>
      </c>
      <c r="AP15" s="239" t="s">
        <v>1419</v>
      </c>
    </row>
    <row r="16" spans="2:42">
      <c r="B16" s="393" t="s">
        <v>1123</v>
      </c>
      <c r="D16" s="223" t="str">
        <f ca="1">IF(T15=0,"*",IF(T16&gt;0,"IND"&amp;RIGHT(H15,4)&amp;RIGHT(G15,3)&amp;"N"&amp;RIGHT(E15,1),""))</f>
        <v/>
      </c>
      <c r="E16" s="278"/>
      <c r="F16" s="239" t="s">
        <v>1274</v>
      </c>
      <c r="G16" s="176" t="str">
        <f>$AI$20</f>
        <v>INDRWH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IRDLA</v>
      </c>
      <c r="AJ16" s="239" t="str">
        <f t="shared" si="6"/>
        <v>Paper &amp; Pulp industry Demand Light</v>
      </c>
      <c r="AO16" s="239" t="s">
        <v>1420</v>
      </c>
      <c r="AP16" s="239" t="s">
        <v>1421</v>
      </c>
    </row>
    <row r="17" spans="2:42">
      <c r="B17" s="393" t="s">
        <v>1123</v>
      </c>
      <c r="D17" s="223" t="str">
        <f ca="1">IF(T15=0,"*",IF(T17&gt;0,"IND"&amp;RIGHT(H15,4)&amp;RIGHT(G15,3)&amp;"N"&amp;RIGHT(E15,1),""))</f>
        <v/>
      </c>
      <c r="E17" s="223"/>
      <c r="F17" s="239" t="s">
        <v>1274</v>
      </c>
      <c r="G17" s="176" t="s">
        <v>500</v>
      </c>
      <c r="H17" s="177" t="str">
        <f>$AI$15</f>
        <v>IRDRH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IRDEM</v>
      </c>
      <c r="AJ17" s="239" t="str">
        <f t="shared" si="6"/>
        <v>Paper &amp; Pulp industry Demand Electric Motors</v>
      </c>
      <c r="AO17" s="239" t="s">
        <v>1422</v>
      </c>
      <c r="AP17" s="239" t="s">
        <v>1423</v>
      </c>
    </row>
    <row r="18" spans="2:42">
      <c r="B18" s="393" t="s">
        <v>1123</v>
      </c>
      <c r="D18" s="223" t="str">
        <f ca="1">IF(T15=0,"*",IF(T18&gt;0,"IND"&amp;RIGHT(H15,4)&amp;RIGHT(G15,3)&amp;"N"&amp;RIGHT(E15,1),""))</f>
        <v/>
      </c>
      <c r="E18" s="223"/>
      <c r="F18" s="239" t="s">
        <v>1274</v>
      </c>
      <c r="G18" s="176" t="str">
        <f>$AI$20</f>
        <v>INDRWH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IRDTF</v>
      </c>
      <c r="AJ18" s="239" t="str">
        <f t="shared" si="6"/>
        <v>Paper &amp; Pulp industry Demand Haulage Tractors, Trucks, Fishing boats, Forest machines</v>
      </c>
      <c r="AO18" s="239" t="s">
        <v>1424</v>
      </c>
      <c r="AP18" s="239" t="s">
        <v>1425</v>
      </c>
    </row>
    <row r="19" spans="2:42">
      <c r="B19" s="393" t="s">
        <v>1123</v>
      </c>
      <c r="D19" s="223" t="str">
        <f ca="1">IF(T15=0,"*",IF(T19&gt;0,"IND"&amp;RIGHT(H15,4)&amp;RIGHT(G15,3)&amp;"N"&amp;RIGHT(E15,1),""))</f>
        <v/>
      </c>
      <c r="E19" s="223"/>
      <c r="F19" s="239" t="s">
        <v>1274</v>
      </c>
      <c r="G19" s="176" t="s">
        <v>500</v>
      </c>
      <c r="H19" s="177" t="str">
        <f>$AI$15</f>
        <v>IRDRH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IRDFL</v>
      </c>
      <c r="AJ19" s="239" t="str">
        <f t="shared" si="6"/>
        <v>Paper &amp; Pulp industry Demand Haulage Forklifts</v>
      </c>
      <c r="AO19" s="239" t="s">
        <v>1426</v>
      </c>
      <c r="AP19" s="239" t="s">
        <v>1427</v>
      </c>
    </row>
    <row r="20" spans="2:42">
      <c r="B20" s="393" t="s">
        <v>1123</v>
      </c>
      <c r="D20" s="223" t="str">
        <f ca="1">IF(T15=0,"*",IF(T20&gt;0,"IND"&amp;RIGHT(H15,4)&amp;RIGHT(G15,3)&amp;"N"&amp;RIGHT(E15,1),""))</f>
        <v/>
      </c>
      <c r="E20" s="223"/>
      <c r="F20" s="239" t="s">
        <v>1274</v>
      </c>
      <c r="G20" s="176" t="str">
        <f>$AI$20</f>
        <v>INDRWH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INDRWH</v>
      </c>
      <c r="AJ20" s="239" t="str">
        <f>$AJ$12&amp;" Industrial Waste Heat"</f>
        <v>Paper &amp; Pulp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Paper &amp; Pulp MT - Heat driven heat pump utilizing waste heat - new 2</v>
      </c>
      <c r="F21" s="239" t="s">
        <v>1274</v>
      </c>
      <c r="G21" s="176" t="s">
        <v>500</v>
      </c>
      <c r="H21" s="177" t="str">
        <f>$AI$14</f>
        <v>IRDMT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0.95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INDRWH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IRDMT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INDRWH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IRDMT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INDRWH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INDRDRHELCN2</v>
      </c>
      <c r="E27" s="278" t="str">
        <f>"Industrial heating technology "&amp;$AJ$12&amp;" "&amp;RIGHT(H27,2)&amp;" - Heat driven heat pump utilizing waste heat - new 2"</f>
        <v>Industrial heating technology Paper &amp; Pulp RH - Heat driven heat pump utilizing waste heat - new 2</v>
      </c>
      <c r="F27" s="239" t="s">
        <v>1274</v>
      </c>
      <c r="G27" s="176" t="s">
        <v>500</v>
      </c>
      <c r="H27" s="177" t="str">
        <f>$AI$15</f>
        <v>IRDRH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0.95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INDRWH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IRDRH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INDRWH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IRDRH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INDRWH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v>
      </c>
      <c r="E33" s="278" t="str">
        <f>"Industrial heating technology "&amp;$AJ$12&amp;" "&amp;RIGHT(H33,2)&amp;" - High Temp abs. Heat pump utilizing waste heat - new 3"</f>
        <v>Industrial heating technology Paper &amp; Pulp MT - High Temp abs. Heat pump utilizing waste heat - new 3</v>
      </c>
      <c r="F33" s="239" t="s">
        <v>1274</v>
      </c>
      <c r="G33" s="176" t="s">
        <v>500</v>
      </c>
      <c r="H33" s="177" t="str">
        <f>$AI$14</f>
        <v>IRDMT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0.95</v>
      </c>
      <c r="T33" s="206">
        <f ca="1">IF(HLOOKUP($T$2,INDIRECT("'"&amp;$B33&amp;"'!"&amp;"$P$6:$AE$19"),IF(H33=$AI$13,6,IF(H33=$AI$14,9,14)),FALSE)&lt;0.03,0,HLOOKUP($T$2,INDIRECT("'"&amp;$B33&amp;"'!"&amp;"$P$6:$AE$19"),IF(H33=$AI$13,6,IF(H33=$AI$14,9,14)),FALSE))</f>
        <v>0</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v>
      </c>
      <c r="E34" s="278"/>
      <c r="F34" s="239" t="s">
        <v>1274</v>
      </c>
      <c r="G34" s="176" t="str">
        <f>$AI$20</f>
        <v>INDRWH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v>
      </c>
      <c r="E35" s="223"/>
      <c r="F35" s="239" t="s">
        <v>1274</v>
      </c>
      <c r="G35" s="176" t="s">
        <v>500</v>
      </c>
      <c r="H35" s="177" t="str">
        <f>$AI$14</f>
        <v>IRDMT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v>
      </c>
      <c r="E36" s="223"/>
      <c r="F36" s="239" t="s">
        <v>1274</v>
      </c>
      <c r="G36" s="176" t="str">
        <f>$AI$20</f>
        <v>INDRWH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v>
      </c>
      <c r="E37" s="223"/>
      <c r="F37" s="239" t="s">
        <v>1274</v>
      </c>
      <c r="G37" s="176" t="s">
        <v>500</v>
      </c>
      <c r="H37" s="177" t="str">
        <f>$AI$14</f>
        <v>IRDMT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v>
      </c>
      <c r="E38" s="223"/>
      <c r="F38" s="239" t="s">
        <v>1274</v>
      </c>
      <c r="G38" s="176" t="str">
        <f>$AI$20</f>
        <v>INDRWH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INDRDRHELCN3</v>
      </c>
      <c r="E39" s="278" t="str">
        <f>"Industrial heating technology "&amp;$AJ$12&amp;" "&amp;RIGHT(H39,2)&amp;" - High Temp abs. Heat pump utilizing waste heat - new 3"</f>
        <v>Industrial heating technology Paper &amp; Pulp RH - High Temp abs. Heat pump utilizing waste heat - new 3</v>
      </c>
      <c r="F39" s="239" t="s">
        <v>1274</v>
      </c>
      <c r="G39" s="176" t="s">
        <v>500</v>
      </c>
      <c r="H39" s="177" t="str">
        <f>$AI$15</f>
        <v>IRDRH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0.95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INDRWH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IRDRH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INDRWH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IRDRH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INDRWH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v>
      </c>
      <c r="E45" s="278" t="str">
        <f>"Industrial heating technology "&amp;$AJ$12&amp;" "&amp;RIGHT(H45,2)&amp;" - Booster Heat pump utilizing waste heat - new 4"</f>
        <v>Industrial heating technology Paper &amp; Pulp MT - Booster Heat pump utilizing waste heat - new 4</v>
      </c>
      <c r="F45" s="239" t="s">
        <v>1274</v>
      </c>
      <c r="G45" s="176" t="s">
        <v>500</v>
      </c>
      <c r="H45" s="177" t="str">
        <f>$AI$14</f>
        <v>IRDMT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0.95</v>
      </c>
      <c r="T45" s="206">
        <f ca="1">IF(HLOOKUP($T$2,INDIRECT("'"&amp;$B45&amp;"'!"&amp;"$P$6:$AE$19"),IF(H45=$AI$13,6,IF(H45=$AI$14,9,14)),FALSE)&lt;0.03,0,HLOOKUP($T$2,INDIRECT("'"&amp;$B45&amp;"'!"&amp;"$P$6:$AE$19"),IF(H45=$AI$13,6,IF(H45=$AI$14,9,14)),FALSE))</f>
        <v>0</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v>
      </c>
      <c r="E46" s="278"/>
      <c r="F46" s="239" t="s">
        <v>1274</v>
      </c>
      <c r="G46" s="176" t="str">
        <f>$AI$20</f>
        <v>INDRWH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v>
      </c>
      <c r="E47" s="223"/>
      <c r="F47" s="239" t="s">
        <v>1274</v>
      </c>
      <c r="G47" s="176" t="s">
        <v>500</v>
      </c>
      <c r="H47" s="177" t="str">
        <f>$AI$14</f>
        <v>IRDMT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v>
      </c>
      <c r="E48" s="223"/>
      <c r="F48" s="239" t="s">
        <v>1274</v>
      </c>
      <c r="G48" s="176" t="str">
        <f>$AI$20</f>
        <v>INDRWH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v>
      </c>
      <c r="E49" s="223"/>
      <c r="F49" s="239" t="s">
        <v>1274</v>
      </c>
      <c r="G49" s="176" t="s">
        <v>500</v>
      </c>
      <c r="H49" s="177" t="str">
        <f>$AI$14</f>
        <v>IRDMT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v>
      </c>
      <c r="E50" s="223"/>
      <c r="F50" s="239" t="s">
        <v>1274</v>
      </c>
      <c r="G50" s="176" t="str">
        <f>$AI$20</f>
        <v>INDRWH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INDRDRHELCN4</v>
      </c>
      <c r="E51" s="278" t="str">
        <f>"Industrial heating technology "&amp;$AJ$12&amp;" "&amp;RIGHT(H51,2)&amp;" - Booster Heat pump utilizing waste heat - new 4"</f>
        <v>Industrial heating technology Paper &amp; Pulp RH - Booster Heat pump utilizing waste heat - new 4</v>
      </c>
      <c r="F51" s="239" t="s">
        <v>1274</v>
      </c>
      <c r="G51" s="176" t="s">
        <v>500</v>
      </c>
      <c r="H51" s="177" t="str">
        <f>$AI$15</f>
        <v>IRDRH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0.95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INDRWH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IRDRH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INDRWH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IRDRH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INDRWH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v>
      </c>
      <c r="E57" s="278" t="str">
        <f>"Industrial heating technology "&amp;$AJ$12&amp;" "&amp;RIGHT(H57,2)&amp;" - MVR utilizing waste heat - new 5"</f>
        <v>Industrial heating technology Paper &amp; Pulp MT - MVR utilizing waste heat - new 5</v>
      </c>
      <c r="F57" s="239" t="s">
        <v>1274</v>
      </c>
      <c r="G57" s="176" t="s">
        <v>500</v>
      </c>
      <c r="H57" s="177" t="str">
        <f>$AI$14</f>
        <v>IRDMT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0.95</v>
      </c>
      <c r="T57" s="206">
        <f ca="1">IF(HLOOKUP($T$2,INDIRECT("'"&amp;$B57&amp;"'!"&amp;"$P$6:$AE$19"),IF(H57=$AI$13,6,IF(H57=$AI$14,9,14)),FALSE)&lt;0.03,0,HLOOKUP($T$2,INDIRECT("'"&amp;$B57&amp;"'!"&amp;"$P$6:$AE$19"),IF(H57=$AI$13,6,IF(H57=$AI$14,9,14)),FALSE))</f>
        <v>0</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v>
      </c>
      <c r="E58" s="278"/>
      <c r="F58" s="239" t="s">
        <v>1274</v>
      </c>
      <c r="G58" s="176" t="str">
        <f>$AI$20</f>
        <v>INDRWH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v>
      </c>
      <c r="E59" s="223"/>
      <c r="F59" s="239" t="s">
        <v>1274</v>
      </c>
      <c r="G59" s="176" t="s">
        <v>500</v>
      </c>
      <c r="H59" s="177" t="str">
        <f>$AI$14</f>
        <v>IRDMT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v>
      </c>
      <c r="E60" s="223"/>
      <c r="F60" s="239" t="s">
        <v>1274</v>
      </c>
      <c r="G60" s="176" t="str">
        <f>$AI$20</f>
        <v>INDRWH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v>
      </c>
      <c r="E61" s="223"/>
      <c r="F61" s="239" t="s">
        <v>1274</v>
      </c>
      <c r="G61" s="176" t="s">
        <v>500</v>
      </c>
      <c r="H61" s="177" t="str">
        <f>$AI$14</f>
        <v>IRDMT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v>
      </c>
      <c r="E62" s="792"/>
      <c r="F62" s="239" t="s">
        <v>1274</v>
      </c>
      <c r="G62" s="848" t="str">
        <f>$AI$20</f>
        <v>INDRWH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Paper &amp; Pulp HT - Hotdisc - new 1</v>
      </c>
      <c r="F63" s="239" t="s">
        <v>1274</v>
      </c>
      <c r="G63" s="892" t="s">
        <v>1130</v>
      </c>
      <c r="H63" s="177" t="str">
        <f>$AI$13</f>
        <v>IRDHT</v>
      </c>
      <c r="I63" s="176" t="str">
        <f t="shared" ref="I63:I87" si="53">$AI$20</f>
        <v>INDRWH</v>
      </c>
      <c r="J63" s="239">
        <f t="shared" ref="J63:J87"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206">
        <v>0.95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87"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INDRWH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INDRWH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Paper &amp; Pulp MT - Dielectric heating - new 6</v>
      </c>
      <c r="F66" s="239" t="s">
        <v>1274</v>
      </c>
      <c r="G66" s="176" t="s">
        <v>500</v>
      </c>
      <c r="H66" s="177" t="str">
        <f>$AI$14</f>
        <v>IRDMT</v>
      </c>
      <c r="I66" s="176" t="str">
        <f t="shared" si="53"/>
        <v>INDRWH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0.95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INDRWH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INDRWH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Paper &amp; Pulp MT - Infrared heating - new 7</v>
      </c>
      <c r="F69" s="239" t="s">
        <v>1274</v>
      </c>
      <c r="G69" s="176" t="s">
        <v>500</v>
      </c>
      <c r="H69" s="177" t="str">
        <f>$AI$14</f>
        <v>IRDMT</v>
      </c>
      <c r="I69" s="176" t="str">
        <f t="shared" si="53"/>
        <v>INDRWH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0.95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v>
      </c>
      <c r="E70" s="223"/>
      <c r="F70" s="239" t="s">
        <v>1274</v>
      </c>
      <c r="H70" s="177"/>
      <c r="I70" s="176" t="str">
        <f t="shared" si="53"/>
        <v>INDRWH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v>
      </c>
      <c r="E71" s="223"/>
      <c r="F71" s="239" t="s">
        <v>1274</v>
      </c>
      <c r="H71" s="177"/>
      <c r="I71" s="177" t="str">
        <f t="shared" si="53"/>
        <v>INDRWH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INDRDHTELCN8</v>
      </c>
      <c r="E72" s="278" t="str">
        <f>"Industrial heating technology "&amp;$AJ$12&amp;" "&amp;RIGHT(H72,2)&amp;" - Electric boiler (Steam) - new 8"</f>
        <v>Industrial heating technology Paper &amp; Pulp HT - Electric boiler (Steam) - new 8</v>
      </c>
      <c r="F72" s="239" t="s">
        <v>1274</v>
      </c>
      <c r="G72" s="176" t="s">
        <v>500</v>
      </c>
      <c r="H72" s="177" t="str">
        <f>$AI$13</f>
        <v>IRDHT</v>
      </c>
      <c r="I72" s="177" t="str">
        <f t="shared" si="53"/>
        <v>INDRWH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0.95</v>
      </c>
      <c r="T72" s="206">
        <f ca="1">IF(HLOOKUP($T$2,INDIRECT("'"&amp;$B72&amp;"'!"&amp;"$P$6:$AE$19"),IF(H72=$AI$13,6,IF(H72=$AI$14,9,14)),FALSE)&lt;0.03,0,HLOOKUP($T$2,INDIRECT("'"&amp;$B72&amp;"'!"&amp;"$P$6:$AE$19"),IF(H72=$AI$13,6,IF(H72=$AI$14,9,14)),FALSE))</f>
        <v>0.2</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INDRWH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INDRWH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INDRDMTELCN8</v>
      </c>
      <c r="E75" s="278" t="str">
        <f>"Industrial heating technology "&amp;$AJ$12&amp;" "&amp;RIGHT(H75,2)&amp;" - Electric boiler (Steam) - new 8"</f>
        <v>Industrial heating technology Paper &amp; Pulp MT - Electric boiler (Steam) - new 8</v>
      </c>
      <c r="F75" s="239" t="s">
        <v>1274</v>
      </c>
      <c r="G75" s="176" t="s">
        <v>500</v>
      </c>
      <c r="H75" s="177" t="str">
        <f>$AI$14</f>
        <v>IRDMT</v>
      </c>
      <c r="I75" s="177" t="str">
        <f t="shared" si="53"/>
        <v>INDRWH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0.95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INDRWH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INDRWH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v>
      </c>
      <c r="E78" s="278" t="str">
        <f>"Industrial heating technology "&amp;$AJ$12&amp;" "&amp;RIGHT(H78,2)&amp;" - Electric boiler (Steam) - new 8"</f>
        <v>Industrial heating technology Paper &amp; Pulp RH - Electric boiler (Steam) - new 8</v>
      </c>
      <c r="F78" s="239" t="s">
        <v>1274</v>
      </c>
      <c r="G78" s="176" t="s">
        <v>500</v>
      </c>
      <c r="H78" s="177" t="str">
        <f>$AI$15</f>
        <v>IRDRH</v>
      </c>
      <c r="I78" s="177" t="str">
        <f t="shared" si="53"/>
        <v>INDRWH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0.95</v>
      </c>
      <c r="T78" s="206">
        <f ca="1">IF(HLOOKUP($T$2,INDIRECT("'"&amp;$B78&amp;"'!"&amp;"$P$6:$AE$19"),IF(H78=$AI$13,6,IF(H78=$AI$14,9,14)),FALSE)&lt;0.03,0,HLOOKUP($T$2,INDIRECT("'"&amp;$B78&amp;"'!"&amp;"$P$6:$AE$19"),IF(H78=$AI$13,6,IF(H78=$AI$14,9,14)),FALSE))</f>
        <v>0</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v>
      </c>
      <c r="E79" s="223"/>
      <c r="F79" s="239" t="s">
        <v>1274</v>
      </c>
      <c r="H79" s="177"/>
      <c r="I79" s="177" t="str">
        <f t="shared" si="53"/>
        <v>INDRWH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v>
      </c>
      <c r="E80" s="223"/>
      <c r="F80" s="239" t="s">
        <v>1274</v>
      </c>
      <c r="H80" s="177"/>
      <c r="I80" s="177" t="str">
        <f t="shared" si="53"/>
        <v>INDRWH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INDRDMTELCN9</v>
      </c>
      <c r="E81" s="767" t="str">
        <f>"Industrial heating technology "&amp;$AJ$12&amp;" "&amp;RIGHT(H81,2)&amp;" - Electric boiler (Hot Water) - new 9"</f>
        <v>Industrial heating technology Paper &amp; Pulp MT - Electric boiler (Hot Water) - new 9</v>
      </c>
      <c r="F81" s="239" t="s">
        <v>1274</v>
      </c>
      <c r="G81" s="768" t="s">
        <v>500</v>
      </c>
      <c r="H81" s="768" t="str">
        <f>$AI$14</f>
        <v>IRDMT</v>
      </c>
      <c r="I81" s="768" t="str">
        <f t="shared" si="53"/>
        <v>INDRWH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0.95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INDRWH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INDRWH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v>
      </c>
      <c r="E84" s="278" t="str">
        <f>"Industrial heating technology "&amp;$AJ$12&amp;" "&amp;RIGHT(H84,2)&amp;" - Electric boiler (Hot Water) - new 9"</f>
        <v>Industrial heating technology Paper &amp; Pulp RH - Electric boiler (Hot Water) - new 9</v>
      </c>
      <c r="F84" s="239" t="s">
        <v>1274</v>
      </c>
      <c r="G84" s="177" t="s">
        <v>500</v>
      </c>
      <c r="H84" s="177" t="str">
        <f>$AI$15</f>
        <v>IRDRH</v>
      </c>
      <c r="I84" s="177" t="str">
        <f t="shared" si="53"/>
        <v>INDRWH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0.95</v>
      </c>
      <c r="T84" s="206">
        <f ca="1">IF(HLOOKUP($T$2,INDIRECT("'"&amp;$B84&amp;"'!"&amp;"$P$6:$AE$19"),IF(H84=$AI$13,6,IF(H84=$AI$14,9,14)),FALSE)&lt;0.03,0,HLOOKUP($T$2,INDIRECT("'"&amp;$B84&amp;"'!"&amp;"$P$6:$AE$19"),IF(H84=$AI$13,6,IF(H84=$AI$14,9,14)),FALSE))</f>
        <v>0</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v>
      </c>
      <c r="E85" s="278"/>
      <c r="F85" s="239" t="s">
        <v>1274</v>
      </c>
      <c r="G85" s="55"/>
      <c r="H85" s="177"/>
      <c r="I85" s="177" t="str">
        <f t="shared" si="53"/>
        <v>INDRWH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v>
      </c>
      <c r="E86" s="761"/>
      <c r="F86" s="239" t="s">
        <v>1274</v>
      </c>
      <c r="G86" s="211"/>
      <c r="H86" s="762"/>
      <c r="I86" s="762" t="str">
        <f t="shared" si="53"/>
        <v>INDRWH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IF(T87=0,"*",IF(T87&gt;0,"IND"&amp;RIGHT(H87,4)&amp;RIGHT(G87,3)&amp;"N"&amp;RIGHT(E87,1),""))</f>
        <v>INDRDHTWCHN1</v>
      </c>
      <c r="E87" s="278" t="str">
        <f>"Industrial heating technology "&amp;$AJ$12&amp;" "&amp;RIGHT(H87,2)&amp;" - Wood chip boiler (Steam) - new 1"</f>
        <v>Industrial heating technology Paper &amp; Pulp HT - Wood chip boiler (Steam) - new 1</v>
      </c>
      <c r="F87" s="239" t="s">
        <v>1274</v>
      </c>
      <c r="G87" s="176" t="s">
        <v>499</v>
      </c>
      <c r="H87" s="177" t="str">
        <f>$AI$13</f>
        <v>IRDHT</v>
      </c>
      <c r="I87" s="177" t="str">
        <f t="shared" si="53"/>
        <v>INDRWH</v>
      </c>
      <c r="J87" s="239">
        <f t="shared" si="54"/>
        <v>2011</v>
      </c>
      <c r="K87" s="332">
        <f>J87</f>
        <v>2011</v>
      </c>
      <c r="L87" s="206">
        <f ca="1">VLOOKUP($AD87,INDIRECT("'"&amp;$B87&amp;"'!"&amp;"$P$39:$AD$42"),3,FALSE)*0.75</f>
        <v>0.66749999999999998</v>
      </c>
      <c r="M87" s="759"/>
      <c r="N87" s="332">
        <f ca="1">VLOOKUP($AD87,INDIRECT("'"&amp;$B87&amp;"'!"&amp;"$P$39:$AD$42"),5,FALSE)</f>
        <v>25</v>
      </c>
      <c r="O87" s="785">
        <f ca="1">VLOOKUP($AD87,INDIRECT("'"&amp;$B87&amp;"'!"&amp;"$P$39:$AD$42"),6,FALSE)/1000</f>
        <v>4.6054545454545455</v>
      </c>
      <c r="P87" s="785">
        <f ca="1">VLOOKUP($AD87,INDIRECT("'"&amp;$B87&amp;"'!"&amp;"$P$39:$AD$42"),7,FALSE)/1000</f>
        <v>0.25106499999999998</v>
      </c>
      <c r="Q87" s="973">
        <f ca="1">Q171</f>
        <v>3.9381527777777778</v>
      </c>
      <c r="R87" s="332">
        <v>3.1536000000000002E-2</v>
      </c>
      <c r="S87" s="206">
        <v>0.95</v>
      </c>
      <c r="T87" s="206">
        <v>1</v>
      </c>
      <c r="U87" s="832">
        <v>0.3</v>
      </c>
      <c r="V87" s="759">
        <f ca="1">IF(IF(RIGHT(H87,2)="MT",(1-L87)+$W$2,IF(RIGHT(H87,2)="HT",(1-L87)+$W$1,IF(RIGHT(H87,2)="RH",(1-L87)+$W$3,"")))&lt;0,0,IF(RIGHT(H87,2)="MT",(1-L87)+$W$2,IF(RIGHT(H87,2)="HT",(1-L87)+$W$1,IF(RIGHT(H87,2)="RH",(1-L87)+$W$3,""))))</f>
        <v>0.63250000000000006</v>
      </c>
      <c r="W87" s="331"/>
      <c r="X87" s="758">
        <f t="shared" ca="1" si="59"/>
        <v>11</v>
      </c>
      <c r="Y87" s="332">
        <f ca="1">VLOOKUP($AD87,INDIRECT("'"&amp;$B87&amp;"'!"&amp;"$P$39:$AD$42"),12,FALSE)</f>
        <v>63</v>
      </c>
      <c r="Z87" s="332">
        <f ca="1">VLOOKUP($AD87,INDIRECT("'"&amp;$B87&amp;"'!"&amp;"$P$39:$AD$42"),13,FALSE)</f>
        <v>11</v>
      </c>
      <c r="AA87" s="332">
        <f ca="1">VLOOKUP($AD87,INDIRECT("'"&amp;$B87&amp;"'!"&amp;"$P$39:$AD$42"),14,FALSE)</f>
        <v>3</v>
      </c>
      <c r="AB87" s="332">
        <f ca="1">VLOOKUP($AD87,INDIRECT("'"&amp;$B87&amp;"'!"&amp;"$P$39:$AD$42"),15,FALSE)</f>
        <v>10</v>
      </c>
      <c r="AD87" s="332">
        <v>2020</v>
      </c>
      <c r="AE87" s="81"/>
      <c r="AF87" s="232"/>
    </row>
    <row r="88" spans="1:33">
      <c r="B88" s="393"/>
      <c r="D88" s="223"/>
      <c r="E88" s="278"/>
      <c r="F88" s="239" t="s">
        <v>1274</v>
      </c>
      <c r="G88" s="239" t="s">
        <v>1435</v>
      </c>
      <c r="H88" s="177"/>
      <c r="I88" s="177"/>
      <c r="K88" s="332"/>
      <c r="L88" s="206"/>
      <c r="M88" s="759"/>
      <c r="N88" s="332"/>
      <c r="O88" s="785"/>
      <c r="P88" s="785"/>
      <c r="Q88" s="973"/>
      <c r="R88" s="208"/>
      <c r="S88" s="832"/>
      <c r="T88" s="832"/>
      <c r="U88" s="333">
        <v>0.8</v>
      </c>
      <c r="V88" s="759"/>
      <c r="W88" s="331"/>
      <c r="X88" s="758"/>
      <c r="Y88" s="332"/>
      <c r="Z88" s="332"/>
      <c r="AA88" s="332"/>
      <c r="AB88" s="332"/>
      <c r="AD88" s="332"/>
      <c r="AE88" s="81"/>
      <c r="AF88" s="232"/>
    </row>
    <row r="89" spans="1:33">
      <c r="B89" s="393" t="s">
        <v>1133</v>
      </c>
      <c r="D89" s="223" t="str">
        <f>IF(T87=0,"*",IF(T89&gt;0,"IND"&amp;RIGHT(H87,4)&amp;RIGHT(G87,3)&amp;"N"&amp;RIGHT(E87,1),""))</f>
        <v/>
      </c>
      <c r="E89" s="223"/>
      <c r="F89" s="239" t="s">
        <v>1274</v>
      </c>
      <c r="H89" s="177"/>
      <c r="I89" s="177" t="str">
        <f>$AI$20</f>
        <v>INDRWH</v>
      </c>
      <c r="J89" s="239">
        <f>IF(AD89=2020,2011,AD89)</f>
        <v>2030</v>
      </c>
      <c r="K89" s="81"/>
      <c r="L89" s="206">
        <f ca="1">VLOOKUP($AD89,INDIRECT("'"&amp;$B89&amp;"'!"&amp;"$P$39:$AD$42"),3,FALSE)*0.75</f>
        <v>0.66749999999999998</v>
      </c>
      <c r="M89" s="206"/>
      <c r="N89" s="81"/>
      <c r="O89" s="783">
        <f ca="1">VLOOKUP($AD89,INDIRECT("'"&amp;$B89&amp;"'!"&amp;"$P$39:$AD$42"),6,FALSE)/1000</f>
        <v>4.4022727272727264</v>
      </c>
      <c r="P89" s="783">
        <f ca="1">VLOOKUP($AD89,INDIRECT("'"&amp;$B89&amp;"'!"&amp;"$P$39:$AD$42"),7,FALSE)/1000</f>
        <v>0.267455</v>
      </c>
      <c r="Q89" s="236">
        <f ca="1">Q172</f>
        <v>3.9836805555555559</v>
      </c>
      <c r="R89" s="333"/>
      <c r="S89" s="333"/>
      <c r="T89" s="333"/>
      <c r="V89" s="759">
        <f ca="1">IF(IF(RIGHT(H87,2)="MT",(1-L89)+$W$2,IF(RIGHT(H87,2)="HT",(1-L89)+$W$1,IF(RIGHT(H87,2)="RH",(1-L89)+$W$3,"")))&lt;0,0,IF(RIGHT(H87,2)="MT",(1-L89)+$W$2,IF(RIGHT(H87,2)="HT",(1-L89)+$W$1,IF(RIGHT(H87,2)="RH",(1-L89)+$W$3,""))))</f>
        <v>0.63250000000000006</v>
      </c>
      <c r="W89" s="331"/>
      <c r="X89" s="758">
        <f ca="1">IF(VLOOKUP($AD89,INDIRECT("'"&amp;$B89&amp;"'!"&amp;"$P$39:$AD$42"),11,FALSE)="Cf. the utilized electricity",0,VLOOKUP($AD89,INDIRECT("'"&amp;$B89&amp;"'!"&amp;"$P$39:$AD$42"),11,FALSE))</f>
        <v>11</v>
      </c>
      <c r="Y89" s="81">
        <f ca="1">VLOOKUP($AD89,INDIRECT("'"&amp;$B89&amp;"'!"&amp;"$P$39:$AD$42"),12,FALSE)</f>
        <v>49</v>
      </c>
      <c r="Z89" s="81">
        <f ca="1">VLOOKUP($AD89,INDIRECT("'"&amp;$B89&amp;"'!"&amp;"$P$39:$AD$42"),13,FALSE)</f>
        <v>8</v>
      </c>
      <c r="AA89" s="81">
        <f ca="1">VLOOKUP($AD89,INDIRECT("'"&amp;$B89&amp;"'!"&amp;"$P$39:$AD$42"),14,FALSE)</f>
        <v>3</v>
      </c>
      <c r="AB89" s="81">
        <f ca="1">VLOOKUP($AD89,INDIRECT("'"&amp;$B89&amp;"'!"&amp;"$P$39:$AD$42"),15,FALSE)</f>
        <v>10</v>
      </c>
      <c r="AD89" s="81">
        <v>2030</v>
      </c>
      <c r="AE89" s="81"/>
      <c r="AF89" s="232"/>
    </row>
    <row r="90" spans="1:33">
      <c r="B90" s="393" t="s">
        <v>1133</v>
      </c>
      <c r="D90" s="223" t="str">
        <f>IF(T87=0,"*",IF(T90&gt;0,"IND"&amp;RIGHT(H87,4)&amp;RIGHT(G87,3)&amp;"N"&amp;RIGHT(E87,1),""))</f>
        <v/>
      </c>
      <c r="E90" s="223"/>
      <c r="F90" s="239" t="s">
        <v>1274</v>
      </c>
      <c r="H90" s="177"/>
      <c r="I90" s="177" t="str">
        <f>$AI$20</f>
        <v>INDRWH</v>
      </c>
      <c r="J90" s="239">
        <f>IF(AD90=2020,2011,AD90)</f>
        <v>2050</v>
      </c>
      <c r="K90" s="81"/>
      <c r="L90" s="206">
        <f ca="1">VLOOKUP($AD90,INDIRECT("'"&amp;$B90&amp;"'!"&amp;"$P$39:$AD$42"),3,FALSE)*0.75</f>
        <v>0.67500000000000004</v>
      </c>
      <c r="M90" s="206"/>
      <c r="N90" s="81"/>
      <c r="O90" s="783">
        <f ca="1">VLOOKUP($AD90,INDIRECT("'"&amp;$B90&amp;"'!"&amp;"$P$39:$AD$42"),6,FALSE)/1000</f>
        <v>3.9959090909090902</v>
      </c>
      <c r="P90" s="783">
        <f ca="1">VLOOKUP($AD90,INDIRECT("'"&amp;$B90&amp;"'!"&amp;"$P$39:$AD$42"),7,FALSE)/1000</f>
        <v>0.25106499999999998</v>
      </c>
      <c r="Q90" s="236">
        <f ca="1">Q89</f>
        <v>3.9836805555555559</v>
      </c>
      <c r="R90" s="333"/>
      <c r="S90" s="333"/>
      <c r="T90" s="333"/>
      <c r="U90" s="333"/>
      <c r="V90" s="759">
        <f ca="1">IF(IF(RIGHT(H87,2)="MT",(1-L90)+$W$2,IF(RIGHT(H87,2)="HT",(1-L90)+$W$1,IF(RIGHT(H87,2)="RH",(1-L90)+$W$3,"")))&lt;0,0,IF(RIGHT(H87,2)="MT",(1-L90)+$W$2,IF(RIGHT(H87,2)="HT",(1-L90)+$W$1,IF(RIGHT(H87,2)="RH",(1-L90)+$W$3,""))))</f>
        <v>0.625</v>
      </c>
      <c r="W90" s="331"/>
      <c r="X90" s="758">
        <f ca="1">IF(VLOOKUP($AD90,INDIRECT("'"&amp;$B90&amp;"'!"&amp;"$P$39:$AD$42"),11,FALSE)="Cf. the utilized electricity",0,VLOOKUP($AD90,INDIRECT("'"&amp;$B90&amp;"'!"&amp;"$P$39:$AD$42"),11,FALSE))</f>
        <v>11</v>
      </c>
      <c r="Y90" s="81">
        <f ca="1">VLOOKUP($AD90,INDIRECT("'"&amp;$B90&amp;"'!"&amp;"$P$39:$AD$42"),12,FALSE)</f>
        <v>41</v>
      </c>
      <c r="Z90" s="81">
        <f ca="1">VLOOKUP($AD90,INDIRECT("'"&amp;$B90&amp;"'!"&amp;"$P$39:$AD$42"),13,FALSE)</f>
        <v>4</v>
      </c>
      <c r="AA90" s="81">
        <f ca="1">VLOOKUP($AD90,INDIRECT("'"&amp;$B90&amp;"'!"&amp;"$P$39:$AD$42"),14,FALSE)</f>
        <v>1</v>
      </c>
      <c r="AB90" s="81">
        <f ca="1">VLOOKUP($AD90,INDIRECT("'"&amp;$B90&amp;"'!"&amp;"$P$39:$AD$42"),15,FALSE)</f>
        <v>10</v>
      </c>
      <c r="AD90" s="81">
        <v>2050</v>
      </c>
      <c r="AE90" s="81"/>
      <c r="AF90" s="232"/>
    </row>
    <row r="91" spans="1:33" s="241" customFormat="1">
      <c r="A91" s="239"/>
      <c r="B91" s="393" t="s">
        <v>1133</v>
      </c>
      <c r="C91" s="239"/>
      <c r="D91" s="223" t="str">
        <f ca="1">IF(T91=0,"*",IF(T91&gt;0,"IND"&amp;RIGHT(H91,4)&amp;RIGHT(G91,3)&amp;"N"&amp;RIGHT(E91,1),""))</f>
        <v>INDRDMTWCHN1</v>
      </c>
      <c r="E91" s="278" t="str">
        <f>"Industrial heating technology "&amp;$AJ$12&amp;" "&amp;RIGHT(H91,2)&amp;" - Wood chip boiler (Steam) - new 1"</f>
        <v>Industrial heating technology Paper &amp; Pulp MT - Wood chip boiler (Steam) - new 1</v>
      </c>
      <c r="F91" s="239" t="s">
        <v>1274</v>
      </c>
      <c r="G91" s="176" t="s">
        <v>499</v>
      </c>
      <c r="H91" s="177" t="str">
        <f>$AI$14</f>
        <v>IRDMT</v>
      </c>
      <c r="I91" s="177" t="str">
        <f>$AI$20</f>
        <v>INDRWH</v>
      </c>
      <c r="J91" s="239">
        <f>IF(AD91=2020,2011,AD91)</f>
        <v>2011</v>
      </c>
      <c r="K91" s="332">
        <f>J91</f>
        <v>2011</v>
      </c>
      <c r="L91" s="206">
        <f ca="1">VLOOKUP($AD91,INDIRECT("'"&amp;$B91&amp;"'!"&amp;"$P$39:$AD$42"),3,FALSE)*0.75</f>
        <v>0.66749999999999998</v>
      </c>
      <c r="M91" s="206"/>
      <c r="N91" s="81">
        <f ca="1">VLOOKUP($AD91,INDIRECT("'"&amp;$B91&amp;"'!"&amp;"$P$39:$AD$42"),5,FALSE)</f>
        <v>25</v>
      </c>
      <c r="O91" s="783">
        <f ca="1">VLOOKUP($AD91,INDIRECT("'"&amp;$B91&amp;"'!"&amp;"$P$39:$AD$42"),6,FALSE)/1000</f>
        <v>4.6054545454545455</v>
      </c>
      <c r="P91" s="783">
        <f ca="1">VLOOKUP($AD91,INDIRECT("'"&amp;$B91&amp;"'!"&amp;"$P$39:$AD$42"),7,FALSE)/1000</f>
        <v>0.25106499999999998</v>
      </c>
      <c r="Q91" s="236">
        <f ca="1">Q87</f>
        <v>3.9381527777777778</v>
      </c>
      <c r="R91" s="81">
        <v>3.1536000000000002E-2</v>
      </c>
      <c r="S91" s="206">
        <v>0.95</v>
      </c>
      <c r="T91" s="206">
        <f ca="1">IF(HLOOKUP($T$2,INDIRECT("'"&amp;$B91&amp;"'!"&amp;"$P$6:$AE$19"),IF(H91=$AI$13,6,IF(H91=$AI$14,9,14)),FALSE)&lt;0.03,0,HLOOKUP($T$2,INDIRECT("'"&amp;$B91&amp;"'!"&amp;"$P$6:$AE$19"),IF(H91=$AI$13,6,IF(H91=$AI$14,9,14)),FALSE))</f>
        <v>1</v>
      </c>
      <c r="U91" s="832">
        <v>0.3</v>
      </c>
      <c r="V91" s="759">
        <f ca="1">IF(IF(RIGHT(H91,2)="MT",(1-L91)+$W$2,IF(RIGHT(H91,2)="HT",(1-L91)+$W$1,IF(RIGHT(H91,2)="RH",(1-L91)+$W$3,"")))&lt;0,0,IF(RIGHT(H91,2)="MT",(1-L91)+$W$2,IF(RIGHT(H91,2)="HT",(1-L91)+$W$1,IF(RIGHT(H91,2)="RH",(1-L91)+$W$3,""))))</f>
        <v>0.53249999999999997</v>
      </c>
      <c r="W91" s="331"/>
      <c r="X91" s="758">
        <f ca="1">IF(VLOOKUP($AD91,INDIRECT("'"&amp;$B91&amp;"'!"&amp;"$P$39:$AD$42"),11,FALSE)="Cf. the utilized electricity",0,VLOOKUP($AD91,INDIRECT("'"&amp;$B91&amp;"'!"&amp;"$P$39:$AD$42"),11,FALSE))</f>
        <v>11</v>
      </c>
      <c r="Y91" s="81">
        <f ca="1">VLOOKUP($AD91,INDIRECT("'"&amp;$B91&amp;"'!"&amp;"$P$39:$AD$42"),12,FALSE)</f>
        <v>63</v>
      </c>
      <c r="Z91" s="81">
        <f ca="1">VLOOKUP($AD91,INDIRECT("'"&amp;$B91&amp;"'!"&amp;"$P$39:$AD$42"),13,FALSE)</f>
        <v>11</v>
      </c>
      <c r="AA91" s="81">
        <f ca="1">VLOOKUP($AD91,INDIRECT("'"&amp;$B91&amp;"'!"&amp;"$P$39:$AD$42"),14,FALSE)</f>
        <v>3</v>
      </c>
      <c r="AB91" s="81">
        <f ca="1">VLOOKUP($AD91,INDIRECT("'"&amp;$B91&amp;"'!"&amp;"$P$39:$AD$42"),15,FALSE)</f>
        <v>10</v>
      </c>
      <c r="AC91" s="239"/>
      <c r="AD91" s="81">
        <v>2020</v>
      </c>
      <c r="AE91" s="81"/>
      <c r="AF91" s="232"/>
      <c r="AG91" s="239"/>
    </row>
    <row r="92" spans="1:33" s="241" customFormat="1">
      <c r="A92" s="239"/>
      <c r="B92" s="393"/>
      <c r="C92" s="239"/>
      <c r="D92" s="223"/>
      <c r="E92" s="278"/>
      <c r="F92" s="239" t="s">
        <v>1274</v>
      </c>
      <c r="G92" s="239" t="s">
        <v>1435</v>
      </c>
      <c r="H92" s="177"/>
      <c r="I92" s="177"/>
      <c r="J92" s="239"/>
      <c r="K92" s="332"/>
      <c r="L92" s="206"/>
      <c r="M92" s="206"/>
      <c r="N92" s="81"/>
      <c r="O92" s="783"/>
      <c r="P92" s="783"/>
      <c r="Q92" s="236"/>
      <c r="R92" s="208"/>
      <c r="S92" s="832"/>
      <c r="T92" s="832"/>
      <c r="U92" s="333">
        <v>0.8</v>
      </c>
      <c r="V92" s="759"/>
      <c r="W92" s="331"/>
      <c r="X92" s="758"/>
      <c r="Y92" s="81"/>
      <c r="Z92" s="81"/>
      <c r="AA92" s="81"/>
      <c r="AB92" s="81"/>
      <c r="AC92" s="239"/>
      <c r="AD92" s="81"/>
      <c r="AE92" s="81"/>
      <c r="AF92" s="232"/>
      <c r="AG92" s="239"/>
    </row>
    <row r="93" spans="1:33" s="241" customFormat="1">
      <c r="A93" s="239"/>
      <c r="B93" s="393" t="s">
        <v>1133</v>
      </c>
      <c r="C93" s="239"/>
      <c r="D93" s="223" t="str">
        <f ca="1">IF(T91=0,"*",IF(T93&gt;0,"IND"&amp;RIGHT(H91,4)&amp;RIGHT(G91,3)&amp;"N"&amp;RIGHT(E91,1),""))</f>
        <v/>
      </c>
      <c r="E93" s="223"/>
      <c r="F93" s="239" t="s">
        <v>1274</v>
      </c>
      <c r="H93" s="177"/>
      <c r="I93" s="177" t="str">
        <f>$AI$20</f>
        <v>INDRWH</v>
      </c>
      <c r="J93" s="239">
        <f>IF(AD93=2020,2011,AD93)</f>
        <v>2030</v>
      </c>
      <c r="K93" s="81"/>
      <c r="L93" s="206">
        <f ca="1">VLOOKUP($AD93,INDIRECT("'"&amp;$B93&amp;"'!"&amp;"$P$39:$AD$42"),3,FALSE)*0.75</f>
        <v>0.66749999999999998</v>
      </c>
      <c r="M93" s="206"/>
      <c r="N93" s="81"/>
      <c r="O93" s="783">
        <f ca="1">VLOOKUP($AD93,INDIRECT("'"&amp;$B93&amp;"'!"&amp;"$P$39:$AD$42"),6,FALSE)/1000</f>
        <v>4.4022727272727264</v>
      </c>
      <c r="P93" s="783">
        <f ca="1">VLOOKUP($AD93,INDIRECT("'"&amp;$B93&amp;"'!"&amp;"$P$39:$AD$42"),7,FALSE)/1000</f>
        <v>0.267455</v>
      </c>
      <c r="Q93" s="236">
        <f ca="1">Q89</f>
        <v>3.9836805555555559</v>
      </c>
      <c r="R93" s="333"/>
      <c r="S93" s="333"/>
      <c r="T93" s="333"/>
      <c r="V93" s="759">
        <f ca="1">IF(IF(RIGHT(H91,2)="MT",(1-L93)+$W$2,IF(RIGHT(H91,2)="HT",(1-L93)+$W$1,IF(RIGHT(H91,2)="RH",(1-L93)+$W$3,"")))&lt;0,0,IF(RIGHT(H91,2)="MT",(1-L93)+$W$2,IF(RIGHT(H91,2)="HT",(1-L93)+$W$1,IF(RIGHT(H91,2)="RH",(1-L93)+$W$3,""))))</f>
        <v>0.53249999999999997</v>
      </c>
      <c r="W93" s="331"/>
      <c r="X93" s="758">
        <f ca="1">IF(VLOOKUP($AD93,INDIRECT("'"&amp;$B93&amp;"'!"&amp;"$P$39:$AD$42"),11,FALSE)="Cf. the utilized electricity",0,VLOOKUP($AD93,INDIRECT("'"&amp;$B93&amp;"'!"&amp;"$P$39:$AD$42"),11,FALSE))</f>
        <v>11</v>
      </c>
      <c r="Y93" s="81">
        <f ca="1">VLOOKUP($AD93,INDIRECT("'"&amp;$B93&amp;"'!"&amp;"$P$39:$AD$42"),12,FALSE)</f>
        <v>49</v>
      </c>
      <c r="Z93" s="81">
        <f ca="1">VLOOKUP($AD93,INDIRECT("'"&amp;$B93&amp;"'!"&amp;"$P$39:$AD$42"),13,FALSE)</f>
        <v>8</v>
      </c>
      <c r="AA93" s="81">
        <f ca="1">VLOOKUP($AD93,INDIRECT("'"&amp;$B93&amp;"'!"&amp;"$P$39:$AD$42"),14,FALSE)</f>
        <v>3</v>
      </c>
      <c r="AB93" s="81">
        <f ca="1">VLOOKUP($AD93,INDIRECT("'"&amp;$B93&amp;"'!"&amp;"$P$39:$AD$42"),15,FALSE)</f>
        <v>10</v>
      </c>
      <c r="AC93" s="239"/>
      <c r="AD93" s="81">
        <v>2030</v>
      </c>
      <c r="AE93" s="81"/>
      <c r="AF93" s="232"/>
    </row>
    <row r="94" spans="1:33" s="241" customFormat="1">
      <c r="A94" s="239"/>
      <c r="B94" s="393" t="s">
        <v>1133</v>
      </c>
      <c r="C94" s="239"/>
      <c r="D94" s="223" t="str">
        <f ca="1">IF(T91=0,"*",IF(T94&gt;0,"IND"&amp;RIGHT(H91,4)&amp;RIGHT(G91,3)&amp;"N"&amp;RIGHT(E91,1),""))</f>
        <v/>
      </c>
      <c r="E94" s="223"/>
      <c r="F94" s="239" t="s">
        <v>1274</v>
      </c>
      <c r="G94" s="239"/>
      <c r="H94" s="177"/>
      <c r="I94" s="177" t="str">
        <f>$AI$20</f>
        <v>INDRWH</v>
      </c>
      <c r="J94" s="239">
        <f>IF(AD94=2020,2011,AD94)</f>
        <v>2050</v>
      </c>
      <c r="K94" s="81"/>
      <c r="L94" s="206">
        <f ca="1">VLOOKUP($AD94,INDIRECT("'"&amp;$B94&amp;"'!"&amp;"$P$39:$AD$42"),3,FALSE)*0.75</f>
        <v>0.67500000000000004</v>
      </c>
      <c r="M94" s="206"/>
      <c r="N94" s="81"/>
      <c r="O94" s="783">
        <f ca="1">VLOOKUP($AD94,INDIRECT("'"&amp;$B94&amp;"'!"&amp;"$P$39:$AD$42"),6,FALSE)/1000</f>
        <v>3.9959090909090902</v>
      </c>
      <c r="P94" s="783">
        <f ca="1">VLOOKUP($AD94,INDIRECT("'"&amp;$B94&amp;"'!"&amp;"$P$39:$AD$42"),7,FALSE)/1000</f>
        <v>0.25106499999999998</v>
      </c>
      <c r="Q94" s="236">
        <f ca="1">Q90</f>
        <v>3.9836805555555559</v>
      </c>
      <c r="R94" s="333"/>
      <c r="S94" s="333"/>
      <c r="T94" s="333"/>
      <c r="U94" s="333"/>
      <c r="V94" s="759">
        <f ca="1">IF(IF(RIGHT(H91,2)="MT",(1-L94)+$W$2,IF(RIGHT(H91,2)="HT",(1-L94)+$W$1,IF(RIGHT(H91,2)="RH",(1-L94)+$W$3,"")))&lt;0,0,IF(RIGHT(H91,2)="MT",(1-L94)+$W$2,IF(RIGHT(H91,2)="HT",(1-L94)+$W$1,IF(RIGHT(H91,2)="RH",(1-L94)+$W$3,""))))</f>
        <v>0.52499999999999991</v>
      </c>
      <c r="W94" s="331"/>
      <c r="X94" s="758">
        <f ca="1">IF(VLOOKUP($AD94,INDIRECT("'"&amp;$B94&amp;"'!"&amp;"$P$39:$AD$42"),11,FALSE)="Cf. the utilized electricity",0,VLOOKUP($AD94,INDIRECT("'"&amp;$B94&amp;"'!"&amp;"$P$39:$AD$42"),11,FALSE))</f>
        <v>11</v>
      </c>
      <c r="Y94" s="81">
        <f ca="1">VLOOKUP($AD94,INDIRECT("'"&amp;$B94&amp;"'!"&amp;"$P$39:$AD$42"),12,FALSE)</f>
        <v>41</v>
      </c>
      <c r="Z94" s="81">
        <f ca="1">VLOOKUP($AD94,INDIRECT("'"&amp;$B94&amp;"'!"&amp;"$P$39:$AD$42"),13,FALSE)</f>
        <v>4</v>
      </c>
      <c r="AA94" s="81">
        <f ca="1">VLOOKUP($AD94,INDIRECT("'"&amp;$B94&amp;"'!"&amp;"$P$39:$AD$42"),14,FALSE)</f>
        <v>1</v>
      </c>
      <c r="AB94" s="81">
        <f ca="1">VLOOKUP($AD94,INDIRECT("'"&amp;$B94&amp;"'!"&amp;"$P$39:$AD$42"),15,FALSE)</f>
        <v>10</v>
      </c>
      <c r="AC94" s="239"/>
      <c r="AD94" s="81">
        <v>2050</v>
      </c>
      <c r="AE94" s="766"/>
      <c r="AF94" s="232"/>
    </row>
    <row r="95" spans="1:33" s="241" customFormat="1">
      <c r="A95" s="239"/>
      <c r="B95" s="393" t="s">
        <v>1133</v>
      </c>
      <c r="C95" s="239"/>
      <c r="D95" s="223" t="str">
        <f ca="1">IF(T95=0,"*",IF(T95&gt;0,"IND"&amp;RIGHT(H95,4)&amp;RIGHT(G95,3)&amp;"N"&amp;RIGHT(E95,1),""))</f>
        <v>INDRDRHWCHN1</v>
      </c>
      <c r="E95" s="278" t="str">
        <f>"Industrial heating technology "&amp;$AJ$12&amp;" "&amp;RIGHT(H95,2)&amp;" - Wood chip boiler (Steam) - new 1"</f>
        <v>Industrial heating technology Paper &amp; Pulp RH - Wood chip boiler (Steam) - new 1</v>
      </c>
      <c r="F95" s="239" t="s">
        <v>1274</v>
      </c>
      <c r="G95" s="176" t="s">
        <v>499</v>
      </c>
      <c r="H95" s="177" t="str">
        <f>$AI$15</f>
        <v>IRDRH</v>
      </c>
      <c r="I95" s="177" t="str">
        <f>$AI$20</f>
        <v>INDRWH</v>
      </c>
      <c r="J95" s="239">
        <f>IF(AD95=2020,2011,AD95)</f>
        <v>2011</v>
      </c>
      <c r="K95" s="332">
        <f>J95</f>
        <v>2011</v>
      </c>
      <c r="L95" s="206">
        <f ca="1">VLOOKUP($AD95,INDIRECT("'"&amp;$B95&amp;"'!"&amp;"$P$39:$AD$42"),3,FALSE)*0.75</f>
        <v>0.66749999999999998</v>
      </c>
      <c r="M95" s="206"/>
      <c r="N95" s="81">
        <f ca="1">VLOOKUP($AD95,INDIRECT("'"&amp;$B95&amp;"'!"&amp;"$P$39:$AD$42"),5,FALSE)</f>
        <v>25</v>
      </c>
      <c r="O95" s="783">
        <f ca="1">VLOOKUP($AD95,INDIRECT("'"&amp;$B95&amp;"'!"&amp;"$P$39:$AD$42"),6,FALSE)/1000</f>
        <v>4.6054545454545455</v>
      </c>
      <c r="P95" s="783">
        <f ca="1">VLOOKUP($AD95,INDIRECT("'"&amp;$B95&amp;"'!"&amp;"$P$39:$AD$42"),7,FALSE)/1000</f>
        <v>0.25106499999999998</v>
      </c>
      <c r="Q95" s="236">
        <f ca="1">Q91</f>
        <v>3.9381527777777778</v>
      </c>
      <c r="R95" s="81">
        <v>3.1536000000000002E-2</v>
      </c>
      <c r="S95" s="206">
        <v>0.95</v>
      </c>
      <c r="T95" s="206">
        <f ca="1">IF(HLOOKUP($T$2,INDIRECT("'"&amp;$B95&amp;"'!"&amp;"$P$6:$AE$19"),IF(H95=$AI$13,6,IF(H95=$AI$14,9,14)),FALSE)&lt;0.03,0,HLOOKUP($T$2,INDIRECT("'"&amp;$B95&amp;"'!"&amp;"$P$6:$AE$19"),IF(H95=$AI$13,6,IF(H95=$AI$14,9,14)),FALSE))</f>
        <v>1</v>
      </c>
      <c r="U95" s="832">
        <v>0.3</v>
      </c>
      <c r="V95" s="759">
        <f ca="1">IF(IF(RIGHT(H95,2)="MT",(1-L95)+$W$2,IF(RIGHT(H95,2)="HT",(1-L95)+$W$1,IF(RIGHT(H95,2)="RH",(1-L95)+$W$3,"")))&lt;0,0,IF(RIGHT(H95,2)="MT",(1-L95)+$W$2,IF(RIGHT(H95,2)="HT",(1-L95)+$W$1,IF(RIGHT(H95,2)="RH",(1-L95)+$W$3,""))))</f>
        <v>0.33250000000000002</v>
      </c>
      <c r="W95" s="331"/>
      <c r="X95" s="758">
        <f ca="1">IF(VLOOKUP($AD95,INDIRECT("'"&amp;$B95&amp;"'!"&amp;"$P$39:$AD$42"),11,FALSE)="Cf. the utilized electricity",0,VLOOKUP($AD95,INDIRECT("'"&amp;$B95&amp;"'!"&amp;"$P$39:$AD$42"),11,FALSE))</f>
        <v>11</v>
      </c>
      <c r="Y95" s="81">
        <f ca="1">VLOOKUP($AD95,INDIRECT("'"&amp;$B95&amp;"'!"&amp;"$P$39:$AD$42"),12,FALSE)</f>
        <v>63</v>
      </c>
      <c r="Z95" s="81">
        <f ca="1">VLOOKUP($AD95,INDIRECT("'"&amp;$B95&amp;"'!"&amp;"$P$39:$AD$42"),13,FALSE)</f>
        <v>11</v>
      </c>
      <c r="AA95" s="81">
        <f ca="1">VLOOKUP($AD95,INDIRECT("'"&amp;$B95&amp;"'!"&amp;"$P$39:$AD$42"),14,FALSE)</f>
        <v>3</v>
      </c>
      <c r="AB95" s="81">
        <f ca="1">VLOOKUP($AD95,INDIRECT("'"&amp;$B95&amp;"'!"&amp;"$P$39:$AD$42"),15,FALSE)</f>
        <v>10</v>
      </c>
      <c r="AC95" s="329"/>
      <c r="AD95" s="81">
        <v>2020</v>
      </c>
      <c r="AE95" s="81"/>
      <c r="AF95" s="770"/>
    </row>
    <row r="96" spans="1:33" s="241" customFormat="1">
      <c r="A96" s="239"/>
      <c r="B96" s="393"/>
      <c r="C96" s="239"/>
      <c r="D96" s="223"/>
      <c r="E96" s="278"/>
      <c r="F96" s="239" t="s">
        <v>1274</v>
      </c>
      <c r="G96" s="239" t="s">
        <v>1435</v>
      </c>
      <c r="H96" s="177"/>
      <c r="I96" s="177"/>
      <c r="J96" s="239"/>
      <c r="K96" s="332"/>
      <c r="L96" s="206"/>
      <c r="M96" s="206"/>
      <c r="N96" s="81"/>
      <c r="O96" s="783"/>
      <c r="P96" s="783"/>
      <c r="Q96" s="236"/>
      <c r="R96" s="208"/>
      <c r="S96" s="832"/>
      <c r="T96" s="832"/>
      <c r="U96" s="333">
        <v>0.8</v>
      </c>
      <c r="V96" s="759"/>
      <c r="W96" s="331"/>
      <c r="X96" s="758"/>
      <c r="Y96" s="81"/>
      <c r="Z96" s="81"/>
      <c r="AA96" s="81"/>
      <c r="AB96" s="81"/>
      <c r="AC96" s="55"/>
      <c r="AD96" s="81"/>
      <c r="AE96" s="81"/>
      <c r="AF96" s="760"/>
    </row>
    <row r="97" spans="1:33" s="241" customFormat="1">
      <c r="A97" s="239"/>
      <c r="B97" s="393" t="s">
        <v>1133</v>
      </c>
      <c r="C97" s="239"/>
      <c r="D97" s="223" t="str">
        <f ca="1">IF(T95=0,"*",IF(T97&gt;0,"IND"&amp;RIGHT(H95,4)&amp;RIGHT(G95,3)&amp;"N"&amp;RIGHT(E95,1),""))</f>
        <v/>
      </c>
      <c r="E97" s="223"/>
      <c r="F97" s="239" t="s">
        <v>1274</v>
      </c>
      <c r="H97" s="177"/>
      <c r="I97" s="177" t="str">
        <f t="shared" ref="I97:I128" si="72">$AI$20</f>
        <v>INDRWH</v>
      </c>
      <c r="J97" s="239">
        <f t="shared" ref="J97:J128" si="73">IF(AD97=2020,2011,AD97)</f>
        <v>2030</v>
      </c>
      <c r="K97" s="81"/>
      <c r="L97" s="206">
        <f ca="1">VLOOKUP($AD97,INDIRECT("'"&amp;$B97&amp;"'!"&amp;"$P$39:$AD$42"),3,FALSE)*0.75</f>
        <v>0.66749999999999998</v>
      </c>
      <c r="M97" s="206"/>
      <c r="N97" s="81"/>
      <c r="O97" s="783">
        <f ca="1">VLOOKUP($AD97,INDIRECT("'"&amp;$B97&amp;"'!"&amp;"$P$39:$AD$42"),6,FALSE)/1000</f>
        <v>4.4022727272727264</v>
      </c>
      <c r="P97" s="783">
        <f ca="1">VLOOKUP($AD97,INDIRECT("'"&amp;$B97&amp;"'!"&amp;"$P$39:$AD$42"),7,FALSE)/1000</f>
        <v>0.267455</v>
      </c>
      <c r="Q97" s="236">
        <f ca="1">Q93</f>
        <v>3.9836805555555559</v>
      </c>
      <c r="R97" s="333"/>
      <c r="S97" s="333"/>
      <c r="T97" s="333"/>
      <c r="V97" s="759">
        <f ca="1">IF(IF(RIGHT(H95,2)="MT",(1-L97)+$W$2,IF(RIGHT(H95,2)="HT",(1-L97)+$W$1,IF(RIGHT(H95,2)="RH",(1-L97)+$W$3,"")))&lt;0,0,IF(RIGHT(H95,2)="MT",(1-L97)+$W$2,IF(RIGHT(H95,2)="HT",(1-L97)+$W$1,IF(RIGHT(H95,2)="RH",(1-L97)+$W$3,""))))</f>
        <v>0.33250000000000002</v>
      </c>
      <c r="W97" s="331"/>
      <c r="X97" s="758">
        <f t="shared" ref="X97:X128" ca="1" si="74">IF(VLOOKUP($AD97,INDIRECT("'"&amp;$B97&amp;"'!"&amp;"$P$39:$AD$42"),11,FALSE)="Cf. the utilized electricity",0,VLOOKUP($AD97,INDIRECT("'"&amp;$B97&amp;"'!"&amp;"$P$39:$AD$42"),11,FALSE))</f>
        <v>11</v>
      </c>
      <c r="Y97" s="81">
        <f ca="1">VLOOKUP($AD97,INDIRECT("'"&amp;$B97&amp;"'!"&amp;"$P$39:$AD$42"),12,FALSE)</f>
        <v>49</v>
      </c>
      <c r="Z97" s="81">
        <f ca="1">VLOOKUP($AD97,INDIRECT("'"&amp;$B97&amp;"'!"&amp;"$P$39:$AD$42"),13,FALSE)</f>
        <v>8</v>
      </c>
      <c r="AA97" s="81">
        <f ca="1">VLOOKUP($AD97,INDIRECT("'"&amp;$B97&amp;"'!"&amp;"$P$39:$AD$42"),14,FALSE)</f>
        <v>3</v>
      </c>
      <c r="AB97" s="81">
        <f ca="1">VLOOKUP($AD97,INDIRECT("'"&amp;$B97&amp;"'!"&amp;"$P$39:$AD$42"),15,FALSE)</f>
        <v>10</v>
      </c>
      <c r="AC97" s="55"/>
      <c r="AD97" s="81">
        <v>2030</v>
      </c>
      <c r="AE97" s="81"/>
      <c r="AF97" s="760"/>
    </row>
    <row r="98" spans="1:33" s="241" customFormat="1">
      <c r="A98" s="239"/>
      <c r="B98" s="393" t="s">
        <v>1133</v>
      </c>
      <c r="C98" s="239"/>
      <c r="D98" s="223" t="str">
        <f ca="1">IF(T95=0,"*",IF(T98&gt;0,"IND"&amp;RIGHT(H95,4)&amp;RIGHT(G95,3)&amp;"N"&amp;RIGHT(E95,1),""))</f>
        <v/>
      </c>
      <c r="E98" s="223"/>
      <c r="F98" s="239" t="s">
        <v>1274</v>
      </c>
      <c r="G98" s="239"/>
      <c r="H98" s="177"/>
      <c r="I98" s="177" t="str">
        <f t="shared" si="72"/>
        <v>INDRWH</v>
      </c>
      <c r="J98" s="239">
        <f t="shared" si="73"/>
        <v>2050</v>
      </c>
      <c r="K98" s="766"/>
      <c r="L98" s="206">
        <f ca="1">VLOOKUP($AD98,INDIRECT("'"&amp;$B98&amp;"'!"&amp;"$P$39:$AD$42"),3,FALSE)*0.75</f>
        <v>0.67500000000000004</v>
      </c>
      <c r="M98" s="834"/>
      <c r="N98" s="766"/>
      <c r="O98" s="784">
        <f ca="1">VLOOKUP($AD98,INDIRECT("'"&amp;$B98&amp;"'!"&amp;"$P$39:$AD$42"),6,FALSE)/1000</f>
        <v>3.9959090909090902</v>
      </c>
      <c r="P98" s="784">
        <f ca="1">VLOOKUP($AD98,INDIRECT("'"&amp;$B98&amp;"'!"&amp;"$P$39:$AD$42"),7,FALSE)/1000</f>
        <v>0.25106499999999998</v>
      </c>
      <c r="Q98" s="236">
        <f ca="1">Q94</f>
        <v>3.9836805555555559</v>
      </c>
      <c r="R98" s="333"/>
      <c r="S98" s="333"/>
      <c r="T98" s="333"/>
      <c r="U98" s="333"/>
      <c r="V98" s="759">
        <f ca="1">IF(IF(RIGHT(H95,2)="MT",(1-L98)+$W$2,IF(RIGHT(H95,2)="HT",(1-L98)+$W$1,IF(RIGHT(H95,2)="RH",(1-L98)+$W$3,"")))&lt;0,0,IF(RIGHT(H95,2)="MT",(1-L98)+$W$2,IF(RIGHT(H95,2)="HT",(1-L98)+$W$1,IF(RIGHT(H95,2)="RH",(1-L98)+$W$3,""))))</f>
        <v>0.32499999999999996</v>
      </c>
      <c r="W98" s="331"/>
      <c r="X98" s="758">
        <f t="shared" ca="1" si="74"/>
        <v>11</v>
      </c>
      <c r="Y98" s="766">
        <f ca="1">VLOOKUP($AD98,INDIRECT("'"&amp;$B98&amp;"'!"&amp;"$P$39:$AD$42"),12,FALSE)</f>
        <v>41</v>
      </c>
      <c r="Z98" s="766">
        <f ca="1">VLOOKUP($AD98,INDIRECT("'"&amp;$B98&amp;"'!"&amp;"$P$39:$AD$42"),13,FALSE)</f>
        <v>4</v>
      </c>
      <c r="AA98" s="766">
        <f ca="1">VLOOKUP($AD98,INDIRECT("'"&amp;$B98&amp;"'!"&amp;"$P$39:$AD$42"),14,FALSE)</f>
        <v>1</v>
      </c>
      <c r="AB98" s="766">
        <f ca="1">VLOOKUP($AD98,INDIRECT("'"&amp;$B98&amp;"'!"&amp;"$P$39:$AD$42"),15,FALSE)</f>
        <v>10</v>
      </c>
      <c r="AC98" s="55"/>
      <c r="AD98" s="766">
        <v>2050</v>
      </c>
      <c r="AE98" s="81"/>
      <c r="AF98" s="760"/>
    </row>
    <row r="99" spans="1:33">
      <c r="B99" s="776" t="s">
        <v>1133</v>
      </c>
      <c r="C99" s="329"/>
      <c r="D99" s="223" t="str">
        <f>IF(T99=0,"*",IF(T99&gt;0,"IND"&amp;RIGHT(H99,4)&amp;RIGHT(G99,3)&amp;"N"&amp;RIGHT(E99,1),""))</f>
        <v>*</v>
      </c>
      <c r="E99" s="767" t="str">
        <f>"Industrial heating technology "&amp;$AJ$12&amp;" "&amp;RIGHT(H99,2)&amp;" - Wood chip boiler (Steam - condensing) - new 2"</f>
        <v>Industrial heating technology Paper &amp; Pulp MT - Wood chip boiler (Steam - condensing) - new 2</v>
      </c>
      <c r="F99" s="239" t="s">
        <v>1274</v>
      </c>
      <c r="G99" s="176" t="s">
        <v>499</v>
      </c>
      <c r="H99" s="768" t="str">
        <f>$AI$14</f>
        <v>IRDMT</v>
      </c>
      <c r="I99" s="768" t="str">
        <f t="shared" si="72"/>
        <v>INDRWH</v>
      </c>
      <c r="J99" s="239">
        <f t="shared" si="73"/>
        <v>2011</v>
      </c>
      <c r="K99" s="332">
        <f>J99</f>
        <v>2011</v>
      </c>
      <c r="L99" s="206">
        <f t="shared" ref="L99:L104" ca="1" si="75">VLOOKUP($AD99,INDIRECT("'"&amp;$B99&amp;"'!"&amp;"$P$118:$AD$121"),3,FALSE)*0.85</f>
        <v>0.98761168055678095</v>
      </c>
      <c r="M99" s="206"/>
      <c r="N99" s="81">
        <f ca="1">VLOOKUP($AD99,INDIRECT("'"&amp;$B99&amp;"'!"&amp;"$P$118:$AD$121"),5,FALSE)</f>
        <v>25</v>
      </c>
      <c r="O99" s="783">
        <f t="shared" ref="O99:O104" ca="1" si="76">VLOOKUP($AD99,INDIRECT("'"&amp;$B99&amp;"'!"&amp;"$P$118:$AD$121"),6,FALSE)/1000</f>
        <v>5.0660000000000007</v>
      </c>
      <c r="P99" s="783">
        <f t="shared" ref="P99:P104" ca="1" si="77">VLOOKUP($AD99,INDIRECT("'"&amp;$B99&amp;"'!"&amp;"$P$118:$AD$121"),7,FALSE)/1000</f>
        <v>0.27564999999999995</v>
      </c>
      <c r="Q99" s="81">
        <f t="shared" ref="Q99:Q104" ca="1" si="78">VLOOKUP($AD99,INDIRECT("'"&amp;$B99&amp;"'!"&amp;"$P$118:$AD$121"),8,FALSE)</f>
        <v>5.7509861111111107</v>
      </c>
      <c r="R99" s="81">
        <v>3.1536000000000002E-2</v>
      </c>
      <c r="S99" s="206">
        <v>0.95</v>
      </c>
      <c r="T99" s="206">
        <v>0</v>
      </c>
      <c r="U99" s="833"/>
      <c r="V99" s="759">
        <f ca="1">IF(IF(RIGHT(H99,2)="MT",(1-L99)+$W$2,IF(RIGHT(H99,2)="HT",(1-L99)+$W$1,IF(RIGHT(H99,2)="RH",(1-L99)+$W$3,"")))&lt;0,0,IF(RIGHT(H99,2)="MT",(1-L99)+$W$2,IF(RIGHT(H99,2)="HT",(1-L99)+$W$1,IF(RIGHT(H99,2)="RH",(1-L99)+$W$3,""))))</f>
        <v>0.21238831944321906</v>
      </c>
      <c r="W99" s="769"/>
      <c r="X99" s="758">
        <f t="shared" ca="1" si="74"/>
        <v>11</v>
      </c>
      <c r="Y99" s="758">
        <f t="shared" ref="Y99:Y104" ca="1" si="79">VLOOKUP($AD99,INDIRECT("'"&amp;$B99&amp;"'!"&amp;"$P$118:$AD$121"),12,FALSE)</f>
        <v>63</v>
      </c>
      <c r="Z99" s="758">
        <f t="shared" ref="Z99:Z104" ca="1" si="80">VLOOKUP($AD99,INDIRECT("'"&amp;$B99&amp;"'!"&amp;"$P$118:$AD$121"),13,FALSE)</f>
        <v>11</v>
      </c>
      <c r="AA99" s="758">
        <f t="shared" ref="AA99:AA104" ca="1" si="81">VLOOKUP($AD99,INDIRECT("'"&amp;$B99&amp;"'!"&amp;"$P$118:$AD$121"),14,FALSE)</f>
        <v>3</v>
      </c>
      <c r="AB99" s="758">
        <f t="shared" ref="AB99:AB104" ca="1" si="82">VLOOKUP($AD99,INDIRECT("'"&amp;$B99&amp;"'!"&amp;"$P$118:$AD$121"),15,FALSE)</f>
        <v>10</v>
      </c>
      <c r="AC99" s="55"/>
      <c r="AD99" s="81">
        <v>2020</v>
      </c>
      <c r="AE99" s="81"/>
      <c r="AF99" s="760"/>
      <c r="AG99" s="241"/>
    </row>
    <row r="100" spans="1:33">
      <c r="B100" s="393" t="s">
        <v>1133</v>
      </c>
      <c r="C100" s="55"/>
      <c r="D100" s="223" t="str">
        <f>IF(T99=0,"*",IF(T100&gt;0,"IND"&amp;RIGHT(H99,4)&amp;RIGHT(G99,3)&amp;"N"&amp;RIGHT(E99,1),""))</f>
        <v>*</v>
      </c>
      <c r="E100" s="278"/>
      <c r="F100" s="239" t="s">
        <v>1274</v>
      </c>
      <c r="G100" s="55"/>
      <c r="H100" s="177"/>
      <c r="I100" s="177" t="str">
        <f t="shared" si="72"/>
        <v>INDRWH</v>
      </c>
      <c r="J100" s="239">
        <f t="shared" si="73"/>
        <v>2030</v>
      </c>
      <c r="K100" s="81"/>
      <c r="L100" s="206">
        <f t="shared" ca="1" si="75"/>
        <v>0.98761168055678095</v>
      </c>
      <c r="M100" s="206"/>
      <c r="N100" s="81"/>
      <c r="O100" s="783">
        <f t="shared" ca="1" si="76"/>
        <v>4.8425000000000002</v>
      </c>
      <c r="P100" s="783">
        <f t="shared" ca="1" si="77"/>
        <v>0.267455</v>
      </c>
      <c r="Q100" s="81">
        <f t="shared" ca="1" si="78"/>
        <v>5.8461805555555557</v>
      </c>
      <c r="R100" s="333"/>
      <c r="S100" s="333"/>
      <c r="T100" s="333"/>
      <c r="U100" s="333"/>
      <c r="V100" s="759">
        <f ca="1">IF(IF(RIGHT(H99,2)="MT",(1-L100)+$W$2,IF(RIGHT(H99,2)="HT",(1-L100)+$W$1,IF(RIGHT(H99,2)="RH",(1-L100)+$W$3,"")))&lt;0,0,IF(RIGHT(H99,2)="MT",(1-L100)+$W$2,IF(RIGHT(H99,2)="HT",(1-L100)+$W$1,IF(RIGHT(H99,2)="RH",(1-L100)+$W$3,""))))</f>
        <v>0.21238831944321906</v>
      </c>
      <c r="W100" s="331"/>
      <c r="X100" s="758">
        <f t="shared" ca="1" si="74"/>
        <v>11</v>
      </c>
      <c r="Y100" s="758">
        <f t="shared" ca="1" si="79"/>
        <v>49</v>
      </c>
      <c r="Z100" s="758">
        <f t="shared" ca="1" si="80"/>
        <v>8</v>
      </c>
      <c r="AA100" s="758">
        <f t="shared" ca="1" si="81"/>
        <v>3</v>
      </c>
      <c r="AB100" s="758">
        <f t="shared" ca="1" si="82"/>
        <v>10</v>
      </c>
      <c r="AC100" s="55"/>
      <c r="AD100" s="81">
        <v>2030</v>
      </c>
      <c r="AE100" s="81"/>
      <c r="AF100" s="760"/>
    </row>
    <row r="101" spans="1:33">
      <c r="B101" s="393" t="s">
        <v>1133</v>
      </c>
      <c r="C101" s="55"/>
      <c r="D101" s="223" t="str">
        <f>IF(T99=0,"*",IF(T101&gt;0,"IND"&amp;RIGHT(H99,4)&amp;RIGHT(G99,3)&amp;"N"&amp;RIGHT(E99,1),""))</f>
        <v>*</v>
      </c>
      <c r="E101" s="278"/>
      <c r="F101" s="239" t="s">
        <v>1274</v>
      </c>
      <c r="G101" s="55"/>
      <c r="H101" s="177"/>
      <c r="I101" s="177" t="str">
        <f t="shared" si="72"/>
        <v>INDRWH</v>
      </c>
      <c r="J101" s="239">
        <f t="shared" si="73"/>
        <v>2050</v>
      </c>
      <c r="K101" s="81"/>
      <c r="L101" s="206">
        <f t="shared" ca="1" si="75"/>
        <v>0.98761168055678095</v>
      </c>
      <c r="M101" s="206"/>
      <c r="N101" s="81"/>
      <c r="O101" s="783">
        <f t="shared" ca="1" si="76"/>
        <v>4.3955000000000002</v>
      </c>
      <c r="P101" s="783">
        <f t="shared" ca="1" si="77"/>
        <v>0.25106499999999998</v>
      </c>
      <c r="Q101" s="81">
        <f t="shared" ca="1" si="78"/>
        <v>5.8937777777777782</v>
      </c>
      <c r="R101" s="333"/>
      <c r="S101" s="333"/>
      <c r="T101" s="333"/>
      <c r="U101" s="333"/>
      <c r="V101" s="759">
        <f ca="1">IF(IF(RIGHT(H99,2)="MT",(1-L101)+$W$2,IF(RIGHT(H99,2)="HT",(1-L101)+$W$1,IF(RIGHT(H99,2)="RH",(1-L101)+$W$3,"")))&lt;0,0,IF(RIGHT(H99,2)="MT",(1-L101)+$W$2,IF(RIGHT(H99,2)="HT",(1-L101)+$W$1,IF(RIGHT(H99,2)="RH",(1-L101)+$W$3,""))))</f>
        <v>0.21238831944321906</v>
      </c>
      <c r="W101" s="331"/>
      <c r="X101" s="758">
        <f t="shared" ca="1" si="74"/>
        <v>11</v>
      </c>
      <c r="Y101" s="758">
        <f t="shared" ca="1" si="79"/>
        <v>41</v>
      </c>
      <c r="Z101" s="758">
        <f t="shared" ca="1" si="80"/>
        <v>4</v>
      </c>
      <c r="AA101" s="758">
        <f t="shared" ca="1" si="81"/>
        <v>1</v>
      </c>
      <c r="AB101" s="758">
        <f t="shared" ca="1" si="82"/>
        <v>10</v>
      </c>
      <c r="AC101" s="211"/>
      <c r="AD101" s="81">
        <v>2050</v>
      </c>
      <c r="AE101" s="81"/>
      <c r="AF101" s="765"/>
    </row>
    <row r="102" spans="1:33">
      <c r="B102" s="393" t="s">
        <v>1133</v>
      </c>
      <c r="C102" s="55"/>
      <c r="D102" s="223" t="str">
        <f>IF(T102=0,"*",IF(T102&gt;0,"IND"&amp;RIGHT(H102,4)&amp;RIGHT(G102,3)&amp;"N"&amp;RIGHT(E102,1),""))</f>
        <v>*</v>
      </c>
      <c r="E102" s="278" t="str">
        <f>"Industrial heating technology "&amp;$AJ$12&amp;" "&amp;RIGHT(H102,2)&amp;" - Wood chip boiler (Steam - condensing) - new 2"</f>
        <v>Industrial heating technology Paper &amp; Pulp RH - Wood chip boiler (Steam - condensing) - new 2</v>
      </c>
      <c r="F102" s="239" t="s">
        <v>1274</v>
      </c>
      <c r="G102" s="176" t="s">
        <v>499</v>
      </c>
      <c r="H102" s="177" t="str">
        <f>$AI$15</f>
        <v>IRDRH</v>
      </c>
      <c r="I102" s="177" t="str">
        <f t="shared" si="72"/>
        <v>INDRWH</v>
      </c>
      <c r="J102" s="239">
        <f t="shared" si="73"/>
        <v>2011</v>
      </c>
      <c r="K102" s="332">
        <f>J102</f>
        <v>2011</v>
      </c>
      <c r="L102" s="206">
        <f t="shared" ca="1" si="75"/>
        <v>0.98761168055678095</v>
      </c>
      <c r="M102" s="206"/>
      <c r="N102" s="81">
        <f ca="1">VLOOKUP($AD102,INDIRECT("'"&amp;$B102&amp;"'!"&amp;"$P$118:$AD$121"),5,FALSE)</f>
        <v>25</v>
      </c>
      <c r="O102" s="783">
        <f t="shared" ca="1" si="76"/>
        <v>5.0660000000000007</v>
      </c>
      <c r="P102" s="783">
        <f t="shared" ca="1" si="77"/>
        <v>0.27564999999999995</v>
      </c>
      <c r="Q102" s="81">
        <f t="shared" ca="1" si="78"/>
        <v>5.7509861111111107</v>
      </c>
      <c r="R102" s="81">
        <v>3.1536000000000002E-2</v>
      </c>
      <c r="S102" s="206">
        <v>0.95</v>
      </c>
      <c r="T102" s="206">
        <v>0</v>
      </c>
      <c r="U102" s="832"/>
      <c r="V102" s="759">
        <f ca="1">IF(IF(RIGHT(H102,2)="MT",(1-L102)+$W$2,IF(RIGHT(H102,2)="HT",(1-L102)+$W$1,IF(RIGHT(H102,2)="RH",(1-L102)+$W$3,"")))&lt;0,0,IF(RIGHT(H102,2)="MT",(1-L102)+$W$2,IF(RIGHT(H102,2)="HT",(1-L102)+$W$1,IF(RIGHT(H102,2)="RH",(1-L102)+$W$3,""))))</f>
        <v>1.2388319443219054E-2</v>
      </c>
      <c r="W102" s="331"/>
      <c r="X102" s="758">
        <f t="shared" ca="1" si="74"/>
        <v>11</v>
      </c>
      <c r="Y102" s="758">
        <f t="shared" ca="1" si="79"/>
        <v>63</v>
      </c>
      <c r="Z102" s="758">
        <f t="shared" ca="1" si="80"/>
        <v>11</v>
      </c>
      <c r="AA102" s="758">
        <f t="shared" ca="1" si="81"/>
        <v>3</v>
      </c>
      <c r="AB102" s="758">
        <f t="shared" ca="1" si="82"/>
        <v>10</v>
      </c>
      <c r="AC102" s="329"/>
      <c r="AD102" s="81">
        <v>2020</v>
      </c>
      <c r="AE102" s="81"/>
      <c r="AF102" s="770"/>
    </row>
    <row r="103" spans="1:33">
      <c r="B103" s="393" t="s">
        <v>1133</v>
      </c>
      <c r="C103" s="55"/>
      <c r="D103" s="223" t="str">
        <f>IF(T102=0,"*",IF(T103&gt;0,"IND"&amp;RIGHT(H102,4)&amp;RIGHT(G102,3)&amp;"N"&amp;RIGHT(E102,1),""))</f>
        <v>*</v>
      </c>
      <c r="E103" s="278"/>
      <c r="F103" s="239" t="s">
        <v>1274</v>
      </c>
      <c r="G103" s="55"/>
      <c r="H103" s="177"/>
      <c r="I103" s="177" t="str">
        <f t="shared" si="72"/>
        <v>INDRWH</v>
      </c>
      <c r="J103" s="239">
        <f t="shared" si="73"/>
        <v>2030</v>
      </c>
      <c r="K103" s="81"/>
      <c r="L103" s="206">
        <f t="shared" ca="1" si="75"/>
        <v>0.98761168055678095</v>
      </c>
      <c r="M103" s="206"/>
      <c r="N103" s="81"/>
      <c r="O103" s="783">
        <f t="shared" ca="1" si="76"/>
        <v>4.8425000000000002</v>
      </c>
      <c r="P103" s="783">
        <f t="shared" ca="1" si="77"/>
        <v>0.267455</v>
      </c>
      <c r="Q103" s="81">
        <f t="shared" ca="1" si="78"/>
        <v>5.8461805555555557</v>
      </c>
      <c r="R103" s="333"/>
      <c r="S103" s="333"/>
      <c r="T103" s="333"/>
      <c r="U103" s="333"/>
      <c r="V103" s="759">
        <f ca="1">IF(IF(RIGHT(H102,2)="MT",(1-L103)+$W$2,IF(RIGHT(H102,2)="HT",(1-L103)+$W$1,IF(RIGHT(H102,2)="RH",(1-L103)+$W$3,"")))&lt;0,0,IF(RIGHT(H102,2)="MT",(1-L103)+$W$2,IF(RIGHT(H102,2)="HT",(1-L103)+$W$1,IF(RIGHT(H102,2)="RH",(1-L103)+$W$3,""))))</f>
        <v>1.2388319443219054E-2</v>
      </c>
      <c r="W103" s="331"/>
      <c r="X103" s="758">
        <f t="shared" ca="1" si="74"/>
        <v>11</v>
      </c>
      <c r="Y103" s="758">
        <f t="shared" ca="1" si="79"/>
        <v>49</v>
      </c>
      <c r="Z103" s="758">
        <f t="shared" ca="1" si="80"/>
        <v>8</v>
      </c>
      <c r="AA103" s="758">
        <f t="shared" ca="1" si="81"/>
        <v>3</v>
      </c>
      <c r="AB103" s="758">
        <f t="shared" ca="1" si="82"/>
        <v>10</v>
      </c>
      <c r="AC103" s="55"/>
      <c r="AD103" s="81">
        <v>2030</v>
      </c>
      <c r="AE103" s="81"/>
      <c r="AF103" s="760"/>
    </row>
    <row r="104" spans="1:33">
      <c r="B104" s="390" t="s">
        <v>1133</v>
      </c>
      <c r="C104" s="211"/>
      <c r="D104" s="223" t="str">
        <f>IF(T102=0,"*",IF(T104&gt;0,"IND"&amp;RIGHT(H102,4)&amp;RIGHT(G102,3)&amp;"N"&amp;RIGHT(E102,1),""))</f>
        <v>*</v>
      </c>
      <c r="E104" s="761"/>
      <c r="F104" s="239" t="s">
        <v>1274</v>
      </c>
      <c r="G104" s="211"/>
      <c r="H104" s="762"/>
      <c r="I104" s="762" t="str">
        <f t="shared" si="72"/>
        <v>INDRWH</v>
      </c>
      <c r="J104" s="239">
        <f t="shared" si="73"/>
        <v>2050</v>
      </c>
      <c r="K104" s="81"/>
      <c r="L104" s="206">
        <f t="shared" ca="1" si="75"/>
        <v>0.98761168055678095</v>
      </c>
      <c r="M104" s="206"/>
      <c r="N104" s="81"/>
      <c r="O104" s="783">
        <f t="shared" ca="1" si="76"/>
        <v>4.3955000000000002</v>
      </c>
      <c r="P104" s="783">
        <f t="shared" ca="1" si="77"/>
        <v>0.25106499999999998</v>
      </c>
      <c r="Q104" s="81">
        <f t="shared" ca="1" si="78"/>
        <v>5.8937777777777782</v>
      </c>
      <c r="R104" s="763"/>
      <c r="S104" s="763"/>
      <c r="T104" s="763"/>
      <c r="U104" s="763"/>
      <c r="V104" s="759">
        <f ca="1">IF(IF(RIGHT(H102,2)="MT",(1-L104)+$W$2,IF(RIGHT(H102,2)="HT",(1-L104)+$W$1,IF(RIGHT(H102,2)="RH",(1-L104)+$W$3,"")))&lt;0,0,IF(RIGHT(H102,2)="MT",(1-L104)+$W$2,IF(RIGHT(H102,2)="HT",(1-L104)+$W$1,IF(RIGHT(H102,2)="RH",(1-L104)+$W$3,""))))</f>
        <v>1.2388319443219054E-2</v>
      </c>
      <c r="W104" s="764"/>
      <c r="X104" s="758">
        <f t="shared" ca="1" si="74"/>
        <v>11</v>
      </c>
      <c r="Y104" s="758">
        <f t="shared" ca="1" si="79"/>
        <v>41</v>
      </c>
      <c r="Z104" s="758">
        <f t="shared" ca="1" si="80"/>
        <v>4</v>
      </c>
      <c r="AA104" s="758">
        <f t="shared" ca="1" si="81"/>
        <v>1</v>
      </c>
      <c r="AB104" s="758">
        <f t="shared" ca="1" si="82"/>
        <v>10</v>
      </c>
      <c r="AC104" s="55"/>
      <c r="AD104" s="81">
        <v>2050</v>
      </c>
      <c r="AE104" s="81"/>
      <c r="AF104" s="760"/>
    </row>
    <row r="105" spans="1:33">
      <c r="B105" s="777" t="s">
        <v>1133</v>
      </c>
      <c r="C105" s="772"/>
      <c r="D105" s="223" t="str">
        <f>IF(T105=0,"*",IF(T105&gt;0,"IND"&amp;RIGHT(H105,4)&amp;RIGHT(G105,3)&amp;"N"&amp;RIGHT(E105,1),""))</f>
        <v>INDRDMTWCHN3</v>
      </c>
      <c r="E105" s="767" t="str">
        <f>"Industrial heating technology "&amp;$AJ$12&amp;" "&amp;RIGHT(H105,2)&amp;" - Wood chip boiler (Hot Water) - new 3"</f>
        <v>Industrial heating technology Paper &amp; Pulp MT - Wood chip boiler (Hot Water) - new 3</v>
      </c>
      <c r="F105" s="239" t="s">
        <v>1274</v>
      </c>
      <c r="G105" s="176" t="s">
        <v>499</v>
      </c>
      <c r="H105" s="768" t="str">
        <f>$AI$14</f>
        <v>IRDMT</v>
      </c>
      <c r="I105" s="768" t="str">
        <f t="shared" si="72"/>
        <v>INDRWH</v>
      </c>
      <c r="J105" s="239">
        <f t="shared" si="73"/>
        <v>2011</v>
      </c>
      <c r="K105" s="332">
        <f>J105</f>
        <v>2011</v>
      </c>
      <c r="L105" s="206">
        <f ca="1">VLOOKUP($AD105,INDIRECT("'"&amp;$B105&amp;"'!"&amp;"$P$200:$AD$203"),3,FALSE)*0.85</f>
        <v>0.76500000000000001</v>
      </c>
      <c r="M105" s="206"/>
      <c r="N105" s="81">
        <f ca="1">VLOOKUP($AD105,INDIRECT("'"&amp;$B105&amp;"'!"&amp;"$P$200:$AD$203"),5,FALSE)</f>
        <v>25</v>
      </c>
      <c r="O105" s="783">
        <f t="shared" ref="O105:O109" ca="1" si="83">VLOOKUP($AD105,INDIRECT("'"&amp;$B105&amp;"'!"&amp;"$P$200:$AD$203"),6,FALSE)/1000</f>
        <v>4.6054545454545437</v>
      </c>
      <c r="P105" s="783">
        <f t="shared" ref="P105:P110" ca="1" si="84">VLOOKUP($AD105,INDIRECT("'"&amp;$B105&amp;"'!"&amp;"$P$200:$AD$203"),7,FALSE)/1000</f>
        <v>0.25106499999999998</v>
      </c>
      <c r="Q105" s="81">
        <f t="shared" ref="Q105:Q110" ca="1" si="85">VLOOKUP($AD105,INDIRECT("'"&amp;$B105&amp;"'!"&amp;"$P$200:$AD$203"),8,FALSE)</f>
        <v>5.7509861111111107</v>
      </c>
      <c r="R105" s="81">
        <v>3.1536000000000002E-2</v>
      </c>
      <c r="S105" s="206">
        <v>0.95</v>
      </c>
      <c r="T105" s="206">
        <v>0.2</v>
      </c>
      <c r="U105" s="833"/>
      <c r="V105" s="759">
        <f ca="1">IF(IF(RIGHT(H105,2)="MT",(1-L105)+$W$2,IF(RIGHT(H105,2)="HT",(1-L105)+$W$1,IF(RIGHT(H105,2)="RH",(1-L105)+$W$3,"")))&lt;0,0,IF(RIGHT(H105,2)="MT",(1-L105)+$W$2,IF(RIGHT(H105,2)="HT",(1-L105)+$W$1,IF(RIGHT(H105,2)="RH",(1-L105)+$W$3,""))))</f>
        <v>0.435</v>
      </c>
      <c r="W105" s="769"/>
      <c r="X105" s="758">
        <f t="shared" ca="1" si="74"/>
        <v>11</v>
      </c>
      <c r="Y105" s="758">
        <f t="shared" ref="Y105:Y110" ca="1" si="86">VLOOKUP($AD105,INDIRECT("'"&amp;$B105&amp;"'!"&amp;"$P$200:$AD$203"),12,FALSE)</f>
        <v>63</v>
      </c>
      <c r="Z105" s="758">
        <f t="shared" ref="Z105:Z110" ca="1" si="87">VLOOKUP($AD105,INDIRECT("'"&amp;$B105&amp;"'!"&amp;"$P$200:$AD$203"),13,FALSE)</f>
        <v>11</v>
      </c>
      <c r="AA105" s="758">
        <f t="shared" ref="AA105:AA110" ca="1" si="88">VLOOKUP($AD105,INDIRECT("'"&amp;$B105&amp;"'!"&amp;"$P$200:$AD$203"),14,FALSE)</f>
        <v>3</v>
      </c>
      <c r="AB105" s="758">
        <f t="shared" ref="AB105:AB110" ca="1" si="89">VLOOKUP($AD105,INDIRECT("'"&amp;$B105&amp;"'!"&amp;"$P$200:$AD$203"),15,FALSE)</f>
        <v>10</v>
      </c>
      <c r="AC105" s="55"/>
      <c r="AD105" s="81">
        <v>2020</v>
      </c>
      <c r="AE105" s="81"/>
      <c r="AF105" s="760"/>
    </row>
    <row r="106" spans="1:33">
      <c r="B106" s="778" t="s">
        <v>1133</v>
      </c>
      <c r="C106" s="241"/>
      <c r="D106" s="223" t="str">
        <f>IF(T105=0,"*",IF(T106&gt;0,"IND"&amp;RIGHT(H105,4)&amp;RIGHT(G105,3)&amp;"N"&amp;RIGHT(E105,1),""))</f>
        <v/>
      </c>
      <c r="E106" s="278"/>
      <c r="F106" s="239" t="s">
        <v>1274</v>
      </c>
      <c r="G106" s="55"/>
      <c r="H106" s="177"/>
      <c r="I106" s="177" t="str">
        <f t="shared" si="72"/>
        <v>INDRWH</v>
      </c>
      <c r="J106" s="239">
        <f t="shared" si="73"/>
        <v>2030</v>
      </c>
      <c r="K106" s="81"/>
      <c r="L106" s="206">
        <f t="shared" ref="L106:L110" ca="1" si="90">VLOOKUP($AD106,INDIRECT("'"&amp;$B106&amp;"'!"&amp;"$P$200:$AD$203"),3,FALSE)*0.85</f>
        <v>0.76500000000000001</v>
      </c>
      <c r="M106" s="206"/>
      <c r="N106" s="81"/>
      <c r="O106" s="783">
        <f t="shared" ca="1" si="83"/>
        <v>4.4022727272727282</v>
      </c>
      <c r="P106" s="783">
        <f t="shared" ca="1" si="84"/>
        <v>0.267455</v>
      </c>
      <c r="Q106" s="81">
        <f t="shared" ca="1" si="85"/>
        <v>5.8461805555555557</v>
      </c>
      <c r="R106" s="333"/>
      <c r="S106" s="333"/>
      <c r="T106" s="333"/>
      <c r="U106" s="333"/>
      <c r="V106" s="759">
        <f ca="1">IF(IF(RIGHT(H105,2)="MT",(1-L106)+$W$2,IF(RIGHT(H105,2)="HT",(1-L106)+$W$1,IF(RIGHT(H105,2)="RH",(1-L106)+$W$3,"")))&lt;0,0,IF(RIGHT(H105,2)="MT",(1-L106)+$W$2,IF(RIGHT(H105,2)="HT",(1-L106)+$W$1,IF(RIGHT(H105,2)="RH",(1-L106)+$W$3,""))))</f>
        <v>0.435</v>
      </c>
      <c r="W106" s="331"/>
      <c r="X106" s="758">
        <f t="shared" ca="1" si="74"/>
        <v>11</v>
      </c>
      <c r="Y106" s="758">
        <f t="shared" ca="1" si="86"/>
        <v>49</v>
      </c>
      <c r="Z106" s="758">
        <f t="shared" ca="1" si="87"/>
        <v>8</v>
      </c>
      <c r="AA106" s="758">
        <f t="shared" ca="1" si="88"/>
        <v>3</v>
      </c>
      <c r="AB106" s="758">
        <f t="shared" ca="1" si="89"/>
        <v>10</v>
      </c>
      <c r="AC106" s="55"/>
      <c r="AD106" s="81">
        <v>2030</v>
      </c>
      <c r="AE106" s="81"/>
      <c r="AF106" s="760"/>
    </row>
    <row r="107" spans="1:33">
      <c r="B107" s="778" t="s">
        <v>1133</v>
      </c>
      <c r="C107" s="241"/>
      <c r="D107" s="223" t="str">
        <f>IF(T105=0,"*",IF(T107&gt;0,"IND"&amp;RIGHT(H105,4)&amp;RIGHT(G105,3)&amp;"N"&amp;RIGHT(E105,1),""))</f>
        <v/>
      </c>
      <c r="E107" s="278"/>
      <c r="F107" s="239" t="s">
        <v>1274</v>
      </c>
      <c r="G107" s="55"/>
      <c r="H107" s="177"/>
      <c r="I107" s="177" t="str">
        <f t="shared" si="72"/>
        <v>INDRWH</v>
      </c>
      <c r="J107" s="239">
        <f t="shared" si="73"/>
        <v>2050</v>
      </c>
      <c r="K107" s="81"/>
      <c r="L107" s="206">
        <f t="shared" ca="1" si="90"/>
        <v>0.77349999999999997</v>
      </c>
      <c r="M107" s="206"/>
      <c r="N107" s="81"/>
      <c r="O107" s="783">
        <f t="shared" ca="1" si="83"/>
        <v>3.9959090909090884</v>
      </c>
      <c r="P107" s="783">
        <f t="shared" ca="1" si="84"/>
        <v>0.25106499999999998</v>
      </c>
      <c r="Q107" s="81">
        <f t="shared" ca="1" si="85"/>
        <v>5.8937777777777782</v>
      </c>
      <c r="R107" s="333"/>
      <c r="S107" s="333"/>
      <c r="T107" s="333"/>
      <c r="U107" s="333"/>
      <c r="V107" s="759">
        <f ca="1">IF(IF(RIGHT(H105,2)="MT",(1-L107)+$W$2,IF(RIGHT(H105,2)="HT",(1-L107)+$W$1,IF(RIGHT(H105,2)="RH",(1-L107)+$W$3,"")))&lt;0,0,IF(RIGHT(H105,2)="MT",(1-L107)+$W$2,IF(RIGHT(H105,2)="HT",(1-L107)+$W$1,IF(RIGHT(H105,2)="RH",(1-L107)+$W$3,""))))</f>
        <v>0.42650000000000005</v>
      </c>
      <c r="W107" s="331"/>
      <c r="X107" s="758">
        <f t="shared" ca="1" si="74"/>
        <v>11</v>
      </c>
      <c r="Y107" s="758">
        <f t="shared" ca="1" si="86"/>
        <v>41</v>
      </c>
      <c r="Z107" s="758">
        <f t="shared" ca="1" si="87"/>
        <v>4</v>
      </c>
      <c r="AA107" s="758">
        <f t="shared" ca="1" si="88"/>
        <v>1</v>
      </c>
      <c r="AB107" s="758">
        <f t="shared" ca="1" si="89"/>
        <v>10</v>
      </c>
      <c r="AC107" s="211"/>
      <c r="AD107" s="81">
        <v>2050</v>
      </c>
      <c r="AE107" s="81"/>
      <c r="AF107" s="765"/>
    </row>
    <row r="108" spans="1:33">
      <c r="B108" s="778" t="s">
        <v>1133</v>
      </c>
      <c r="C108" s="241"/>
      <c r="D108" s="223" t="str">
        <f>IF(T108=0,"*",IF(T108&gt;0,"IND"&amp;RIGHT(H108,4)&amp;RIGHT(G108,3)&amp;"N"&amp;RIGHT(E108,1),""))</f>
        <v>INDRDRHWCHN3</v>
      </c>
      <c r="E108" s="278" t="str">
        <f>"Industrial heating technology "&amp;$AJ$12&amp;" "&amp;RIGHT(H108,2)&amp;" - Wood chip boiler (Hot Water) - new 3"</f>
        <v>Industrial heating technology Paper &amp; Pulp RH - Wood chip boiler (Hot Water) - new 3</v>
      </c>
      <c r="F108" s="239" t="s">
        <v>1274</v>
      </c>
      <c r="G108" s="176" t="s">
        <v>499</v>
      </c>
      <c r="H108" s="177" t="str">
        <f>$AI$15</f>
        <v>IRDRH</v>
      </c>
      <c r="I108" s="177" t="str">
        <f t="shared" si="72"/>
        <v>INDRWH</v>
      </c>
      <c r="J108" s="239">
        <f t="shared" si="73"/>
        <v>2011</v>
      </c>
      <c r="K108" s="332">
        <f>J108</f>
        <v>2011</v>
      </c>
      <c r="L108" s="206">
        <f t="shared" ca="1" si="90"/>
        <v>0.76500000000000001</v>
      </c>
      <c r="M108" s="206"/>
      <c r="N108" s="81">
        <f ca="1">VLOOKUP($AD108,INDIRECT("'"&amp;$B108&amp;"'!"&amp;"$P$200:$AD$203"),5,FALSE)</f>
        <v>25</v>
      </c>
      <c r="O108" s="783">
        <f t="shared" ca="1" si="83"/>
        <v>4.6054545454545437</v>
      </c>
      <c r="P108" s="783">
        <f t="shared" ca="1" si="84"/>
        <v>0.25106499999999998</v>
      </c>
      <c r="Q108" s="81">
        <f t="shared" ca="1" si="85"/>
        <v>5.7509861111111107</v>
      </c>
      <c r="R108" s="81">
        <v>3.1536000000000002E-2</v>
      </c>
      <c r="S108" s="206">
        <v>0.95</v>
      </c>
      <c r="T108" s="206">
        <v>0.2</v>
      </c>
      <c r="U108" s="833"/>
      <c r="V108" s="759">
        <f ca="1">IF(IF(RIGHT(H108,2)="MT",(1-L108)+$W$2,IF(RIGHT(H108,2)="HT",(1-L108)+$W$1,IF(RIGHT(H108,2)="RH",(1-L108)+$W$3,"")))&lt;0,0,IF(RIGHT(H108,2)="MT",(1-L108)+$W$2,IF(RIGHT(H108,2)="HT",(1-L108)+$W$1,IF(RIGHT(H108,2)="RH",(1-L108)+$W$3,""))))</f>
        <v>0.23499999999999999</v>
      </c>
      <c r="W108" s="769"/>
      <c r="X108" s="758">
        <f t="shared" ca="1" si="74"/>
        <v>11</v>
      </c>
      <c r="Y108" s="758">
        <f t="shared" ca="1" si="86"/>
        <v>63</v>
      </c>
      <c r="Z108" s="758">
        <f t="shared" ca="1" si="87"/>
        <v>11</v>
      </c>
      <c r="AA108" s="758">
        <f t="shared" ca="1" si="88"/>
        <v>3</v>
      </c>
      <c r="AB108" s="758">
        <f t="shared" ca="1" si="89"/>
        <v>10</v>
      </c>
      <c r="AC108" s="329"/>
      <c r="AD108" s="81">
        <v>2020</v>
      </c>
      <c r="AE108" s="81"/>
      <c r="AF108" s="770"/>
    </row>
    <row r="109" spans="1:33">
      <c r="B109" s="778" t="s">
        <v>1133</v>
      </c>
      <c r="C109" s="241"/>
      <c r="D109" s="223" t="str">
        <f>IF(T108=0,"*",IF(T109&gt;0,"IND"&amp;RIGHT(H108,4)&amp;RIGHT(G108,3)&amp;"N"&amp;RIGHT(E108,1),""))</f>
        <v/>
      </c>
      <c r="E109" s="278"/>
      <c r="F109" s="239" t="s">
        <v>1274</v>
      </c>
      <c r="G109" s="55"/>
      <c r="H109" s="177"/>
      <c r="I109" s="177" t="str">
        <f t="shared" si="72"/>
        <v>INDRWH</v>
      </c>
      <c r="J109" s="239">
        <f t="shared" si="73"/>
        <v>2030</v>
      </c>
      <c r="K109" s="81"/>
      <c r="L109" s="206">
        <f t="shared" ca="1" si="90"/>
        <v>0.76500000000000001</v>
      </c>
      <c r="M109" s="206"/>
      <c r="N109" s="81"/>
      <c r="O109" s="783">
        <f t="shared" ca="1" si="83"/>
        <v>4.4022727272727282</v>
      </c>
      <c r="P109" s="783">
        <f t="shared" ca="1" si="84"/>
        <v>0.267455</v>
      </c>
      <c r="Q109" s="81">
        <f t="shared" ca="1" si="85"/>
        <v>5.8461805555555557</v>
      </c>
      <c r="R109" s="333"/>
      <c r="S109" s="333"/>
      <c r="T109" s="333"/>
      <c r="U109" s="333"/>
      <c r="V109" s="759">
        <f ca="1">IF(IF(RIGHT(H108,2)="MT",(1-L109)+$W$2,IF(RIGHT(H108,2)="HT",(1-L109)+$W$1,IF(RIGHT(H108,2)="RH",(1-L109)+$W$3,"")))&lt;0,0,IF(RIGHT(H108,2)="MT",(1-L109)+$W$2,IF(RIGHT(H108,2)="HT",(1-L109)+$W$1,IF(RIGHT(H108,2)="RH",(1-L109)+$W$3,""))))</f>
        <v>0.23499999999999999</v>
      </c>
      <c r="W109" s="331"/>
      <c r="X109" s="758">
        <f t="shared" ca="1" si="74"/>
        <v>11</v>
      </c>
      <c r="Y109" s="758">
        <f t="shared" ca="1" si="86"/>
        <v>49</v>
      </c>
      <c r="Z109" s="758">
        <f t="shared" ca="1" si="87"/>
        <v>8</v>
      </c>
      <c r="AA109" s="758">
        <f t="shared" ca="1" si="88"/>
        <v>3</v>
      </c>
      <c r="AB109" s="758">
        <f t="shared" ca="1" si="89"/>
        <v>10</v>
      </c>
      <c r="AC109" s="55"/>
      <c r="AD109" s="81">
        <v>2030</v>
      </c>
      <c r="AE109" s="81"/>
      <c r="AF109" s="760"/>
    </row>
    <row r="110" spans="1:33">
      <c r="B110" s="779" t="s">
        <v>1133</v>
      </c>
      <c r="C110" s="773"/>
      <c r="D110" s="223" t="str">
        <f>IF(T108=0,"*",IF(T110&gt;0,"IND"&amp;RIGHT(H108,4)&amp;RIGHT(G108,3)&amp;"N"&amp;RIGHT(E108,1),""))</f>
        <v/>
      </c>
      <c r="E110" s="761"/>
      <c r="F110" s="239" t="s">
        <v>1274</v>
      </c>
      <c r="G110" s="211"/>
      <c r="H110" s="762"/>
      <c r="I110" s="762" t="str">
        <f t="shared" si="72"/>
        <v>INDRWH</v>
      </c>
      <c r="J110" s="239">
        <f t="shared" si="73"/>
        <v>2050</v>
      </c>
      <c r="K110" s="81"/>
      <c r="L110" s="206">
        <f t="shared" ca="1" si="90"/>
        <v>0.77349999999999997</v>
      </c>
      <c r="M110" s="206"/>
      <c r="N110" s="81"/>
      <c r="O110" s="783">
        <f ca="1">VLOOKUP($AD110,INDIRECT("'"&amp;$B110&amp;"'!"&amp;"$P$200:$AD$203"),6,FALSE)/1000</f>
        <v>3.9959090909090884</v>
      </c>
      <c r="P110" s="783">
        <f t="shared" ca="1" si="84"/>
        <v>0.25106499999999998</v>
      </c>
      <c r="Q110" s="81">
        <f t="shared" ca="1" si="85"/>
        <v>5.8937777777777782</v>
      </c>
      <c r="R110" s="333"/>
      <c r="S110" s="333"/>
      <c r="T110" s="333"/>
      <c r="U110" s="333"/>
      <c r="V110" s="759">
        <f ca="1">IF(IF(RIGHT(H108,2)="MT",(1-L110)+$W$2,IF(RIGHT(H108,2)="HT",(1-L110)+$W$1,IF(RIGHT(H108,2)="RH",(1-L110)+$W$3,"")))&lt;0,0,IF(RIGHT(H108,2)="MT",(1-L110)+$W$2,IF(RIGHT(H108,2)="HT",(1-L110)+$W$1,IF(RIGHT(H108,2)="RH",(1-L110)+$W$3,""))))</f>
        <v>0.22650000000000003</v>
      </c>
      <c r="W110" s="331"/>
      <c r="X110" s="758">
        <f t="shared" ca="1" si="74"/>
        <v>11</v>
      </c>
      <c r="Y110" s="758">
        <f t="shared" ca="1" si="86"/>
        <v>41</v>
      </c>
      <c r="Z110" s="758">
        <f t="shared" ca="1" si="87"/>
        <v>4</v>
      </c>
      <c r="AA110" s="758">
        <f t="shared" ca="1" si="88"/>
        <v>1</v>
      </c>
      <c r="AB110" s="758">
        <f t="shared" ca="1" si="89"/>
        <v>10</v>
      </c>
      <c r="AC110" s="55"/>
      <c r="AD110" s="81">
        <v>2050</v>
      </c>
      <c r="AE110" s="81"/>
      <c r="AF110" s="760"/>
    </row>
    <row r="111" spans="1:33">
      <c r="B111" s="777" t="s">
        <v>1133</v>
      </c>
      <c r="C111" s="772"/>
      <c r="D111" s="223" t="str">
        <f>IF(T111=0,"*",IF(T111&gt;0,"IND"&amp;RIGHT(H111,4)&amp;RIGHT(G111,3)&amp;"N"&amp;RIGHT(E111,1),""))</f>
        <v>INDRDMTBLQN4</v>
      </c>
      <c r="E111" s="767" t="str">
        <f>"Industrial heating technology "&amp;$AJ$12&amp;" "&amp;RIGHT(H111,2)&amp;" - Wood chip boiler (Hot Water - condensing) - new 4"</f>
        <v>Industrial heating technology Paper &amp; Pulp MT - Wood chip boiler (Hot Water - condensing) - new 4</v>
      </c>
      <c r="F111" s="239" t="s">
        <v>1274</v>
      </c>
      <c r="G111" s="176" t="s">
        <v>1434</v>
      </c>
      <c r="H111" s="768" t="str">
        <f>$AI$14</f>
        <v>IRDMT</v>
      </c>
      <c r="I111" s="768" t="str">
        <f t="shared" si="72"/>
        <v>INDRWH</v>
      </c>
      <c r="J111" s="239">
        <f t="shared" si="73"/>
        <v>2011</v>
      </c>
      <c r="K111" s="332">
        <f>J111</f>
        <v>2011</v>
      </c>
      <c r="L111" s="206">
        <f ca="1">L87</f>
        <v>0.66749999999999998</v>
      </c>
      <c r="M111" s="206"/>
      <c r="N111" s="81">
        <f ca="1">VLOOKUP($AD111,INDIRECT("'"&amp;$B111&amp;"'!"&amp;"$P$279:$AD$282"),5,FALSE)</f>
        <v>25</v>
      </c>
      <c r="O111" s="783">
        <f t="shared" ref="O111:O116" ca="1" si="91">VLOOKUP($AD111,INDIRECT("'"&amp;$B111&amp;"'!"&amp;"$P$279:$AD$282"),6,FALSE)/1000</f>
        <v>5.0660000000000007</v>
      </c>
      <c r="P111" s="783">
        <f t="shared" ref="P111:P116" ca="1" si="92">VLOOKUP($AD111,INDIRECT("'"&amp;$B111&amp;"'!"&amp;"$P$279:$AD$282"),7,FALSE)/1000</f>
        <v>0.27564999999999995</v>
      </c>
      <c r="Q111" s="81">
        <f t="shared" ref="Q111:Q116" ca="1" si="93">VLOOKUP($AD111,INDIRECT("'"&amp;$B111&amp;"'!"&amp;"$P$279:$AD$282"),8,FALSE)</f>
        <v>5.7509861111111107</v>
      </c>
      <c r="R111" s="81">
        <v>3.1536000000000002E-2</v>
      </c>
      <c r="S111" s="206">
        <v>0.95</v>
      </c>
      <c r="T111" s="206">
        <v>1</v>
      </c>
      <c r="U111" s="833"/>
      <c r="V111" s="759">
        <f ca="1">IF(IF(RIGHT(H111,2)="MT",(1-L111)+$W$2,IF(RIGHT(H111,2)="HT",(1-L111)+$W$1,IF(RIGHT(H111,2)="RH",(1-L111)+$W$3,"")))&lt;0,0,IF(RIGHT(H111,2)="MT",(1-L111)+$W$2,IF(RIGHT(H111,2)="HT",(1-L111)+$W$1,IF(RIGHT(H111,2)="RH",(1-L111)+$W$3,""))))</f>
        <v>0.53249999999999997</v>
      </c>
      <c r="W111" s="769"/>
      <c r="X111" s="758">
        <f t="shared" ca="1" si="74"/>
        <v>11</v>
      </c>
      <c r="Y111" s="758">
        <f t="shared" ref="Y111:Y116" ca="1" si="94">VLOOKUP($AD111,INDIRECT("'"&amp;$B111&amp;"'!"&amp;"$P$279:$AD$282"),12,FALSE)</f>
        <v>63</v>
      </c>
      <c r="Z111" s="758">
        <f t="shared" ref="Z111:Z116" ca="1" si="95">VLOOKUP($AD111,INDIRECT("'"&amp;$B111&amp;"'!"&amp;"$P$279:$AD$282"),13,FALSE)</f>
        <v>11</v>
      </c>
      <c r="AA111" s="758">
        <f t="shared" ref="AA111:AA116" ca="1" si="96">VLOOKUP($AD111,INDIRECT("'"&amp;$B111&amp;"'!"&amp;"$P$279:$AD$282"),14,FALSE)</f>
        <v>3</v>
      </c>
      <c r="AB111" s="758">
        <f t="shared" ref="AB111:AB116" ca="1" si="97">VLOOKUP($AD111,INDIRECT("'"&amp;$B111&amp;"'!"&amp;"$P$279:$AD$282"),15,FALSE)</f>
        <v>10</v>
      </c>
      <c r="AC111" s="55"/>
      <c r="AD111" s="81">
        <v>2020</v>
      </c>
      <c r="AE111" s="81"/>
      <c r="AF111" s="760"/>
    </row>
    <row r="112" spans="1:33">
      <c r="B112" s="778" t="s">
        <v>1133</v>
      </c>
      <c r="C112" s="241"/>
      <c r="D112" s="223" t="str">
        <f>IF(T111=0,"*",IF(T112&gt;0,"IND"&amp;RIGHT(H111,4)&amp;RIGHT(G111,3)&amp;"N"&amp;RIGHT(E111,1),""))</f>
        <v/>
      </c>
      <c r="E112" s="278"/>
      <c r="F112" s="239" t="s">
        <v>1274</v>
      </c>
      <c r="G112" s="55"/>
      <c r="H112" s="177"/>
      <c r="I112" s="177" t="str">
        <f t="shared" si="72"/>
        <v>INDRWH</v>
      </c>
      <c r="J112" s="239">
        <f t="shared" si="73"/>
        <v>2030</v>
      </c>
      <c r="K112" s="81"/>
      <c r="L112" s="206">
        <f ca="1">L89</f>
        <v>0.66749999999999998</v>
      </c>
      <c r="M112" s="206"/>
      <c r="N112" s="81"/>
      <c r="O112" s="783">
        <f t="shared" ca="1" si="91"/>
        <v>4.8425000000000002</v>
      </c>
      <c r="P112" s="783">
        <f t="shared" ca="1" si="92"/>
        <v>0.267455</v>
      </c>
      <c r="Q112" s="81">
        <f t="shared" ca="1" si="93"/>
        <v>5.8461805555555557</v>
      </c>
      <c r="R112" s="333"/>
      <c r="S112" s="333"/>
      <c r="T112" s="333"/>
      <c r="U112" s="333"/>
      <c r="V112" s="759">
        <f ca="1">IF(IF(RIGHT(H111,2)="MT",(1-L112)+$W$2,IF(RIGHT(H111,2)="HT",(1-L112)+$W$1,IF(RIGHT(H111,2)="RH",(1-L112)+$W$3,"")))&lt;0,0,IF(RIGHT(H111,2)="MT",(1-L112)+$W$2,IF(RIGHT(H111,2)="HT",(1-L112)+$W$1,IF(RIGHT(H111,2)="RH",(1-L112)+$W$3,""))))</f>
        <v>0.53249999999999997</v>
      </c>
      <c r="W112" s="331"/>
      <c r="X112" s="758">
        <f t="shared" ca="1" si="74"/>
        <v>11</v>
      </c>
      <c r="Y112" s="758">
        <f t="shared" ca="1" si="94"/>
        <v>49</v>
      </c>
      <c r="Z112" s="758">
        <f t="shared" ca="1" si="95"/>
        <v>8</v>
      </c>
      <c r="AA112" s="758">
        <f t="shared" ca="1" si="96"/>
        <v>3</v>
      </c>
      <c r="AB112" s="758">
        <f t="shared" ca="1" si="97"/>
        <v>10</v>
      </c>
      <c r="AC112" s="55"/>
      <c r="AD112" s="81">
        <v>2030</v>
      </c>
      <c r="AE112" s="81"/>
      <c r="AF112" s="760"/>
    </row>
    <row r="113" spans="2:32">
      <c r="B113" s="778" t="s">
        <v>1133</v>
      </c>
      <c r="C113" s="241"/>
      <c r="D113" s="223" t="str">
        <f>IF(T111=0,"*",IF(T113&gt;0,"IND"&amp;RIGHT(H111,4)&amp;RIGHT(G111,3)&amp;"N"&amp;RIGHT(E111,1),""))</f>
        <v/>
      </c>
      <c r="E113" s="278"/>
      <c r="F113" s="239" t="s">
        <v>1274</v>
      </c>
      <c r="G113" s="55"/>
      <c r="H113" s="177"/>
      <c r="I113" s="177" t="str">
        <f t="shared" si="72"/>
        <v>INDRWH</v>
      </c>
      <c r="J113" s="239">
        <f t="shared" si="73"/>
        <v>2050</v>
      </c>
      <c r="K113" s="81"/>
      <c r="L113" s="206">
        <f ca="1">L90</f>
        <v>0.67500000000000004</v>
      </c>
      <c r="M113" s="206"/>
      <c r="N113" s="81"/>
      <c r="O113" s="783">
        <f t="shared" ca="1" si="91"/>
        <v>4.3955000000000002</v>
      </c>
      <c r="P113" s="783">
        <f t="shared" ca="1" si="92"/>
        <v>0.25106499999999998</v>
      </c>
      <c r="Q113" s="81">
        <f t="shared" ca="1" si="93"/>
        <v>5.8937777777777782</v>
      </c>
      <c r="R113" s="333"/>
      <c r="S113" s="333"/>
      <c r="T113" s="333"/>
      <c r="U113" s="333"/>
      <c r="V113" s="759">
        <f ca="1">IF(IF(RIGHT(H111,2)="MT",(1-L113)+$W$2,IF(RIGHT(H111,2)="HT",(1-L113)+$W$1,IF(RIGHT(H111,2)="RH",(1-L113)+$W$3,"")))&lt;0,0,IF(RIGHT(H111,2)="MT",(1-L113)+$W$2,IF(RIGHT(H111,2)="HT",(1-L113)+$W$1,IF(RIGHT(H111,2)="RH",(1-L113)+$W$3,""))))</f>
        <v>0.52499999999999991</v>
      </c>
      <c r="W113" s="331"/>
      <c r="X113" s="758">
        <f t="shared" ca="1" si="74"/>
        <v>11</v>
      </c>
      <c r="Y113" s="758">
        <f t="shared" ca="1" si="94"/>
        <v>41</v>
      </c>
      <c r="Z113" s="758">
        <f t="shared" ca="1" si="95"/>
        <v>4</v>
      </c>
      <c r="AA113" s="758">
        <f t="shared" ca="1" si="96"/>
        <v>1</v>
      </c>
      <c r="AB113" s="758">
        <f t="shared" ca="1" si="97"/>
        <v>10</v>
      </c>
      <c r="AC113" s="211"/>
      <c r="AD113" s="81">
        <v>2050</v>
      </c>
      <c r="AE113" s="81"/>
      <c r="AF113" s="765"/>
    </row>
    <row r="114" spans="2:32">
      <c r="B114" s="778" t="s">
        <v>1133</v>
      </c>
      <c r="C114" s="241"/>
      <c r="D114" s="223" t="str">
        <f>IF(T114=0,"*",IF(T114&gt;0,"IND"&amp;RIGHT(H114,4)&amp;RIGHT(G114,3)&amp;"N"&amp;RIGHT(E114,1),""))</f>
        <v>INDRDRHBLQN4</v>
      </c>
      <c r="E114" s="278" t="str">
        <f>"Industrial heating technology "&amp;$AJ$12&amp;" "&amp;RIGHT(H114,2)&amp;" - Wood chip boiler (Hot Water- condensing) - new 4"</f>
        <v>Industrial heating technology Paper &amp; Pulp RH - Wood chip boiler (Hot Water- condensing) - new 4</v>
      </c>
      <c r="F114" s="239" t="s">
        <v>1274</v>
      </c>
      <c r="G114" s="176" t="s">
        <v>1434</v>
      </c>
      <c r="H114" s="177" t="str">
        <f>$AI$15</f>
        <v>IRDRH</v>
      </c>
      <c r="I114" s="177" t="str">
        <f t="shared" si="72"/>
        <v>INDRWH</v>
      </c>
      <c r="J114" s="239">
        <f t="shared" si="73"/>
        <v>2011</v>
      </c>
      <c r="K114" s="332">
        <f>J114</f>
        <v>2011</v>
      </c>
      <c r="L114" s="206">
        <f ca="1">L111</f>
        <v>0.66749999999999998</v>
      </c>
      <c r="M114" s="206"/>
      <c r="N114" s="81">
        <f ca="1">VLOOKUP($AD114,INDIRECT("'"&amp;$B114&amp;"'!"&amp;"$P$279:$AD$282"),5,FALSE)</f>
        <v>25</v>
      </c>
      <c r="O114" s="783">
        <f t="shared" ca="1" si="91"/>
        <v>5.0660000000000007</v>
      </c>
      <c r="P114" s="783">
        <f t="shared" ca="1" si="92"/>
        <v>0.27564999999999995</v>
      </c>
      <c r="Q114" s="81">
        <f t="shared" ca="1" si="93"/>
        <v>5.7509861111111107</v>
      </c>
      <c r="R114" s="81">
        <v>3.1536000000000002E-2</v>
      </c>
      <c r="S114" s="206">
        <v>0.95</v>
      </c>
      <c r="T114" s="206">
        <v>1</v>
      </c>
      <c r="U114" s="833"/>
      <c r="V114" s="759">
        <f ca="1">IF(IF(RIGHT(H114,2)="MT",(1-L114)+$W$2,IF(RIGHT(H114,2)="HT",(1-L114)+$W$1,IF(RIGHT(H114,2)="RH",(1-L114)+$W$3,"")))&lt;0,0,IF(RIGHT(H114,2)="MT",(1-L114)+$W$2,IF(RIGHT(H114,2)="HT",(1-L114)+$W$1,IF(RIGHT(H114,2)="RH",(1-L114)+$W$3,""))))</f>
        <v>0.33250000000000002</v>
      </c>
      <c r="W114" s="769"/>
      <c r="X114" s="758">
        <f t="shared" ca="1" si="74"/>
        <v>11</v>
      </c>
      <c r="Y114" s="758">
        <f t="shared" ca="1" si="94"/>
        <v>63</v>
      </c>
      <c r="Z114" s="758">
        <f t="shared" ca="1" si="95"/>
        <v>11</v>
      </c>
      <c r="AA114" s="758">
        <f t="shared" ca="1" si="96"/>
        <v>3</v>
      </c>
      <c r="AB114" s="758">
        <f t="shared" ca="1" si="97"/>
        <v>10</v>
      </c>
      <c r="AD114" s="81">
        <v>2020</v>
      </c>
      <c r="AE114" s="81"/>
      <c r="AF114" s="232"/>
    </row>
    <row r="115" spans="2:32">
      <c r="B115" s="778" t="s">
        <v>1133</v>
      </c>
      <c r="C115" s="241"/>
      <c r="D115" s="223" t="str">
        <f>IF(T114=0,"*",IF(T115&gt;0,"IND"&amp;RIGHT(H114,4)&amp;RIGHT(G114,3)&amp;"N"&amp;RIGHT(E114,1),""))</f>
        <v/>
      </c>
      <c r="E115" s="278"/>
      <c r="F115" s="239" t="s">
        <v>1274</v>
      </c>
      <c r="G115" s="55"/>
      <c r="H115" s="177"/>
      <c r="I115" s="177" t="str">
        <f t="shared" si="72"/>
        <v>INDRWH</v>
      </c>
      <c r="J115" s="239">
        <f t="shared" si="73"/>
        <v>2030</v>
      </c>
      <c r="K115" s="81"/>
      <c r="L115" s="206">
        <f ca="1">L112</f>
        <v>0.66749999999999998</v>
      </c>
      <c r="M115" s="206"/>
      <c r="N115" s="81"/>
      <c r="O115" s="783">
        <f t="shared" ca="1" si="91"/>
        <v>4.8425000000000002</v>
      </c>
      <c r="P115" s="783">
        <f t="shared" ca="1" si="92"/>
        <v>0.267455</v>
      </c>
      <c r="Q115" s="81">
        <f t="shared" ca="1" si="93"/>
        <v>5.8461805555555557</v>
      </c>
      <c r="R115" s="333"/>
      <c r="S115" s="333"/>
      <c r="T115" s="333"/>
      <c r="U115" s="333"/>
      <c r="V115" s="759">
        <f ca="1">IF(IF(RIGHT(H114,2)="MT",(1-L115)+$W$2,IF(RIGHT(H114,2)="HT",(1-L115)+$W$1,IF(RIGHT(H114,2)="RH",(1-L115)+$W$3,"")))&lt;0,0,IF(RIGHT(H114,2)="MT",(1-L115)+$W$2,IF(RIGHT(H114,2)="HT",(1-L115)+$W$1,IF(RIGHT(H114,2)="RH",(1-L115)+$W$3,""))))</f>
        <v>0.33250000000000002</v>
      </c>
      <c r="W115" s="331"/>
      <c r="X115" s="758">
        <f t="shared" ca="1" si="74"/>
        <v>11</v>
      </c>
      <c r="Y115" s="758">
        <f t="shared" ca="1" si="94"/>
        <v>49</v>
      </c>
      <c r="Z115" s="758">
        <f t="shared" ca="1" si="95"/>
        <v>8</v>
      </c>
      <c r="AA115" s="758">
        <f t="shared" ca="1" si="96"/>
        <v>3</v>
      </c>
      <c r="AB115" s="758">
        <f t="shared" ca="1" si="97"/>
        <v>10</v>
      </c>
      <c r="AD115" s="81">
        <v>2030</v>
      </c>
      <c r="AE115" s="81"/>
      <c r="AF115" s="232"/>
    </row>
    <row r="116" spans="2:32">
      <c r="B116" s="779" t="s">
        <v>1133</v>
      </c>
      <c r="C116" s="773"/>
      <c r="D116" s="223" t="str">
        <f>IF(T114=0,"*",IF(T116&gt;0,"IND"&amp;RIGHT(H114,4)&amp;RIGHT(G114,3)&amp;"N"&amp;RIGHT(E114,1),""))</f>
        <v/>
      </c>
      <c r="E116" s="761"/>
      <c r="F116" s="239" t="s">
        <v>1274</v>
      </c>
      <c r="G116" s="211"/>
      <c r="H116" s="762"/>
      <c r="I116" s="762" t="str">
        <f t="shared" si="72"/>
        <v>INDRWH</v>
      </c>
      <c r="J116" s="239">
        <f t="shared" si="73"/>
        <v>2050</v>
      </c>
      <c r="K116" s="81"/>
      <c r="L116" s="206">
        <f ca="1">L113</f>
        <v>0.67500000000000004</v>
      </c>
      <c r="M116" s="206"/>
      <c r="N116" s="81"/>
      <c r="O116" s="783">
        <f t="shared" ca="1" si="91"/>
        <v>4.3955000000000002</v>
      </c>
      <c r="P116" s="783">
        <f t="shared" ca="1" si="92"/>
        <v>0.25106499999999998</v>
      </c>
      <c r="Q116" s="81">
        <f t="shared" ca="1" si="93"/>
        <v>5.8937777777777782</v>
      </c>
      <c r="R116" s="333"/>
      <c r="S116" s="333"/>
      <c r="T116" s="333"/>
      <c r="U116" s="333"/>
      <c r="V116" s="759">
        <f ca="1">IF(IF(RIGHT(H114,2)="MT",(1-L116)+$W$2,IF(RIGHT(H114,2)="HT",(1-L116)+$W$1,IF(RIGHT(H114,2)="RH",(1-L116)+$W$3,"")))&lt;0,0,IF(RIGHT(H114,2)="MT",(1-L116)+$W$2,IF(RIGHT(H114,2)="HT",(1-L116)+$W$1,IF(RIGHT(H114,2)="RH",(1-L116)+$W$3,""))))</f>
        <v>0.32499999999999996</v>
      </c>
      <c r="W116" s="774"/>
      <c r="X116" s="758">
        <f t="shared" ca="1" si="74"/>
        <v>11</v>
      </c>
      <c r="Y116" s="758">
        <f t="shared" ca="1" si="94"/>
        <v>41</v>
      </c>
      <c r="Z116" s="758">
        <f t="shared" ca="1" si="95"/>
        <v>4</v>
      </c>
      <c r="AA116" s="758">
        <f t="shared" ca="1" si="96"/>
        <v>1</v>
      </c>
      <c r="AB116" s="758">
        <f t="shared" ca="1" si="97"/>
        <v>10</v>
      </c>
      <c r="AD116" s="81">
        <v>2050</v>
      </c>
      <c r="AE116" s="81"/>
      <c r="AF116" s="232"/>
    </row>
    <row r="117" spans="2:32">
      <c r="B117" s="778" t="s">
        <v>1139</v>
      </c>
      <c r="C117" s="241"/>
      <c r="D117" s="223" t="str">
        <f ca="1">IF(T117=0,"*",IF(T117&gt;0,"IND"&amp;RIGHT(H117,4)&amp;RIGHT(G117,3)&amp;"N"&amp;RIGHT(E117,1),""))</f>
        <v>INDRDHTELCN0</v>
      </c>
      <c r="E117" s="278" t="str">
        <f>"Industrial heating technology "&amp;$AJ$12&amp;" "&amp;RIGHT(H117,2)&amp;" - Direct electric heating - new 10"</f>
        <v>Industrial heating technology Paper &amp; Pulp HT - Direct electric heating - new 10</v>
      </c>
      <c r="F117" s="239" t="s">
        <v>1274</v>
      </c>
      <c r="G117" s="176" t="s">
        <v>500</v>
      </c>
      <c r="H117" s="177" t="str">
        <f>$AI$13</f>
        <v>IRDHT</v>
      </c>
      <c r="I117" s="177" t="str">
        <f t="shared" si="72"/>
        <v>INDRWH</v>
      </c>
      <c r="J117" s="239">
        <f t="shared" si="73"/>
        <v>2011</v>
      </c>
      <c r="K117" s="332">
        <f>J117</f>
        <v>2011</v>
      </c>
      <c r="L117" s="206">
        <f t="shared" ref="L117:L122" ca="1" si="98">VLOOKUP($AD117,INDIRECT("'"&amp;$B117&amp;"'!"&amp;"$P$39:$AD$42"),3,FALSE)</f>
        <v>1</v>
      </c>
      <c r="M117" s="206"/>
      <c r="N117" s="81">
        <f ca="1">VLOOKUP($AD117,INDIRECT("'"&amp;$B117&amp;"'!"&amp;"$P$39:$AD$42"),5,FALSE)</f>
        <v>12.5</v>
      </c>
      <c r="O117" s="783">
        <f t="shared" ref="O117:O131" ca="1" si="99">VLOOKUP($AD117,INDIRECT("'"&amp;$B117&amp;"'!"&amp;"$P$39:$AD$42"),6,FALSE)/1000</f>
        <v>0.44700000000000001</v>
      </c>
      <c r="P117" s="783">
        <f t="shared" ref="P117:P131" ca="1" si="100">VLOOKUP($AD117,INDIRECT("'"&amp;$B117&amp;"'!"&amp;"$P$39:$AD$42"),7,FALSE)/1000</f>
        <v>0</v>
      </c>
      <c r="Q117" s="81">
        <f t="shared" ref="Q117:Q131" ca="1" si="101">VLOOKUP($AD117,INDIRECT("'"&amp;$B117&amp;"'!"&amp;"$P$39:$AD$42"),8,FALSE)</f>
        <v>0.37767361111111114</v>
      </c>
      <c r="R117" s="81">
        <v>3.1536000000000002E-2</v>
      </c>
      <c r="S117" s="206">
        <v>0.95</v>
      </c>
      <c r="T117" s="206">
        <f ca="1">IF(HLOOKUP($T$2,INDIRECT("'"&amp;$B117&amp;"'!"&amp;"$P$6:$AE$19"),IF(H117=$AI$13,6,IF(H117=$AI$14,9,14)),FALSE)&lt;0.03,0,HLOOKUP($T$2,INDIRECT("'"&amp;$B117&amp;"'!"&amp;"$P$6:$AE$19"),IF(H117=$AI$13,6,IF(H117=$AI$14,9,14)),FALSE))</f>
        <v>0.05</v>
      </c>
      <c r="U117" s="832"/>
      <c r="V117" s="759">
        <f ca="1">IF(IF(RIGHT(H117,2)="MT",(1-L117)+$W$2,IF(RIGHT(H117,2)="HT",(1-L117)+$W$1,IF(RIGHT(H117,2)="RH",(1-L117)+$W$3,"")))&lt;0,0,IF(RIGHT(H117,2)="MT",(1-L117)+$W$2,IF(RIGHT(H117,2)="HT",(1-L117)+$W$1,IF(RIGHT(H117,2)="RH",(1-L117)+$W$3,""))))</f>
        <v>0.3</v>
      </c>
      <c r="W117" s="331"/>
      <c r="X117" s="758">
        <f t="shared" ca="1" si="74"/>
        <v>0</v>
      </c>
      <c r="Y117" s="81">
        <f t="shared" ref="Y117:Y131" ca="1" si="102">VLOOKUP($AD117,INDIRECT("'"&amp;$B117&amp;"'!"&amp;"$P$39:$AD$42"),12,FALSE)</f>
        <v>0</v>
      </c>
      <c r="Z117" s="81">
        <f t="shared" ref="Z117:Z131" ca="1" si="103">VLOOKUP($AD117,INDIRECT("'"&amp;$B117&amp;"'!"&amp;"$P$39:$AD$42"),13,FALSE)</f>
        <v>0</v>
      </c>
      <c r="AA117" s="81">
        <f t="shared" ref="AA117:AA131" ca="1" si="104">VLOOKUP($AD117,INDIRECT("'"&amp;$B117&amp;"'!"&amp;"$P$39:$AD$42"),14,FALSE)</f>
        <v>0</v>
      </c>
      <c r="AB117" s="81">
        <f t="shared" ref="AB117:AB131" ca="1" si="105">VLOOKUP($AD117,INDIRECT("'"&amp;$B117&amp;"'!"&amp;"$P$39:$AD$42"),15,FALSE)</f>
        <v>0</v>
      </c>
      <c r="AD117" s="81">
        <v>2020</v>
      </c>
      <c r="AE117" s="81"/>
      <c r="AF117" s="232"/>
    </row>
    <row r="118" spans="2:32">
      <c r="B118" s="778" t="s">
        <v>1139</v>
      </c>
      <c r="C118" s="241"/>
      <c r="D118" s="223" t="str">
        <f ca="1">IF(T117=0,"*",IF(T118&gt;0,"IND"&amp;RIGHT(H117,4)&amp;RIGHT(G117,3)&amp;"N"&amp;RIGHT(E117,1),""))</f>
        <v/>
      </c>
      <c r="E118" s="223"/>
      <c r="F118" s="239" t="s">
        <v>1274</v>
      </c>
      <c r="H118" s="177"/>
      <c r="I118" s="177" t="str">
        <f t="shared" si="72"/>
        <v>INDRWH</v>
      </c>
      <c r="J118" s="239">
        <f t="shared" si="73"/>
        <v>2030</v>
      </c>
      <c r="K118" s="81"/>
      <c r="L118" s="206">
        <f t="shared" ca="1" si="98"/>
        <v>1</v>
      </c>
      <c r="M118" s="206"/>
      <c r="N118" s="81"/>
      <c r="O118" s="783">
        <f t="shared" ca="1" si="99"/>
        <v>0.44700000000000001</v>
      </c>
      <c r="P118" s="783">
        <f t="shared" ca="1" si="100"/>
        <v>0</v>
      </c>
      <c r="Q118" s="81">
        <f t="shared" ca="1" si="101"/>
        <v>0.38802083333333331</v>
      </c>
      <c r="R118" s="333"/>
      <c r="S118" s="333"/>
      <c r="T118" s="333"/>
      <c r="U118" s="333"/>
      <c r="V118" s="759">
        <f ca="1">IF(IF(RIGHT(H117,2)="MT",(1-L118)+$W$2,IF(RIGHT(H117,2)="HT",(1-L118)+$W$1,IF(RIGHT(H117,2)="RH",(1-L118)+$W$3,"")))&lt;0,0,IF(RIGHT(H117,2)="MT",(1-L118)+$W$2,IF(RIGHT(H117,2)="HT",(1-L118)+$W$1,IF(RIGHT(H117,2)="RH",(1-L118)+$W$3,""))))</f>
        <v>0.3</v>
      </c>
      <c r="W118" s="331"/>
      <c r="X118" s="758">
        <f t="shared" ca="1" si="74"/>
        <v>0</v>
      </c>
      <c r="Y118" s="81">
        <f t="shared" ca="1" si="102"/>
        <v>0</v>
      </c>
      <c r="Z118" s="81">
        <f t="shared" ca="1" si="103"/>
        <v>0</v>
      </c>
      <c r="AA118" s="81">
        <f t="shared" ca="1" si="104"/>
        <v>0</v>
      </c>
      <c r="AB118" s="81">
        <f t="shared" ca="1" si="105"/>
        <v>0</v>
      </c>
      <c r="AD118" s="81">
        <v>2030</v>
      </c>
      <c r="AE118" s="81"/>
      <c r="AF118" s="232"/>
    </row>
    <row r="119" spans="2:32">
      <c r="B119" s="778" t="s">
        <v>1139</v>
      </c>
      <c r="C119" s="241"/>
      <c r="D119" s="223" t="str">
        <f ca="1">IF(T117=0,"*",IF(T119&gt;0,"IND"&amp;RIGHT(H117,4)&amp;RIGHT(G117,3)&amp;"N"&amp;RIGHT(E117,1),""))</f>
        <v/>
      </c>
      <c r="E119" s="223"/>
      <c r="F119" s="239" t="s">
        <v>1274</v>
      </c>
      <c r="H119" s="177"/>
      <c r="I119" s="177" t="str">
        <f t="shared" si="72"/>
        <v>INDRWH</v>
      </c>
      <c r="J119" s="239">
        <f t="shared" si="73"/>
        <v>2050</v>
      </c>
      <c r="K119" s="81"/>
      <c r="L119" s="206">
        <f t="shared" ca="1" si="98"/>
        <v>1</v>
      </c>
      <c r="M119" s="206"/>
      <c r="N119" s="81"/>
      <c r="O119" s="783">
        <f t="shared" ca="1" si="99"/>
        <v>0.44700000000000001</v>
      </c>
      <c r="P119" s="783">
        <f t="shared" ca="1" si="100"/>
        <v>0</v>
      </c>
      <c r="Q119" s="81">
        <f t="shared" ca="1" si="101"/>
        <v>0.39319444444444446</v>
      </c>
      <c r="R119" s="333"/>
      <c r="S119" s="333"/>
      <c r="T119" s="333"/>
      <c r="U119" s="333"/>
      <c r="V119" s="759">
        <f ca="1">IF(IF(RIGHT(H117,2)="MT",(1-L119)+$W$2,IF(RIGHT(H117,2)="HT",(1-L119)+$W$1,IF(RIGHT(H117,2)="RH",(1-L119)+$W$3,"")))&lt;0,0,IF(RIGHT(H117,2)="MT",(1-L119)+$W$2,IF(RIGHT(H117,2)="HT",(1-L119)+$W$1,IF(RIGHT(H117,2)="RH",(1-L119)+$W$3,""))))</f>
        <v>0.3</v>
      </c>
      <c r="W119" s="331"/>
      <c r="X119" s="758">
        <f t="shared" ca="1" si="74"/>
        <v>0</v>
      </c>
      <c r="Y119" s="81">
        <f t="shared" ca="1" si="102"/>
        <v>0</v>
      </c>
      <c r="Z119" s="81">
        <f t="shared" ca="1" si="103"/>
        <v>0</v>
      </c>
      <c r="AA119" s="81">
        <f t="shared" ca="1" si="104"/>
        <v>0</v>
      </c>
      <c r="AB119" s="81">
        <f t="shared" ca="1" si="105"/>
        <v>0</v>
      </c>
      <c r="AC119" s="211"/>
      <c r="AD119" s="81">
        <v>2050</v>
      </c>
      <c r="AE119" s="81"/>
      <c r="AF119" s="765"/>
    </row>
    <row r="120" spans="2:32">
      <c r="B120" s="778" t="s">
        <v>1139</v>
      </c>
      <c r="C120" s="241"/>
      <c r="D120" s="223" t="str">
        <f ca="1">IF(T120=0,"*",IF(T120&gt;0,"IND"&amp;RIGHT(H120,4)&amp;RIGHT(G120,3)&amp;"N"&amp;RIGHT(E120,1),""))</f>
        <v>*</v>
      </c>
      <c r="E120" s="278" t="str">
        <f>"Industrial heating technology "&amp;$AJ$12&amp;" "&amp;RIGHT(H120,2)&amp;" - Direct electric heating - new 10"</f>
        <v>Industrial heating technology Paper &amp; Pulp MT - Direct electric heating - new 10</v>
      </c>
      <c r="F120" s="239" t="s">
        <v>1274</v>
      </c>
      <c r="G120" s="176" t="s">
        <v>1437</v>
      </c>
      <c r="H120" s="177" t="str">
        <f>$AI$14</f>
        <v>IRDMT</v>
      </c>
      <c r="I120" s="177" t="str">
        <f t="shared" si="72"/>
        <v>INDRWH</v>
      </c>
      <c r="J120" s="239">
        <f t="shared" si="73"/>
        <v>2011</v>
      </c>
      <c r="K120" s="332">
        <f>J120</f>
        <v>2011</v>
      </c>
      <c r="L120" s="206">
        <f t="shared" ca="1" si="98"/>
        <v>1</v>
      </c>
      <c r="M120" s="206"/>
      <c r="N120" s="81">
        <f ca="1">VLOOKUP($AD120,INDIRECT("'"&amp;$B120&amp;"'!"&amp;"$P$39:$AD$42"),5,FALSE)</f>
        <v>12.5</v>
      </c>
      <c r="O120" s="783">
        <f t="shared" ca="1" si="99"/>
        <v>0.44700000000000001</v>
      </c>
      <c r="P120" s="783">
        <f t="shared" ca="1" si="100"/>
        <v>0</v>
      </c>
      <c r="Q120" s="81">
        <f t="shared" ca="1" si="101"/>
        <v>0.37767361111111114</v>
      </c>
      <c r="R120" s="81">
        <v>3.1536000000000002E-2</v>
      </c>
      <c r="S120" s="206">
        <v>0.95</v>
      </c>
      <c r="T120" s="206">
        <f ca="1">IF(HLOOKUP($T$2,INDIRECT("'"&amp;$B120&amp;"'!"&amp;"$P$6:$AE$19"),IF(H120=$AI$13,6,IF(H120=$AI$14,9,14)),FALSE)&lt;0.03,0,HLOOKUP($T$2,INDIRECT("'"&amp;$B120&amp;"'!"&amp;"$P$6:$AE$19"),IF(H120=$AI$13,6,IF(H120=$AI$14,9,14)),FALSE))</f>
        <v>0</v>
      </c>
      <c r="U120" s="832"/>
      <c r="V120" s="759">
        <f ca="1">IF(IF(RIGHT(H120,2)="MT",(1-L120)+$W$2,IF(RIGHT(H120,2)="HT",(1-L120)+$W$1,IF(RIGHT(H120,2)="RH",(1-L120)+$W$3,"")))&lt;0,0,IF(RIGHT(H120,2)="MT",(1-L120)+$W$2,IF(RIGHT(H120,2)="HT",(1-L120)+$W$1,IF(RIGHT(H120,2)="RH",(1-L120)+$W$3,""))))</f>
        <v>0.2</v>
      </c>
      <c r="W120" s="331"/>
      <c r="X120" s="758">
        <f t="shared" ca="1" si="74"/>
        <v>0</v>
      </c>
      <c r="Y120" s="81">
        <f t="shared" ca="1" si="102"/>
        <v>0</v>
      </c>
      <c r="Z120" s="81">
        <f t="shared" ca="1" si="103"/>
        <v>0</v>
      </c>
      <c r="AA120" s="81">
        <f t="shared" ca="1" si="104"/>
        <v>0</v>
      </c>
      <c r="AB120" s="81">
        <f t="shared" ca="1" si="105"/>
        <v>0</v>
      </c>
      <c r="AD120" s="81">
        <v>2020</v>
      </c>
      <c r="AE120" s="332"/>
      <c r="AF120" s="232"/>
    </row>
    <row r="121" spans="2:32">
      <c r="B121" s="778" t="s">
        <v>1139</v>
      </c>
      <c r="C121" s="241"/>
      <c r="D121" s="223" t="str">
        <f ca="1">IF(T120=0,"*",IF(T121&gt;0,"IND"&amp;RIGHT(H120,4)&amp;RIGHT(G120,3)&amp;"N"&amp;RIGHT(E120,1),""))</f>
        <v>*</v>
      </c>
      <c r="E121" s="223"/>
      <c r="F121" s="239" t="s">
        <v>1274</v>
      </c>
      <c r="H121" s="177"/>
      <c r="I121" s="177" t="str">
        <f t="shared" si="72"/>
        <v>INDRWH</v>
      </c>
      <c r="J121" s="239">
        <f t="shared" si="73"/>
        <v>2030</v>
      </c>
      <c r="K121" s="81"/>
      <c r="L121" s="206">
        <f t="shared" ca="1" si="98"/>
        <v>1</v>
      </c>
      <c r="M121" s="206"/>
      <c r="N121" s="81"/>
      <c r="O121" s="783">
        <f t="shared" ca="1" si="99"/>
        <v>0.44700000000000001</v>
      </c>
      <c r="P121" s="783">
        <f t="shared" ca="1" si="100"/>
        <v>0</v>
      </c>
      <c r="Q121" s="81">
        <f t="shared" ca="1" si="101"/>
        <v>0.38802083333333331</v>
      </c>
      <c r="R121" s="333"/>
      <c r="S121" s="333"/>
      <c r="T121" s="333"/>
      <c r="U121" s="333"/>
      <c r="V121" s="759">
        <f ca="1">IF(IF(RIGHT(H120,2)="MT",(1-L121)+$W$2,IF(RIGHT(H120,2)="HT",(1-L121)+$W$1,IF(RIGHT(H120,2)="RH",(1-L121)+$W$3,"")))&lt;0,0,IF(RIGHT(H120,2)="MT",(1-L121)+$W$2,IF(RIGHT(H120,2)="HT",(1-L121)+$W$1,IF(RIGHT(H120,2)="RH",(1-L121)+$W$3,""))))</f>
        <v>0.2</v>
      </c>
      <c r="W121" s="331"/>
      <c r="X121" s="758">
        <f t="shared" ca="1" si="74"/>
        <v>0</v>
      </c>
      <c r="Y121" s="81">
        <f t="shared" ca="1" si="102"/>
        <v>0</v>
      </c>
      <c r="Z121" s="81">
        <f t="shared" ca="1" si="103"/>
        <v>0</v>
      </c>
      <c r="AA121" s="81">
        <f t="shared" ca="1" si="104"/>
        <v>0</v>
      </c>
      <c r="AB121" s="81">
        <f t="shared" ca="1" si="105"/>
        <v>0</v>
      </c>
      <c r="AD121" s="81">
        <v>2030</v>
      </c>
      <c r="AE121" s="81"/>
      <c r="AF121" s="232"/>
    </row>
    <row r="122" spans="2:32">
      <c r="B122" s="779" t="s">
        <v>1139</v>
      </c>
      <c r="C122" s="773"/>
      <c r="D122" s="223" t="str">
        <f ca="1">IF(T120=0,"*",IF(T122&gt;0,"IND"&amp;RIGHT(H120,4)&amp;RIGHT(G120,3)&amp;"N"&amp;RIGHT(E120,1),""))</f>
        <v>*</v>
      </c>
      <c r="E122" s="761"/>
      <c r="F122" s="239" t="s">
        <v>1274</v>
      </c>
      <c r="G122" s="211"/>
      <c r="H122" s="762"/>
      <c r="I122" s="762" t="str">
        <f t="shared" si="72"/>
        <v>INDRWH</v>
      </c>
      <c r="J122" s="239">
        <f t="shared" si="73"/>
        <v>2050</v>
      </c>
      <c r="K122" s="81"/>
      <c r="L122" s="206">
        <f t="shared" ca="1" si="98"/>
        <v>1</v>
      </c>
      <c r="M122" s="206"/>
      <c r="N122" s="81"/>
      <c r="O122" s="783">
        <f t="shared" ca="1" si="99"/>
        <v>0.44700000000000001</v>
      </c>
      <c r="P122" s="783">
        <f t="shared" ca="1" si="100"/>
        <v>0</v>
      </c>
      <c r="Q122" s="81">
        <f t="shared" ca="1" si="101"/>
        <v>0.39319444444444446</v>
      </c>
      <c r="R122" s="763"/>
      <c r="S122" s="763"/>
      <c r="T122" s="763"/>
      <c r="U122" s="763"/>
      <c r="V122" s="759">
        <f ca="1">IF(IF(RIGHT(H120,2)="MT",(1-L122)+$W$2,IF(RIGHT(H120,2)="HT",(1-L122)+$W$1,IF(RIGHT(H120,2)="RH",(1-L122)+$W$3,"")))&lt;0,0,IF(RIGHT(H120,2)="MT",(1-L122)+$W$2,IF(RIGHT(H120,2)="HT",(1-L122)+$W$1,IF(RIGHT(H120,2)="RH",(1-L122)+$W$3,""))))</f>
        <v>0.2</v>
      </c>
      <c r="W122" s="764"/>
      <c r="X122" s="758">
        <f t="shared" ca="1" si="74"/>
        <v>0</v>
      </c>
      <c r="Y122" s="81">
        <f t="shared" ca="1" si="102"/>
        <v>0</v>
      </c>
      <c r="Z122" s="81">
        <f t="shared" ca="1" si="103"/>
        <v>0</v>
      </c>
      <c r="AA122" s="81">
        <f t="shared" ca="1" si="104"/>
        <v>0</v>
      </c>
      <c r="AB122" s="81">
        <f t="shared" ca="1" si="105"/>
        <v>0</v>
      </c>
      <c r="AD122" s="81">
        <v>2050</v>
      </c>
      <c r="AE122" s="81"/>
      <c r="AF122" s="232"/>
    </row>
    <row r="123" spans="2:32">
      <c r="B123" s="778" t="s">
        <v>1134</v>
      </c>
      <c r="C123" s="241"/>
      <c r="D123" s="223" t="str">
        <f ca="1">IF(T123=0,"*",IF(T123&gt;0,"IND"&amp;RIGHT(H123,4)&amp;RIGHT(G123,3)&amp;"N"&amp;RIGHT(E123,1),""))</f>
        <v>INDRDHTDSEN1</v>
      </c>
      <c r="E123" s="278" t="str">
        <f>"Industrial heating technology "&amp;$AJ$12&amp;" "&amp;RIGHT(H123,2)&amp;" - Oil boiler (Steam) - new 1"</f>
        <v>Industrial heating technology Paper &amp; Pulp HT - Oil boiler (Steam) - new 1</v>
      </c>
      <c r="F123" s="239" t="s">
        <v>1274</v>
      </c>
      <c r="G123" s="176" t="s">
        <v>1437</v>
      </c>
      <c r="H123" s="177" t="str">
        <f>$AI$13</f>
        <v>IRDHT</v>
      </c>
      <c r="I123" s="177" t="str">
        <f t="shared" si="72"/>
        <v>INDRWH</v>
      </c>
      <c r="J123" s="239">
        <f t="shared" si="73"/>
        <v>2011</v>
      </c>
      <c r="K123" s="332">
        <f>J123</f>
        <v>2011</v>
      </c>
      <c r="L123" s="206">
        <f t="shared" ref="L123:L131" ca="1" si="106">VLOOKUP($AD123,INDIRECT("'"&amp;$B123&amp;"'!"&amp;"$P$39:$AD$42"),3,FALSE)*0.85</f>
        <v>0.79899999999999993</v>
      </c>
      <c r="M123" s="759"/>
      <c r="N123" s="332">
        <f ca="1">VLOOKUP($AD123,INDIRECT("'"&amp;$B123&amp;"'!"&amp;"$P$39:$AD$42"),5,FALSE)</f>
        <v>25</v>
      </c>
      <c r="O123" s="785">
        <f t="shared" ca="1" si="99"/>
        <v>0.40975</v>
      </c>
      <c r="P123" s="785">
        <f t="shared" ca="1" si="100"/>
        <v>1.341E-2</v>
      </c>
      <c r="Q123" s="332">
        <f t="shared" ca="1" si="101"/>
        <v>2.0694444444444446</v>
      </c>
      <c r="R123" s="332">
        <v>3.1536000000000002E-2</v>
      </c>
      <c r="S123" s="206">
        <v>0.95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0.50100000000000011</v>
      </c>
      <c r="W123" s="331"/>
      <c r="X123" s="758">
        <f t="shared" ca="1" si="74"/>
        <v>0.5</v>
      </c>
      <c r="Y123" s="332">
        <f t="shared" ca="1" si="102"/>
        <v>25</v>
      </c>
      <c r="Z123" s="332">
        <f t="shared" ca="1" si="103"/>
        <v>0</v>
      </c>
      <c r="AA123" s="332">
        <f t="shared" ca="1" si="104"/>
        <v>0</v>
      </c>
      <c r="AB123" s="332">
        <f t="shared" ca="1" si="105"/>
        <v>0.1</v>
      </c>
      <c r="AD123" s="332">
        <v>2020</v>
      </c>
      <c r="AE123" s="81"/>
      <c r="AF123" s="232"/>
    </row>
    <row r="124" spans="2:32">
      <c r="B124" s="778" t="s">
        <v>1134</v>
      </c>
      <c r="C124" s="241"/>
      <c r="D124" s="223" t="str">
        <f ca="1">IF(T123=0,"*",IF(T124&gt;0,"IND"&amp;RIGHT(H123,4)&amp;RIGHT(G123,3)&amp;"N"&amp;RIGHT(E123,1),""))</f>
        <v/>
      </c>
      <c r="E124" s="223"/>
      <c r="F124" s="239" t="s">
        <v>1274</v>
      </c>
      <c r="H124" s="177"/>
      <c r="I124" s="177" t="str">
        <f t="shared" si="72"/>
        <v>INDRWH</v>
      </c>
      <c r="J124" s="239">
        <f t="shared" si="73"/>
        <v>2030</v>
      </c>
      <c r="K124" s="81"/>
      <c r="L124" s="206">
        <f t="shared" ca="1" si="106"/>
        <v>0.8075</v>
      </c>
      <c r="M124" s="206"/>
      <c r="N124" s="81"/>
      <c r="O124" s="783">
        <f t="shared" ca="1" si="99"/>
        <v>0.3469940346244772</v>
      </c>
      <c r="P124" s="783">
        <f t="shared" ca="1" si="100"/>
        <v>1.2664999999999999E-2</v>
      </c>
      <c r="Q124" s="81">
        <f t="shared" ca="1" si="101"/>
        <v>1.8625</v>
      </c>
      <c r="R124" s="333"/>
      <c r="S124" s="333"/>
      <c r="T124" s="333"/>
      <c r="U124" s="333"/>
      <c r="V124" s="759">
        <f ca="1">IF(IF(RIGHT(H123,2)="MT",(1-L124)+$W$2,IF(RIGHT(H123,2)="HT",(1-L124)+$W$1,IF(RIGHT(H123,2)="RH",(1-L124)+$W$3,"")))&lt;0,0,IF(RIGHT(H123,2)="MT",(1-L124)+$W$2,IF(RIGHT(H123,2)="HT",(1-L124)+$W$1,IF(RIGHT(H123,2)="RH",(1-L124)+$W$3,""))))</f>
        <v>0.49249999999999999</v>
      </c>
      <c r="W124" s="331"/>
      <c r="X124" s="758">
        <f t="shared" ca="1" si="74"/>
        <v>0.5</v>
      </c>
      <c r="Y124" s="81">
        <f t="shared" ca="1" si="102"/>
        <v>20</v>
      </c>
      <c r="Z124" s="81">
        <f t="shared" ca="1" si="103"/>
        <v>0</v>
      </c>
      <c r="AA124" s="81">
        <f t="shared" ca="1" si="104"/>
        <v>0</v>
      </c>
      <c r="AB124" s="81">
        <f t="shared" ca="1" si="105"/>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72"/>
        <v>INDRWH</v>
      </c>
      <c r="J125" s="239">
        <f t="shared" si="73"/>
        <v>2050</v>
      </c>
      <c r="K125" s="81"/>
      <c r="L125" s="206">
        <f t="shared" ca="1" si="106"/>
        <v>0.81599999999999995</v>
      </c>
      <c r="M125" s="206"/>
      <c r="N125" s="81"/>
      <c r="O125" s="783">
        <f t="shared" ca="1" si="99"/>
        <v>0.32813985758696651</v>
      </c>
      <c r="P125" s="783">
        <f t="shared" ca="1" si="100"/>
        <v>1.1175000000000001E-2</v>
      </c>
      <c r="Q125" s="81">
        <f t="shared" ca="1" si="101"/>
        <v>1.8625</v>
      </c>
      <c r="R125" s="333"/>
      <c r="S125" s="333"/>
      <c r="T125" s="333"/>
      <c r="U125" s="333"/>
      <c r="V125" s="759">
        <f ca="1">IF(IF(RIGHT(H123,2)="MT",(1-L125)+$W$2,IF(RIGHT(H123,2)="HT",(1-L125)+$W$1,IF(RIGHT(H123,2)="RH",(1-L125)+$W$3,"")))&lt;0,0,IF(RIGHT(H123,2)="MT",(1-L125)+$W$2,IF(RIGHT(H123,2)="HT",(1-L125)+$W$1,IF(RIGHT(H123,2)="RH",(1-L125)+$W$3,""))))</f>
        <v>0.48400000000000004</v>
      </c>
      <c r="W125" s="331"/>
      <c r="X125" s="758">
        <f t="shared" ca="1" si="74"/>
        <v>0.5</v>
      </c>
      <c r="Y125" s="81">
        <f t="shared" ca="1" si="102"/>
        <v>15</v>
      </c>
      <c r="Z125" s="81">
        <f t="shared" ca="1" si="103"/>
        <v>0</v>
      </c>
      <c r="AA125" s="81">
        <f t="shared" ca="1" si="104"/>
        <v>0</v>
      </c>
      <c r="AB125" s="81">
        <f t="shared" ca="1" si="105"/>
        <v>0.1</v>
      </c>
      <c r="AD125" s="81">
        <v>2050</v>
      </c>
      <c r="AE125" s="81"/>
      <c r="AF125" s="232"/>
    </row>
    <row r="126" spans="2:32">
      <c r="B126" s="778" t="s">
        <v>1134</v>
      </c>
      <c r="C126" s="241"/>
      <c r="D126" s="223" t="str">
        <f ca="1">IF(T126=0,"*",IF(T126&gt;0,"IND"&amp;RIGHT(H126,4)&amp;RIGHT(G126,3)&amp;"N"&amp;RIGHT(E126,1),""))</f>
        <v>INDRDMTDSEN1</v>
      </c>
      <c r="E126" s="278" t="str">
        <f>"Industrial heating technology "&amp;$AJ$12&amp;" "&amp;RIGHT(H126,2)&amp;" - Oil boiler (Steam) - new 1"</f>
        <v>Industrial heating technology Paper &amp; Pulp MT - Oil boiler (Steam) - new 1</v>
      </c>
      <c r="F126" s="239" t="s">
        <v>1274</v>
      </c>
      <c r="G126" s="176" t="s">
        <v>1437</v>
      </c>
      <c r="H126" s="177" t="str">
        <f>$AI$14</f>
        <v>IRDMT</v>
      </c>
      <c r="I126" s="177" t="str">
        <f t="shared" si="72"/>
        <v>INDRWH</v>
      </c>
      <c r="J126" s="239">
        <f t="shared" si="73"/>
        <v>2011</v>
      </c>
      <c r="K126" s="332">
        <f>J126</f>
        <v>2011</v>
      </c>
      <c r="L126" s="206">
        <f t="shared" ca="1" si="106"/>
        <v>0.79899999999999993</v>
      </c>
      <c r="M126" s="206"/>
      <c r="N126" s="81">
        <f ca="1">VLOOKUP($AD126,INDIRECT("'"&amp;$B126&amp;"'!"&amp;"$P$39:$AD$42"),5,FALSE)</f>
        <v>25</v>
      </c>
      <c r="O126" s="783">
        <f t="shared" ca="1" si="99"/>
        <v>0.40975</v>
      </c>
      <c r="P126" s="783">
        <f t="shared" ca="1" si="100"/>
        <v>1.341E-2</v>
      </c>
      <c r="Q126" s="81">
        <f t="shared" ca="1" si="101"/>
        <v>2.0694444444444446</v>
      </c>
      <c r="R126" s="81">
        <v>3.1536000000000002E-2</v>
      </c>
      <c r="S126" s="206">
        <v>0.95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0.40100000000000008</v>
      </c>
      <c r="W126" s="331"/>
      <c r="X126" s="758">
        <f t="shared" ca="1" si="74"/>
        <v>0.5</v>
      </c>
      <c r="Y126" s="81">
        <f t="shared" ca="1" si="102"/>
        <v>25</v>
      </c>
      <c r="Z126" s="81">
        <f t="shared" ca="1" si="103"/>
        <v>0</v>
      </c>
      <c r="AA126" s="81">
        <f t="shared" ca="1" si="104"/>
        <v>0</v>
      </c>
      <c r="AB126" s="81">
        <f t="shared" ca="1" si="105"/>
        <v>0.1</v>
      </c>
      <c r="AD126" s="81">
        <v>2020</v>
      </c>
      <c r="AE126" s="81"/>
      <c r="AF126" s="232"/>
    </row>
    <row r="127" spans="2:32">
      <c r="B127" s="778" t="s">
        <v>1134</v>
      </c>
      <c r="C127" s="241"/>
      <c r="D127" s="223" t="str">
        <f ca="1">IF(T126=0,"*",IF(T127&gt;0,"IND"&amp;RIGHT(H126,4)&amp;RIGHT(G126,3)&amp;"N"&amp;RIGHT(E126,1),""))</f>
        <v/>
      </c>
      <c r="E127" s="223"/>
      <c r="F127" s="239" t="s">
        <v>1274</v>
      </c>
      <c r="H127" s="177"/>
      <c r="I127" s="177" t="str">
        <f t="shared" si="72"/>
        <v>INDRWH</v>
      </c>
      <c r="J127" s="239">
        <f t="shared" si="73"/>
        <v>2030</v>
      </c>
      <c r="K127" s="81"/>
      <c r="L127" s="206">
        <f t="shared" ca="1" si="106"/>
        <v>0.8075</v>
      </c>
      <c r="M127" s="206"/>
      <c r="N127" s="81"/>
      <c r="O127" s="783">
        <f t="shared" ca="1" si="99"/>
        <v>0.3469940346244772</v>
      </c>
      <c r="P127" s="783">
        <f t="shared" ca="1" si="100"/>
        <v>1.2664999999999999E-2</v>
      </c>
      <c r="Q127" s="81">
        <f t="shared" ca="1" si="101"/>
        <v>1.8625</v>
      </c>
      <c r="R127" s="333"/>
      <c r="S127" s="333"/>
      <c r="T127" s="333"/>
      <c r="U127" s="333"/>
      <c r="V127" s="759">
        <f ca="1">IF(IF(RIGHT(H126,2)="MT",(1-L127)+$W$2,IF(RIGHT(H126,2)="HT",(1-L127)+$W$1,IF(RIGHT(H126,2)="RH",(1-L127)+$W$3,"")))&lt;0,0,IF(RIGHT(H126,2)="MT",(1-L127)+$W$2,IF(RIGHT(H126,2)="HT",(1-L127)+$W$1,IF(RIGHT(H126,2)="RH",(1-L127)+$W$3,""))))</f>
        <v>0.39250000000000002</v>
      </c>
      <c r="W127" s="331"/>
      <c r="X127" s="758">
        <f t="shared" ca="1" si="74"/>
        <v>0.5</v>
      </c>
      <c r="Y127" s="81">
        <f t="shared" ca="1" si="102"/>
        <v>20</v>
      </c>
      <c r="Z127" s="81">
        <f t="shared" ca="1" si="103"/>
        <v>0</v>
      </c>
      <c r="AA127" s="81">
        <f t="shared" ca="1" si="104"/>
        <v>0</v>
      </c>
      <c r="AB127" s="81">
        <f t="shared" ca="1" si="105"/>
        <v>0.1</v>
      </c>
      <c r="AD127" s="81">
        <v>2030</v>
      </c>
      <c r="AE127" s="81"/>
      <c r="AF127" s="232"/>
    </row>
    <row r="128" spans="2:32">
      <c r="B128" s="778" t="s">
        <v>1134</v>
      </c>
      <c r="C128" s="241"/>
      <c r="D128" s="223" t="str">
        <f ca="1">IF(T126=0,"*",IF(T128&gt;0,"IND"&amp;RIGHT(H126,4)&amp;RIGHT(G126,3)&amp;"N"&amp;RIGHT(E126,1),""))</f>
        <v/>
      </c>
      <c r="E128" s="223"/>
      <c r="F128" s="239" t="s">
        <v>1274</v>
      </c>
      <c r="H128" s="177"/>
      <c r="I128" s="177" t="str">
        <f t="shared" si="72"/>
        <v>INDRWH</v>
      </c>
      <c r="J128" s="239">
        <f t="shared" si="73"/>
        <v>2050</v>
      </c>
      <c r="K128" s="81"/>
      <c r="L128" s="206">
        <f t="shared" ca="1" si="106"/>
        <v>0.81599999999999995</v>
      </c>
      <c r="M128" s="206"/>
      <c r="N128" s="81"/>
      <c r="O128" s="783">
        <f t="shared" ca="1" si="99"/>
        <v>0.32813985758696651</v>
      </c>
      <c r="P128" s="783">
        <f t="shared" ca="1" si="100"/>
        <v>1.1175000000000001E-2</v>
      </c>
      <c r="Q128" s="81">
        <f t="shared" ca="1" si="101"/>
        <v>1.8625</v>
      </c>
      <c r="R128" s="333"/>
      <c r="S128" s="333"/>
      <c r="T128" s="333"/>
      <c r="U128" s="333"/>
      <c r="V128" s="759">
        <f ca="1">IF(IF(RIGHT(H126,2)="MT",(1-L128)+$W$2,IF(RIGHT(H126,2)="HT",(1-L128)+$W$1,IF(RIGHT(H126,2)="RH",(1-L128)+$W$3,"")))&lt;0,0,IF(RIGHT(H126,2)="MT",(1-L128)+$W$2,IF(RIGHT(H126,2)="HT",(1-L128)+$W$1,IF(RIGHT(H126,2)="RH",(1-L128)+$W$3,""))))</f>
        <v>0.38400000000000006</v>
      </c>
      <c r="W128" s="331"/>
      <c r="X128" s="758">
        <f t="shared" ca="1" si="74"/>
        <v>0.5</v>
      </c>
      <c r="Y128" s="81">
        <f t="shared" ca="1" si="102"/>
        <v>15</v>
      </c>
      <c r="Z128" s="81">
        <f t="shared" ca="1" si="103"/>
        <v>0</v>
      </c>
      <c r="AA128" s="81">
        <f t="shared" ca="1" si="104"/>
        <v>0</v>
      </c>
      <c r="AB128" s="81">
        <f t="shared" ca="1" si="105"/>
        <v>0.1</v>
      </c>
      <c r="AC128" s="211"/>
      <c r="AD128" s="81">
        <v>2050</v>
      </c>
      <c r="AE128" s="81"/>
      <c r="AF128" s="765"/>
    </row>
    <row r="129" spans="2:32">
      <c r="B129" s="778" t="s">
        <v>1134</v>
      </c>
      <c r="C129" s="241"/>
      <c r="D129" s="223" t="str">
        <f ca="1">IF(T129=0,"*",IF(T129&gt;0,"IND"&amp;RIGHT(H129,4)&amp;RIGHT(G129,3)&amp;"N"&amp;RIGHT(E129,1),""))</f>
        <v>INDRDRHDSEN1</v>
      </c>
      <c r="E129" s="278" t="str">
        <f>"Industrial heating technology "&amp;$AJ$12&amp;" "&amp;RIGHT(H129,2)&amp;" - Oil boiler (Steam) - new 1"</f>
        <v>Industrial heating technology Paper &amp; Pulp RH - Oil boiler (Steam) - new 1</v>
      </c>
      <c r="F129" s="239" t="s">
        <v>1274</v>
      </c>
      <c r="G129" s="176" t="s">
        <v>1437</v>
      </c>
      <c r="H129" s="177" t="str">
        <f>$AI$15</f>
        <v>IRDRH</v>
      </c>
      <c r="I129" s="177" t="str">
        <f t="shared" ref="I129:I160" si="107">$AI$20</f>
        <v>INDRWH</v>
      </c>
      <c r="J129" s="239">
        <f t="shared" ref="J129:J160" si="108">IF(AD129=2020,2011,AD129)</f>
        <v>2011</v>
      </c>
      <c r="K129" s="332">
        <f>J129</f>
        <v>2011</v>
      </c>
      <c r="L129" s="206">
        <f t="shared" ca="1" si="106"/>
        <v>0.79899999999999993</v>
      </c>
      <c r="M129" s="206"/>
      <c r="N129" s="81">
        <f ca="1">VLOOKUP($AD129,INDIRECT("'"&amp;$B129&amp;"'!"&amp;"$P$39:$AD$42"),5,FALSE)</f>
        <v>25</v>
      </c>
      <c r="O129" s="783">
        <f t="shared" ca="1" si="99"/>
        <v>0.40975</v>
      </c>
      <c r="P129" s="783">
        <f t="shared" ca="1" si="100"/>
        <v>1.341E-2</v>
      </c>
      <c r="Q129" s="81">
        <f t="shared" ca="1" si="101"/>
        <v>2.0694444444444446</v>
      </c>
      <c r="R129" s="81">
        <v>3.1536000000000002E-2</v>
      </c>
      <c r="S129" s="206">
        <v>0.95</v>
      </c>
      <c r="T129" s="206">
        <f ca="1">IF(HLOOKUP($T$2,INDIRECT("'"&amp;$B129&amp;"'!"&amp;"$P$6:$AE$19"),IF(H129=$AI$13,6,IF(H129=$AI$14,9,14)),FALSE)&lt;0.03,0,HLOOKUP($T$2,INDIRECT("'"&amp;$B129&amp;"'!"&amp;"$P$6:$AE$19"),IF(H129=$AI$13,6,IF(H129=$AI$14,9,14)),FALSE))</f>
        <v>1</v>
      </c>
      <c r="U129" s="832"/>
      <c r="V129" s="759">
        <f ca="1">IF(IF(RIGHT(H129,2)="MT",(1-L129)+$W$2,IF(RIGHT(H129,2)="HT",(1-L129)+$W$1,IF(RIGHT(H129,2)="RH",(1-L129)+$W$3,"")))&lt;0,0,IF(RIGHT(H129,2)="MT",(1-L129)+$W$2,IF(RIGHT(H129,2)="HT",(1-L129)+$W$1,IF(RIGHT(H129,2)="RH",(1-L129)+$W$3,""))))</f>
        <v>0.20100000000000007</v>
      </c>
      <c r="W129" s="331"/>
      <c r="X129" s="758">
        <f t="shared" ref="X129:X160" ca="1" si="109">IF(VLOOKUP($AD129,INDIRECT("'"&amp;$B129&amp;"'!"&amp;"$P$39:$AD$42"),11,FALSE)="Cf. the utilized electricity",0,VLOOKUP($AD129,INDIRECT("'"&amp;$B129&amp;"'!"&amp;"$P$39:$AD$42"),11,FALSE))</f>
        <v>0.5</v>
      </c>
      <c r="Y129" s="81">
        <f t="shared" ca="1" si="102"/>
        <v>25</v>
      </c>
      <c r="Z129" s="81">
        <f t="shared" ca="1" si="103"/>
        <v>0</v>
      </c>
      <c r="AA129" s="81">
        <f t="shared" ca="1" si="104"/>
        <v>0</v>
      </c>
      <c r="AB129" s="81">
        <f t="shared" ca="1" si="105"/>
        <v>0.1</v>
      </c>
      <c r="AC129" s="329"/>
      <c r="AD129" s="81">
        <v>2020</v>
      </c>
      <c r="AE129" s="81"/>
      <c r="AF129" s="770"/>
    </row>
    <row r="130" spans="2:32">
      <c r="B130" s="778" t="s">
        <v>1134</v>
      </c>
      <c r="C130" s="241"/>
      <c r="D130" s="223" t="str">
        <f ca="1">IF(T129=0,"*",IF(T130&gt;0,"IND"&amp;RIGHT(H129,4)&amp;RIGHT(G129,3)&amp;"N"&amp;RIGHT(E129,1),""))</f>
        <v/>
      </c>
      <c r="E130" s="223"/>
      <c r="F130" s="239" t="s">
        <v>1274</v>
      </c>
      <c r="H130" s="177"/>
      <c r="I130" s="177" t="str">
        <f t="shared" si="107"/>
        <v>INDRWH</v>
      </c>
      <c r="J130" s="239">
        <f t="shared" si="108"/>
        <v>2030</v>
      </c>
      <c r="K130" s="81"/>
      <c r="L130" s="206">
        <f t="shared" ca="1" si="106"/>
        <v>0.8075</v>
      </c>
      <c r="M130" s="206"/>
      <c r="N130" s="81"/>
      <c r="O130" s="783">
        <f t="shared" ca="1" si="99"/>
        <v>0.3469940346244772</v>
      </c>
      <c r="P130" s="783">
        <f t="shared" ca="1" si="100"/>
        <v>1.2664999999999999E-2</v>
      </c>
      <c r="Q130" s="81">
        <f t="shared" ca="1" si="101"/>
        <v>1.8625</v>
      </c>
      <c r="R130" s="333"/>
      <c r="S130" s="333"/>
      <c r="T130" s="333"/>
      <c r="U130" s="333"/>
      <c r="V130" s="759">
        <f ca="1">IF(IF(RIGHT(H129,2)="MT",(1-L130)+$W$2,IF(RIGHT(H129,2)="HT",(1-L130)+$W$1,IF(RIGHT(H129,2)="RH",(1-L130)+$W$3,"")))&lt;0,0,IF(RIGHT(H129,2)="MT",(1-L130)+$W$2,IF(RIGHT(H129,2)="HT",(1-L130)+$W$1,IF(RIGHT(H129,2)="RH",(1-L130)+$W$3,""))))</f>
        <v>0.1925</v>
      </c>
      <c r="W130" s="331"/>
      <c r="X130" s="758">
        <f t="shared" ca="1" si="109"/>
        <v>0.5</v>
      </c>
      <c r="Y130" s="81">
        <f t="shared" ca="1" si="102"/>
        <v>20</v>
      </c>
      <c r="Z130" s="81">
        <f t="shared" ca="1" si="103"/>
        <v>0</v>
      </c>
      <c r="AA130" s="81">
        <f t="shared" ca="1" si="104"/>
        <v>0</v>
      </c>
      <c r="AB130" s="81">
        <f t="shared" ca="1" si="105"/>
        <v>0.1</v>
      </c>
      <c r="AC130" s="55"/>
      <c r="AD130" s="81">
        <v>2030</v>
      </c>
      <c r="AE130" s="81"/>
      <c r="AF130" s="760"/>
    </row>
    <row r="131" spans="2:32">
      <c r="B131" s="779" t="s">
        <v>1134</v>
      </c>
      <c r="C131" s="773"/>
      <c r="D131" s="223" t="str">
        <f ca="1">IF(T129=0,"*",IF(T131&gt;0,"IND"&amp;RIGHT(H129,4)&amp;RIGHT(G129,3)&amp;"N"&amp;RIGHT(E129,1),""))</f>
        <v/>
      </c>
      <c r="E131" s="761"/>
      <c r="F131" s="239" t="s">
        <v>1274</v>
      </c>
      <c r="G131" s="211"/>
      <c r="H131" s="762"/>
      <c r="I131" s="762" t="str">
        <f t="shared" si="107"/>
        <v>INDRWH</v>
      </c>
      <c r="J131" s="239">
        <f t="shared" si="108"/>
        <v>2050</v>
      </c>
      <c r="K131" s="81"/>
      <c r="L131" s="206">
        <f t="shared" ca="1" si="106"/>
        <v>0.81599999999999995</v>
      </c>
      <c r="M131" s="206"/>
      <c r="N131" s="81"/>
      <c r="O131" s="783">
        <f t="shared" ca="1" si="99"/>
        <v>0.32813985758696651</v>
      </c>
      <c r="P131" s="783">
        <f t="shared" ca="1" si="100"/>
        <v>1.1175000000000001E-2</v>
      </c>
      <c r="Q131" s="81">
        <f t="shared" ca="1" si="101"/>
        <v>1.8625</v>
      </c>
      <c r="R131" s="763"/>
      <c r="S131" s="763"/>
      <c r="T131" s="763"/>
      <c r="U131" s="763"/>
      <c r="V131" s="759">
        <f ca="1">IF(IF(RIGHT(H129,2)="MT",(1-L131)+$W$2,IF(RIGHT(H129,2)="HT",(1-L131)+$W$1,IF(RIGHT(H129,2)="RH",(1-L131)+$W$3,"")))&lt;0,0,IF(RIGHT(H129,2)="MT",(1-L131)+$W$2,IF(RIGHT(H129,2)="HT",(1-L131)+$W$1,IF(RIGHT(H129,2)="RH",(1-L131)+$W$3,""))))</f>
        <v>0.18400000000000005</v>
      </c>
      <c r="W131" s="764"/>
      <c r="X131" s="758">
        <f t="shared" ca="1" si="109"/>
        <v>0.5</v>
      </c>
      <c r="Y131" s="81">
        <f t="shared" ca="1" si="102"/>
        <v>15</v>
      </c>
      <c r="Z131" s="81">
        <f t="shared" ca="1" si="103"/>
        <v>0</v>
      </c>
      <c r="AA131" s="81">
        <f t="shared" ca="1" si="104"/>
        <v>0</v>
      </c>
      <c r="AB131" s="81">
        <f t="shared" ca="1" si="105"/>
        <v>0.1</v>
      </c>
      <c r="AC131" s="55"/>
      <c r="AD131" s="81">
        <v>2050</v>
      </c>
      <c r="AE131" s="81"/>
      <c r="AF131" s="760"/>
    </row>
    <row r="132" spans="2:32">
      <c r="B132" s="778" t="s">
        <v>1134</v>
      </c>
      <c r="C132" s="241"/>
      <c r="D132" s="223" t="str">
        <f ca="1">IF(T132=0,"*",IF(T132&gt;0,"IND"&amp;RIGHT(H132,4)&amp;RIGHT(G132,3)&amp;"N"&amp;RIGHT(E132,1),""))</f>
        <v>INDRDMTDSEN2</v>
      </c>
      <c r="E132" s="767" t="str">
        <f>"Industrial heating technology "&amp;$AJ$12&amp;" "&amp;RIGHT(H132,2)&amp;" - Oil boiler (Steam - condensing) - new 2"</f>
        <v>Industrial heating technology Paper &amp; Pulp MT - Oil boiler (Steam - condensing) - new 2</v>
      </c>
      <c r="F132" s="239" t="s">
        <v>1274</v>
      </c>
      <c r="G132" s="176" t="s">
        <v>1437</v>
      </c>
      <c r="H132" s="768" t="str">
        <f>$AI$14</f>
        <v>IRDMT</v>
      </c>
      <c r="I132" s="768" t="str">
        <f t="shared" si="107"/>
        <v>INDRWH</v>
      </c>
      <c r="J132" s="239">
        <f t="shared" si="108"/>
        <v>2011</v>
      </c>
      <c r="K132" s="332">
        <f>J132</f>
        <v>2011</v>
      </c>
      <c r="L132" s="206">
        <f t="shared" ref="L132:L137" ca="1" si="110">VLOOKUP($AD132,INDIRECT("'"&amp;$B132&amp;"'!"&amp;"$P$118:$AD$121"),3,FALSE)*0.85</f>
        <v>0.8075</v>
      </c>
      <c r="M132" s="206"/>
      <c r="N132" s="81">
        <f ca="1">VLOOKUP($AD132,INDIRECT("'"&amp;$B132&amp;"'!"&amp;"$P$118:$AD$121"),5,FALSE)</f>
        <v>25</v>
      </c>
      <c r="O132" s="783">
        <f t="shared" ref="O132:O137" ca="1" si="111">VLOOKUP($AD132,INDIRECT("'"&amp;$B132&amp;"'!"&amp;"$P$118:$AD$121"),6,FALSE)/1000</f>
        <v>0.32780000000000004</v>
      </c>
      <c r="P132" s="783">
        <f t="shared" ref="P132:P137" ca="1" si="112">VLOOKUP($AD132,INDIRECT("'"&amp;$B132&amp;"'!"&amp;"$P$118:$AD$121"),7,FALSE)/1000</f>
        <v>1.341E-2</v>
      </c>
      <c r="Q132" s="81">
        <f t="shared" ref="Q132:Q137" ca="1" si="113">VLOOKUP($AD132,INDIRECT("'"&amp;$B132&amp;"'!"&amp;"$P$118:$AD$121"),8,FALSE)</f>
        <v>2.0694444444444446</v>
      </c>
      <c r="R132" s="81">
        <v>3.1536000000000002E-2</v>
      </c>
      <c r="S132" s="206">
        <v>0.95</v>
      </c>
      <c r="T132" s="206">
        <f ca="1">IF(HLOOKUP($T$2,INDIRECT("'"&amp;$B132&amp;"'!"&amp;"$P$6:$AE$19"),IF(H132=$AI$13,6,IF(H132=$AI$14,9,14)),FALSE)&lt;0.03,0,HLOOKUP($T$2,INDIRECT("'"&amp;$B132&amp;"'!"&amp;"$P$6:$AE$19"),IF(H132=$AI$13,6,IF(H132=$AI$14,9,14)),FALSE))</f>
        <v>1</v>
      </c>
      <c r="U132" s="833"/>
      <c r="V132" s="759">
        <f ca="1">IF(IF(RIGHT(H132,2)="MT",(1-L132)+$W$2,IF(RIGHT(H132,2)="HT",(1-L132)+$W$1,IF(RIGHT(H132,2)="RH",(1-L132)+$W$3,"")))&lt;0,0,IF(RIGHT(H132,2)="MT",(1-L132)+$W$2,IF(RIGHT(H132,2)="HT",(1-L132)+$W$1,IF(RIGHT(H132,2)="RH",(1-L132)+$W$3,""))))</f>
        <v>0.39250000000000002</v>
      </c>
      <c r="W132" s="769"/>
      <c r="X132" s="758">
        <f t="shared" ca="1" si="109"/>
        <v>0.5</v>
      </c>
      <c r="Y132" s="758">
        <f t="shared" ref="Y132:Y137" ca="1" si="114">VLOOKUP($AD132,INDIRECT("'"&amp;$B132&amp;"'!"&amp;"$P$118:$AD$121"),12,FALSE)</f>
        <v>25</v>
      </c>
      <c r="Z132" s="758">
        <f t="shared" ref="Z132:Z137" ca="1" si="115">VLOOKUP($AD132,INDIRECT("'"&amp;$B132&amp;"'!"&amp;"$P$118:$AD$121"),13,FALSE)</f>
        <v>0</v>
      </c>
      <c r="AA132" s="758">
        <f t="shared" ref="AA132:AA137" ca="1" si="116">VLOOKUP($AD132,INDIRECT("'"&amp;$B132&amp;"'!"&amp;"$P$118:$AD$121"),14,FALSE)</f>
        <v>0</v>
      </c>
      <c r="AB132" s="758">
        <f t="shared" ref="AB132:AB137" ca="1" si="117">VLOOKUP($AD132,INDIRECT("'"&amp;$B132&amp;"'!"&amp;"$P$118:$AD$121"),15,FALSE)</f>
        <v>0.1</v>
      </c>
      <c r="AC132" s="55"/>
      <c r="AD132" s="81">
        <v>2020</v>
      </c>
      <c r="AE132" s="81"/>
      <c r="AF132" s="760"/>
    </row>
    <row r="133" spans="2:32">
      <c r="B133" s="778" t="s">
        <v>1134</v>
      </c>
      <c r="C133" s="241"/>
      <c r="D133" s="223" t="str">
        <f ca="1">IF(T132=0,"*",IF(T133&gt;0,"IND"&amp;RIGHT(H132,4)&amp;RIGHT(G132,3)&amp;"N"&amp;RIGHT(E132,1),""))</f>
        <v/>
      </c>
      <c r="E133" s="278"/>
      <c r="F133" s="239" t="s">
        <v>1274</v>
      </c>
      <c r="G133" s="55"/>
      <c r="H133" s="177"/>
      <c r="I133" s="177" t="str">
        <f t="shared" si="107"/>
        <v>INDRWH</v>
      </c>
      <c r="J133" s="239">
        <f t="shared" si="108"/>
        <v>2030</v>
      </c>
      <c r="K133" s="81"/>
      <c r="L133" s="206">
        <f t="shared" ca="1" si="110"/>
        <v>0.81599999999999995</v>
      </c>
      <c r="M133" s="206"/>
      <c r="N133" s="81"/>
      <c r="O133" s="783">
        <f t="shared" ca="1" si="111"/>
        <v>0.27759522769958173</v>
      </c>
      <c r="P133" s="783">
        <f t="shared" ca="1" si="112"/>
        <v>1.2664999999999999E-2</v>
      </c>
      <c r="Q133" s="81">
        <f t="shared" ca="1" si="113"/>
        <v>1.8625</v>
      </c>
      <c r="R133" s="333"/>
      <c r="S133" s="333"/>
      <c r="T133" s="333"/>
      <c r="U133" s="333"/>
      <c r="V133" s="759">
        <f ca="1">IF(IF(RIGHT(H132,2)="MT",(1-L133)+$W$2,IF(RIGHT(H132,2)="HT",(1-L133)+$W$1,IF(RIGHT(H132,2)="RH",(1-L133)+$W$3,"")))&lt;0,0,IF(RIGHT(H132,2)="MT",(1-L133)+$W$2,IF(RIGHT(H132,2)="HT",(1-L133)+$W$1,IF(RIGHT(H132,2)="RH",(1-L133)+$W$3,""))))</f>
        <v>0.38400000000000006</v>
      </c>
      <c r="W133" s="331"/>
      <c r="X133" s="758">
        <f t="shared" ca="1" si="109"/>
        <v>0.5</v>
      </c>
      <c r="Y133" s="758">
        <f t="shared" ca="1" si="114"/>
        <v>20</v>
      </c>
      <c r="Z133" s="758">
        <f t="shared" ca="1" si="115"/>
        <v>0</v>
      </c>
      <c r="AA133" s="758">
        <f t="shared" ca="1" si="116"/>
        <v>0</v>
      </c>
      <c r="AB133" s="758">
        <f t="shared" ca="1" si="117"/>
        <v>0.1</v>
      </c>
      <c r="AC133" s="55"/>
      <c r="AD133" s="81">
        <v>2030</v>
      </c>
      <c r="AE133" s="81"/>
      <c r="AF133" s="760"/>
    </row>
    <row r="134" spans="2:32">
      <c r="B134" s="778" t="s">
        <v>1134</v>
      </c>
      <c r="C134" s="241"/>
      <c r="D134" s="223" t="str">
        <f ca="1">IF(T132=0,"*",IF(T134&gt;0,"IND"&amp;RIGHT(H132,4)&amp;RIGHT(G132,3)&amp;"N"&amp;RIGHT(E132,1),""))</f>
        <v/>
      </c>
      <c r="E134" s="278"/>
      <c r="F134" s="239" t="s">
        <v>1274</v>
      </c>
      <c r="G134" s="55"/>
      <c r="H134" s="177"/>
      <c r="I134" s="177" t="str">
        <f t="shared" si="107"/>
        <v>INDRWH</v>
      </c>
      <c r="J134" s="239">
        <f t="shared" si="108"/>
        <v>2050</v>
      </c>
      <c r="K134" s="81"/>
      <c r="L134" s="206">
        <f t="shared" ca="1" si="110"/>
        <v>0.82450000000000001</v>
      </c>
      <c r="M134" s="206"/>
      <c r="N134" s="81"/>
      <c r="O134" s="783">
        <f t="shared" ca="1" si="111"/>
        <v>0.26251188606957326</v>
      </c>
      <c r="P134" s="783">
        <f t="shared" ca="1" si="112"/>
        <v>1.1175000000000001E-2</v>
      </c>
      <c r="Q134" s="81">
        <f t="shared" ca="1" si="113"/>
        <v>1.8625</v>
      </c>
      <c r="R134" s="333"/>
      <c r="S134" s="333"/>
      <c r="T134" s="333"/>
      <c r="U134" s="333"/>
      <c r="V134" s="759">
        <f ca="1">IF(IF(RIGHT(H132,2)="MT",(1-L134)+$W$2,IF(RIGHT(H132,2)="HT",(1-L134)+$W$1,IF(RIGHT(H132,2)="RH",(1-L134)+$W$3,"")))&lt;0,0,IF(RIGHT(H132,2)="MT",(1-L134)+$W$2,IF(RIGHT(H132,2)="HT",(1-L134)+$W$1,IF(RIGHT(H132,2)="RH",(1-L134)+$W$3,""))))</f>
        <v>0.3755</v>
      </c>
      <c r="W134" s="331"/>
      <c r="X134" s="758">
        <f t="shared" ca="1" si="109"/>
        <v>0.5</v>
      </c>
      <c r="Y134" s="758">
        <f t="shared" ca="1" si="114"/>
        <v>15</v>
      </c>
      <c r="Z134" s="758">
        <f t="shared" ca="1" si="115"/>
        <v>0</v>
      </c>
      <c r="AA134" s="758">
        <f t="shared" ca="1" si="116"/>
        <v>0</v>
      </c>
      <c r="AB134" s="758">
        <f t="shared" ca="1" si="117"/>
        <v>0.1</v>
      </c>
      <c r="AC134" s="211"/>
      <c r="AD134" s="81">
        <v>2050</v>
      </c>
      <c r="AE134" s="81"/>
      <c r="AF134" s="765"/>
    </row>
    <row r="135" spans="2:32">
      <c r="B135" s="778" t="s">
        <v>1134</v>
      </c>
      <c r="C135" s="241"/>
      <c r="D135" s="223" t="str">
        <f ca="1">IF(T135=0,"*",IF(T135&gt;0,"IND"&amp;RIGHT(H135,4)&amp;RIGHT(G135,3)&amp;"N"&amp;RIGHT(E135,1),""))</f>
        <v>INDRDRHDH2N2</v>
      </c>
      <c r="E135" s="278" t="str">
        <f>"Industrial heating technology "&amp;$AJ$12&amp;" "&amp;RIGHT(H135,2)&amp;" - Oil boiler (Steam - condensing) - new 2"</f>
        <v>Industrial heating technology Paper &amp; Pulp RH - Oil boiler (Steam - condensing) - new 2</v>
      </c>
      <c r="F135" s="239" t="s">
        <v>1274</v>
      </c>
      <c r="G135" s="176" t="s">
        <v>1438</v>
      </c>
      <c r="H135" s="177" t="str">
        <f>$AI$15</f>
        <v>IRDRH</v>
      </c>
      <c r="I135" s="177" t="str">
        <f t="shared" si="107"/>
        <v>INDRWH</v>
      </c>
      <c r="J135" s="239">
        <f t="shared" si="108"/>
        <v>2011</v>
      </c>
      <c r="K135" s="332">
        <f>J135</f>
        <v>2011</v>
      </c>
      <c r="L135" s="206">
        <f t="shared" ca="1" si="110"/>
        <v>0.8075</v>
      </c>
      <c r="M135" s="206"/>
      <c r="N135" s="81">
        <f ca="1">VLOOKUP($AD135,INDIRECT("'"&amp;$B135&amp;"'!"&amp;"$P$118:$AD$121"),5,FALSE)</f>
        <v>25</v>
      </c>
      <c r="O135" s="783">
        <f t="shared" ca="1" si="111"/>
        <v>0.32780000000000004</v>
      </c>
      <c r="P135" s="783">
        <f t="shared" ca="1" si="112"/>
        <v>1.341E-2</v>
      </c>
      <c r="Q135" s="81">
        <f t="shared" ca="1" si="113"/>
        <v>2.0694444444444446</v>
      </c>
      <c r="R135" s="81">
        <v>3.1536000000000002E-2</v>
      </c>
      <c r="S135" s="206">
        <v>0.95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0.1925</v>
      </c>
      <c r="W135" s="331"/>
      <c r="X135" s="758">
        <f t="shared" ca="1" si="109"/>
        <v>0.5</v>
      </c>
      <c r="Y135" s="758">
        <f t="shared" ca="1" si="114"/>
        <v>25</v>
      </c>
      <c r="Z135" s="758">
        <f t="shared" ca="1" si="115"/>
        <v>0</v>
      </c>
      <c r="AA135" s="758">
        <f t="shared" ca="1" si="116"/>
        <v>0</v>
      </c>
      <c r="AB135" s="758">
        <f t="shared" ca="1" si="117"/>
        <v>0.1</v>
      </c>
      <c r="AD135" s="81">
        <v>2020</v>
      </c>
      <c r="AE135" s="332"/>
      <c r="AF135" s="232"/>
    </row>
    <row r="136" spans="2:32">
      <c r="B136" s="778" t="s">
        <v>1134</v>
      </c>
      <c r="C136" s="241"/>
      <c r="D136" s="223" t="str">
        <f ca="1">IF(T135=0,"*",IF(T136&gt;0,"IND"&amp;RIGHT(H135,4)&amp;RIGHT(G135,3)&amp;"N"&amp;RIGHT(E135,1),""))</f>
        <v/>
      </c>
      <c r="E136" s="278"/>
      <c r="F136" s="239" t="s">
        <v>1274</v>
      </c>
      <c r="G136" s="55"/>
      <c r="H136" s="177"/>
      <c r="I136" s="177" t="str">
        <f t="shared" si="107"/>
        <v>INDRWH</v>
      </c>
      <c r="J136" s="239">
        <f t="shared" si="108"/>
        <v>2030</v>
      </c>
      <c r="K136" s="81"/>
      <c r="L136" s="206">
        <f t="shared" ca="1" si="110"/>
        <v>0.81599999999999995</v>
      </c>
      <c r="M136" s="206"/>
      <c r="N136" s="81"/>
      <c r="O136" s="783">
        <f t="shared" ca="1" si="111"/>
        <v>0.27759522769958173</v>
      </c>
      <c r="P136" s="783">
        <f t="shared" ca="1" si="112"/>
        <v>1.2664999999999999E-2</v>
      </c>
      <c r="Q136" s="81">
        <f t="shared" ca="1" si="113"/>
        <v>1.8625</v>
      </c>
      <c r="R136" s="333"/>
      <c r="S136" s="333"/>
      <c r="T136" s="333"/>
      <c r="U136" s="333"/>
      <c r="V136" s="759">
        <f ca="1">IF(IF(RIGHT(H135,2)="MT",(1-L136)+$W$2,IF(RIGHT(H135,2)="HT",(1-L136)+$W$1,IF(RIGHT(H135,2)="RH",(1-L136)+$W$3,"")))&lt;0,0,IF(RIGHT(H135,2)="MT",(1-L136)+$W$2,IF(RIGHT(H135,2)="HT",(1-L136)+$W$1,IF(RIGHT(H135,2)="RH",(1-L136)+$W$3,""))))</f>
        <v>0.18400000000000005</v>
      </c>
      <c r="W136" s="331"/>
      <c r="X136" s="758">
        <f t="shared" ca="1" si="109"/>
        <v>0.5</v>
      </c>
      <c r="Y136" s="758">
        <f t="shared" ca="1" si="114"/>
        <v>20</v>
      </c>
      <c r="Z136" s="758">
        <f t="shared" ca="1" si="115"/>
        <v>0</v>
      </c>
      <c r="AA136" s="758">
        <f t="shared" ca="1" si="116"/>
        <v>0</v>
      </c>
      <c r="AB136" s="758">
        <f t="shared" ca="1" si="117"/>
        <v>0.1</v>
      </c>
      <c r="AD136" s="81">
        <v>2030</v>
      </c>
      <c r="AE136" s="81"/>
      <c r="AF136" s="232"/>
    </row>
    <row r="137" spans="2:32">
      <c r="B137" s="779" t="s">
        <v>1134</v>
      </c>
      <c r="C137" s="773"/>
      <c r="D137" s="223" t="str">
        <f ca="1">IF(T135=0,"*",IF(T137&gt;0,"IND"&amp;RIGHT(H135,4)&amp;RIGHT(G135,3)&amp;"N"&amp;RIGHT(E135,1),""))</f>
        <v/>
      </c>
      <c r="E137" s="761"/>
      <c r="F137" s="239" t="s">
        <v>1274</v>
      </c>
      <c r="G137" s="211"/>
      <c r="H137" s="762"/>
      <c r="I137" s="762" t="str">
        <f t="shared" si="107"/>
        <v>INDRWH</v>
      </c>
      <c r="J137" s="239">
        <f t="shared" si="108"/>
        <v>2050</v>
      </c>
      <c r="K137" s="81"/>
      <c r="L137" s="206">
        <f t="shared" ca="1" si="110"/>
        <v>0.82450000000000001</v>
      </c>
      <c r="M137" s="206"/>
      <c r="N137" s="81"/>
      <c r="O137" s="783">
        <f t="shared" ca="1" si="111"/>
        <v>0.26251188606957326</v>
      </c>
      <c r="P137" s="783">
        <f t="shared" ca="1" si="112"/>
        <v>1.1175000000000001E-2</v>
      </c>
      <c r="Q137" s="81">
        <f t="shared" ca="1" si="113"/>
        <v>1.8625</v>
      </c>
      <c r="R137" s="763"/>
      <c r="S137" s="763"/>
      <c r="T137" s="763"/>
      <c r="U137" s="763"/>
      <c r="V137" s="759">
        <f ca="1">IF(IF(RIGHT(H135,2)="MT",(1-L137)+$W$2,IF(RIGHT(H135,2)="HT",(1-L137)+$W$1,IF(RIGHT(H135,2)="RH",(1-L137)+$W$3,"")))&lt;0,0,IF(RIGHT(H135,2)="MT",(1-L137)+$W$2,IF(RIGHT(H135,2)="HT",(1-L137)+$W$1,IF(RIGHT(H135,2)="RH",(1-L137)+$W$3,""))))</f>
        <v>0.17549999999999999</v>
      </c>
      <c r="W137" s="764"/>
      <c r="X137" s="758">
        <f t="shared" ca="1" si="109"/>
        <v>0.5</v>
      </c>
      <c r="Y137" s="758">
        <f t="shared" ca="1" si="114"/>
        <v>15</v>
      </c>
      <c r="Z137" s="758">
        <f t="shared" ca="1" si="115"/>
        <v>0</v>
      </c>
      <c r="AA137" s="758">
        <f t="shared" ca="1" si="116"/>
        <v>0</v>
      </c>
      <c r="AB137" s="758">
        <f t="shared" ca="1" si="117"/>
        <v>0.1</v>
      </c>
      <c r="AD137" s="81">
        <v>2050</v>
      </c>
      <c r="AE137" s="81"/>
      <c r="AF137" s="232"/>
    </row>
    <row r="138" spans="2:32">
      <c r="B138" s="778" t="s">
        <v>1135</v>
      </c>
      <c r="C138" s="241"/>
      <c r="D138" s="223" t="str">
        <f ca="1">IF(T138=0,"*",IF(T138&gt;0,"IND"&amp;RIGHT(H138,4)&amp;RIGHT(G138,3)&amp;"N"&amp;RIGHT(E138,1),""))</f>
        <v>INDRDHTDH2N1</v>
      </c>
      <c r="E138" s="278" t="str">
        <f>"Industrial heating technology "&amp;$AJ$12&amp;" "&amp;RIGHT(H138,2)&amp;" - Gas boiler (Steam) - new 1"</f>
        <v>Industrial heating technology Paper &amp; Pulp HT - Gas boiler (Steam) - new 1</v>
      </c>
      <c r="F138" s="239" t="s">
        <v>1274</v>
      </c>
      <c r="G138" s="176" t="s">
        <v>1438</v>
      </c>
      <c r="H138" s="177" t="str">
        <f>$AI$13</f>
        <v>IRDHT</v>
      </c>
      <c r="I138" s="177" t="str">
        <f t="shared" si="107"/>
        <v>INDRWH</v>
      </c>
      <c r="J138" s="239">
        <f t="shared" si="108"/>
        <v>2011</v>
      </c>
      <c r="K138" s="332">
        <f>J138</f>
        <v>2011</v>
      </c>
      <c r="L138" s="206">
        <f t="shared" ref="L138:L146" ca="1" si="118">VLOOKUP($AD138,INDIRECT("'"&amp;$B138&amp;"'!"&amp;"$P$39:$AD$42"),3,FALSE)*0.85</f>
        <v>0.78200000000000003</v>
      </c>
      <c r="M138" s="759"/>
      <c r="N138" s="332">
        <f ca="1">VLOOKUP($AD138,INDIRECT("'"&amp;$B138&amp;"'!"&amp;"$P$39:$AD$42"),5,FALSE)</f>
        <v>25</v>
      </c>
      <c r="O138" s="785">
        <f t="shared" ref="O138:O146" ca="1" si="119">VLOOKUP($AD138,INDIRECT("'"&amp;$B138&amp;"'!"&amp;"$P$39:$AD$42"),6,FALSE)/1000</f>
        <v>0.40636363636363632</v>
      </c>
      <c r="P138" s="785">
        <f t="shared" ref="P138:P146" ca="1" si="120">VLOOKUP($AD138,INDIRECT("'"&amp;$B138&amp;"'!"&amp;"$P$39:$AD$42"),7,FALSE)/1000</f>
        <v>1.49E-2</v>
      </c>
      <c r="Q138" s="332">
        <f t="shared" ref="Q138:Q146" ca="1" si="121">VLOOKUP($AD138,INDIRECT("'"&amp;$B138&amp;"'!"&amp;"$P$39:$AD$42"),8,FALSE)</f>
        <v>2.276388888888889</v>
      </c>
      <c r="R138" s="332">
        <v>3.1536000000000002E-2</v>
      </c>
      <c r="S138" s="206">
        <v>0.95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0.51800000000000002</v>
      </c>
      <c r="W138" s="331"/>
      <c r="X138" s="758">
        <f t="shared" ca="1" si="109"/>
        <v>0.3</v>
      </c>
      <c r="Y138" s="332">
        <f t="shared" ref="Y138:Y146" ca="1" si="122">VLOOKUP($AD138,INDIRECT("'"&amp;$B138&amp;"'!"&amp;"$P$39:$AD$42"),12,FALSE)</f>
        <v>9</v>
      </c>
      <c r="Z138" s="332">
        <f t="shared" ref="Z138:Z146" ca="1" si="123">VLOOKUP($AD138,INDIRECT("'"&amp;$B138&amp;"'!"&amp;"$P$39:$AD$42"),13,FALSE)</f>
        <v>3</v>
      </c>
      <c r="AA138" s="332">
        <f t="shared" ref="AA138:AA146" ca="1" si="124">VLOOKUP($AD138,INDIRECT("'"&amp;$B138&amp;"'!"&amp;"$P$39:$AD$42"),14,FALSE)</f>
        <v>1</v>
      </c>
      <c r="AB138" s="332">
        <f t="shared" ref="AB138:AB146" ca="1" si="125">VLOOKUP($AD138,INDIRECT("'"&amp;$B138&amp;"'!"&amp;"$P$39:$AD$42"),15,FALSE)</f>
        <v>0.1</v>
      </c>
      <c r="AD138" s="332">
        <v>2020</v>
      </c>
      <c r="AE138" s="81"/>
      <c r="AF138" s="232"/>
    </row>
    <row r="139" spans="2:32">
      <c r="B139" s="778" t="s">
        <v>1135</v>
      </c>
      <c r="C139" s="241"/>
      <c r="D139" s="223" t="str">
        <f ca="1">IF(T138=0,"*",IF(T139&gt;0,"IND"&amp;RIGHT(H138,4)&amp;RIGHT(G138,3)&amp;"N"&amp;RIGHT(E138,1),""))</f>
        <v/>
      </c>
      <c r="E139" s="223"/>
      <c r="F139" s="239" t="s">
        <v>1274</v>
      </c>
      <c r="H139" s="177"/>
      <c r="I139" s="177" t="str">
        <f t="shared" si="107"/>
        <v>INDRWH</v>
      </c>
      <c r="J139" s="239">
        <f t="shared" si="108"/>
        <v>2030</v>
      </c>
      <c r="K139" s="81"/>
      <c r="L139" s="206">
        <f t="shared" ca="1" si="118"/>
        <v>0.79049999999999998</v>
      </c>
      <c r="M139" s="206"/>
      <c r="N139" s="81"/>
      <c r="O139" s="783">
        <f t="shared" ca="1" si="119"/>
        <v>0.33863636363636368</v>
      </c>
      <c r="P139" s="783">
        <f t="shared" ca="1" si="120"/>
        <v>1.4154999999999999E-2</v>
      </c>
      <c r="Q139" s="81">
        <f t="shared" ca="1" si="121"/>
        <v>2.0694444444444446</v>
      </c>
      <c r="R139" s="333"/>
      <c r="S139" s="333"/>
      <c r="T139" s="333"/>
      <c r="U139" s="333"/>
      <c r="V139" s="759">
        <f ca="1">IF(IF(RIGHT(H138,2)="MT",(1-L139)+$W$2,IF(RIGHT(H138,2)="HT",(1-L139)+$W$1,IF(RIGHT(H138,2)="RH",(1-L139)+$W$3,"")))&lt;0,0,IF(RIGHT(H138,2)="MT",(1-L139)+$W$2,IF(RIGHT(H138,2)="HT",(1-L139)+$W$1,IF(RIGHT(H138,2)="RH",(1-L139)+$W$3,""))))</f>
        <v>0.50950000000000006</v>
      </c>
      <c r="W139" s="331"/>
      <c r="X139" s="758">
        <f t="shared" ca="1" si="109"/>
        <v>0.3</v>
      </c>
      <c r="Y139" s="81">
        <f t="shared" ca="1" si="122"/>
        <v>7</v>
      </c>
      <c r="Z139" s="81">
        <f t="shared" ca="1" si="123"/>
        <v>2</v>
      </c>
      <c r="AA139" s="81">
        <f t="shared" ca="1" si="124"/>
        <v>1</v>
      </c>
      <c r="AB139" s="81">
        <f t="shared" ca="1" si="125"/>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07"/>
        <v>INDRWH</v>
      </c>
      <c r="J140" s="239">
        <f t="shared" si="108"/>
        <v>2050</v>
      </c>
      <c r="K140" s="81"/>
      <c r="L140" s="206">
        <f t="shared" ca="1" si="118"/>
        <v>0.79899999999999993</v>
      </c>
      <c r="M140" s="206"/>
      <c r="N140" s="81"/>
      <c r="O140" s="783">
        <f t="shared" ca="1" si="119"/>
        <v>0.33863636363636368</v>
      </c>
      <c r="P140" s="783">
        <f t="shared" ca="1" si="120"/>
        <v>1.2664999999999999E-2</v>
      </c>
      <c r="Q140" s="81">
        <f t="shared" ca="1" si="121"/>
        <v>2.0694444444444446</v>
      </c>
      <c r="R140" s="333"/>
      <c r="S140" s="333"/>
      <c r="T140" s="333"/>
      <c r="U140" s="333"/>
      <c r="V140" s="759">
        <f ca="1">IF(IF(RIGHT(H138,2)="MT",(1-L140)+$W$2,IF(RIGHT(H138,2)="HT",(1-L140)+$W$1,IF(RIGHT(H138,2)="RH",(1-L140)+$W$3,"")))&lt;0,0,IF(RIGHT(H138,2)="MT",(1-L140)+$W$2,IF(RIGHT(H138,2)="HT",(1-L140)+$W$1,IF(RIGHT(H138,2)="RH",(1-L140)+$W$3,""))))</f>
        <v>0.50100000000000011</v>
      </c>
      <c r="W140" s="331"/>
      <c r="X140" s="758">
        <f t="shared" ca="1" si="109"/>
        <v>0.3</v>
      </c>
      <c r="Y140" s="81">
        <f t="shared" ca="1" si="122"/>
        <v>6</v>
      </c>
      <c r="Z140" s="81">
        <f t="shared" ca="1" si="123"/>
        <v>2</v>
      </c>
      <c r="AA140" s="81">
        <f t="shared" ca="1" si="124"/>
        <v>1</v>
      </c>
      <c r="AB140" s="81">
        <f t="shared" ca="1" si="125"/>
        <v>0.1</v>
      </c>
      <c r="AD140" s="81">
        <v>2050</v>
      </c>
      <c r="AE140" s="81"/>
      <c r="AF140" s="232"/>
    </row>
    <row r="141" spans="2:32">
      <c r="B141" s="778" t="s">
        <v>1135</v>
      </c>
      <c r="C141" s="241"/>
      <c r="D141" s="223" t="str">
        <f ca="1">IF(T141=0,"*",IF(T141&gt;0,"IND"&amp;RIGHT(H141,4)&amp;RIGHT(G141,3)&amp;"N"&amp;RIGHT(E141,1),""))</f>
        <v>INDRDMTDH2N1</v>
      </c>
      <c r="E141" s="278" t="str">
        <f>"Industrial heating technology "&amp;$AJ$12&amp;" "&amp;RIGHT(H141,2)&amp;" - Gas boiler (Steam) - new 1"</f>
        <v>Industrial heating technology Paper &amp; Pulp MT - Gas boiler (Steam) - new 1</v>
      </c>
      <c r="F141" s="239" t="s">
        <v>1274</v>
      </c>
      <c r="G141" s="176" t="s">
        <v>1438</v>
      </c>
      <c r="H141" s="177" t="str">
        <f>$AI$14</f>
        <v>IRDMT</v>
      </c>
      <c r="I141" s="177" t="str">
        <f t="shared" si="107"/>
        <v>INDRWH</v>
      </c>
      <c r="J141" s="239">
        <f t="shared" si="108"/>
        <v>2011</v>
      </c>
      <c r="K141" s="332">
        <f>J141</f>
        <v>2011</v>
      </c>
      <c r="L141" s="206">
        <f t="shared" ca="1" si="118"/>
        <v>0.78200000000000003</v>
      </c>
      <c r="M141" s="206"/>
      <c r="N141" s="81">
        <f ca="1">VLOOKUP($AD141,INDIRECT("'"&amp;$B141&amp;"'!"&amp;"$P$39:$AD$42"),5,FALSE)</f>
        <v>25</v>
      </c>
      <c r="O141" s="783">
        <f t="shared" ca="1" si="119"/>
        <v>0.40636363636363632</v>
      </c>
      <c r="P141" s="783">
        <f t="shared" ca="1" si="120"/>
        <v>1.49E-2</v>
      </c>
      <c r="Q141" s="81">
        <f t="shared" ca="1" si="121"/>
        <v>2.276388888888889</v>
      </c>
      <c r="R141" s="81">
        <v>3.1536000000000002E-2</v>
      </c>
      <c r="S141" s="206">
        <v>0.95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0.41799999999999998</v>
      </c>
      <c r="W141" s="331"/>
      <c r="X141" s="758">
        <f t="shared" ca="1" si="109"/>
        <v>0.3</v>
      </c>
      <c r="Y141" s="81">
        <f t="shared" ca="1" si="122"/>
        <v>9</v>
      </c>
      <c r="Z141" s="81">
        <f t="shared" ca="1" si="123"/>
        <v>3</v>
      </c>
      <c r="AA141" s="81">
        <f t="shared" ca="1" si="124"/>
        <v>1</v>
      </c>
      <c r="AB141" s="81">
        <f t="shared" ca="1" si="125"/>
        <v>0.1</v>
      </c>
      <c r="AD141" s="81">
        <v>2020</v>
      </c>
      <c r="AE141" s="81"/>
      <c r="AF141" s="232"/>
    </row>
    <row r="142" spans="2:32">
      <c r="B142" s="778" t="s">
        <v>1135</v>
      </c>
      <c r="C142" s="241"/>
      <c r="D142" s="223" t="str">
        <f ca="1">IF(T141=0,"*",IF(T142&gt;0,"IND"&amp;RIGHT(H141,4)&amp;RIGHT(G141,3)&amp;"N"&amp;RIGHT(E141,1),""))</f>
        <v/>
      </c>
      <c r="E142" s="223"/>
      <c r="F142" s="239" t="s">
        <v>1274</v>
      </c>
      <c r="H142" s="177"/>
      <c r="I142" s="177" t="str">
        <f t="shared" si="107"/>
        <v>INDRWH</v>
      </c>
      <c r="J142" s="239">
        <f t="shared" si="108"/>
        <v>2030</v>
      </c>
      <c r="K142" s="81"/>
      <c r="L142" s="206">
        <f t="shared" ca="1" si="118"/>
        <v>0.79049999999999998</v>
      </c>
      <c r="M142" s="206"/>
      <c r="N142" s="81"/>
      <c r="O142" s="783">
        <f t="shared" ca="1" si="119"/>
        <v>0.33863636363636368</v>
      </c>
      <c r="P142" s="783">
        <f t="shared" ca="1" si="120"/>
        <v>1.4154999999999999E-2</v>
      </c>
      <c r="Q142" s="81">
        <f t="shared" ca="1" si="121"/>
        <v>2.0694444444444446</v>
      </c>
      <c r="R142" s="333"/>
      <c r="S142" s="333"/>
      <c r="T142" s="333"/>
      <c r="U142" s="333"/>
      <c r="V142" s="759">
        <f ca="1">IF(IF(RIGHT(H141,2)="MT",(1-L142)+$W$2,IF(RIGHT(H141,2)="HT",(1-L142)+$W$1,IF(RIGHT(H141,2)="RH",(1-L142)+$W$3,"")))&lt;0,0,IF(RIGHT(H141,2)="MT",(1-L142)+$W$2,IF(RIGHT(H141,2)="HT",(1-L142)+$W$1,IF(RIGHT(H141,2)="RH",(1-L142)+$W$3,""))))</f>
        <v>0.40950000000000003</v>
      </c>
      <c r="W142" s="331"/>
      <c r="X142" s="758">
        <f t="shared" ca="1" si="109"/>
        <v>0.3</v>
      </c>
      <c r="Y142" s="81">
        <f t="shared" ca="1" si="122"/>
        <v>7</v>
      </c>
      <c r="Z142" s="81">
        <f t="shared" ca="1" si="123"/>
        <v>2</v>
      </c>
      <c r="AA142" s="81">
        <f t="shared" ca="1" si="124"/>
        <v>1</v>
      </c>
      <c r="AB142" s="81">
        <f t="shared" ca="1" si="125"/>
        <v>0.1</v>
      </c>
      <c r="AD142" s="81">
        <v>2030</v>
      </c>
      <c r="AE142" s="81"/>
      <c r="AF142" s="232"/>
    </row>
    <row r="143" spans="2:32">
      <c r="B143" s="778" t="s">
        <v>1135</v>
      </c>
      <c r="C143" s="241"/>
      <c r="D143" s="223" t="str">
        <f ca="1">IF(T141=0,"*",IF(T143&gt;0,"IND"&amp;RIGHT(H141,4)&amp;RIGHT(G141,3)&amp;"N"&amp;RIGHT(E141,1),""))</f>
        <v/>
      </c>
      <c r="E143" s="223"/>
      <c r="F143" s="239" t="s">
        <v>1274</v>
      </c>
      <c r="H143" s="177"/>
      <c r="I143" s="177" t="str">
        <f t="shared" si="107"/>
        <v>INDRWH</v>
      </c>
      <c r="J143" s="239">
        <f t="shared" si="108"/>
        <v>2050</v>
      </c>
      <c r="K143" s="81"/>
      <c r="L143" s="206">
        <f t="shared" ca="1" si="118"/>
        <v>0.79899999999999993</v>
      </c>
      <c r="M143" s="206"/>
      <c r="N143" s="81"/>
      <c r="O143" s="783">
        <f t="shared" ca="1" si="119"/>
        <v>0.33863636363636368</v>
      </c>
      <c r="P143" s="783">
        <f t="shared" ca="1" si="120"/>
        <v>1.2664999999999999E-2</v>
      </c>
      <c r="Q143" s="81">
        <f t="shared" ca="1" si="121"/>
        <v>2.0694444444444446</v>
      </c>
      <c r="R143" s="333"/>
      <c r="S143" s="333"/>
      <c r="T143" s="333"/>
      <c r="U143" s="333"/>
      <c r="V143" s="759">
        <f ca="1">IF(IF(RIGHT(H141,2)="MT",(1-L143)+$W$2,IF(RIGHT(H141,2)="HT",(1-L143)+$W$1,IF(RIGHT(H141,2)="RH",(1-L143)+$W$3,"")))&lt;0,0,IF(RIGHT(H141,2)="MT",(1-L143)+$W$2,IF(RIGHT(H141,2)="HT",(1-L143)+$W$1,IF(RIGHT(H141,2)="RH",(1-L143)+$W$3,""))))</f>
        <v>0.40100000000000008</v>
      </c>
      <c r="W143" s="331"/>
      <c r="X143" s="758">
        <f t="shared" ca="1" si="109"/>
        <v>0.3</v>
      </c>
      <c r="Y143" s="81">
        <f t="shared" ca="1" si="122"/>
        <v>6</v>
      </c>
      <c r="Z143" s="81">
        <f t="shared" ca="1" si="123"/>
        <v>2</v>
      </c>
      <c r="AA143" s="81">
        <f t="shared" ca="1" si="124"/>
        <v>1</v>
      </c>
      <c r="AB143" s="81">
        <f t="shared" ca="1" si="125"/>
        <v>0.1</v>
      </c>
      <c r="AC143" s="211"/>
      <c r="AD143" s="81">
        <v>2050</v>
      </c>
      <c r="AE143" s="81"/>
      <c r="AF143" s="765"/>
    </row>
    <row r="144" spans="2:32">
      <c r="B144" s="778" t="s">
        <v>1135</v>
      </c>
      <c r="C144" s="241"/>
      <c r="D144" s="223" t="str">
        <f ca="1">IF(T144=0,"*",IF(T144&gt;0,"IND"&amp;RIGHT(H144,4)&amp;RIGHT(G144,3)&amp;"N"&amp;RIGHT(E144,1),""))</f>
        <v>INDRDRHDH2N1</v>
      </c>
      <c r="E144" s="278" t="str">
        <f>"Industrial heating technology "&amp;$AJ$12&amp;" "&amp;RIGHT(H144,2)&amp;" - Gas boiler (Steam) - new 1"</f>
        <v>Industrial heating technology Paper &amp; Pulp RH - Gas boiler (Steam) - new 1</v>
      </c>
      <c r="F144" s="239" t="s">
        <v>1274</v>
      </c>
      <c r="G144" s="176" t="s">
        <v>1438</v>
      </c>
      <c r="H144" s="177" t="str">
        <f>$AI$15</f>
        <v>IRDRH</v>
      </c>
      <c r="I144" s="177" t="str">
        <f t="shared" si="107"/>
        <v>INDRWH</v>
      </c>
      <c r="J144" s="239">
        <f t="shared" si="108"/>
        <v>2011</v>
      </c>
      <c r="K144" s="332">
        <f>J144</f>
        <v>2011</v>
      </c>
      <c r="L144" s="206">
        <f t="shared" ca="1" si="118"/>
        <v>0.78200000000000003</v>
      </c>
      <c r="M144" s="206"/>
      <c r="N144" s="81">
        <f ca="1">VLOOKUP($AD144,INDIRECT("'"&amp;$B144&amp;"'!"&amp;"$P$39:$AD$42"),5,FALSE)</f>
        <v>25</v>
      </c>
      <c r="O144" s="783">
        <f t="shared" ca="1" si="119"/>
        <v>0.40636363636363632</v>
      </c>
      <c r="P144" s="783">
        <f t="shared" ca="1" si="120"/>
        <v>1.49E-2</v>
      </c>
      <c r="Q144" s="81">
        <f t="shared" ca="1" si="121"/>
        <v>2.276388888888889</v>
      </c>
      <c r="R144" s="81">
        <v>3.1536000000000002E-2</v>
      </c>
      <c r="S144" s="206">
        <v>0.95</v>
      </c>
      <c r="T144" s="206">
        <f ca="1">IF(HLOOKUP($T$2,INDIRECT("'"&amp;$B144&amp;"'!"&amp;"$P$6:$AE$19"),IF(H144=$AI$13,6,IF(H144=$AI$14,9,14)),FALSE)&lt;0.03,0,HLOOKUP($T$2,INDIRECT("'"&amp;$B144&amp;"'!"&amp;"$P$6:$AE$19"),IF(H144=$AI$13,6,IF(H144=$AI$14,9,14)),FALSE))</f>
        <v>1</v>
      </c>
      <c r="U144" s="832"/>
      <c r="V144" s="759">
        <f ca="1">IF(IF(RIGHT(H144,2)="MT",(1-L144)+$W$2,IF(RIGHT(H144,2)="HT",(1-L144)+$W$1,IF(RIGHT(H144,2)="RH",(1-L144)+$W$3,"")))&lt;0,0,IF(RIGHT(H144,2)="MT",(1-L144)+$W$2,IF(RIGHT(H144,2)="HT",(1-L144)+$W$1,IF(RIGHT(H144,2)="RH",(1-L144)+$W$3,""))))</f>
        <v>0.21799999999999997</v>
      </c>
      <c r="W144" s="331"/>
      <c r="X144" s="758">
        <f t="shared" ca="1" si="109"/>
        <v>0.3</v>
      </c>
      <c r="Y144" s="81">
        <f t="shared" ca="1" si="122"/>
        <v>9</v>
      </c>
      <c r="Z144" s="81">
        <f t="shared" ca="1" si="123"/>
        <v>3</v>
      </c>
      <c r="AA144" s="81">
        <f t="shared" ca="1" si="124"/>
        <v>1</v>
      </c>
      <c r="AB144" s="81">
        <f t="shared" ca="1" si="125"/>
        <v>0.1</v>
      </c>
      <c r="AC144" s="329"/>
      <c r="AD144" s="81">
        <v>2020</v>
      </c>
      <c r="AE144" s="81"/>
      <c r="AF144" s="770"/>
    </row>
    <row r="145" spans="1:32">
      <c r="B145" s="778" t="s">
        <v>1135</v>
      </c>
      <c r="C145" s="241"/>
      <c r="D145" s="223" t="str">
        <f ca="1">IF(T144=0,"*",IF(T145&gt;0,"IND"&amp;RIGHT(H144,4)&amp;RIGHT(G144,3)&amp;"N"&amp;RIGHT(E144,1),""))</f>
        <v/>
      </c>
      <c r="E145" s="223"/>
      <c r="F145" s="239" t="s">
        <v>1274</v>
      </c>
      <c r="H145" s="177"/>
      <c r="I145" s="177" t="str">
        <f t="shared" si="107"/>
        <v>INDRWH</v>
      </c>
      <c r="J145" s="239">
        <f t="shared" si="108"/>
        <v>2030</v>
      </c>
      <c r="K145" s="81"/>
      <c r="L145" s="206">
        <f t="shared" ca="1" si="118"/>
        <v>0.79049999999999998</v>
      </c>
      <c r="M145" s="206"/>
      <c r="N145" s="81"/>
      <c r="O145" s="783">
        <f t="shared" ca="1" si="119"/>
        <v>0.33863636363636368</v>
      </c>
      <c r="P145" s="783">
        <f t="shared" ca="1" si="120"/>
        <v>1.4154999999999999E-2</v>
      </c>
      <c r="Q145" s="81">
        <f t="shared" ca="1" si="121"/>
        <v>2.0694444444444446</v>
      </c>
      <c r="R145" s="333"/>
      <c r="S145" s="333"/>
      <c r="T145" s="333"/>
      <c r="U145" s="333"/>
      <c r="V145" s="759">
        <f ca="1">IF(IF(RIGHT(H144,2)="MT",(1-L145)+$W$2,IF(RIGHT(H144,2)="HT",(1-L145)+$W$1,IF(RIGHT(H144,2)="RH",(1-L145)+$W$3,"")))&lt;0,0,IF(RIGHT(H144,2)="MT",(1-L145)+$W$2,IF(RIGHT(H144,2)="HT",(1-L145)+$W$1,IF(RIGHT(H144,2)="RH",(1-L145)+$W$3,""))))</f>
        <v>0.20950000000000002</v>
      </c>
      <c r="W145" s="331"/>
      <c r="X145" s="758">
        <f t="shared" ca="1" si="109"/>
        <v>0.3</v>
      </c>
      <c r="Y145" s="81">
        <f t="shared" ca="1" si="122"/>
        <v>7</v>
      </c>
      <c r="Z145" s="81">
        <f t="shared" ca="1" si="123"/>
        <v>2</v>
      </c>
      <c r="AA145" s="81">
        <f t="shared" ca="1" si="124"/>
        <v>1</v>
      </c>
      <c r="AB145" s="81">
        <f t="shared" ca="1" si="125"/>
        <v>0.1</v>
      </c>
      <c r="AC145" s="55"/>
      <c r="AD145" s="81">
        <v>2030</v>
      </c>
      <c r="AE145" s="81"/>
      <c r="AF145" s="760"/>
    </row>
    <row r="146" spans="1:32">
      <c r="B146" s="779" t="s">
        <v>1135</v>
      </c>
      <c r="C146" s="773"/>
      <c r="D146" s="223" t="str">
        <f ca="1">IF(T144=0,"*",IF(T146&gt;0,"IND"&amp;RIGHT(H144,4)&amp;RIGHT(G144,3)&amp;"N"&amp;RIGHT(E144,1),""))</f>
        <v/>
      </c>
      <c r="E146" s="761"/>
      <c r="F146" s="239" t="s">
        <v>1274</v>
      </c>
      <c r="G146" s="211"/>
      <c r="H146" s="762"/>
      <c r="I146" s="762" t="str">
        <f t="shared" si="107"/>
        <v>INDRWH</v>
      </c>
      <c r="J146" s="239">
        <f t="shared" si="108"/>
        <v>2050</v>
      </c>
      <c r="K146" s="81"/>
      <c r="L146" s="206">
        <f t="shared" ca="1" si="118"/>
        <v>0.79899999999999993</v>
      </c>
      <c r="M146" s="206"/>
      <c r="N146" s="81"/>
      <c r="O146" s="783">
        <f t="shared" ca="1" si="119"/>
        <v>0.33863636363636368</v>
      </c>
      <c r="P146" s="783">
        <f t="shared" ca="1" si="120"/>
        <v>1.2664999999999999E-2</v>
      </c>
      <c r="Q146" s="81">
        <f t="shared" ca="1" si="121"/>
        <v>2.0694444444444446</v>
      </c>
      <c r="R146" s="763"/>
      <c r="S146" s="763"/>
      <c r="T146" s="763"/>
      <c r="U146" s="763"/>
      <c r="V146" s="759">
        <f ca="1">IF(IF(RIGHT(H144,2)="MT",(1-L146)+$W$2,IF(RIGHT(H144,2)="HT",(1-L146)+$W$1,IF(RIGHT(H144,2)="RH",(1-L146)+$W$3,"")))&lt;0,0,IF(RIGHT(H144,2)="MT",(1-L146)+$W$2,IF(RIGHT(H144,2)="HT",(1-L146)+$W$1,IF(RIGHT(H144,2)="RH",(1-L146)+$W$3,""))))</f>
        <v>0.20100000000000007</v>
      </c>
      <c r="W146" s="764"/>
      <c r="X146" s="758">
        <f t="shared" ca="1" si="109"/>
        <v>0.3</v>
      </c>
      <c r="Y146" s="81">
        <f t="shared" ca="1" si="122"/>
        <v>6</v>
      </c>
      <c r="Z146" s="81">
        <f t="shared" ca="1" si="123"/>
        <v>2</v>
      </c>
      <c r="AA146" s="81">
        <f t="shared" ca="1" si="124"/>
        <v>1</v>
      </c>
      <c r="AB146" s="81">
        <f t="shared" ca="1" si="125"/>
        <v>0.1</v>
      </c>
      <c r="AC146" s="55"/>
      <c r="AD146" s="81">
        <v>2050</v>
      </c>
      <c r="AE146" s="81"/>
      <c r="AF146" s="760"/>
    </row>
    <row r="147" spans="1:32">
      <c r="B147" s="778" t="s">
        <v>1135</v>
      </c>
      <c r="C147" s="241"/>
      <c r="D147" s="223" t="str">
        <f ca="1">IF(T147=0,"*",IF(T147&gt;0,"IND"&amp;RIGHT(H147,4)&amp;RIGHT(G147,3)&amp;"N"&amp;RIGHT(E147,1),""))</f>
        <v>INDRDMTDH2N2</v>
      </c>
      <c r="E147" s="767" t="str">
        <f>"Industrial heating technology "&amp;$AJ$12&amp;" "&amp;RIGHT(H147,2)&amp;" - Gas boiler (Steam - condensing) - new 2"</f>
        <v>Industrial heating technology Paper &amp; Pulp MT - Gas boiler (Steam - condensing) - new 2</v>
      </c>
      <c r="F147" s="239" t="s">
        <v>1274</v>
      </c>
      <c r="G147" s="176" t="s">
        <v>1438</v>
      </c>
      <c r="H147" s="768" t="str">
        <f>$AI$14</f>
        <v>IRDMT</v>
      </c>
      <c r="I147" s="768" t="str">
        <f t="shared" si="107"/>
        <v>INDRWH</v>
      </c>
      <c r="J147" s="239">
        <f t="shared" si="108"/>
        <v>2011</v>
      </c>
      <c r="K147" s="332">
        <f>J147</f>
        <v>2011</v>
      </c>
      <c r="L147" s="206">
        <f t="shared" ref="L147:L152" ca="1" si="126">VLOOKUP($AD147,INDIRECT("'"&amp;$B147&amp;"'!"&amp;"$P$118:$AD$121"),3,FALSE)*0.85</f>
        <v>0.85849999999999993</v>
      </c>
      <c r="M147" s="206"/>
      <c r="N147" s="81">
        <f ca="1">VLOOKUP($AD147,INDIRECT("'"&amp;$B147&amp;"'!"&amp;"$P$118:$AD$121"),5,FALSE)</f>
        <v>25</v>
      </c>
      <c r="O147" s="783">
        <f t="shared" ref="O147:O152" ca="1" si="127">VLOOKUP($AD147,INDIRECT("'"&amp;$B147&amp;"'!"&amp;"$P$118:$AD$121"),6,FALSE)/1000</f>
        <v>0.44700000000000001</v>
      </c>
      <c r="P147" s="783">
        <f t="shared" ref="P147:P152" ca="1" si="128">VLOOKUP($AD147,INDIRECT("'"&amp;$B147&amp;"'!"&amp;"$P$118:$AD$121"),7,FALSE)/1000</f>
        <v>1.49E-2</v>
      </c>
      <c r="Q147" s="81">
        <f t="shared" ref="Q147:Q152" ca="1" si="129">VLOOKUP($AD147,INDIRECT("'"&amp;$B147&amp;"'!"&amp;"$P$118:$AD$121"),8,FALSE)</f>
        <v>2.276388888888889</v>
      </c>
      <c r="R147" s="81">
        <v>3.1536000000000002E-2</v>
      </c>
      <c r="S147" s="206">
        <v>0.95</v>
      </c>
      <c r="T147" s="206">
        <f ca="1">IF(HLOOKUP($T$2,INDIRECT("'"&amp;$B147&amp;"'!"&amp;"$P$6:$AE$19"),IF(H147=$AI$13,6,IF(H147=$AI$14,9,14)),FALSE)&lt;0.03,0,HLOOKUP($T$2,INDIRECT("'"&amp;$B147&amp;"'!"&amp;"$P$6:$AE$19"),IF(H147=$AI$13,6,IF(H147=$AI$14,9,14)),FALSE))</f>
        <v>1</v>
      </c>
      <c r="U147" s="833"/>
      <c r="V147" s="759">
        <f ca="1">IF(IF(RIGHT(H147,2)="MT",(1-L147)+$W$2,IF(RIGHT(H147,2)="HT",(1-L147)+$W$1,IF(RIGHT(H147,2)="RH",(1-L147)+$W$3,"")))&lt;0,0,IF(RIGHT(H147,2)="MT",(1-L147)+$W$2,IF(RIGHT(H147,2)="HT",(1-L147)+$W$1,IF(RIGHT(H147,2)="RH",(1-L147)+$W$3,""))))</f>
        <v>0.34150000000000008</v>
      </c>
      <c r="W147" s="769"/>
      <c r="X147" s="758">
        <f t="shared" ca="1" si="109"/>
        <v>0.3</v>
      </c>
      <c r="Y147" s="758">
        <f t="shared" ref="Y147:Y152" ca="1" si="130">VLOOKUP($AD147,INDIRECT("'"&amp;$B147&amp;"'!"&amp;"$P$118:$AD$121"),12,FALSE)</f>
        <v>9</v>
      </c>
      <c r="Z147" s="758">
        <f t="shared" ref="Z147:Z152" ca="1" si="131">VLOOKUP($AD147,INDIRECT("'"&amp;$B147&amp;"'!"&amp;"$P$118:$AD$121"),13,FALSE)</f>
        <v>3</v>
      </c>
      <c r="AA147" s="758">
        <f t="shared" ref="AA147:AA152" ca="1" si="132">VLOOKUP($AD147,INDIRECT("'"&amp;$B147&amp;"'!"&amp;"$P$118:$AD$121"),14,FALSE)</f>
        <v>1</v>
      </c>
      <c r="AB147" s="758">
        <f t="shared" ref="AB147:AB152" ca="1" si="133">VLOOKUP($AD147,INDIRECT("'"&amp;$B147&amp;"'!"&amp;"$P$118:$AD$121"),15,FALSE)</f>
        <v>0.1</v>
      </c>
      <c r="AC147" s="55"/>
      <c r="AD147" s="81">
        <v>2020</v>
      </c>
      <c r="AE147" s="81"/>
      <c r="AF147" s="760"/>
    </row>
    <row r="148" spans="1:32">
      <c r="B148" s="778" t="s">
        <v>1135</v>
      </c>
      <c r="C148" s="241"/>
      <c r="D148" s="223" t="str">
        <f ca="1">IF(T147=0,"*",IF(T148&gt;0,"IND"&amp;RIGHT(H147,4)&amp;RIGHT(G147,3)&amp;"N"&amp;RIGHT(E147,1),""))</f>
        <v/>
      </c>
      <c r="E148" s="278"/>
      <c r="F148" s="239" t="s">
        <v>1274</v>
      </c>
      <c r="G148" s="55"/>
      <c r="H148" s="177"/>
      <c r="I148" s="177" t="str">
        <f t="shared" si="107"/>
        <v>INDRWH</v>
      </c>
      <c r="J148" s="239">
        <f t="shared" si="108"/>
        <v>2030</v>
      </c>
      <c r="K148" s="81"/>
      <c r="L148" s="206">
        <f t="shared" ca="1" si="126"/>
        <v>0.87549999999999994</v>
      </c>
      <c r="M148" s="206"/>
      <c r="N148" s="81"/>
      <c r="O148" s="783">
        <f t="shared" ca="1" si="127"/>
        <v>0.37250000000000005</v>
      </c>
      <c r="P148" s="783">
        <f t="shared" ca="1" si="128"/>
        <v>1.4154999999999999E-2</v>
      </c>
      <c r="Q148" s="81">
        <f t="shared" ca="1" si="129"/>
        <v>2.0694444444444446</v>
      </c>
      <c r="R148" s="333"/>
      <c r="S148" s="333"/>
      <c r="T148" s="333"/>
      <c r="U148" s="333"/>
      <c r="V148" s="759">
        <f ca="1">IF(IF(RIGHT(H147,2)="MT",(1-L148)+$W$2,IF(RIGHT(H147,2)="HT",(1-L148)+$W$1,IF(RIGHT(H147,2)="RH",(1-L148)+$W$3,"")))&lt;0,0,IF(RIGHT(H147,2)="MT",(1-L148)+$W$2,IF(RIGHT(H147,2)="HT",(1-L148)+$W$1,IF(RIGHT(H147,2)="RH",(1-L148)+$W$3,""))))</f>
        <v>0.32450000000000007</v>
      </c>
      <c r="W148" s="331"/>
      <c r="X148" s="758">
        <f t="shared" ca="1" si="109"/>
        <v>0.3</v>
      </c>
      <c r="Y148" s="758">
        <f t="shared" ca="1" si="130"/>
        <v>7</v>
      </c>
      <c r="Z148" s="758">
        <f t="shared" ca="1" si="131"/>
        <v>2</v>
      </c>
      <c r="AA148" s="758">
        <f t="shared" ca="1" si="132"/>
        <v>1</v>
      </c>
      <c r="AB148" s="758">
        <f t="shared" ca="1" si="133"/>
        <v>0.1</v>
      </c>
      <c r="AC148" s="55"/>
      <c r="AD148" s="81">
        <v>2030</v>
      </c>
      <c r="AE148" s="81"/>
      <c r="AF148" s="760"/>
    </row>
    <row r="149" spans="1:32">
      <c r="A149" s="241"/>
      <c r="B149" s="778" t="s">
        <v>1135</v>
      </c>
      <c r="C149" s="241"/>
      <c r="D149" s="223" t="str">
        <f ca="1">IF(T147=0,"*",IF(T149&gt;0,"IND"&amp;RIGHT(H147,4)&amp;RIGHT(G147,3)&amp;"N"&amp;RIGHT(E147,1),""))</f>
        <v/>
      </c>
      <c r="E149" s="278"/>
      <c r="F149" s="239" t="s">
        <v>1274</v>
      </c>
      <c r="G149" s="55"/>
      <c r="H149" s="177"/>
      <c r="I149" s="177" t="str">
        <f t="shared" si="107"/>
        <v>INDRWH</v>
      </c>
      <c r="J149" s="239">
        <f t="shared" si="108"/>
        <v>2050</v>
      </c>
      <c r="K149" s="81"/>
      <c r="L149" s="206">
        <f t="shared" ca="1" si="126"/>
        <v>0.87549999999999994</v>
      </c>
      <c r="M149" s="206"/>
      <c r="N149" s="81"/>
      <c r="O149" s="783">
        <f t="shared" ca="1" si="127"/>
        <v>0.37250000000000005</v>
      </c>
      <c r="P149" s="783">
        <f t="shared" ca="1" si="128"/>
        <v>1.2664999999999999E-2</v>
      </c>
      <c r="Q149" s="81">
        <f t="shared" ca="1" si="129"/>
        <v>2.0694444444444446</v>
      </c>
      <c r="R149" s="333"/>
      <c r="S149" s="333"/>
      <c r="T149" s="333"/>
      <c r="U149" s="333"/>
      <c r="V149" s="759">
        <f ca="1">IF(IF(RIGHT(H147,2)="MT",(1-L149)+$W$2,IF(RIGHT(H147,2)="HT",(1-L149)+$W$1,IF(RIGHT(H147,2)="RH",(1-L149)+$W$3,"")))&lt;0,0,IF(RIGHT(H147,2)="MT",(1-L149)+$W$2,IF(RIGHT(H147,2)="HT",(1-L149)+$W$1,IF(RIGHT(H147,2)="RH",(1-L149)+$W$3,""))))</f>
        <v>0.32450000000000007</v>
      </c>
      <c r="W149" s="331"/>
      <c r="X149" s="758">
        <f t="shared" ca="1" si="109"/>
        <v>0.3</v>
      </c>
      <c r="Y149" s="758">
        <f t="shared" ca="1" si="130"/>
        <v>6</v>
      </c>
      <c r="Z149" s="758">
        <f t="shared" ca="1" si="131"/>
        <v>2</v>
      </c>
      <c r="AA149" s="758">
        <f t="shared" ca="1" si="132"/>
        <v>1</v>
      </c>
      <c r="AB149" s="758">
        <f t="shared" ca="1" si="133"/>
        <v>0.1</v>
      </c>
      <c r="AC149" s="211"/>
      <c r="AD149" s="81">
        <v>2050</v>
      </c>
      <c r="AE149" s="81"/>
      <c r="AF149" s="765"/>
    </row>
    <row r="150" spans="1:32">
      <c r="A150" s="241"/>
      <c r="B150" s="778" t="s">
        <v>1135</v>
      </c>
      <c r="C150" s="241"/>
      <c r="D150" s="223" t="str">
        <f ca="1">IF(T150=0,"*",IF(T150&gt;0,"IND"&amp;RIGHT(H150,4)&amp;RIGHT(G150,3)&amp;"N"&amp;RIGHT(E150,1),""))</f>
        <v>INDRDRHDH2N2</v>
      </c>
      <c r="E150" s="278" t="str">
        <f>"Industrial heating technology "&amp;$AJ$12&amp;" "&amp;RIGHT(H150,2)&amp;" - Gas boiler (Steam - condensing) - new 2"</f>
        <v>Industrial heating technology Paper &amp; Pulp RH - Gas boiler (Steam - condensing) - new 2</v>
      </c>
      <c r="F150" s="239" t="s">
        <v>1274</v>
      </c>
      <c r="G150" s="176" t="s">
        <v>1438</v>
      </c>
      <c r="H150" s="177" t="str">
        <f>$AI$15</f>
        <v>IRDRH</v>
      </c>
      <c r="I150" s="177" t="str">
        <f t="shared" si="107"/>
        <v>INDRWH</v>
      </c>
      <c r="J150" s="239">
        <f t="shared" si="108"/>
        <v>2011</v>
      </c>
      <c r="K150" s="332">
        <f>J150</f>
        <v>2011</v>
      </c>
      <c r="L150" s="206">
        <f t="shared" ca="1" si="126"/>
        <v>0.85849999999999993</v>
      </c>
      <c r="M150" s="206"/>
      <c r="N150" s="81">
        <f ca="1">VLOOKUP($AD150,INDIRECT("'"&amp;$B150&amp;"'!"&amp;"$P$118:$AD$121"),5,FALSE)</f>
        <v>25</v>
      </c>
      <c r="O150" s="783">
        <f t="shared" ca="1" si="127"/>
        <v>0.44700000000000001</v>
      </c>
      <c r="P150" s="783">
        <f t="shared" ca="1" si="128"/>
        <v>1.49E-2</v>
      </c>
      <c r="Q150" s="81">
        <f t="shared" ca="1" si="129"/>
        <v>2.276388888888889</v>
      </c>
      <c r="R150" s="81">
        <v>3.1536000000000002E-2</v>
      </c>
      <c r="S150" s="206">
        <v>0.95</v>
      </c>
      <c r="T150" s="206">
        <f ca="1">IF(HLOOKUP($T$2,INDIRECT("'"&amp;$B150&amp;"'!"&amp;"$P$6:$AE$19"),IF(H150=$AI$13,6,IF(H150=$AI$14,9,14)),FALSE)&lt;0.03,0,HLOOKUP($T$2,INDIRECT("'"&amp;$B150&amp;"'!"&amp;"$P$6:$AE$19"),IF(H150=$AI$13,6,IF(H150=$AI$14,9,14)),FALSE))</f>
        <v>1</v>
      </c>
      <c r="U150" s="832"/>
      <c r="V150" s="759">
        <f ca="1">IF(IF(RIGHT(H150,2)="MT",(1-L150)+$W$2,IF(RIGHT(H150,2)="HT",(1-L150)+$W$1,IF(RIGHT(H150,2)="RH",(1-L150)+$W$3,"")))&lt;0,0,IF(RIGHT(H150,2)="MT",(1-L150)+$W$2,IF(RIGHT(H150,2)="HT",(1-L150)+$W$1,IF(RIGHT(H150,2)="RH",(1-L150)+$W$3,""))))</f>
        <v>0.14150000000000007</v>
      </c>
      <c r="W150" s="331"/>
      <c r="X150" s="758">
        <f t="shared" ca="1" si="109"/>
        <v>0.3</v>
      </c>
      <c r="Y150" s="758">
        <f t="shared" ca="1" si="130"/>
        <v>9</v>
      </c>
      <c r="Z150" s="758">
        <f t="shared" ca="1" si="131"/>
        <v>3</v>
      </c>
      <c r="AA150" s="758">
        <f t="shared" ca="1" si="132"/>
        <v>1</v>
      </c>
      <c r="AB150" s="758">
        <f t="shared" ca="1" si="133"/>
        <v>0.1</v>
      </c>
      <c r="AC150" s="329"/>
      <c r="AD150" s="81">
        <v>2020</v>
      </c>
      <c r="AE150" s="81"/>
      <c r="AF150" s="770"/>
    </row>
    <row r="151" spans="1:32">
      <c r="A151" s="241"/>
      <c r="B151" s="778" t="s">
        <v>1135</v>
      </c>
      <c r="C151" s="241"/>
      <c r="D151" s="223" t="str">
        <f ca="1">IF(T150=0,"*",IF(T151&gt;0,"IND"&amp;RIGHT(H150,4)&amp;RIGHT(G150,3)&amp;"N"&amp;RIGHT(E150,1),""))</f>
        <v/>
      </c>
      <c r="E151" s="278"/>
      <c r="F151" s="239" t="s">
        <v>1274</v>
      </c>
      <c r="G151" s="55"/>
      <c r="H151" s="177"/>
      <c r="I151" s="177" t="str">
        <f t="shared" si="107"/>
        <v>INDRWH</v>
      </c>
      <c r="J151" s="239">
        <f t="shared" si="108"/>
        <v>2030</v>
      </c>
      <c r="K151" s="81"/>
      <c r="L151" s="206">
        <f t="shared" ca="1" si="126"/>
        <v>0.87549999999999994</v>
      </c>
      <c r="M151" s="206"/>
      <c r="N151" s="81"/>
      <c r="O151" s="783">
        <f t="shared" ca="1" si="127"/>
        <v>0.37250000000000005</v>
      </c>
      <c r="P151" s="783">
        <f t="shared" ca="1" si="128"/>
        <v>1.4154999999999999E-2</v>
      </c>
      <c r="Q151" s="81">
        <f t="shared" ca="1" si="129"/>
        <v>2.0694444444444446</v>
      </c>
      <c r="R151" s="333"/>
      <c r="S151" s="333"/>
      <c r="T151" s="333"/>
      <c r="U151" s="333"/>
      <c r="V151" s="759">
        <f ca="1">IF(IF(RIGHT(H150,2)="MT",(1-L151)+$W$2,IF(RIGHT(H150,2)="HT",(1-L151)+$W$1,IF(RIGHT(H150,2)="RH",(1-L151)+$W$3,"")))&lt;0,0,IF(RIGHT(H150,2)="MT",(1-L151)+$W$2,IF(RIGHT(H150,2)="HT",(1-L151)+$W$1,IF(RIGHT(H150,2)="RH",(1-L151)+$W$3,""))))</f>
        <v>0.12450000000000006</v>
      </c>
      <c r="W151" s="331"/>
      <c r="X151" s="758">
        <f t="shared" ca="1" si="109"/>
        <v>0.3</v>
      </c>
      <c r="Y151" s="758">
        <f t="shared" ca="1" si="130"/>
        <v>7</v>
      </c>
      <c r="Z151" s="758">
        <f t="shared" ca="1" si="131"/>
        <v>2</v>
      </c>
      <c r="AA151" s="758">
        <f t="shared" ca="1" si="132"/>
        <v>1</v>
      </c>
      <c r="AB151" s="758">
        <f t="shared" ca="1" si="133"/>
        <v>0.1</v>
      </c>
      <c r="AC151" s="55"/>
      <c r="AD151" s="81">
        <v>2030</v>
      </c>
      <c r="AE151" s="81"/>
      <c r="AF151" s="760"/>
    </row>
    <row r="152" spans="1:32">
      <c r="A152" s="241"/>
      <c r="B152" s="779" t="s">
        <v>1135</v>
      </c>
      <c r="C152" s="773"/>
      <c r="D152" s="223" t="str">
        <f ca="1">IF(T150=0,"*",IF(T152&gt;0,"IND"&amp;RIGHT(H150,4)&amp;RIGHT(G150,3)&amp;"N"&amp;RIGHT(E150,1),""))</f>
        <v/>
      </c>
      <c r="E152" s="761"/>
      <c r="F152" s="239" t="s">
        <v>1274</v>
      </c>
      <c r="G152" s="211"/>
      <c r="H152" s="762"/>
      <c r="I152" s="762" t="str">
        <f t="shared" si="107"/>
        <v>INDRWH</v>
      </c>
      <c r="J152" s="239">
        <f t="shared" si="108"/>
        <v>2050</v>
      </c>
      <c r="K152" s="81"/>
      <c r="L152" s="206">
        <f t="shared" ca="1" si="126"/>
        <v>0.87549999999999994</v>
      </c>
      <c r="M152" s="206"/>
      <c r="N152" s="81"/>
      <c r="O152" s="783">
        <f t="shared" ca="1" si="127"/>
        <v>0.37250000000000005</v>
      </c>
      <c r="P152" s="783">
        <f t="shared" ca="1" si="128"/>
        <v>1.2664999999999999E-2</v>
      </c>
      <c r="Q152" s="81">
        <f t="shared" ca="1" si="129"/>
        <v>2.0694444444444446</v>
      </c>
      <c r="R152" s="763"/>
      <c r="S152" s="763"/>
      <c r="T152" s="763"/>
      <c r="U152" s="763"/>
      <c r="V152" s="759">
        <f ca="1">IF(IF(RIGHT(H150,2)="MT",(1-L152)+$W$2,IF(RIGHT(H150,2)="HT",(1-L152)+$W$1,IF(RIGHT(H150,2)="RH",(1-L152)+$W$3,"")))&lt;0,0,IF(RIGHT(H150,2)="MT",(1-L152)+$W$2,IF(RIGHT(H150,2)="HT",(1-L152)+$W$1,IF(RIGHT(H150,2)="RH",(1-L152)+$W$3,""))))</f>
        <v>0.12450000000000006</v>
      </c>
      <c r="W152" s="764"/>
      <c r="X152" s="758">
        <f t="shared" ca="1" si="109"/>
        <v>0.3</v>
      </c>
      <c r="Y152" s="758">
        <f t="shared" ca="1" si="130"/>
        <v>6</v>
      </c>
      <c r="Z152" s="758">
        <f t="shared" ca="1" si="131"/>
        <v>2</v>
      </c>
      <c r="AA152" s="758">
        <f t="shared" ca="1" si="132"/>
        <v>1</v>
      </c>
      <c r="AB152" s="758">
        <f t="shared" ca="1" si="133"/>
        <v>0.1</v>
      </c>
      <c r="AC152" s="55"/>
      <c r="AD152" s="81">
        <v>2050</v>
      </c>
      <c r="AE152" s="81"/>
      <c r="AF152" s="760"/>
    </row>
    <row r="153" spans="1:32">
      <c r="A153" s="241"/>
      <c r="B153" s="778" t="s">
        <v>1135</v>
      </c>
      <c r="C153" s="241"/>
      <c r="D153" s="223" t="str">
        <f ca="1">IF(T153=0,"*",IF(T153&gt;0,"IND"&amp;RIGHT(H153,4)&amp;RIGHT(G153,3)&amp;"N"&amp;RIGHT(E153,1),""))</f>
        <v>INDRDMTDH2N3</v>
      </c>
      <c r="E153" s="767" t="str">
        <f>"Industrial heating technology "&amp;$AJ$12&amp;" "&amp;RIGHT(H153,2)&amp;" - Gas boiler (Hot Water) - new 3"</f>
        <v>Industrial heating technology Paper &amp; Pulp MT - Gas boiler (Hot Water) - new 3</v>
      </c>
      <c r="F153" s="239" t="s">
        <v>1274</v>
      </c>
      <c r="G153" s="176" t="s">
        <v>1438</v>
      </c>
      <c r="H153" s="768" t="str">
        <f>$AI$14</f>
        <v>IRDMT</v>
      </c>
      <c r="I153" s="768" t="str">
        <f t="shared" si="107"/>
        <v>INDRWH</v>
      </c>
      <c r="J153" s="239">
        <f t="shared" si="108"/>
        <v>2011</v>
      </c>
      <c r="K153" s="332">
        <f>J153</f>
        <v>2011</v>
      </c>
      <c r="L153" s="206">
        <f t="shared" ref="L153:L158" ca="1" si="134">VLOOKUP($AD153,INDIRECT("'"&amp;$B153&amp;"'!"&amp;"$P$200:$AD$203"),3,FALSE)*0.85</f>
        <v>0.79049999999999998</v>
      </c>
      <c r="M153" s="206"/>
      <c r="N153" s="81">
        <f ca="1">VLOOKUP($AD153,INDIRECT("'"&amp;$B153&amp;"'!"&amp;"$P$200:$AD$203"),5,FALSE)</f>
        <v>25</v>
      </c>
      <c r="O153" s="783">
        <f t="shared" ref="O153:O158" ca="1" si="135">VLOOKUP($AD153,INDIRECT("'"&amp;$B153&amp;"'!"&amp;"$P$200:$AD$203"),6,FALSE)/1000</f>
        <v>0.3250909090909091</v>
      </c>
      <c r="P153" s="783">
        <f t="shared" ref="P153:P158" ca="1" si="136">VLOOKUP($AD153,INDIRECT("'"&amp;$B153&amp;"'!"&amp;"$P$200:$AD$203"),7,FALSE)/1000</f>
        <v>1.49E-2</v>
      </c>
      <c r="Q153" s="81">
        <f t="shared" ref="Q153:Q158" ca="1" si="137">VLOOKUP($AD153,INDIRECT("'"&amp;$B153&amp;"'!"&amp;"$P$200:$AD$203"),8,FALSE)</f>
        <v>2.276388888888889</v>
      </c>
      <c r="R153" s="81">
        <v>3.1536000000000002E-2</v>
      </c>
      <c r="S153" s="206">
        <v>0.95</v>
      </c>
      <c r="T153" s="206">
        <f ca="1">IF(HLOOKUP($T$2,INDIRECT("'"&amp;$B153&amp;"'!"&amp;"$P$6:$AE$19"),IF(H153=$AI$13,6,IF(H153=$AI$14,9,14)),FALSE)&lt;0.03,0,HLOOKUP($T$2,INDIRECT("'"&amp;$B153&amp;"'!"&amp;"$P$6:$AE$19"),IF(H153=$AI$13,6,IF(H153=$AI$14,9,14)),FALSE))</f>
        <v>1</v>
      </c>
      <c r="U153" s="833"/>
      <c r="V153" s="759">
        <f ca="1">IF(IF(RIGHT(H153,2)="MT",(1-L153)+$W$2,IF(RIGHT(H153,2)="HT",(1-L153)+$W$1,IF(RIGHT(H153,2)="RH",(1-L153)+$W$3,"")))&lt;0,0,IF(RIGHT(H153,2)="MT",(1-L153)+$W$2,IF(RIGHT(H153,2)="HT",(1-L153)+$W$1,IF(RIGHT(H153,2)="RH",(1-L153)+$W$3,""))))</f>
        <v>0.40950000000000003</v>
      </c>
      <c r="W153" s="769"/>
      <c r="X153" s="758">
        <f t="shared" ca="1" si="109"/>
        <v>0.3</v>
      </c>
      <c r="Y153" s="758">
        <f t="shared" ref="Y153:Y158" ca="1" si="138">VLOOKUP($AD153,INDIRECT("'"&amp;$B153&amp;"'!"&amp;"$P$200:$AD$203"),12,FALSE)</f>
        <v>9</v>
      </c>
      <c r="Z153" s="758">
        <f t="shared" ref="Z153:Z158" ca="1" si="139">VLOOKUP($AD153,INDIRECT("'"&amp;$B153&amp;"'!"&amp;"$P$200:$AD$203"),13,FALSE)</f>
        <v>3</v>
      </c>
      <c r="AA153" s="758">
        <f t="shared" ref="AA153:AA158" ca="1" si="140">VLOOKUP($AD153,INDIRECT("'"&amp;$B153&amp;"'!"&amp;"$P$200:$AD$203"),14,FALSE)</f>
        <v>1</v>
      </c>
      <c r="AB153" s="758">
        <f t="shared" ref="AB153:AB158" ca="1" si="141">VLOOKUP($AD153,INDIRECT("'"&amp;$B153&amp;"'!"&amp;"$P$200:$AD$203"),15,FALSE)</f>
        <v>0.1</v>
      </c>
      <c r="AC153" s="55"/>
      <c r="AD153" s="81">
        <v>2020</v>
      </c>
      <c r="AE153" s="81"/>
      <c r="AF153" s="760"/>
    </row>
    <row r="154" spans="1:32">
      <c r="A154" s="241"/>
      <c r="B154" s="778" t="s">
        <v>1135</v>
      </c>
      <c r="C154" s="241"/>
      <c r="D154" s="223" t="str">
        <f ca="1">IF(T153=0,"*",IF(T154&gt;0,"IND"&amp;RIGHT(H153,4)&amp;RIGHT(G153,3)&amp;"N"&amp;RIGHT(E153,1),""))</f>
        <v/>
      </c>
      <c r="E154" s="278"/>
      <c r="F154" s="239" t="s">
        <v>1274</v>
      </c>
      <c r="G154" s="55"/>
      <c r="H154" s="177"/>
      <c r="I154" s="177" t="str">
        <f t="shared" si="107"/>
        <v>INDRWH</v>
      </c>
      <c r="J154" s="239">
        <f t="shared" si="108"/>
        <v>2030</v>
      </c>
      <c r="K154" s="81"/>
      <c r="L154" s="206">
        <f t="shared" ca="1" si="134"/>
        <v>0.79899999999999993</v>
      </c>
      <c r="M154" s="206"/>
      <c r="N154" s="81"/>
      <c r="O154" s="783">
        <f t="shared" ca="1" si="135"/>
        <v>0.27090909090909093</v>
      </c>
      <c r="P154" s="783">
        <f t="shared" ca="1" si="136"/>
        <v>1.4154999999999999E-2</v>
      </c>
      <c r="Q154" s="81">
        <f t="shared" ca="1" si="137"/>
        <v>2.0694444444444446</v>
      </c>
      <c r="R154" s="333"/>
      <c r="S154" s="333"/>
      <c r="T154" s="333"/>
      <c r="U154" s="333"/>
      <c r="V154" s="759">
        <f ca="1">IF(IF(RIGHT(H153,2)="MT",(1-L154)+$W$2,IF(RIGHT(H153,2)="HT",(1-L154)+$W$1,IF(RIGHT(H153,2)="RH",(1-L154)+$W$3,"")))&lt;0,0,IF(RIGHT(H153,2)="MT",(1-L154)+$W$2,IF(RIGHT(H153,2)="HT",(1-L154)+$W$1,IF(RIGHT(H153,2)="RH",(1-L154)+$W$3,""))))</f>
        <v>0.40100000000000008</v>
      </c>
      <c r="W154" s="331"/>
      <c r="X154" s="758">
        <f t="shared" ca="1" si="109"/>
        <v>0.3</v>
      </c>
      <c r="Y154" s="758">
        <f t="shared" ca="1" si="138"/>
        <v>7</v>
      </c>
      <c r="Z154" s="758">
        <f t="shared" ca="1" si="139"/>
        <v>2</v>
      </c>
      <c r="AA154" s="758">
        <f t="shared" ca="1" si="140"/>
        <v>1</v>
      </c>
      <c r="AB154" s="758">
        <f t="shared" ca="1" si="141"/>
        <v>0.1</v>
      </c>
      <c r="AC154" s="55"/>
      <c r="AD154" s="81">
        <v>2030</v>
      </c>
      <c r="AE154" s="81"/>
      <c r="AF154" s="760"/>
    </row>
    <row r="155" spans="1:32">
      <c r="B155" s="778" t="s">
        <v>1135</v>
      </c>
      <c r="C155" s="241"/>
      <c r="D155" s="223" t="str">
        <f ca="1">IF(T153=0,"*",IF(T155&gt;0,"IND"&amp;RIGHT(H153,4)&amp;RIGHT(G153,3)&amp;"N"&amp;RIGHT(E153,1),""))</f>
        <v/>
      </c>
      <c r="E155" s="278"/>
      <c r="F155" s="239" t="s">
        <v>1274</v>
      </c>
      <c r="G155" s="55"/>
      <c r="H155" s="177"/>
      <c r="I155" s="177" t="str">
        <f t="shared" si="107"/>
        <v>INDRWH</v>
      </c>
      <c r="J155" s="239">
        <f t="shared" si="108"/>
        <v>2050</v>
      </c>
      <c r="K155" s="81"/>
      <c r="L155" s="206">
        <f t="shared" ca="1" si="134"/>
        <v>0.8075</v>
      </c>
      <c r="M155" s="206"/>
      <c r="N155" s="81"/>
      <c r="O155" s="783">
        <f t="shared" ca="1" si="135"/>
        <v>0.27090909090909093</v>
      </c>
      <c r="P155" s="783">
        <f t="shared" ca="1" si="136"/>
        <v>1.2664999999999999E-2</v>
      </c>
      <c r="Q155" s="81">
        <f t="shared" ca="1" si="137"/>
        <v>2.0694444444444446</v>
      </c>
      <c r="R155" s="333"/>
      <c r="S155" s="333"/>
      <c r="T155" s="333"/>
      <c r="U155" s="333"/>
      <c r="V155" s="759">
        <f ca="1">IF(IF(RIGHT(H153,2)="MT",(1-L155)+$W$2,IF(RIGHT(H153,2)="HT",(1-L155)+$W$1,IF(RIGHT(H153,2)="RH",(1-L155)+$W$3,"")))&lt;0,0,IF(RIGHT(H153,2)="MT",(1-L155)+$W$2,IF(RIGHT(H153,2)="HT",(1-L155)+$W$1,IF(RIGHT(H153,2)="RH",(1-L155)+$W$3,""))))</f>
        <v>0.39250000000000002</v>
      </c>
      <c r="W155" s="780"/>
      <c r="X155" s="758">
        <f t="shared" ca="1" si="109"/>
        <v>0.3</v>
      </c>
      <c r="Y155" s="758">
        <f t="shared" ca="1" si="138"/>
        <v>6</v>
      </c>
      <c r="Z155" s="758">
        <f t="shared" ca="1" si="139"/>
        <v>2</v>
      </c>
      <c r="AA155" s="758">
        <f t="shared" ca="1" si="140"/>
        <v>1</v>
      </c>
      <c r="AB155" s="758">
        <f t="shared" ca="1" si="141"/>
        <v>0.1</v>
      </c>
      <c r="AC155" s="211"/>
      <c r="AD155" s="81">
        <v>2050</v>
      </c>
      <c r="AE155" s="81"/>
      <c r="AF155" s="765"/>
    </row>
    <row r="156" spans="1:32">
      <c r="B156" s="778" t="s">
        <v>1135</v>
      </c>
      <c r="C156" s="64"/>
      <c r="D156" s="223" t="str">
        <f ca="1">IF(T156=0,"*",IF(T156&gt;0,"IND"&amp;RIGHT(H156,4)&amp;RIGHT(G156,3)&amp;"N"&amp;RIGHT(E156,1),""))</f>
        <v>INDRDRHDH2N3</v>
      </c>
      <c r="E156" s="278" t="str">
        <f>"Industrial heating technology "&amp;$AJ$12&amp;" "&amp;RIGHT(H156,2)&amp;" - Gas boiler (Hot Water) - new 3"</f>
        <v>Industrial heating technology Paper &amp; Pulp RH - Gas boiler (Hot Water) - new 3</v>
      </c>
      <c r="F156" s="239" t="s">
        <v>1274</v>
      </c>
      <c r="G156" s="176" t="s">
        <v>1438</v>
      </c>
      <c r="H156" s="177" t="str">
        <f>$AI$15</f>
        <v>IRDRH</v>
      </c>
      <c r="I156" s="177" t="str">
        <f t="shared" si="107"/>
        <v>INDRWH</v>
      </c>
      <c r="J156" s="239">
        <f t="shared" si="108"/>
        <v>2011</v>
      </c>
      <c r="K156" s="332">
        <f>J156</f>
        <v>2011</v>
      </c>
      <c r="L156" s="206">
        <f t="shared" ca="1" si="134"/>
        <v>0.79049999999999998</v>
      </c>
      <c r="M156" s="206"/>
      <c r="N156" s="81">
        <f ca="1">VLOOKUP($AD156,INDIRECT("'"&amp;$B156&amp;"'!"&amp;"$P$200:$AD$203"),5,FALSE)</f>
        <v>25</v>
      </c>
      <c r="O156" s="783">
        <f t="shared" ca="1" si="135"/>
        <v>0.3250909090909091</v>
      </c>
      <c r="P156" s="783">
        <f t="shared" ca="1" si="136"/>
        <v>1.49E-2</v>
      </c>
      <c r="Q156" s="81">
        <f t="shared" ca="1" si="137"/>
        <v>2.276388888888889</v>
      </c>
      <c r="R156" s="81">
        <v>3.1536000000000002E-2</v>
      </c>
      <c r="S156" s="206">
        <v>0.95</v>
      </c>
      <c r="T156" s="206">
        <f ca="1">IF(HLOOKUP($T$2,INDIRECT("'"&amp;$B156&amp;"'!"&amp;"$P$6:$AE$19"),IF(H156=$AI$13,6,IF(H156=$AI$14,9,14)),FALSE)&lt;0.03,0,HLOOKUP($T$2,INDIRECT("'"&amp;$B156&amp;"'!"&amp;"$P$6:$AE$19"),IF(H156=$AI$13,6,IF(H156=$AI$14,9,14)),FALSE))</f>
        <v>1</v>
      </c>
      <c r="U156" s="832"/>
      <c r="V156" s="759">
        <f ca="1">IF(IF(RIGHT(H156,2)="MT",(1-L156)+$W$2,IF(RIGHT(H156,2)="HT",(1-L156)+$W$1,IF(RIGHT(H156,2)="RH",(1-L156)+$W$3,"")))&lt;0,0,IF(RIGHT(H156,2)="MT",(1-L156)+$W$2,IF(RIGHT(H156,2)="HT",(1-L156)+$W$1,IF(RIGHT(H156,2)="RH",(1-L156)+$W$3,""))))</f>
        <v>0.20950000000000002</v>
      </c>
      <c r="W156" s="331"/>
      <c r="X156" s="758">
        <f t="shared" ca="1" si="109"/>
        <v>0.3</v>
      </c>
      <c r="Y156" s="758">
        <f t="shared" ca="1" si="138"/>
        <v>9</v>
      </c>
      <c r="Z156" s="758">
        <f t="shared" ca="1" si="139"/>
        <v>3</v>
      </c>
      <c r="AA156" s="758">
        <f t="shared" ca="1" si="140"/>
        <v>1</v>
      </c>
      <c r="AB156" s="758">
        <f t="shared" ca="1" si="141"/>
        <v>0.1</v>
      </c>
      <c r="AC156" s="329"/>
      <c r="AD156" s="81">
        <v>2020</v>
      </c>
      <c r="AE156" s="81"/>
      <c r="AF156" s="770"/>
    </row>
    <row r="157" spans="1:32">
      <c r="B157" s="778" t="s">
        <v>1135</v>
      </c>
      <c r="C157" s="64"/>
      <c r="D157" s="223" t="str">
        <f ca="1">IF(T156=0,"*",IF(T157&gt;0,"IND"&amp;RIGHT(H156,4)&amp;RIGHT(G156,3)&amp;"N"&amp;RIGHT(E156,1),""))</f>
        <v/>
      </c>
      <c r="E157" s="278"/>
      <c r="F157" s="239" t="s">
        <v>1274</v>
      </c>
      <c r="G157" s="55"/>
      <c r="H157" s="177"/>
      <c r="I157" s="177" t="str">
        <f t="shared" si="107"/>
        <v>INDRWH</v>
      </c>
      <c r="J157" s="239">
        <f t="shared" si="108"/>
        <v>2030</v>
      </c>
      <c r="K157" s="81"/>
      <c r="L157" s="206">
        <f t="shared" ca="1" si="134"/>
        <v>0.79899999999999993</v>
      </c>
      <c r="M157" s="206"/>
      <c r="N157" s="81"/>
      <c r="O157" s="783">
        <f t="shared" ca="1" si="135"/>
        <v>0.27090909090909093</v>
      </c>
      <c r="P157" s="783">
        <f t="shared" ca="1" si="136"/>
        <v>1.4154999999999999E-2</v>
      </c>
      <c r="Q157" s="81">
        <f t="shared" ca="1" si="137"/>
        <v>2.0694444444444446</v>
      </c>
      <c r="R157" s="333"/>
      <c r="S157" s="333"/>
      <c r="T157" s="333"/>
      <c r="U157" s="333"/>
      <c r="V157" s="759">
        <f ca="1">IF(IF(RIGHT(H156,2)="MT",(1-L157)+$W$2,IF(RIGHT(H156,2)="HT",(1-L157)+$W$1,IF(RIGHT(H156,2)="RH",(1-L157)+$W$3,"")))&lt;0,0,IF(RIGHT(H156,2)="MT",(1-L157)+$W$2,IF(RIGHT(H156,2)="HT",(1-L157)+$W$1,IF(RIGHT(H156,2)="RH",(1-L157)+$W$3,""))))</f>
        <v>0.20100000000000007</v>
      </c>
      <c r="W157" s="331"/>
      <c r="X157" s="758">
        <f t="shared" ca="1" si="109"/>
        <v>0.3</v>
      </c>
      <c r="Y157" s="758">
        <f t="shared" ca="1" si="138"/>
        <v>7</v>
      </c>
      <c r="Z157" s="758">
        <f t="shared" ca="1" si="139"/>
        <v>2</v>
      </c>
      <c r="AA157" s="758">
        <f t="shared" ca="1" si="140"/>
        <v>1</v>
      </c>
      <c r="AB157" s="758">
        <f t="shared" ca="1" si="141"/>
        <v>0.1</v>
      </c>
      <c r="AC157" s="55"/>
      <c r="AD157" s="81">
        <v>2030</v>
      </c>
      <c r="AE157" s="81"/>
      <c r="AF157" s="760"/>
    </row>
    <row r="158" spans="1:32">
      <c r="A158" s="241"/>
      <c r="B158" s="779" t="s">
        <v>1135</v>
      </c>
      <c r="C158" s="773"/>
      <c r="D158" s="223" t="str">
        <f ca="1">IF(T156=0,"*",IF(T158&gt;0,"IND"&amp;RIGHT(H156,4)&amp;RIGHT(G156,3)&amp;"N"&amp;RIGHT(E156,1),""))</f>
        <v/>
      </c>
      <c r="E158" s="761"/>
      <c r="F158" s="239" t="s">
        <v>1274</v>
      </c>
      <c r="G158" s="211"/>
      <c r="H158" s="762"/>
      <c r="I158" s="762" t="str">
        <f t="shared" si="107"/>
        <v>INDRWH</v>
      </c>
      <c r="J158" s="239">
        <f t="shared" si="108"/>
        <v>2050</v>
      </c>
      <c r="K158" s="81"/>
      <c r="L158" s="206">
        <f t="shared" ca="1" si="134"/>
        <v>0.8075</v>
      </c>
      <c r="M158" s="206"/>
      <c r="N158" s="81"/>
      <c r="O158" s="783">
        <f t="shared" ca="1" si="135"/>
        <v>0.27090909090909093</v>
      </c>
      <c r="P158" s="783">
        <f t="shared" ca="1" si="136"/>
        <v>1.2664999999999999E-2</v>
      </c>
      <c r="Q158" s="81">
        <f t="shared" ca="1" si="137"/>
        <v>2.0694444444444446</v>
      </c>
      <c r="R158" s="333"/>
      <c r="S158" s="333"/>
      <c r="T158" s="333"/>
      <c r="U158" s="333"/>
      <c r="V158" s="759">
        <f ca="1">IF(IF(RIGHT(H156,2)="MT",(1-L158)+$W$2,IF(RIGHT(H156,2)="HT",(1-L158)+$W$1,IF(RIGHT(H156,2)="RH",(1-L158)+$W$3,"")))&lt;0,0,IF(RIGHT(H156,2)="MT",(1-L158)+$W$2,IF(RIGHT(H156,2)="HT",(1-L158)+$W$1,IF(RIGHT(H156,2)="RH",(1-L158)+$W$3,""))))</f>
        <v>0.1925</v>
      </c>
      <c r="W158" s="331"/>
      <c r="X158" s="758">
        <f t="shared" ca="1" si="109"/>
        <v>0.3</v>
      </c>
      <c r="Y158" s="758">
        <f t="shared" ca="1" si="138"/>
        <v>6</v>
      </c>
      <c r="Z158" s="758">
        <f t="shared" ca="1" si="139"/>
        <v>2</v>
      </c>
      <c r="AA158" s="758">
        <f t="shared" ca="1" si="140"/>
        <v>1</v>
      </c>
      <c r="AB158" s="758">
        <f t="shared" ca="1" si="141"/>
        <v>0.1</v>
      </c>
      <c r="AC158" s="55"/>
      <c r="AD158" s="81">
        <v>2050</v>
      </c>
      <c r="AE158" s="81"/>
      <c r="AF158" s="760"/>
    </row>
    <row r="159" spans="1:32">
      <c r="B159" s="778" t="s">
        <v>1135</v>
      </c>
      <c r="C159" s="64"/>
      <c r="D159" s="223" t="str">
        <f ca="1">IF(T159=0,"*",IF(T159&gt;0,"IND"&amp;RIGHT(H159,4)&amp;RIGHT(G159,3)&amp;"N"&amp;RIGHT(E159,1),""))</f>
        <v>INDRDMTDH2N4</v>
      </c>
      <c r="E159" s="767" t="str">
        <f>"Industrial heating technology "&amp;$AJ$12&amp;" "&amp;RIGHT(H159,2)&amp;" - Gas boiler (Hot Water - condensing) - new 4"</f>
        <v>Industrial heating technology Paper &amp; Pulp MT - Gas boiler (Hot Water - condensing) - new 4</v>
      </c>
      <c r="F159" s="239" t="s">
        <v>1274</v>
      </c>
      <c r="G159" s="176" t="s">
        <v>1438</v>
      </c>
      <c r="H159" s="768" t="str">
        <f>$AI$14</f>
        <v>IRDMT</v>
      </c>
      <c r="I159" s="768" t="str">
        <f t="shared" si="107"/>
        <v>INDRWH</v>
      </c>
      <c r="J159" s="239">
        <f t="shared" si="108"/>
        <v>2011</v>
      </c>
      <c r="K159" s="332">
        <f>J159</f>
        <v>2011</v>
      </c>
      <c r="L159" s="206">
        <f t="shared" ref="L159:L169" ca="1" si="142">VLOOKUP($AD159,INDIRECT("'"&amp;$B159&amp;"'!"&amp;"$P$279:$AD$282"),3,FALSE)*0.85</f>
        <v>0.85849999999999993</v>
      </c>
      <c r="M159" s="206"/>
      <c r="N159" s="81">
        <f ca="1">VLOOKUP($AD159,INDIRECT("'"&amp;$B159&amp;"'!"&amp;"$P$279:$AD$282"),5,FALSE)</f>
        <v>25</v>
      </c>
      <c r="O159" s="783">
        <f t="shared" ref="O159:O164" ca="1" si="143">VLOOKUP($AD159,INDIRECT("'"&amp;$B159&amp;"'!"&amp;"$P$279:$AD$282"),6,FALSE)/1000</f>
        <v>0.35760000000000003</v>
      </c>
      <c r="P159" s="783">
        <f t="shared" ref="P159:P164" ca="1" si="144">VLOOKUP($AD159,INDIRECT("'"&amp;$B159&amp;"'!"&amp;"$P$279:$AD$282"),7,FALSE)/1000</f>
        <v>1.49E-2</v>
      </c>
      <c r="Q159" s="81">
        <f t="shared" ref="Q159:Q164" ca="1" si="145">VLOOKUP($AD159,INDIRECT("'"&amp;$B159&amp;"'!"&amp;"$P$279:$AD$282"),8,FALSE)</f>
        <v>2.276388888888889</v>
      </c>
      <c r="R159" s="81">
        <v>3.1536000000000002E-2</v>
      </c>
      <c r="S159" s="206">
        <v>0.95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0.34150000000000008</v>
      </c>
      <c r="W159" s="769"/>
      <c r="X159" s="758">
        <f t="shared" ca="1" si="109"/>
        <v>0.3</v>
      </c>
      <c r="Y159" s="758">
        <f t="shared" ref="Y159:Y164" ca="1" si="146">VLOOKUP($AD159,INDIRECT("'"&amp;$B159&amp;"'!"&amp;"$P$279:$AD$282"),12,FALSE)</f>
        <v>9</v>
      </c>
      <c r="Z159" s="758">
        <f t="shared" ref="Z159:Z164" ca="1" si="147">VLOOKUP($AD159,INDIRECT("'"&amp;$B159&amp;"'!"&amp;"$P$279:$AD$282"),13,FALSE)</f>
        <v>3</v>
      </c>
      <c r="AA159" s="758">
        <f t="shared" ref="AA159:AA164" ca="1" si="148">VLOOKUP($AD159,INDIRECT("'"&amp;$B159&amp;"'!"&amp;"$P$279:$AD$282"),14,FALSE)</f>
        <v>1</v>
      </c>
      <c r="AB159" s="758">
        <f t="shared" ref="AB159:AB164" ca="1" si="149">VLOOKUP($AD159,INDIRECT("'"&amp;$B159&amp;"'!"&amp;"$P$279:$AD$282"),15,FALSE)</f>
        <v>0.1</v>
      </c>
      <c r="AC159" s="55"/>
      <c r="AD159" s="81">
        <v>2020</v>
      </c>
      <c r="AE159" s="81"/>
      <c r="AF159" s="760"/>
    </row>
    <row r="160" spans="1:32">
      <c r="B160" s="778" t="s">
        <v>1135</v>
      </c>
      <c r="C160" s="64"/>
      <c r="D160" s="223" t="str">
        <f ca="1">IF(T159=0,"*",IF(T160&gt;0,"IND"&amp;RIGHT(H159,4)&amp;RIGHT(G159,3)&amp;"N"&amp;RIGHT(E159,1),""))</f>
        <v/>
      </c>
      <c r="E160" s="278"/>
      <c r="F160" s="239" t="s">
        <v>1274</v>
      </c>
      <c r="G160" s="55"/>
      <c r="H160" s="177"/>
      <c r="I160" s="177" t="str">
        <f t="shared" si="107"/>
        <v>INDRWH</v>
      </c>
      <c r="J160" s="239">
        <f t="shared" si="108"/>
        <v>2030</v>
      </c>
      <c r="K160" s="81"/>
      <c r="L160" s="206">
        <f t="shared" ca="1" si="142"/>
        <v>0.87549999999999994</v>
      </c>
      <c r="M160" s="206"/>
      <c r="N160" s="81"/>
      <c r="O160" s="783">
        <f t="shared" ca="1" si="143"/>
        <v>0.29800000000000004</v>
      </c>
      <c r="P160" s="783">
        <f t="shared" ca="1" si="144"/>
        <v>1.4154999999999999E-2</v>
      </c>
      <c r="Q160" s="81">
        <f t="shared" ca="1" si="145"/>
        <v>2.0694444444444446</v>
      </c>
      <c r="R160" s="333"/>
      <c r="S160" s="333"/>
      <c r="T160" s="333"/>
      <c r="U160" s="333"/>
      <c r="V160" s="759">
        <f ca="1">IF(IF(RIGHT(H159,2)="MT",(1-L160)+$W$2,IF(RIGHT(H159,2)="HT",(1-L160)+$W$1,IF(RIGHT(H159,2)="RH",(1-L160)+$W$3,"")))&lt;0,0,IF(RIGHT(H159,2)="MT",(1-L160)+$W$2,IF(RIGHT(H159,2)="HT",(1-L160)+$W$1,IF(RIGHT(H159,2)="RH",(1-L160)+$W$3,""))))</f>
        <v>0.32450000000000007</v>
      </c>
      <c r="W160" s="331"/>
      <c r="X160" s="758">
        <f t="shared" ca="1" si="109"/>
        <v>0.3</v>
      </c>
      <c r="Y160" s="758">
        <f t="shared" ca="1" si="146"/>
        <v>7</v>
      </c>
      <c r="Z160" s="758">
        <f t="shared" ca="1" si="147"/>
        <v>2</v>
      </c>
      <c r="AA160" s="758">
        <f t="shared" ca="1" si="148"/>
        <v>1</v>
      </c>
      <c r="AB160" s="758">
        <f t="shared" ca="1" si="149"/>
        <v>0.1</v>
      </c>
      <c r="AC160" s="55"/>
      <c r="AD160" s="81">
        <v>2030</v>
      </c>
      <c r="AE160" s="81"/>
      <c r="AF160" s="760"/>
    </row>
    <row r="161" spans="1:32">
      <c r="B161" s="778" t="s">
        <v>1135</v>
      </c>
      <c r="C161" s="64"/>
      <c r="D161" s="223" t="str">
        <f ca="1">IF(T159=0,"*",IF(T161&gt;0,"IND"&amp;RIGHT(H159,4)&amp;RIGHT(G159,3)&amp;"N"&amp;RIGHT(E159,1),""))</f>
        <v/>
      </c>
      <c r="E161" s="278"/>
      <c r="F161" s="239" t="s">
        <v>1274</v>
      </c>
      <c r="G161" s="55"/>
      <c r="H161" s="177"/>
      <c r="I161" s="177" t="str">
        <f t="shared" ref="I161:I185" si="150">$AI$20</f>
        <v>INDRWH</v>
      </c>
      <c r="J161" s="239">
        <f t="shared" ref="J161:J188" si="151">IF(AD161=2020,2011,AD161)</f>
        <v>2050</v>
      </c>
      <c r="K161" s="81"/>
      <c r="L161" s="206">
        <f t="shared" ca="1" si="142"/>
        <v>0.87549999999999994</v>
      </c>
      <c r="M161" s="206"/>
      <c r="N161" s="81"/>
      <c r="O161" s="783">
        <f t="shared" ca="1" si="143"/>
        <v>0.29800000000000004</v>
      </c>
      <c r="P161" s="783">
        <f t="shared" ca="1" si="144"/>
        <v>1.2664999999999999E-2</v>
      </c>
      <c r="Q161" s="81">
        <f t="shared" ca="1" si="145"/>
        <v>2.0694444444444446</v>
      </c>
      <c r="R161" s="333"/>
      <c r="S161" s="333"/>
      <c r="T161" s="333"/>
      <c r="U161" s="333"/>
      <c r="V161" s="759">
        <f ca="1">IF(IF(RIGHT(H159,2)="MT",(1-L161)+$W$2,IF(RIGHT(H159,2)="HT",(1-L161)+$W$1,IF(RIGHT(H159,2)="RH",(1-L161)+$W$3,"")))&lt;0,0,IF(RIGHT(H159,2)="MT",(1-L161)+$W$2,IF(RIGHT(H159,2)="HT",(1-L161)+$W$1,IF(RIGHT(H159,2)="RH",(1-L161)+$W$3,""))))</f>
        <v>0.32450000000000007</v>
      </c>
      <c r="W161" s="331"/>
      <c r="X161" s="758">
        <f t="shared" ref="X161:X180" ca="1" si="152">IF(VLOOKUP($AD161,INDIRECT("'"&amp;$B161&amp;"'!"&amp;"$P$39:$AD$42"),11,FALSE)="Cf. the utilized electricity",0,VLOOKUP($AD161,INDIRECT("'"&amp;$B161&amp;"'!"&amp;"$P$39:$AD$42"),11,FALSE))</f>
        <v>0.3</v>
      </c>
      <c r="Y161" s="758">
        <f t="shared" ca="1" si="146"/>
        <v>6</v>
      </c>
      <c r="Z161" s="758">
        <f t="shared" ca="1" si="147"/>
        <v>2</v>
      </c>
      <c r="AA161" s="758">
        <f t="shared" ca="1" si="148"/>
        <v>1</v>
      </c>
      <c r="AB161" s="758">
        <f t="shared" ca="1" si="149"/>
        <v>0.1</v>
      </c>
      <c r="AC161" s="211"/>
      <c r="AD161" s="81">
        <v>2050</v>
      </c>
      <c r="AE161" s="81"/>
      <c r="AF161" s="765"/>
    </row>
    <row r="162" spans="1:32">
      <c r="A162" s="241"/>
      <c r="B162" s="778" t="s">
        <v>1135</v>
      </c>
      <c r="C162" s="64"/>
      <c r="D162" s="223" t="str">
        <f ca="1">IF(T162=0,"*",IF(T162&gt;0,"IND"&amp;RIGHT(H162,4)&amp;RIGHT(G162,3)&amp;"N"&amp;RIGHT(E162,1),""))</f>
        <v>INDRDRHDH2N4</v>
      </c>
      <c r="E162" s="278" t="str">
        <f>"Industrial heating technology "&amp;$AJ$12&amp;" "&amp;RIGHT(H162,2)&amp;" - Gas boiler (Hot Water- condensing) - new 4"</f>
        <v>Industrial heating technology Paper &amp; Pulp RH - Gas boiler (Hot Water- condensing) - new 4</v>
      </c>
      <c r="F162" s="239" t="s">
        <v>1274</v>
      </c>
      <c r="G162" s="176" t="s">
        <v>1438</v>
      </c>
      <c r="H162" s="177" t="str">
        <f>$AI$15</f>
        <v>IRDRH</v>
      </c>
      <c r="I162" s="177" t="str">
        <f t="shared" si="150"/>
        <v>INDRWH</v>
      </c>
      <c r="J162" s="239">
        <f t="shared" si="151"/>
        <v>2011</v>
      </c>
      <c r="K162" s="332">
        <f>J162</f>
        <v>2011</v>
      </c>
      <c r="L162" s="206">
        <f t="shared" ca="1" si="142"/>
        <v>0.85849999999999993</v>
      </c>
      <c r="M162" s="206"/>
      <c r="N162" s="81">
        <f ca="1">VLOOKUP($AD162,INDIRECT("'"&amp;$B162&amp;"'!"&amp;"$P$279:$AD$282"),5,FALSE)</f>
        <v>25</v>
      </c>
      <c r="O162" s="783">
        <f t="shared" ca="1" si="143"/>
        <v>0.35760000000000003</v>
      </c>
      <c r="P162" s="783">
        <f t="shared" ca="1" si="144"/>
        <v>1.49E-2</v>
      </c>
      <c r="Q162" s="81">
        <f t="shared" ca="1" si="145"/>
        <v>2.276388888888889</v>
      </c>
      <c r="R162" s="81">
        <v>3.1536000000000002E-2</v>
      </c>
      <c r="S162" s="206">
        <v>0.95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0.14150000000000007</v>
      </c>
      <c r="W162" s="769"/>
      <c r="X162" s="758">
        <f t="shared" ca="1" si="152"/>
        <v>0.3</v>
      </c>
      <c r="Y162" s="758">
        <f t="shared" ca="1" si="146"/>
        <v>9</v>
      </c>
      <c r="Z162" s="758">
        <f t="shared" ca="1" si="147"/>
        <v>3</v>
      </c>
      <c r="AA162" s="758">
        <f t="shared" ca="1" si="148"/>
        <v>1</v>
      </c>
      <c r="AB162" s="758">
        <f t="shared" ca="1" si="149"/>
        <v>0.1</v>
      </c>
      <c r="AC162" s="329"/>
      <c r="AD162" s="81">
        <v>2020</v>
      </c>
      <c r="AE162" s="81"/>
      <c r="AF162" s="770"/>
    </row>
    <row r="163" spans="1:32">
      <c r="B163" s="778" t="s">
        <v>1135</v>
      </c>
      <c r="C163" s="64"/>
      <c r="D163" s="223" t="str">
        <f ca="1">IF(T162=0,"*",IF(T163&gt;0,"IND"&amp;RIGHT(H162,4)&amp;RIGHT(G162,3)&amp;"N"&amp;RIGHT(E162,1),""))</f>
        <v/>
      </c>
      <c r="E163" s="278"/>
      <c r="F163" s="239" t="s">
        <v>1274</v>
      </c>
      <c r="G163" s="55"/>
      <c r="H163" s="177"/>
      <c r="I163" s="177" t="str">
        <f t="shared" si="150"/>
        <v>INDRWH</v>
      </c>
      <c r="J163" s="239">
        <f t="shared" si="151"/>
        <v>2030</v>
      </c>
      <c r="K163" s="81"/>
      <c r="L163" s="206">
        <f t="shared" ca="1" si="142"/>
        <v>0.87549999999999994</v>
      </c>
      <c r="M163" s="206"/>
      <c r="N163" s="81"/>
      <c r="O163" s="783">
        <f t="shared" ca="1" si="143"/>
        <v>0.29800000000000004</v>
      </c>
      <c r="P163" s="783">
        <f t="shared" ca="1" si="144"/>
        <v>1.4154999999999999E-2</v>
      </c>
      <c r="Q163" s="81">
        <f t="shared" ca="1" si="145"/>
        <v>2.0694444444444446</v>
      </c>
      <c r="R163" s="333"/>
      <c r="S163" s="333"/>
      <c r="T163" s="333"/>
      <c r="U163" s="333"/>
      <c r="V163" s="759">
        <f ca="1">IF(IF(RIGHT(H162,2)="MT",(1-L163)+$W$2,IF(RIGHT(H162,2)="HT",(1-L163)+$W$1,IF(RIGHT(H162,2)="RH",(1-L163)+$W$3,"")))&lt;0,0,IF(RIGHT(H162,2)="MT",(1-L163)+$W$2,IF(RIGHT(H162,2)="HT",(1-L163)+$W$1,IF(RIGHT(H162,2)="RH",(1-L163)+$W$3,""))))</f>
        <v>0.12450000000000006</v>
      </c>
      <c r="W163" s="331"/>
      <c r="X163" s="758">
        <f t="shared" ca="1" si="152"/>
        <v>0.3</v>
      </c>
      <c r="Y163" s="758">
        <f t="shared" ca="1" si="146"/>
        <v>7</v>
      </c>
      <c r="Z163" s="758">
        <f t="shared" ca="1" si="147"/>
        <v>2</v>
      </c>
      <c r="AA163" s="758">
        <f t="shared" ca="1" si="148"/>
        <v>1</v>
      </c>
      <c r="AB163" s="758">
        <f t="shared" ca="1" si="149"/>
        <v>0.1</v>
      </c>
      <c r="AC163" s="55"/>
      <c r="AD163" s="81">
        <v>2030</v>
      </c>
      <c r="AE163" s="81"/>
      <c r="AF163" s="760"/>
    </row>
    <row r="164" spans="1:32">
      <c r="B164" s="779" t="s">
        <v>1135</v>
      </c>
      <c r="C164" s="773"/>
      <c r="D164" s="223" t="str">
        <f ca="1">IF(T162=0,"*",IF(T164&gt;0,"IND"&amp;RIGHT(H162,4)&amp;RIGHT(G162,3)&amp;"N"&amp;RIGHT(E162,1),""))</f>
        <v/>
      </c>
      <c r="E164" s="761"/>
      <c r="F164" s="239" t="s">
        <v>1274</v>
      </c>
      <c r="G164" s="211"/>
      <c r="H164" s="762"/>
      <c r="I164" s="762" t="str">
        <f t="shared" si="150"/>
        <v>INDRWH</v>
      </c>
      <c r="J164" s="239">
        <f t="shared" si="151"/>
        <v>2050</v>
      </c>
      <c r="K164" s="81"/>
      <c r="L164" s="206">
        <f t="shared" ca="1" si="142"/>
        <v>0.87549999999999994</v>
      </c>
      <c r="M164" s="206"/>
      <c r="N164" s="81"/>
      <c r="O164" s="783">
        <f t="shared" ca="1" si="143"/>
        <v>0.29800000000000004</v>
      </c>
      <c r="P164" s="783">
        <f t="shared" ca="1" si="144"/>
        <v>1.2664999999999999E-2</v>
      </c>
      <c r="Q164" s="81">
        <f t="shared" ca="1" si="145"/>
        <v>2.0694444444444446</v>
      </c>
      <c r="R164" s="333"/>
      <c r="S164" s="333"/>
      <c r="T164" s="333"/>
      <c r="U164" s="333"/>
      <c r="V164" s="759">
        <f ca="1">IF(IF(RIGHT(H162,2)="MT",(1-L164)+$W$2,IF(RIGHT(H162,2)="HT",(1-L164)+$W$1,IF(RIGHT(H162,2)="RH",(1-L164)+$W$3,"")))&lt;0,0,IF(RIGHT(H162,2)="MT",(1-L164)+$W$2,IF(RIGHT(H162,2)="HT",(1-L164)+$W$1,IF(RIGHT(H162,2)="RH",(1-L164)+$W$3,""))))</f>
        <v>0.12450000000000006</v>
      </c>
      <c r="W164" s="774"/>
      <c r="X164" s="758">
        <f t="shared" ca="1" si="152"/>
        <v>0.3</v>
      </c>
      <c r="Y164" s="758">
        <f t="shared" ca="1" si="146"/>
        <v>6</v>
      </c>
      <c r="Z164" s="758">
        <f t="shared" ca="1" si="147"/>
        <v>2</v>
      </c>
      <c r="AA164" s="758">
        <f t="shared" ca="1" si="148"/>
        <v>1</v>
      </c>
      <c r="AB164" s="758">
        <f t="shared" ca="1" si="149"/>
        <v>0.1</v>
      </c>
      <c r="AC164" s="55"/>
      <c r="AD164" s="81">
        <v>2050</v>
      </c>
      <c r="AE164" s="81"/>
      <c r="AF164" s="760"/>
    </row>
    <row r="165" spans="1:32">
      <c r="B165" s="778" t="s">
        <v>1135</v>
      </c>
      <c r="C165" s="64"/>
      <c r="D165" s="223" t="str">
        <f>IF(T165=0,"*",IF(T165&gt;0,"IND"&amp;RIGHT(H165,4)&amp;RIGHT(G165,3)&amp;"N"&amp;RIGHT(E165,1),""))</f>
        <v>*</v>
      </c>
      <c r="E165" s="767" t="str">
        <f>"Industrial heating technology "&amp;$AJ$12&amp;" "&amp;RIGHT(H165,2)&amp;" - Gas boiler (Direct firing) - new 5"</f>
        <v>Industrial heating technology Paper &amp; Pulp HT - Gas boiler (Direct firing) - new 5</v>
      </c>
      <c r="F165" s="239" t="s">
        <v>1274</v>
      </c>
      <c r="G165" s="176" t="s">
        <v>1438</v>
      </c>
      <c r="H165" s="177" t="str">
        <f>$AI$13</f>
        <v>IRDHT</v>
      </c>
      <c r="I165" s="177" t="str">
        <f t="shared" si="150"/>
        <v>INDRWH</v>
      </c>
      <c r="J165" s="239">
        <f t="shared" si="151"/>
        <v>2011</v>
      </c>
      <c r="K165" s="332">
        <f>J165</f>
        <v>2011</v>
      </c>
      <c r="L165" s="206">
        <f t="shared" ca="1" si="142"/>
        <v>0.85849999999999993</v>
      </c>
      <c r="M165" s="206"/>
      <c r="N165" s="81">
        <f ca="1">VLOOKUP($AD165,INDIRECT("'"&amp;$B165&amp;"'!"&amp;"$P$345:$AD$348"),5,FALSE)</f>
        <v>15</v>
      </c>
      <c r="O165" s="783">
        <f t="shared" ref="O165:O170" ca="1" si="153">VLOOKUP($AD165,INDIRECT("'"&amp;$B165&amp;"'!"&amp;"$P$345:$AD$348"),6,FALSE)/1000</f>
        <v>0.11175</v>
      </c>
      <c r="P165" s="783">
        <f t="shared" ref="P165:P170" ca="1" si="154">VLOOKUP($AD165,INDIRECT("'"&amp;$B165&amp;"'!"&amp;"$P$345:$AD$348"),7,FALSE)/1000</f>
        <v>1.3545454545454561E-3</v>
      </c>
      <c r="Q165" s="81">
        <f t="shared" ref="Q165:Q170" ca="1" si="155">VLOOKUP($AD165,INDIRECT("'"&amp;$B165&amp;"'!"&amp;"$P$345:$AD$348"),8,FALSE)</f>
        <v>0.58461805555555546</v>
      </c>
      <c r="R165" s="81">
        <v>3.1536000000000002E-2</v>
      </c>
      <c r="S165" s="206">
        <v>0.95</v>
      </c>
      <c r="T165" s="206">
        <v>0</v>
      </c>
      <c r="U165" s="833"/>
      <c r="V165" s="759">
        <f ca="1">IF(IF(RIGHT(H165,2)="MT",(1-L165)+$W$2,IF(RIGHT(H165,2)="HT",(1-L165)+$W$1,IF(RIGHT(H165,2)="RH",(1-L165)+$W$3,"")))&lt;0,0,IF(RIGHT(H165,2)="MT",(1-L165)+$W$2,IF(RIGHT(H165,2)="HT",(1-L165)+$W$1,IF(RIGHT(H165,2)="RH",(1-L165)+$W$3,""))))</f>
        <v>0.44150000000000006</v>
      </c>
      <c r="W165" s="769"/>
      <c r="X165" s="758">
        <f t="shared" ca="1" si="152"/>
        <v>0.3</v>
      </c>
      <c r="Y165" s="758">
        <f t="shared" ref="Y165:Y170" ca="1" si="156">VLOOKUP($AD165,INDIRECT("'"&amp;$B165&amp;"'!"&amp;"$P$345:$AD$348"),12,FALSE)</f>
        <v>9</v>
      </c>
      <c r="Z165" s="758">
        <f t="shared" ref="Z165:Z170" ca="1" si="157">VLOOKUP($AD165,INDIRECT("'"&amp;$B165&amp;"'!"&amp;"$P$345:$AD$348"),13,FALSE)</f>
        <v>3</v>
      </c>
      <c r="AA165" s="758">
        <f t="shared" ref="AA165:AA170" ca="1" si="158">VLOOKUP($AD165,INDIRECT("'"&amp;$B165&amp;"'!"&amp;"$P$345:$AD$348"),14,FALSE)</f>
        <v>1</v>
      </c>
      <c r="AB165" s="758">
        <f t="shared" ref="AB165:AB170" ca="1" si="159">VLOOKUP($AD165,INDIRECT("'"&amp;$B165&amp;"'!"&amp;"$P$345:$AD$348"),15,FALSE)</f>
        <v>0.1</v>
      </c>
      <c r="AC165" s="55"/>
      <c r="AD165" s="81">
        <v>2020</v>
      </c>
      <c r="AE165" s="81"/>
      <c r="AF165" s="760"/>
    </row>
    <row r="166" spans="1:32">
      <c r="B166" s="778" t="s">
        <v>1135</v>
      </c>
      <c r="C166" s="64"/>
      <c r="D166" s="223" t="str">
        <f>IF(T165=0,"*",IF(T166&gt;0,"IND"&amp;RIGHT(H165,4)&amp;RIGHT(G165,3)&amp;"N"&amp;RIGHT(E165,1),""))</f>
        <v>*</v>
      </c>
      <c r="E166" s="278"/>
      <c r="F166" s="239" t="s">
        <v>1274</v>
      </c>
      <c r="G166" s="55"/>
      <c r="H166" s="177"/>
      <c r="I166" s="177" t="str">
        <f t="shared" si="150"/>
        <v>INDRWH</v>
      </c>
      <c r="J166" s="239">
        <f t="shared" si="151"/>
        <v>2030</v>
      </c>
      <c r="K166" s="81"/>
      <c r="L166" s="206">
        <f t="shared" ca="1" si="142"/>
        <v>0.87549999999999994</v>
      </c>
      <c r="M166" s="206"/>
      <c r="N166" s="81"/>
      <c r="O166" s="783">
        <f t="shared" ca="1" si="153"/>
        <v>0.11175</v>
      </c>
      <c r="P166" s="783">
        <f t="shared" ca="1" si="154"/>
        <v>1.3206818181818161E-3</v>
      </c>
      <c r="Q166" s="81">
        <f t="shared" ca="1" si="155"/>
        <v>0.5742708333333334</v>
      </c>
      <c r="R166" s="333"/>
      <c r="S166" s="333"/>
      <c r="T166" s="333"/>
      <c r="U166" s="333"/>
      <c r="V166" s="759">
        <f ca="1">IF(IF(RIGHT(H165,2)="MT",(1-L166)+$W$2,IF(RIGHT(H165,2)="HT",(1-L166)+$W$1,IF(RIGHT(H165,2)="RH",(1-L166)+$W$3,"")))&lt;0,0,IF(RIGHT(H165,2)="MT",(1-L166)+$W$2,IF(RIGHT(H165,2)="HT",(1-L166)+$W$1,IF(RIGHT(H165,2)="RH",(1-L166)+$W$3,""))))</f>
        <v>0.42450000000000004</v>
      </c>
      <c r="W166" s="331"/>
      <c r="X166" s="758">
        <f t="shared" ca="1" si="152"/>
        <v>0.3</v>
      </c>
      <c r="Y166" s="758">
        <f t="shared" ca="1" si="156"/>
        <v>7</v>
      </c>
      <c r="Z166" s="758">
        <f t="shared" ca="1" si="157"/>
        <v>2</v>
      </c>
      <c r="AA166" s="758">
        <f t="shared" ca="1" si="158"/>
        <v>1</v>
      </c>
      <c r="AB166" s="758">
        <f t="shared" ca="1" si="159"/>
        <v>0.1</v>
      </c>
      <c r="AC166" s="55"/>
      <c r="AD166" s="81">
        <v>2030</v>
      </c>
      <c r="AE166" s="81"/>
      <c r="AF166" s="760"/>
    </row>
    <row r="167" spans="1:32">
      <c r="B167" s="778" t="s">
        <v>1135</v>
      </c>
      <c r="C167" s="64"/>
      <c r="D167" s="223" t="str">
        <f>IF(T165=0,"*",IF(T167&gt;0,"IND"&amp;RIGHT(H165,4)&amp;RIGHT(G165,3)&amp;"N"&amp;RIGHT(E165,1),""))</f>
        <v>*</v>
      </c>
      <c r="E167" s="278"/>
      <c r="F167" s="239" t="s">
        <v>1274</v>
      </c>
      <c r="G167" s="55"/>
      <c r="H167" s="177"/>
      <c r="I167" s="177" t="str">
        <f t="shared" si="150"/>
        <v>INDRWH</v>
      </c>
      <c r="J167" s="239">
        <f t="shared" si="151"/>
        <v>2050</v>
      </c>
      <c r="K167" s="81"/>
      <c r="L167" s="206">
        <f t="shared" ca="1" si="142"/>
        <v>0.87549999999999994</v>
      </c>
      <c r="M167" s="206"/>
      <c r="N167" s="81"/>
      <c r="O167" s="783">
        <f t="shared" ca="1" si="153"/>
        <v>0.11175</v>
      </c>
      <c r="P167" s="783">
        <f t="shared" ca="1" si="154"/>
        <v>1.1513636363636396E-3</v>
      </c>
      <c r="Q167" s="81">
        <f t="shared" ca="1" si="155"/>
        <v>0.57944444444444443</v>
      </c>
      <c r="R167" s="333"/>
      <c r="S167" s="333"/>
      <c r="T167" s="333"/>
      <c r="U167" s="333"/>
      <c r="V167" s="759">
        <f ca="1">IF(IF(RIGHT(H165,2)="MT",(1-L167)+$W$2,IF(RIGHT(H165,2)="HT",(1-L167)+$W$1,IF(RIGHT(H165,2)="RH",(1-L167)+$W$3,"")))&lt;0,0,IF(RIGHT(H165,2)="MT",(1-L167)+$W$2,IF(RIGHT(H165,2)="HT",(1-L167)+$W$1,IF(RIGHT(H165,2)="RH",(1-L167)+$W$3,""))))</f>
        <v>0.42450000000000004</v>
      </c>
      <c r="W167" s="331"/>
      <c r="X167" s="758">
        <f t="shared" ca="1" si="152"/>
        <v>0.3</v>
      </c>
      <c r="Y167" s="758">
        <f t="shared" ca="1" si="156"/>
        <v>6</v>
      </c>
      <c r="Z167" s="758">
        <f t="shared" ca="1" si="157"/>
        <v>2</v>
      </c>
      <c r="AA167" s="758">
        <f t="shared" ca="1" si="158"/>
        <v>1</v>
      </c>
      <c r="AB167" s="758">
        <f t="shared" ca="1" si="159"/>
        <v>0.1</v>
      </c>
      <c r="AC167" s="211"/>
      <c r="AD167" s="81">
        <v>2050</v>
      </c>
      <c r="AE167" s="81"/>
      <c r="AF167" s="760"/>
    </row>
    <row r="168" spans="1:32">
      <c r="B168" s="778" t="s">
        <v>1135</v>
      </c>
      <c r="C168" s="64"/>
      <c r="D168" s="223" t="str">
        <f>IF(T168=0,"*",IF(T168&gt;0,"IND"&amp;RIGHT(H168,4)&amp;RIGHT(G168,3)&amp;"N"&amp;RIGHT(E168,1),""))</f>
        <v>*</v>
      </c>
      <c r="E168" s="278" t="str">
        <f>"Industrial heating technology "&amp;$AJ$12&amp;" "&amp;RIGHT(H168,2)&amp;" - Gas boiler (Direct firing) - new 5"</f>
        <v>Industrial heating technology Paper &amp; Pulp MT - Gas boiler (Direct firing) - new 5</v>
      </c>
      <c r="F168" s="239" t="s">
        <v>1274</v>
      </c>
      <c r="G168" s="176" t="s">
        <v>527</v>
      </c>
      <c r="H168" s="177" t="str">
        <f>$AI$14</f>
        <v>IRDMT</v>
      </c>
      <c r="I168" s="781" t="str">
        <f t="shared" si="150"/>
        <v>INDRWH</v>
      </c>
      <c r="J168" s="239">
        <f t="shared" si="151"/>
        <v>2011</v>
      </c>
      <c r="K168" s="332">
        <f>J168</f>
        <v>2011</v>
      </c>
      <c r="L168" s="206">
        <f t="shared" ca="1" si="142"/>
        <v>0.85849999999999993</v>
      </c>
      <c r="M168" s="206"/>
      <c r="N168" s="81">
        <f ca="1">VLOOKUP($AD168,INDIRECT("'"&amp;$B168&amp;"'!"&amp;"$P$279:$AD$282"),5,FALSE)</f>
        <v>25</v>
      </c>
      <c r="O168" s="783">
        <f t="shared" ca="1" si="153"/>
        <v>0.11175</v>
      </c>
      <c r="P168" s="783">
        <f t="shared" ca="1" si="154"/>
        <v>1.3545454545454561E-3</v>
      </c>
      <c r="Q168" s="81">
        <f t="shared" ca="1" si="155"/>
        <v>0.58461805555555546</v>
      </c>
      <c r="R168" s="81">
        <v>3.1536000000000002E-2</v>
      </c>
      <c r="S168" s="206">
        <v>0.95</v>
      </c>
      <c r="T168" s="206">
        <v>0</v>
      </c>
      <c r="U168" s="833"/>
      <c r="V168" s="759">
        <f ca="1">IF(IF(RIGHT(H168,2)="MT",(1-L168)+$W$2,IF(RIGHT(H168,2)="HT",(1-L168)+$W$1,IF(RIGHT(H168,2)="RH",(1-L168)+$W$3,"")))&lt;0,0,IF(RIGHT(H168,2)="MT",(1-L168)+$W$2,IF(RIGHT(H168,2)="HT",(1-L168)+$W$1,IF(RIGHT(H168,2)="RH",(1-L168)+$W$3,""))))</f>
        <v>0.34150000000000008</v>
      </c>
      <c r="W168" s="769"/>
      <c r="X168" s="758">
        <f t="shared" ca="1" si="152"/>
        <v>0.3</v>
      </c>
      <c r="Y168" s="758">
        <f t="shared" ca="1" si="156"/>
        <v>9</v>
      </c>
      <c r="Z168" s="758">
        <f t="shared" ca="1" si="157"/>
        <v>3</v>
      </c>
      <c r="AA168" s="758">
        <f t="shared" ca="1" si="158"/>
        <v>1</v>
      </c>
      <c r="AB168" s="758">
        <f t="shared" ca="1" si="159"/>
        <v>0.1</v>
      </c>
      <c r="AD168" s="295">
        <v>2020</v>
      </c>
      <c r="AE168" s="290"/>
      <c r="AF168" s="890"/>
    </row>
    <row r="169" spans="1:32">
      <c r="B169" s="778" t="s">
        <v>1135</v>
      </c>
      <c r="C169" s="64"/>
      <c r="D169" s="223" t="str">
        <f>IF(T168=0,"*",IF(T169&gt;0,"IND"&amp;RIGHT(H168,4)&amp;RIGHT(G168,3)&amp;"N"&amp;RIGHT(E168,1),""))</f>
        <v>*</v>
      </c>
      <c r="E169" s="278"/>
      <c r="F169" s="239" t="s">
        <v>1274</v>
      </c>
      <c r="G169" s="55"/>
      <c r="H169" s="177"/>
      <c r="I169" s="177" t="str">
        <f t="shared" si="150"/>
        <v>INDRWH</v>
      </c>
      <c r="J169" s="239">
        <f t="shared" si="151"/>
        <v>2030</v>
      </c>
      <c r="K169" s="81"/>
      <c r="L169" s="206">
        <f t="shared" ca="1" si="142"/>
        <v>0.87549999999999994</v>
      </c>
      <c r="M169" s="206"/>
      <c r="N169" s="81"/>
      <c r="O169" s="783">
        <f t="shared" ca="1" si="153"/>
        <v>0.11175</v>
      </c>
      <c r="P169" s="783">
        <f t="shared" ca="1" si="154"/>
        <v>1.3206818181818161E-3</v>
      </c>
      <c r="Q169" s="81">
        <f t="shared" ca="1" si="155"/>
        <v>0.5742708333333334</v>
      </c>
      <c r="R169" s="333"/>
      <c r="S169" s="333"/>
      <c r="T169" s="333"/>
      <c r="U169" s="333"/>
      <c r="V169" s="759">
        <f ca="1">IF(IF(RIGHT(H168,2)="MT",(1-L169)+$W$2,IF(RIGHT(H168,2)="HT",(1-L169)+$W$1,IF(RIGHT(H168,2)="RH",(1-L169)+$W$3,"")))&lt;0,0,IF(RIGHT(H168,2)="MT",(1-L169)+$W$2,IF(RIGHT(H168,2)="HT",(1-L169)+$W$1,IF(RIGHT(H168,2)="RH",(1-L169)+$W$3,""))))</f>
        <v>0.32450000000000007</v>
      </c>
      <c r="W169" s="331"/>
      <c r="X169" s="758">
        <f t="shared" ca="1" si="152"/>
        <v>0.3</v>
      </c>
      <c r="Y169" s="758">
        <f t="shared" ca="1" si="156"/>
        <v>7</v>
      </c>
      <c r="Z169" s="758">
        <f t="shared" ca="1" si="157"/>
        <v>2</v>
      </c>
      <c r="AA169" s="758">
        <f t="shared" ca="1" si="158"/>
        <v>1</v>
      </c>
      <c r="AB169" s="758">
        <f t="shared" ca="1" si="159"/>
        <v>0.1</v>
      </c>
      <c r="AD169" s="81">
        <v>2030</v>
      </c>
      <c r="AE169" s="290"/>
      <c r="AF169" s="888"/>
    </row>
    <row r="170" spans="1:32">
      <c r="A170" s="172"/>
      <c r="B170" s="779" t="s">
        <v>1135</v>
      </c>
      <c r="C170" s="773"/>
      <c r="D170" s="223" t="str">
        <f>IF(T168=0,"*",IF(T170&gt;0,"IND"&amp;RIGHT(H168,4)&amp;RIGHT(G168,3)&amp;"N"&amp;RIGHT(E168,1),""))</f>
        <v>*</v>
      </c>
      <c r="E170" s="761"/>
      <c r="F170" s="239" t="s">
        <v>1274</v>
      </c>
      <c r="G170" s="211"/>
      <c r="H170" s="762"/>
      <c r="I170" s="762" t="str">
        <f t="shared" si="150"/>
        <v>INDRWH</v>
      </c>
      <c r="J170" s="239">
        <f t="shared" si="151"/>
        <v>2050</v>
      </c>
      <c r="K170" s="81"/>
      <c r="L170" s="206">
        <f ca="1">VLOOKUP($AD170,INDIRECT("'"&amp;$B170&amp;"'!"&amp;"$P$345:$AD$348"),3,FALSE)*0.85</f>
        <v>0.85</v>
      </c>
      <c r="M170" s="206"/>
      <c r="N170" s="81"/>
      <c r="O170" s="783">
        <f t="shared" ca="1" si="153"/>
        <v>0.11175</v>
      </c>
      <c r="P170" s="783">
        <f t="shared" ca="1" si="154"/>
        <v>1.1513636363636396E-3</v>
      </c>
      <c r="Q170" s="81">
        <f t="shared" ca="1" si="155"/>
        <v>0.57944444444444443</v>
      </c>
      <c r="R170" s="782"/>
      <c r="S170" s="763"/>
      <c r="T170" s="763"/>
      <c r="U170" s="763"/>
      <c r="V170" s="759">
        <f ca="1">IF(IF(RIGHT(H168,2)="MT",(1-L170)+$W$2,IF(RIGHT(H168,2)="HT",(1-L170)+$W$1,IF(RIGHT(H168,2)="RH",(1-L170)+$W$3,"")))&lt;0,0,IF(RIGHT(H168,2)="MT",(1-L170)+$W$2,IF(RIGHT(H168,2)="HT",(1-L170)+$W$1,IF(RIGHT(H168,2)="RH",(1-L170)+$W$3,""))))</f>
        <v>0.35000000000000003</v>
      </c>
      <c r="W170" s="774"/>
      <c r="X170" s="758">
        <f t="shared" ca="1" si="152"/>
        <v>0.3</v>
      </c>
      <c r="Y170" s="758">
        <f t="shared" ca="1" si="156"/>
        <v>6</v>
      </c>
      <c r="Z170" s="758">
        <f t="shared" ca="1" si="157"/>
        <v>2</v>
      </c>
      <c r="AA170" s="758">
        <f t="shared" ca="1" si="158"/>
        <v>1</v>
      </c>
      <c r="AB170" s="758">
        <f t="shared" ca="1" si="159"/>
        <v>0.1</v>
      </c>
      <c r="AD170" s="81">
        <v>2050</v>
      </c>
      <c r="AE170" s="290"/>
      <c r="AF170" s="888"/>
    </row>
    <row r="171" spans="1:32">
      <c r="A171" s="172"/>
      <c r="B171" s="778" t="s">
        <v>1224</v>
      </c>
      <c r="C171" s="241"/>
      <c r="D171" s="223" t="str">
        <f ca="1">IF(T171=0,"*",IF(T171&gt;0,"IND"&amp;RIGHT(H171,4)&amp;RIGHT(G171,3)&amp;"N"&amp;RIGHT(E171,1),""))</f>
        <v>INDRDHTCOAN1</v>
      </c>
      <c r="E171" s="278" t="str">
        <f>"Industrial heating technology "&amp;$AJ$12&amp;" "&amp;RIGHT(H171,2)&amp;" - Coal boiler (Steam) - new 1"</f>
        <v>Industrial heating technology Paper &amp; Pulp HT - Coal boiler (Steam) - new 1</v>
      </c>
      <c r="F171" s="239" t="s">
        <v>1274</v>
      </c>
      <c r="G171" s="55" t="s">
        <v>662</v>
      </c>
      <c r="H171" s="177" t="str">
        <f>$AI$13</f>
        <v>IRDHT</v>
      </c>
      <c r="I171" s="177" t="str">
        <f t="shared" si="150"/>
        <v>INDRWH</v>
      </c>
      <c r="J171" s="239">
        <f t="shared" si="151"/>
        <v>2011</v>
      </c>
      <c r="K171" s="332">
        <f>J171</f>
        <v>2011</v>
      </c>
      <c r="L171" s="206">
        <f t="shared" ref="L171:L179" ca="1" si="160">VLOOKUP($AD171,INDIRECT("'"&amp;$B171&amp;"'!"&amp;"$P$39:$AD$42"),3,FALSE)*0.85</f>
        <v>0.75649999999999995</v>
      </c>
      <c r="M171" s="759"/>
      <c r="N171" s="332">
        <f ca="1">VLOOKUP($AD171,INDIRECT("'"&amp;$B171&amp;"'!"&amp;"$P$39:$AD$42"),5,FALSE)</f>
        <v>25</v>
      </c>
      <c r="O171" s="974">
        <f ca="1">O87</f>
        <v>4.6054545454545455</v>
      </c>
      <c r="P171" s="785">
        <f t="shared" ref="P171:P179" ca="1" si="161">VLOOKUP($AD171,INDIRECT("'"&amp;$B171&amp;"'!"&amp;"$P$39:$AD$42"),7,FALSE)/1000</f>
        <v>0.25106499999999998</v>
      </c>
      <c r="Q171" s="332">
        <f t="shared" ref="Q171:Q179" ca="1" si="162">VLOOKUP($AD171,INDIRECT("'"&amp;$B171&amp;"'!"&amp;"$P$39:$AD$42"),8,FALSE)</f>
        <v>3.9381527777777778</v>
      </c>
      <c r="R171" s="332">
        <v>3.1536000000000002E-2</v>
      </c>
      <c r="S171" s="206">
        <v>0.95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0.54350000000000009</v>
      </c>
      <c r="W171" s="331"/>
      <c r="X171" s="758">
        <f t="shared" ca="1" si="152"/>
        <v>8</v>
      </c>
      <c r="Y171" s="332">
        <f t="shared" ref="Y171:Y179" ca="1" si="163">VLOOKUP($AD171,INDIRECT("'"&amp;$B171&amp;"'!"&amp;"$P$39:$AD$42"),12,FALSE)</f>
        <v>35</v>
      </c>
      <c r="Z171" s="332">
        <f t="shared" ref="Z171:Z179" ca="1" si="164">VLOOKUP($AD171,INDIRECT("'"&amp;$B171&amp;"'!"&amp;"$P$39:$AD$42"),13,FALSE)</f>
        <v>1.5</v>
      </c>
      <c r="AA171" s="332">
        <f t="shared" ref="AA171:AA179" ca="1" si="165">VLOOKUP($AD171,INDIRECT("'"&amp;$B171&amp;"'!"&amp;"$P$39:$AD$42"),14,FALSE)</f>
        <v>0.8</v>
      </c>
      <c r="AB171" s="332">
        <f t="shared" ref="AB171:AB179" ca="1" si="166">VLOOKUP($AD171,INDIRECT("'"&amp;$B171&amp;"'!"&amp;"$P$39:$AD$42"),15,FALSE)</f>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0"/>
        <v>INDRWH</v>
      </c>
      <c r="J172" s="239">
        <f t="shared" si="151"/>
        <v>2030</v>
      </c>
      <c r="K172" s="81"/>
      <c r="L172" s="206">
        <f t="shared" ca="1" si="160"/>
        <v>0.75649999999999995</v>
      </c>
      <c r="M172" s="832"/>
      <c r="N172" s="208"/>
      <c r="O172" s="974">
        <f ca="1">O89</f>
        <v>4.4022727272727264</v>
      </c>
      <c r="P172" s="785">
        <f t="shared" ca="1" si="161"/>
        <v>0.24287</v>
      </c>
      <c r="Q172" s="332">
        <f t="shared" ca="1" si="162"/>
        <v>3.9836805555555559</v>
      </c>
      <c r="R172" s="883"/>
      <c r="S172" s="333"/>
      <c r="T172" s="333"/>
      <c r="U172" s="333"/>
      <c r="V172" s="759">
        <f ca="1">IF(IF(RIGHT(H171,2)="MT",(1-L172)+$W$2,IF(RIGHT(H171,2)="HT",(1-L172)+$W$1,IF(RIGHT(H171,2)="RH",(1-L172)+$W$3,"")))&lt;0,0,IF(RIGHT(H171,2)="MT",(1-L172)+$W$2,IF(RIGHT(H171,2)="HT",(1-L172)+$W$1,IF(RIGHT(H171,2)="RH",(1-L172)+$W$3,""))))</f>
        <v>0.54350000000000009</v>
      </c>
      <c r="W172" s="331"/>
      <c r="X172" s="758">
        <f t="shared" ca="1" si="152"/>
        <v>8</v>
      </c>
      <c r="Y172" s="332">
        <f t="shared" ca="1" si="163"/>
        <v>35</v>
      </c>
      <c r="Z172" s="332">
        <f t="shared" ca="1" si="164"/>
        <v>1.5</v>
      </c>
      <c r="AA172" s="332">
        <f t="shared" ca="1" si="165"/>
        <v>0.8</v>
      </c>
      <c r="AB172" s="332">
        <f t="shared" ca="1" si="16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0"/>
        <v>INDRWH</v>
      </c>
      <c r="J173" s="239">
        <f t="shared" si="151"/>
        <v>2050</v>
      </c>
      <c r="K173" s="81"/>
      <c r="L173" s="206">
        <f t="shared" ca="1" si="160"/>
        <v>0.77349999999999997</v>
      </c>
      <c r="M173" s="832"/>
      <c r="N173" s="208"/>
      <c r="O173" s="974">
        <f ca="1">O90</f>
        <v>3.9959090909090902</v>
      </c>
      <c r="P173" s="785">
        <f t="shared" ca="1" si="161"/>
        <v>0.22797000000000001</v>
      </c>
      <c r="Q173" s="332">
        <f t="shared" ca="1" si="162"/>
        <v>4.0064444444444449</v>
      </c>
      <c r="R173" s="883"/>
      <c r="S173" s="333"/>
      <c r="T173" s="333"/>
      <c r="U173" s="333"/>
      <c r="V173" s="759">
        <f ca="1">IF(IF(RIGHT(H171,2)="MT",(1-L173)+$W$2,IF(RIGHT(H171,2)="HT",(1-L173)+$W$1,IF(RIGHT(H171,2)="RH",(1-L173)+$W$3,"")))&lt;0,0,IF(RIGHT(H171,2)="MT",(1-L173)+$W$2,IF(RIGHT(H171,2)="HT",(1-L173)+$W$1,IF(RIGHT(H171,2)="RH",(1-L173)+$W$3,""))))</f>
        <v>0.52649999999999997</v>
      </c>
      <c r="W173" s="331"/>
      <c r="X173" s="758">
        <f t="shared" ca="1" si="152"/>
        <v>8</v>
      </c>
      <c r="Y173" s="332">
        <f t="shared" ca="1" si="163"/>
        <v>35</v>
      </c>
      <c r="Z173" s="332">
        <f t="shared" ca="1" si="164"/>
        <v>1.5</v>
      </c>
      <c r="AA173" s="332">
        <f t="shared" ca="1" si="165"/>
        <v>0.8</v>
      </c>
      <c r="AB173" s="332">
        <f t="shared" ca="1" si="166"/>
        <v>2.1</v>
      </c>
      <c r="AD173" s="81">
        <v>2050</v>
      </c>
      <c r="AE173" s="290"/>
      <c r="AF173" s="888"/>
    </row>
    <row r="174" spans="1:32">
      <c r="A174" s="172"/>
      <c r="B174" s="778" t="s">
        <v>1224</v>
      </c>
      <c r="C174" s="241"/>
      <c r="D174" s="223" t="str">
        <f ca="1">IF(T174=0,"*",IF(T174&gt;0,"IND"&amp;RIGHT(H174,4)&amp;RIGHT(G174,3)&amp;"N"&amp;RIGHT(E174,1),""))</f>
        <v>INDRDMTCOAN1</v>
      </c>
      <c r="E174" s="278" t="str">
        <f>"Industrial heating technology "&amp;$AJ$12&amp;" "&amp;RIGHT(H174,2)&amp;" - Coal boiler (Steam) - new 1"</f>
        <v>Industrial heating technology Paper &amp; Pulp MT - Coal boiler (Steam) - new 1</v>
      </c>
      <c r="F174" s="239" t="s">
        <v>1274</v>
      </c>
      <c r="G174" s="55" t="s">
        <v>662</v>
      </c>
      <c r="H174" s="177" t="str">
        <f>$AI$14</f>
        <v>IRDMT</v>
      </c>
      <c r="I174" s="177" t="str">
        <f t="shared" si="150"/>
        <v>INDRWH</v>
      </c>
      <c r="J174" s="239">
        <f t="shared" si="151"/>
        <v>2011</v>
      </c>
      <c r="K174" s="332">
        <f>J174</f>
        <v>2011</v>
      </c>
      <c r="L174" s="206">
        <f t="shared" ca="1" si="160"/>
        <v>0.75649999999999995</v>
      </c>
      <c r="M174" s="206"/>
      <c r="N174" s="81">
        <f ca="1">VLOOKUP($AD174,INDIRECT("'"&amp;$B174&amp;"'!"&amp;"$P$39:$AD$42"),5,FALSE)</f>
        <v>25</v>
      </c>
      <c r="O174" s="974">
        <f t="shared" ref="O174:O185" ca="1" si="167">O171</f>
        <v>4.6054545454545455</v>
      </c>
      <c r="P174" s="785">
        <f t="shared" ca="1" si="161"/>
        <v>0.25106499999999998</v>
      </c>
      <c r="Q174" s="332">
        <f t="shared" ca="1" si="162"/>
        <v>3.9381527777777778</v>
      </c>
      <c r="R174" s="81">
        <v>3.1536000000000002E-2</v>
      </c>
      <c r="S174" s="206">
        <v>0.95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0.44350000000000006</v>
      </c>
      <c r="W174" s="331"/>
      <c r="X174" s="758">
        <f t="shared" ca="1" si="152"/>
        <v>8</v>
      </c>
      <c r="Y174" s="332">
        <f t="shared" ca="1" si="163"/>
        <v>35</v>
      </c>
      <c r="Z174" s="332">
        <f t="shared" ca="1" si="164"/>
        <v>1.5</v>
      </c>
      <c r="AA174" s="332">
        <f t="shared" ca="1" si="165"/>
        <v>0.8</v>
      </c>
      <c r="AB174" s="332">
        <f t="shared" ca="1" si="16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0"/>
        <v>INDRWH</v>
      </c>
      <c r="J175" s="239">
        <f t="shared" si="151"/>
        <v>2030</v>
      </c>
      <c r="K175" s="81"/>
      <c r="L175" s="206">
        <f t="shared" ca="1" si="160"/>
        <v>0.75649999999999995</v>
      </c>
      <c r="M175" s="832"/>
      <c r="N175" s="208"/>
      <c r="O175" s="974">
        <f t="shared" ca="1" si="167"/>
        <v>4.4022727272727264</v>
      </c>
      <c r="P175" s="785">
        <f t="shared" ca="1" si="161"/>
        <v>0.24287</v>
      </c>
      <c r="Q175" s="332">
        <f t="shared" ca="1" si="162"/>
        <v>3.9836805555555559</v>
      </c>
      <c r="R175" s="883"/>
      <c r="S175" s="333"/>
      <c r="T175" s="333"/>
      <c r="U175" s="333"/>
      <c r="V175" s="759">
        <f ca="1">IF(IF(RIGHT(H174,2)="MT",(1-L175)+$W$2,IF(RIGHT(H174,2)="HT",(1-L175)+$W$1,IF(RIGHT(H174,2)="RH",(1-L175)+$W$3,"")))&lt;0,0,IF(RIGHT(H174,2)="MT",(1-L175)+$W$2,IF(RIGHT(H174,2)="HT",(1-L175)+$W$1,IF(RIGHT(H174,2)="RH",(1-L175)+$W$3,""))))</f>
        <v>0.44350000000000006</v>
      </c>
      <c r="W175" s="331"/>
      <c r="X175" s="758">
        <f t="shared" ca="1" si="152"/>
        <v>8</v>
      </c>
      <c r="Y175" s="332">
        <f t="shared" ca="1" si="163"/>
        <v>35</v>
      </c>
      <c r="Z175" s="332">
        <f t="shared" ca="1" si="164"/>
        <v>1.5</v>
      </c>
      <c r="AA175" s="332">
        <f t="shared" ca="1" si="165"/>
        <v>0.8</v>
      </c>
      <c r="AB175" s="332">
        <f t="shared" ca="1" si="166"/>
        <v>2.1</v>
      </c>
      <c r="AD175" s="81">
        <v>2030</v>
      </c>
      <c r="AE175" s="290"/>
      <c r="AF175" s="888"/>
    </row>
    <row r="176" spans="1:32">
      <c r="A176" s="172"/>
      <c r="B176" s="778" t="s">
        <v>1224</v>
      </c>
      <c r="C176" s="241"/>
      <c r="D176" s="223" t="str">
        <f ca="1">IF(T174=0,"*",IF(T176&gt;0,"IND"&amp;RIGHT(H174,4)&amp;RIGHT(G174,3)&amp;"N"&amp;RIGHT(E174,1),""))</f>
        <v/>
      </c>
      <c r="E176" s="278"/>
      <c r="F176" s="239" t="s">
        <v>1274</v>
      </c>
      <c r="G176" s="55"/>
      <c r="H176" s="177"/>
      <c r="I176" s="177" t="str">
        <f t="shared" si="150"/>
        <v>INDRWH</v>
      </c>
      <c r="J176" s="239">
        <f t="shared" si="151"/>
        <v>2050</v>
      </c>
      <c r="K176" s="81"/>
      <c r="L176" s="206">
        <f t="shared" ca="1" si="160"/>
        <v>0.77349999999999997</v>
      </c>
      <c r="M176" s="832"/>
      <c r="N176" s="208"/>
      <c r="O176" s="974">
        <f t="shared" ca="1" si="167"/>
        <v>3.9959090909090902</v>
      </c>
      <c r="P176" s="785">
        <f t="shared" ca="1" si="161"/>
        <v>0.22797000000000001</v>
      </c>
      <c r="Q176" s="332">
        <f t="shared" ca="1" si="162"/>
        <v>4.0064444444444449</v>
      </c>
      <c r="R176" s="883"/>
      <c r="S176" s="333"/>
      <c r="T176" s="333"/>
      <c r="U176" s="333"/>
      <c r="V176" s="759">
        <f ca="1">IF(IF(RIGHT(H174,2)="MT",(1-L176)+$W$2,IF(RIGHT(H174,2)="HT",(1-L176)+$W$1,IF(RIGHT(H174,2)="RH",(1-L176)+$W$3,"")))&lt;0,0,IF(RIGHT(H174,2)="MT",(1-L176)+$W$2,IF(RIGHT(H174,2)="HT",(1-L176)+$W$1,IF(RIGHT(H174,2)="RH",(1-L176)+$W$3,""))))</f>
        <v>0.42650000000000005</v>
      </c>
      <c r="W176" s="331"/>
      <c r="X176" s="758">
        <f t="shared" ca="1" si="152"/>
        <v>8</v>
      </c>
      <c r="Y176" s="332">
        <f t="shared" ca="1" si="163"/>
        <v>35</v>
      </c>
      <c r="Z176" s="332">
        <f t="shared" ca="1" si="164"/>
        <v>1.5</v>
      </c>
      <c r="AA176" s="332">
        <f t="shared" ca="1" si="165"/>
        <v>0.8</v>
      </c>
      <c r="AB176" s="332">
        <f t="shared" ca="1" si="166"/>
        <v>2.1</v>
      </c>
      <c r="AD176" s="81">
        <v>2050</v>
      </c>
      <c r="AE176" s="290"/>
      <c r="AF176" s="888"/>
    </row>
    <row r="177" spans="1:32">
      <c r="A177" s="172"/>
      <c r="B177" s="778" t="s">
        <v>1224</v>
      </c>
      <c r="C177" s="241"/>
      <c r="D177" s="223" t="str">
        <f ca="1">IF(T177=0,"*",IF(T177&gt;0,"IND"&amp;RIGHT(H177,4)&amp;RIGHT(G177,3)&amp;"N"&amp;RIGHT(E177,1),""))</f>
        <v>INDRDRHCOAN1</v>
      </c>
      <c r="E177" s="278" t="str">
        <f>"Industrial heating technology "&amp;$AJ$12&amp;" "&amp;RIGHT(H177,2)&amp;" - Coal boiler (Steam) - new 1"</f>
        <v>Industrial heating technology Paper &amp; Pulp RH - Coal boiler (Steam) - new 1</v>
      </c>
      <c r="F177" s="239" t="s">
        <v>1274</v>
      </c>
      <c r="G177" s="55" t="s">
        <v>662</v>
      </c>
      <c r="H177" s="177" t="str">
        <f>$AI$15</f>
        <v>IRDRH</v>
      </c>
      <c r="I177" s="177" t="str">
        <f t="shared" si="150"/>
        <v>INDRWH</v>
      </c>
      <c r="J177" s="239">
        <f t="shared" si="151"/>
        <v>2011</v>
      </c>
      <c r="K177" s="332">
        <f>J177</f>
        <v>2011</v>
      </c>
      <c r="L177" s="206">
        <f t="shared" ca="1" si="160"/>
        <v>0.75649999999999995</v>
      </c>
      <c r="M177" s="206"/>
      <c r="N177" s="81">
        <f ca="1">VLOOKUP($AD177,INDIRECT("'"&amp;$B177&amp;"'!"&amp;"$P$39:$AD$42"),5,FALSE)</f>
        <v>25</v>
      </c>
      <c r="O177" s="974">
        <f t="shared" ca="1" si="167"/>
        <v>4.6054545454545455</v>
      </c>
      <c r="P177" s="785">
        <f t="shared" ca="1" si="161"/>
        <v>0.25106499999999998</v>
      </c>
      <c r="Q177" s="332">
        <f t="shared" ca="1" si="162"/>
        <v>3.9381527777777778</v>
      </c>
      <c r="R177" s="81">
        <v>3.1536000000000002E-2</v>
      </c>
      <c r="S177" s="206">
        <v>0.95</v>
      </c>
      <c r="T177" s="206">
        <f ca="1">IF(HLOOKUP($T$2,INDIRECT("'"&amp;$B177&amp;"'!"&amp;"$P$6:$AE$19"),IF(H177=$AI$13,6,IF(H177=$AI$14,9,14)),FALSE)&lt;0.03,0,HLOOKUP($T$2,INDIRECT("'"&amp;$B177&amp;"'!"&amp;"$P$6:$AE$19"),IF(H177=$AI$13,6,IF(H177=$AI$14,9,14)),FALSE))</f>
        <v>1</v>
      </c>
      <c r="U177" s="832"/>
      <c r="V177" s="759">
        <f ca="1">IF(IF(RIGHT(H177,2)="MT",(1-L177)+$W$2,IF(RIGHT(H177,2)="HT",(1-L177)+$W$1,IF(RIGHT(H177,2)="RH",(1-L177)+$W$3,"")))&lt;0,0,IF(RIGHT(H177,2)="MT",(1-L177)+$W$2,IF(RIGHT(H177,2)="HT",(1-L177)+$W$1,IF(RIGHT(H177,2)="RH",(1-L177)+$W$3,""))))</f>
        <v>0.24350000000000005</v>
      </c>
      <c r="W177" s="331"/>
      <c r="X177" s="758">
        <f t="shared" ca="1" si="152"/>
        <v>8</v>
      </c>
      <c r="Y177" s="332">
        <f t="shared" ca="1" si="163"/>
        <v>35</v>
      </c>
      <c r="Z177" s="332">
        <f t="shared" ca="1" si="164"/>
        <v>1.5</v>
      </c>
      <c r="AA177" s="332">
        <f t="shared" ca="1" si="165"/>
        <v>0.8</v>
      </c>
      <c r="AB177" s="332">
        <f t="shared" ca="1" si="166"/>
        <v>2.1</v>
      </c>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0"/>
        <v>INDRWH</v>
      </c>
      <c r="J178" s="239">
        <f t="shared" si="151"/>
        <v>2030</v>
      </c>
      <c r="K178" s="81"/>
      <c r="L178" s="206">
        <f t="shared" ca="1" si="160"/>
        <v>0.75649999999999995</v>
      </c>
      <c r="M178" s="832"/>
      <c r="N178" s="208"/>
      <c r="O178" s="974">
        <f t="shared" ca="1" si="167"/>
        <v>4.4022727272727264</v>
      </c>
      <c r="P178" s="785">
        <f t="shared" ca="1" si="161"/>
        <v>0.24287</v>
      </c>
      <c r="Q178" s="332">
        <f t="shared" ca="1" si="162"/>
        <v>3.9836805555555559</v>
      </c>
      <c r="R178" s="883"/>
      <c r="S178" s="333"/>
      <c r="T178" s="333"/>
      <c r="U178" s="333"/>
      <c r="V178" s="759">
        <f ca="1">IF(IF(RIGHT(H177,2)="MT",(1-L178)+$W$2,IF(RIGHT(H177,2)="HT",(1-L178)+$W$1,IF(RIGHT(H177,2)="RH",(1-L178)+$W$3,"")))&lt;0,0,IF(RIGHT(H177,2)="MT",(1-L178)+$W$2,IF(RIGHT(H177,2)="HT",(1-L178)+$W$1,IF(RIGHT(H177,2)="RH",(1-L178)+$W$3,""))))</f>
        <v>0.24350000000000005</v>
      </c>
      <c r="W178" s="331"/>
      <c r="X178" s="758">
        <f t="shared" ca="1" si="152"/>
        <v>8</v>
      </c>
      <c r="Y178" s="332">
        <f t="shared" ca="1" si="163"/>
        <v>35</v>
      </c>
      <c r="Z178" s="332">
        <f t="shared" ca="1" si="164"/>
        <v>1.5</v>
      </c>
      <c r="AA178" s="332">
        <f t="shared" ca="1" si="165"/>
        <v>0.8</v>
      </c>
      <c r="AB178" s="332">
        <f t="shared" ca="1" si="166"/>
        <v>2.1</v>
      </c>
      <c r="AD178" s="81">
        <v>2030</v>
      </c>
      <c r="AE178" s="290"/>
      <c r="AF178" s="888"/>
    </row>
    <row r="179" spans="1:32">
      <c r="A179" s="172"/>
      <c r="B179" s="779" t="s">
        <v>1224</v>
      </c>
      <c r="C179" s="773"/>
      <c r="D179" s="223" t="str">
        <f ca="1">IF(T177=0,"*",IF(T179&gt;0,"IND"&amp;RIGHT(H177,4)&amp;RIGHT(G177,3)&amp;"N"&amp;RIGHT(E177,1),""))</f>
        <v/>
      </c>
      <c r="E179" s="761"/>
      <c r="F179" s="239" t="s">
        <v>1274</v>
      </c>
      <c r="G179" s="211"/>
      <c r="H179" s="762"/>
      <c r="I179" s="762" t="str">
        <f t="shared" si="150"/>
        <v>INDRWH</v>
      </c>
      <c r="J179" s="239">
        <f t="shared" si="151"/>
        <v>2050</v>
      </c>
      <c r="K179" s="81"/>
      <c r="L179" s="206">
        <f t="shared" ca="1" si="160"/>
        <v>0.77349999999999997</v>
      </c>
      <c r="M179" s="886"/>
      <c r="N179" s="885"/>
      <c r="O179" s="974">
        <f t="shared" ca="1" si="167"/>
        <v>3.9959090909090902</v>
      </c>
      <c r="P179" s="785">
        <f t="shared" ca="1" si="161"/>
        <v>0.22797000000000001</v>
      </c>
      <c r="Q179" s="332">
        <f t="shared" ca="1" si="162"/>
        <v>4.0064444444444449</v>
      </c>
      <c r="R179" s="782"/>
      <c r="S179" s="763"/>
      <c r="T179" s="763"/>
      <c r="U179" s="763"/>
      <c r="V179" s="759">
        <f ca="1">IF(IF(RIGHT(H177,2)="MT",(1-L179)+$W$2,IF(RIGHT(H177,2)="HT",(1-L179)+$W$1,IF(RIGHT(H177,2)="RH",(1-L179)+$W$3,"")))&lt;0,0,IF(RIGHT(H177,2)="MT",(1-L179)+$W$2,IF(RIGHT(H177,2)="HT",(1-L179)+$W$1,IF(RIGHT(H177,2)="RH",(1-L179)+$W$3,""))))</f>
        <v>0.22650000000000003</v>
      </c>
      <c r="W179" s="764"/>
      <c r="X179" s="758">
        <f t="shared" ca="1" si="152"/>
        <v>8</v>
      </c>
      <c r="Y179" s="332">
        <f t="shared" ca="1" si="163"/>
        <v>35</v>
      </c>
      <c r="Z179" s="332">
        <f t="shared" ca="1" si="164"/>
        <v>1.5</v>
      </c>
      <c r="AA179" s="332">
        <f t="shared" ca="1" si="165"/>
        <v>0.8</v>
      </c>
      <c r="AB179" s="332">
        <f t="shared" ca="1" si="166"/>
        <v>2.1</v>
      </c>
      <c r="AC179" s="211"/>
      <c r="AD179" s="81">
        <v>2050</v>
      </c>
      <c r="AE179" s="290"/>
      <c r="AF179" s="889"/>
    </row>
    <row r="180" spans="1:32">
      <c r="A180" s="172"/>
      <c r="B180" s="778" t="s">
        <v>1224</v>
      </c>
      <c r="C180" s="241"/>
      <c r="D180" s="223" t="str">
        <f ca="1">IF(T180=0,"*",IF(T180&gt;0,"IND"&amp;RIGHT(H180,4)&amp;RIGHT(G180,3)&amp;"N"&amp;RIGHT(E180,1),""))</f>
        <v>INDRDMTCOAN2</v>
      </c>
      <c r="E180" s="278" t="str">
        <f>"Industrial heating technology "&amp;$AJ$12&amp;" "&amp;RIGHT(H180,2)&amp;" - Coal boiler (Hot Water) - new 2"</f>
        <v>Industrial heating technology Paper &amp; Pulp MT - Coal boiler (Hot Water) - new 2</v>
      </c>
      <c r="F180" s="239" t="s">
        <v>1274</v>
      </c>
      <c r="G180" s="55" t="s">
        <v>662</v>
      </c>
      <c r="H180" s="177" t="str">
        <f>$AI$14</f>
        <v>IRDMT</v>
      </c>
      <c r="I180" s="177" t="str">
        <f t="shared" si="150"/>
        <v>INDRWH</v>
      </c>
      <c r="J180" s="239">
        <f t="shared" si="151"/>
        <v>2011</v>
      </c>
      <c r="K180" s="332">
        <f>J180</f>
        <v>2011</v>
      </c>
      <c r="L180" s="206">
        <f t="shared" ref="L180:L185" ca="1" si="168">VLOOKUP($AD180,INDIRECT("'"&amp;$B180&amp;"'!"&amp;"$P$118:$AD$121"),3,FALSE)*0.85</f>
        <v>0.75649999999999995</v>
      </c>
      <c r="M180" s="206"/>
      <c r="N180" s="81">
        <f ca="1">VLOOKUP($AD180,INDIRECT("'"&amp;$B180&amp;"'!"&amp;"$P$118:$AD$121"),5,FALSE)</f>
        <v>25</v>
      </c>
      <c r="O180" s="974">
        <f t="shared" ca="1" si="167"/>
        <v>4.6054545454545455</v>
      </c>
      <c r="P180" s="783">
        <f t="shared" ref="P180:P185" ca="1" si="169">VLOOKUP($AD180,INDIRECT("'"&amp;$B180&amp;"'!"&amp;"$P$118:$AD$121"),7,FALSE)/1000</f>
        <v>0.25106499999999998</v>
      </c>
      <c r="Q180" s="81">
        <f t="shared" ref="Q180:Q185" ca="1" si="170">VLOOKUP($AD180,INDIRECT("'"&amp;$B180&amp;"'!"&amp;"$P$118:$AD$121"),8,FALSE)</f>
        <v>3.9381527777777778</v>
      </c>
      <c r="R180" s="81">
        <v>3.1536000000000002E-2</v>
      </c>
      <c r="S180" s="206">
        <v>0.95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0.44350000000000006</v>
      </c>
      <c r="W180" s="769"/>
      <c r="X180" s="758">
        <f t="shared" ca="1" si="152"/>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0"/>
        <v>INDRWH</v>
      </c>
      <c r="J181" s="239">
        <f t="shared" si="151"/>
        <v>2030</v>
      </c>
      <c r="K181" s="81"/>
      <c r="L181" s="206">
        <f t="shared" ca="1" si="168"/>
        <v>0.75649999999999995</v>
      </c>
      <c r="M181" s="832"/>
      <c r="N181" s="208"/>
      <c r="O181" s="974">
        <f t="shared" ca="1" si="167"/>
        <v>4.4022727272727264</v>
      </c>
      <c r="P181" s="783">
        <f t="shared" ca="1" si="169"/>
        <v>0.24287</v>
      </c>
      <c r="Q181" s="81">
        <f t="shared" ca="1" si="170"/>
        <v>3.9836805555555559</v>
      </c>
      <c r="R181" s="883"/>
      <c r="S181" s="333"/>
      <c r="T181" s="333"/>
      <c r="U181" s="333"/>
      <c r="V181" s="759">
        <f ca="1">IF(IF(RIGHT(H180,2)="MT",(1-L181)+$W$2,IF(RIGHT(H180,2)="HT",(1-L181)+$W$1,IF(RIGHT(H180,2)="RH",(1-L181)+$W$3,"")))&lt;0,0,IF(RIGHT(H180,2)="MT",(1-L181)+$W$2,IF(RIGHT(H180,2)="HT",(1-L181)+$W$1,IF(RIGHT(H180,2)="RH",(1-L181)+$W$3,""))))</f>
        <v>0.44350000000000006</v>
      </c>
      <c r="W181" s="331"/>
      <c r="X181" s="884"/>
      <c r="Y181" s="884"/>
      <c r="Z181" s="884"/>
      <c r="AA181" s="884"/>
      <c r="AB181" s="884"/>
      <c r="AD181" s="81">
        <v>2030</v>
      </c>
      <c r="AE181" s="290"/>
      <c r="AF181" s="888"/>
    </row>
    <row r="182" spans="1:32">
      <c r="A182" s="172"/>
      <c r="B182" s="778" t="s">
        <v>1224</v>
      </c>
      <c r="C182" s="241"/>
      <c r="D182" s="223" t="str">
        <f ca="1">IF(T180=0,"*",IF(T182&gt;0,"IND"&amp;RIGHT(H180,4)&amp;RIGHT(G180,3)&amp;"N"&amp;RIGHT(E180,1),""))</f>
        <v/>
      </c>
      <c r="E182" s="278"/>
      <c r="F182" s="239" t="s">
        <v>1274</v>
      </c>
      <c r="G182" s="55"/>
      <c r="H182" s="177"/>
      <c r="I182" s="177" t="str">
        <f t="shared" si="150"/>
        <v>INDRWH</v>
      </c>
      <c r="J182" s="239">
        <f t="shared" si="151"/>
        <v>2050</v>
      </c>
      <c r="K182" s="81"/>
      <c r="L182" s="206">
        <f t="shared" ca="1" si="168"/>
        <v>0.77349999999999997</v>
      </c>
      <c r="M182" s="832"/>
      <c r="N182" s="208"/>
      <c r="O182" s="974">
        <f t="shared" ca="1" si="167"/>
        <v>3.9959090909090902</v>
      </c>
      <c r="P182" s="783">
        <f t="shared" ca="1" si="169"/>
        <v>0.22797000000000001</v>
      </c>
      <c r="Q182" s="81">
        <f t="shared" ca="1" si="170"/>
        <v>4.0064444444444449</v>
      </c>
      <c r="R182" s="883"/>
      <c r="S182" s="333"/>
      <c r="T182" s="333"/>
      <c r="U182" s="333"/>
      <c r="V182" s="759">
        <f ca="1">IF(IF(RIGHT(H180,2)="MT",(1-L182)+$W$2,IF(RIGHT(H180,2)="HT",(1-L182)+$W$1,IF(RIGHT(H180,2)="RH",(1-L182)+$W$3,"")))&lt;0,0,IF(RIGHT(H180,2)="MT",(1-L182)+$W$2,IF(RIGHT(H180,2)="HT",(1-L182)+$W$1,IF(RIGHT(H180,2)="RH",(1-L182)+$W$3,""))))</f>
        <v>0.42650000000000005</v>
      </c>
      <c r="W182" s="331"/>
      <c r="X182" s="884"/>
      <c r="Y182" s="884"/>
      <c r="Z182" s="884"/>
      <c r="AA182" s="884"/>
      <c r="AB182" s="884"/>
      <c r="AD182" s="81">
        <v>2050</v>
      </c>
      <c r="AE182" s="290"/>
      <c r="AF182" s="888"/>
    </row>
    <row r="183" spans="1:32">
      <c r="A183" s="172"/>
      <c r="B183" s="778" t="s">
        <v>1224</v>
      </c>
      <c r="C183" s="241"/>
      <c r="D183" s="223" t="str">
        <f ca="1">IF(T183=0,"*",IF(T183&gt;0,"IND"&amp;RIGHT(H183,4)&amp;RIGHT(G183,3)&amp;"N"&amp;RIGHT(E183,1),""))</f>
        <v>INDRDRHCOAN2</v>
      </c>
      <c r="E183" s="278" t="str">
        <f>"Industrial heating technology "&amp;$AJ$12&amp;" "&amp;RIGHT(H183,2)&amp;" - Coal boiler (Hot Water) - new 2"</f>
        <v>Industrial heating technology Paper &amp; Pulp RH - Coal boiler (Hot Water) - new 2</v>
      </c>
      <c r="F183" s="239" t="s">
        <v>1274</v>
      </c>
      <c r="G183" s="55" t="s">
        <v>662</v>
      </c>
      <c r="H183" s="177" t="str">
        <f>$AI$15</f>
        <v>IRDRH</v>
      </c>
      <c r="I183" s="177" t="str">
        <f t="shared" si="150"/>
        <v>INDRWH</v>
      </c>
      <c r="J183" s="239">
        <f t="shared" si="151"/>
        <v>2011</v>
      </c>
      <c r="K183" s="332">
        <f>J183</f>
        <v>2011</v>
      </c>
      <c r="L183" s="206">
        <f t="shared" ca="1" si="168"/>
        <v>0.75649999999999995</v>
      </c>
      <c r="M183" s="206"/>
      <c r="N183" s="81">
        <f ca="1">VLOOKUP($AD183,INDIRECT("'"&amp;$B183&amp;"'!"&amp;"$P$118:$AD$121"),5,FALSE)</f>
        <v>25</v>
      </c>
      <c r="O183" s="974">
        <f t="shared" ca="1" si="167"/>
        <v>4.6054545454545455</v>
      </c>
      <c r="P183" s="783">
        <f t="shared" ca="1" si="169"/>
        <v>0.25106499999999998</v>
      </c>
      <c r="Q183" s="81">
        <f t="shared" ca="1" si="170"/>
        <v>3.9381527777777778</v>
      </c>
      <c r="R183" s="81">
        <v>3.1536000000000002E-2</v>
      </c>
      <c r="S183" s="206">
        <v>0.95</v>
      </c>
      <c r="T183" s="206">
        <f ca="1">IF(HLOOKUP($T$2,INDIRECT("'"&amp;$B183&amp;"'!"&amp;"$P$6:$AE$19"),IF(H183=$AI$13,6,IF(H183=$AI$14,9,14)),FALSE)&lt;0.03,0,HLOOKUP($T$2,INDIRECT("'"&amp;$B183&amp;"'!"&amp;"$P$6:$AE$19"),IF(H183=$AI$13,6,IF(H183=$AI$14,9,14)),FALSE))</f>
        <v>1</v>
      </c>
      <c r="U183" s="833"/>
      <c r="V183" s="759">
        <f ca="1">IF(IF(RIGHT(H183,2)="MT",(1-L183)+$W$2,IF(RIGHT(H183,2)="HT",(1-L183)+$W$1,IF(RIGHT(H183,2)="RH",(1-L183)+$W$3,"")))&lt;0,0,IF(RIGHT(H183,2)="MT",(1-L183)+$W$2,IF(RIGHT(H183,2)="HT",(1-L183)+$W$1,IF(RIGHT(H183,2)="RH",(1-L183)+$W$3,""))))</f>
        <v>0.24350000000000005</v>
      </c>
      <c r="W183" s="769"/>
      <c r="X183" s="758">
        <f ca="1">IF(VLOOKUP($AD183,INDIRECT("'"&amp;$B183&amp;"'!"&amp;"$P$39:$AD$42"),11,FALSE)="Cf. the utilized electricity",0,VLOOKUP($AD183,INDIRECT("'"&amp;$B183&amp;"'!"&amp;"$P$39:$AD$42"),11,FALSE))</f>
        <v>8</v>
      </c>
      <c r="Y183" s="758">
        <f ca="1">VLOOKUP($AD183,INDIRECT("'"&amp;$B183&amp;"'!"&amp;"$P$118:$AD$121"),12,FALSE)</f>
        <v>35</v>
      </c>
      <c r="Z183" s="758">
        <f ca="1">VLOOKUP($AD183,INDIRECT("'"&amp;$B183&amp;"'!"&amp;"$P$118:$AD$121"),13,FALSE)</f>
        <v>1.5</v>
      </c>
      <c r="AA183" s="758">
        <f ca="1">VLOOKUP($AD183,INDIRECT("'"&amp;$B183&amp;"'!"&amp;"$P$118:$AD$121"),14,FALSE)</f>
        <v>0.8</v>
      </c>
      <c r="AB183" s="758">
        <f ca="1">VLOOKUP($AD183,INDIRECT("'"&amp;$B183&amp;"'!"&amp;"$P$118:$AD$121"),15,FALSE)</f>
        <v>2.1</v>
      </c>
      <c r="AC183" s="55"/>
      <c r="AD183" s="81">
        <v>2020</v>
      </c>
      <c r="AE183" s="290"/>
      <c r="AF183" s="888"/>
    </row>
    <row r="184" spans="1:32">
      <c r="A184" s="172"/>
      <c r="B184" s="778" t="s">
        <v>1224</v>
      </c>
      <c r="C184" s="241"/>
      <c r="D184" s="223" t="str">
        <f ca="1">IF(T183=0,"*",IF(T184&gt;0,"IND"&amp;RIGHT(H183,4)&amp;RIGHT(G183,3)&amp;"N"&amp;RIGHT(E183,1),""))</f>
        <v/>
      </c>
      <c r="E184" s="278"/>
      <c r="F184" s="239" t="s">
        <v>1274</v>
      </c>
      <c r="G184" s="55"/>
      <c r="H184" s="177"/>
      <c r="I184" s="177" t="str">
        <f t="shared" si="150"/>
        <v>INDRWH</v>
      </c>
      <c r="J184" s="239">
        <f t="shared" si="151"/>
        <v>2030</v>
      </c>
      <c r="K184" s="208"/>
      <c r="L184" s="206">
        <f t="shared" ca="1" si="168"/>
        <v>0.75649999999999995</v>
      </c>
      <c r="M184" s="832"/>
      <c r="N184" s="208"/>
      <c r="O184" s="974">
        <f t="shared" ca="1" si="167"/>
        <v>4.4022727272727264</v>
      </c>
      <c r="P184" s="783">
        <f t="shared" ca="1" si="169"/>
        <v>0.24287</v>
      </c>
      <c r="Q184" s="81">
        <f t="shared" ca="1" si="170"/>
        <v>3.9836805555555559</v>
      </c>
      <c r="R184" s="883"/>
      <c r="S184" s="333"/>
      <c r="T184" s="333"/>
      <c r="U184" s="333"/>
      <c r="V184" s="759">
        <f ca="1">IF(IF(RIGHT(H183,2)="MT",(1-L184)+$W$2,IF(RIGHT(H183,2)="HT",(1-L184)+$W$1,IF(RIGHT(H183,2)="RH",(1-L184)+$W$3,"")))&lt;0,0,IF(RIGHT(H183,2)="MT",(1-L184)+$W$2,IF(RIGHT(H183,2)="HT",(1-L184)+$W$1,IF(RIGHT(H183,2)="RH",(1-L184)+$W$3,""))))</f>
        <v>0.24350000000000005</v>
      </c>
      <c r="W184" s="331"/>
      <c r="X184" s="884"/>
      <c r="Y184" s="884"/>
      <c r="Z184" s="884"/>
      <c r="AA184" s="884"/>
      <c r="AB184" s="884"/>
      <c r="AD184" s="81">
        <v>2030</v>
      </c>
      <c r="AE184" s="290"/>
      <c r="AF184" s="888"/>
    </row>
    <row r="185" spans="1:32">
      <c r="A185" s="891"/>
      <c r="B185" s="779" t="s">
        <v>1224</v>
      </c>
      <c r="C185" s="773"/>
      <c r="D185" s="223" t="str">
        <f ca="1">IF(T183=0,"*",IF(T185&gt;0,"IND"&amp;RIGHT(H183,4)&amp;RIGHT(G183,3)&amp;"N"&amp;RIGHT(E183,1),""))</f>
        <v/>
      </c>
      <c r="E185" s="761"/>
      <c r="F185" s="239" t="s">
        <v>1274</v>
      </c>
      <c r="G185" s="211"/>
      <c r="H185" s="762"/>
      <c r="I185" s="283" t="str">
        <f t="shared" si="150"/>
        <v>INDRWH</v>
      </c>
      <c r="J185" s="239">
        <f t="shared" si="151"/>
        <v>2050</v>
      </c>
      <c r="K185" s="885"/>
      <c r="L185" s="206">
        <f t="shared" ca="1" si="168"/>
        <v>0.77349999999999997</v>
      </c>
      <c r="M185" s="886"/>
      <c r="N185" s="885"/>
      <c r="O185" s="974">
        <f t="shared" ca="1" si="167"/>
        <v>3.9959090909090902</v>
      </c>
      <c r="P185" s="783">
        <f t="shared" ca="1" si="169"/>
        <v>0.22797000000000001</v>
      </c>
      <c r="Q185" s="81">
        <f t="shared" ca="1" si="170"/>
        <v>4.0064444444444449</v>
      </c>
      <c r="R185" s="782"/>
      <c r="S185" s="763"/>
      <c r="T185" s="763"/>
      <c r="U185" s="763"/>
      <c r="V185" s="759">
        <f ca="1">IF(IF(RIGHT(H183,2)="MT",(1-L185)+$W$2,IF(RIGHT(H183,2)="HT",(1-L185)+$W$1,IF(RIGHT(H183,2)="RH",(1-L185)+$W$3,"")))&lt;0,0,IF(RIGHT(H183,2)="MT",(1-L185)+$W$2,IF(RIGHT(H183,2)="HT",(1-L185)+$W$1,IF(RIGHT(H183,2)="RH",(1-L185)+$W$3,""))))</f>
        <v>0.22650000000000003</v>
      </c>
      <c r="W185" s="764"/>
      <c r="X185" s="887"/>
      <c r="Y185" s="887"/>
      <c r="Z185" s="887"/>
      <c r="AA185" s="887"/>
      <c r="AB185" s="887"/>
      <c r="AC185" s="211"/>
      <c r="AD185" s="81">
        <v>2050</v>
      </c>
      <c r="AE185" s="290"/>
      <c r="AF185" s="889"/>
    </row>
    <row r="186" spans="1:32">
      <c r="A186" s="891"/>
      <c r="B186" s="241" t="s">
        <v>620</v>
      </c>
      <c r="C186" s="961"/>
      <c r="D186" s="223" t="str">
        <f>IF(T186=0,"*",IF(T186&gt;0,"IND"&amp;RIGHT(H186,4)&amp;RIGHT(G186,3)&amp;"N"&amp;RIGHT(E186,1),""))</f>
        <v>INDRDRHSOLN1</v>
      </c>
      <c r="E186" s="278" t="str">
        <f>"Industrial heating technology "&amp;$AJ$12&amp;" "&amp;RIGHT(H186,2)&amp;" - Solar - new 1"</f>
        <v>Industrial heating technology Paper &amp; Pulp RH - Solar - new 1</v>
      </c>
      <c r="F186" s="239" t="s">
        <v>1274</v>
      </c>
      <c r="G186" s="55" t="s">
        <v>501</v>
      </c>
      <c r="H186" s="177" t="str">
        <f>$AI$15</f>
        <v>IRDRH</v>
      </c>
      <c r="I186" s="177"/>
      <c r="J186" s="239">
        <f t="shared" si="151"/>
        <v>2011</v>
      </c>
      <c r="K186" s="332">
        <f>J186</f>
        <v>2011</v>
      </c>
      <c r="L186" s="206">
        <f ca="1">VLOOKUP($AD186,INDIRECT("'"&amp;$B186&amp;"'!"&amp;"$J$40:$X$43"),3,FALSE)</f>
        <v>1</v>
      </c>
      <c r="M186" s="832"/>
      <c r="N186" s="206">
        <f ca="1">VLOOKUP($AD186,INDIRECT("'"&amp;$B186&amp;"'!"&amp;"$J$40:$X$43"),5,FALSE)</f>
        <v>25</v>
      </c>
      <c r="O186" s="206">
        <f ca="1">VLOOKUP($AD186,INDIRECT("'"&amp;$B186&amp;"'!"&amp;"$J$40:$X$43"),6,FALSE)/1000</f>
        <v>4.2857142857142865</v>
      </c>
      <c r="P186" s="206">
        <f ca="1">VLOOKUP($AD186,INDIRECT("'"&amp;$B186&amp;"'!"&amp;"$J$40:$X$43"),7,FALSE)/1000</f>
        <v>2.0660433158225668E-2</v>
      </c>
      <c r="Q186" s="206">
        <f ca="1">VLOOKUP($AD186,INDIRECT("'"&amp;$B186&amp;"'!"&amp;"$J$40:$X$43"),8,FALSE)</f>
        <v>0</v>
      </c>
      <c r="R186" s="81">
        <v>3.1536000000000002E-2</v>
      </c>
      <c r="S186" s="206">
        <v>0.95</v>
      </c>
      <c r="T186" s="206">
        <v>1</v>
      </c>
      <c r="U186" s="333"/>
      <c r="V186" s="206"/>
      <c r="W186" s="331"/>
      <c r="X186" s="758">
        <v>0</v>
      </c>
      <c r="Y186" s="81">
        <v>0</v>
      </c>
      <c r="Z186" s="81">
        <v>0</v>
      </c>
      <c r="AA186" s="81">
        <v>0</v>
      </c>
      <c r="AB186" s="81">
        <v>0</v>
      </c>
      <c r="AC186" s="55"/>
      <c r="AD186" s="81">
        <v>2020</v>
      </c>
      <c r="AE186" s="208"/>
      <c r="AF186" s="760"/>
    </row>
    <row r="187" spans="1:32">
      <c r="A187" s="891"/>
      <c r="B187" s="241" t="s">
        <v>620</v>
      </c>
      <c r="C187" s="962"/>
      <c r="D187" s="223" t="str">
        <f>IF(T186=0,"*",IF(T187&gt;0,"IND"&amp;RIGHT(H186,4)&amp;RIGHT(G186,3)&amp;"N"&amp;RIGHT(E186,1),""))</f>
        <v/>
      </c>
      <c r="E187" s="278"/>
      <c r="F187" s="239" t="s">
        <v>1274</v>
      </c>
      <c r="G187" s="55"/>
      <c r="H187" s="177"/>
      <c r="I187" s="177"/>
      <c r="J187" s="239">
        <f t="shared" si="151"/>
        <v>2030</v>
      </c>
      <c r="K187" s="208"/>
      <c r="L187" s="206">
        <f ca="1">VLOOKUP($AD187,INDIRECT("'"&amp;$B187&amp;"'!"&amp;"$J$40:$X$43"),3,FALSE)</f>
        <v>1</v>
      </c>
      <c r="M187" s="832"/>
      <c r="N187" s="206">
        <f ca="1">VLOOKUP($AD187,INDIRECT("'"&amp;$B187&amp;"'!"&amp;"$J$40:$X$43"),5,FALSE)</f>
        <v>30</v>
      </c>
      <c r="O187" s="206">
        <f ca="1">VLOOKUP($AD187,INDIRECT("'"&amp;$B187&amp;"'!"&amp;"$J$40:$X$43"),6,FALSE)/1000</f>
        <v>3.9285714285714284</v>
      </c>
      <c r="P187" s="206">
        <f ca="1">VLOOKUP($AD187,INDIRECT("'"&amp;$B187&amp;"'!"&amp;"$J$40:$X$43"),7,FALSE)/1000</f>
        <v>2.328125E-2</v>
      </c>
      <c r="Q187" s="206">
        <f ca="1">VLOOKUP($AD187,INDIRECT("'"&amp;$B187&amp;"'!"&amp;"$J$40:$X$43"),8,FALSE)</f>
        <v>0</v>
      </c>
      <c r="R187" s="883"/>
      <c r="S187" s="333"/>
      <c r="T187" s="333"/>
      <c r="U187" s="333"/>
      <c r="V187" s="832"/>
      <c r="W187" s="331"/>
      <c r="X187" s="884"/>
      <c r="Y187" s="884"/>
      <c r="Z187" s="884"/>
      <c r="AA187" s="884"/>
      <c r="AB187" s="884"/>
      <c r="AC187" s="55"/>
      <c r="AD187" s="81">
        <v>2030</v>
      </c>
      <c r="AE187" s="208"/>
      <c r="AF187" s="760"/>
    </row>
    <row r="188" spans="1:32" s="211" customFormat="1">
      <c r="A188" s="960"/>
      <c r="B188" s="773" t="s">
        <v>620</v>
      </c>
      <c r="C188" s="963"/>
      <c r="D188" s="223" t="str">
        <f>IF(T186=0,"*",IF(T188&gt;0,"IND"&amp;RIGHT(H186,4)&amp;RIGHT(G186,3)&amp;"N"&amp;RIGHT(E186,1),""))</f>
        <v/>
      </c>
      <c r="E188" s="761"/>
      <c r="F188" s="239" t="s">
        <v>1274</v>
      </c>
      <c r="H188" s="762"/>
      <c r="I188" s="762"/>
      <c r="J188" s="239">
        <f t="shared" si="151"/>
        <v>2050</v>
      </c>
      <c r="K188" s="885"/>
      <c r="L188" s="206">
        <f ca="1">VLOOKUP($AD188,INDIRECT("'"&amp;$B188&amp;"'!"&amp;"$J$40:$X$43"),3,FALSE)</f>
        <v>1</v>
      </c>
      <c r="M188" s="886"/>
      <c r="N188" s="206">
        <f ca="1">VLOOKUP($AD188,INDIRECT("'"&amp;$B188&amp;"'!"&amp;"$J$40:$X$43"),5,FALSE)</f>
        <v>30</v>
      </c>
      <c r="O188" s="206">
        <f ca="1">VLOOKUP($AD188,INDIRECT("'"&amp;$B188&amp;"'!"&amp;"$J$40:$X$43"),6,FALSE)/1000</f>
        <v>3.5714285714285721</v>
      </c>
      <c r="P188" s="206">
        <f ca="1">VLOOKUP($AD188,INDIRECT("'"&amp;$B188&amp;"'!"&amp;"$J$40:$X$43"),7,FALSE)/1000</f>
        <v>2.1498571428571429E-2</v>
      </c>
      <c r="Q188" s="206">
        <f ca="1">VLOOKUP($AD188,INDIRECT("'"&amp;$B188&amp;"'!"&amp;"$J$40:$X$43"),8,FALSE)</f>
        <v>0</v>
      </c>
      <c r="R188" s="782"/>
      <c r="S188" s="763"/>
      <c r="T188" s="763"/>
      <c r="U188" s="763"/>
      <c r="V188" s="886"/>
      <c r="W188" s="764"/>
      <c r="X188" s="887"/>
      <c r="Y188" s="887"/>
      <c r="Z188" s="887"/>
      <c r="AA188" s="887"/>
      <c r="AB188" s="887"/>
      <c r="AD188" s="81">
        <v>2050</v>
      </c>
      <c r="AE188" s="885"/>
      <c r="AF188" s="765"/>
    </row>
    <row r="189" spans="1:32">
      <c r="A189" s="172"/>
      <c r="D189" s="36" t="s">
        <v>504</v>
      </c>
      <c r="E189" s="36"/>
      <c r="F189" s="239" t="s">
        <v>1274</v>
      </c>
      <c r="H189" s="176"/>
      <c r="I189" s="176"/>
      <c r="K189" s="205"/>
      <c r="L189" s="213"/>
      <c r="M189" s="213"/>
      <c r="N189" s="213"/>
      <c r="O189" s="37"/>
      <c r="P189" s="37"/>
      <c r="Q189" s="214"/>
      <c r="R189" s="268"/>
      <c r="S189" s="292"/>
      <c r="T189" s="213"/>
      <c r="U189" s="213"/>
      <c r="V189" s="213"/>
      <c r="W189" s="213"/>
      <c r="X189" s="213"/>
      <c r="Y189" s="213"/>
      <c r="Z189" s="213"/>
      <c r="AA189" s="213"/>
      <c r="AB189" s="213"/>
    </row>
    <row r="190" spans="1:32">
      <c r="A190" s="172"/>
      <c r="D190" s="223" t="s">
        <v>451</v>
      </c>
      <c r="E190" s="239" t="str">
        <f>"Industrial heating technology "&amp;$AJ$12&amp;" "&amp;RIGHT(H190,2)&amp;" - central district heating - within DH area - new 1"</f>
        <v>Industrial heating technology Paper &amp; Pulp RH - central district heating - within DH area - new 1</v>
      </c>
      <c r="F190" s="239" t="s">
        <v>1274</v>
      </c>
      <c r="G190" s="240" t="s">
        <v>502</v>
      </c>
      <c r="H190" s="240" t="str">
        <f>AI15</f>
        <v>IRDRH</v>
      </c>
      <c r="I190" s="240"/>
      <c r="J190" s="81">
        <v>2011</v>
      </c>
      <c r="K190" s="81">
        <v>2011</v>
      </c>
      <c r="L190" s="81">
        <v>0.96</v>
      </c>
      <c r="M190" s="81"/>
      <c r="N190" s="81">
        <v>30</v>
      </c>
      <c r="O190" s="269">
        <v>1.17</v>
      </c>
      <c r="P190" s="270">
        <f>'DH network'!$M$9</f>
        <v>5.8735799999999998E-2</v>
      </c>
      <c r="Q190" s="270">
        <f ca="1">Q31*0.95</f>
        <v>1.9463124999999999</v>
      </c>
      <c r="R190" s="209">
        <v>3.1536000000000002E-2</v>
      </c>
      <c r="S190" s="293">
        <v>0.5</v>
      </c>
      <c r="T190" s="243"/>
      <c r="U190" s="243"/>
      <c r="V190" s="243"/>
      <c r="W190" s="320"/>
      <c r="X190" s="297"/>
      <c r="Y190" s="61"/>
      <c r="Z190" s="61"/>
      <c r="AA190" s="61"/>
      <c r="AB190" s="61"/>
    </row>
    <row r="191" spans="1:32">
      <c r="A191" s="172"/>
      <c r="D191" s="223" t="s">
        <v>451</v>
      </c>
      <c r="E191" s="239" t="str">
        <f>"Industrial heating technology "&amp;$AJ$12&amp;" "&amp;RIGHT(H191,2)&amp;" - decentral district heating - within DH area - new 1"</f>
        <v>Industrial heating technology Paper &amp; Pulp RH - decentral district heating - within DH area - new 1</v>
      </c>
      <c r="F191" s="239" t="s">
        <v>1274</v>
      </c>
      <c r="G191" s="276" t="s">
        <v>503</v>
      </c>
      <c r="H191" s="282" t="str">
        <f>AI15</f>
        <v>IRDRH</v>
      </c>
      <c r="I191" s="282"/>
      <c r="J191" s="81">
        <v>2011</v>
      </c>
      <c r="K191" s="81">
        <v>2011</v>
      </c>
      <c r="L191" s="81">
        <f>L190</f>
        <v>0.96</v>
      </c>
      <c r="M191" s="81"/>
      <c r="N191" s="81">
        <v>30</v>
      </c>
      <c r="O191" s="269">
        <v>1.25</v>
      </c>
      <c r="P191" s="270">
        <f>'DH network'!$M$9</f>
        <v>5.8735799999999998E-2</v>
      </c>
      <c r="Q191" s="270">
        <f ca="1">Q190</f>
        <v>1.9463124999999999</v>
      </c>
      <c r="R191" s="209">
        <v>3.1536000000000002E-2</v>
      </c>
      <c r="S191" s="293">
        <v>0.5</v>
      </c>
      <c r="T191" s="243"/>
      <c r="U191" s="243"/>
      <c r="V191" s="243"/>
      <c r="W191" s="320"/>
      <c r="X191" s="297"/>
      <c r="Y191" s="61"/>
      <c r="Z191" s="61"/>
      <c r="AA191" s="61"/>
      <c r="AB191" s="61"/>
      <c r="AC191" s="241"/>
      <c r="AD191" s="241"/>
      <c r="AE191" s="241"/>
      <c r="AF191" s="241"/>
    </row>
    <row r="192" spans="1:32">
      <c r="A192" s="172"/>
      <c r="B192" s="241"/>
      <c r="C192" s="241"/>
      <c r="D192" s="275" t="s">
        <v>497</v>
      </c>
      <c r="E192" s="275"/>
      <c r="F192" s="239" t="s">
        <v>1274</v>
      </c>
      <c r="G192" s="216"/>
      <c r="H192" s="240"/>
      <c r="I192" s="240"/>
      <c r="J192" s="208"/>
      <c r="K192" s="208"/>
      <c r="L192" s="208"/>
      <c r="M192" s="208"/>
      <c r="N192" s="208"/>
      <c r="O192" s="242"/>
      <c r="P192" s="242"/>
      <c r="Q192" s="242"/>
      <c r="R192" s="210"/>
      <c r="S192" s="243"/>
      <c r="T192" s="243"/>
      <c r="U192" s="243"/>
      <c r="V192" s="243"/>
      <c r="W192" s="320"/>
      <c r="X192" s="241"/>
      <c r="Y192" s="241"/>
      <c r="Z192" s="241"/>
      <c r="AA192" s="241"/>
      <c r="AB192" s="241"/>
      <c r="AC192" s="241"/>
      <c r="AD192" s="241"/>
      <c r="AE192" s="241"/>
      <c r="AF192" s="241"/>
    </row>
    <row r="193" spans="1:32">
      <c r="A193" s="172"/>
      <c r="B193" s="241"/>
      <c r="C193" s="241"/>
      <c r="D193" s="223" t="str">
        <f>"IND"&amp;RIGHT(H193,4)&amp;RIGHT(G193,3)&amp;"N"&amp;RIGHT(E193,1)</f>
        <v>INDRDLAELCN1</v>
      </c>
      <c r="E193" s="239" t="str">
        <f>"Industry "&amp;$AJ$12&amp;" "&amp;RIGHT(H193,2)&amp;" Electricity Light Appliance - New 1"</f>
        <v>Industry Paper &amp; Pulp LA Electricity Light Appliance - New 1</v>
      </c>
      <c r="F193" s="239" t="s">
        <v>1274</v>
      </c>
      <c r="G193" s="240" t="s">
        <v>500</v>
      </c>
      <c r="H193" s="240" t="str">
        <f>AI16</f>
        <v>IRDLA</v>
      </c>
      <c r="I193" s="240"/>
      <c r="J193" s="81">
        <v>2011</v>
      </c>
      <c r="K193" s="81">
        <v>2011</v>
      </c>
      <c r="L193" s="273">
        <v>1</v>
      </c>
      <c r="M193" s="273"/>
      <c r="N193" s="273">
        <v>10</v>
      </c>
      <c r="O193" s="270"/>
      <c r="P193" s="270"/>
      <c r="Q193" s="270"/>
      <c r="R193" s="209"/>
      <c r="S193" s="293">
        <v>0.9</v>
      </c>
      <c r="T193" s="243"/>
      <c r="U193" s="243"/>
      <c r="V193" s="243"/>
      <c r="W193" s="320"/>
      <c r="X193" s="298"/>
      <c r="Y193" s="271"/>
      <c r="Z193" s="271"/>
      <c r="AA193" s="271"/>
      <c r="AB193" s="271"/>
      <c r="AC193" s="241"/>
      <c r="AD193" s="241"/>
      <c r="AE193" s="241"/>
      <c r="AF193" s="241"/>
    </row>
    <row r="194" spans="1:32">
      <c r="A194" s="172"/>
      <c r="B194" s="241"/>
      <c r="C194" s="241"/>
      <c r="F194" s="239" t="s">
        <v>1274</v>
      </c>
      <c r="G194" s="240"/>
      <c r="H194" s="241"/>
      <c r="I194" s="241"/>
      <c r="J194" s="273">
        <v>2020</v>
      </c>
      <c r="K194" s="273"/>
      <c r="L194" s="273"/>
      <c r="M194" s="273"/>
      <c r="N194" s="273"/>
      <c r="O194" s="270"/>
      <c r="P194" s="270"/>
      <c r="Q194" s="270"/>
      <c r="R194" s="209"/>
      <c r="S194" s="293"/>
      <c r="T194" s="243"/>
      <c r="U194" s="243"/>
      <c r="V194" s="243"/>
      <c r="W194" s="320"/>
      <c r="X194" s="298"/>
      <c r="Y194" s="271"/>
      <c r="Z194" s="271"/>
      <c r="AA194" s="271"/>
      <c r="AB194" s="271"/>
      <c r="AC194" s="241"/>
      <c r="AD194" s="241"/>
      <c r="AE194" s="241"/>
      <c r="AF194" s="241"/>
    </row>
    <row r="195" spans="1:32">
      <c r="A195" s="172"/>
      <c r="B195" s="241"/>
      <c r="C195" s="241"/>
      <c r="F195" s="239" t="s">
        <v>1274</v>
      </c>
      <c r="G195" s="240"/>
      <c r="H195" s="240"/>
      <c r="I195" s="240"/>
      <c r="J195" s="273">
        <v>2030</v>
      </c>
      <c r="K195" s="273"/>
      <c r="L195" s="273"/>
      <c r="M195" s="273"/>
      <c r="N195" s="273"/>
      <c r="O195" s="270"/>
      <c r="P195" s="270"/>
      <c r="Q195" s="270"/>
      <c r="R195" s="209"/>
      <c r="S195" s="293"/>
      <c r="T195" s="243"/>
      <c r="U195" s="243"/>
      <c r="V195" s="243"/>
      <c r="W195" s="320"/>
      <c r="X195" s="298"/>
      <c r="Y195" s="271"/>
      <c r="Z195" s="271"/>
      <c r="AA195" s="271"/>
      <c r="AB195" s="271"/>
    </row>
    <row r="196" spans="1:32">
      <c r="A196" s="172"/>
      <c r="B196" s="241"/>
      <c r="C196" s="241"/>
      <c r="F196" s="239" t="s">
        <v>1274</v>
      </c>
      <c r="G196" s="240"/>
      <c r="H196" s="240"/>
      <c r="I196" s="240"/>
      <c r="J196" s="273">
        <v>2050</v>
      </c>
      <c r="K196" s="273"/>
      <c r="L196" s="273"/>
      <c r="M196" s="273"/>
      <c r="N196" s="273"/>
      <c r="O196" s="270"/>
      <c r="P196" s="270"/>
      <c r="Q196" s="270"/>
      <c r="R196" s="209"/>
      <c r="S196" s="293"/>
      <c r="T196" s="243"/>
      <c r="U196" s="243"/>
      <c r="V196" s="243"/>
      <c r="W196" s="320"/>
      <c r="X196" s="298"/>
      <c r="Y196" s="271"/>
      <c r="Z196" s="271"/>
      <c r="AA196" s="271"/>
      <c r="AB196" s="271"/>
    </row>
    <row r="197" spans="1:32">
      <c r="A197" s="172"/>
      <c r="B197" s="241"/>
      <c r="C197" s="241"/>
      <c r="D197" s="223" t="str">
        <f>"IND"&amp;RIGHT(H197,4)&amp;RIGHT(G197,3)&amp;"N"&amp;RIGHT(E197,1)</f>
        <v>INDRDEMELCN1</v>
      </c>
      <c r="E197" s="239" t="str">
        <f>"Industry "&amp;$AJ$12&amp;" "&amp;RIGHT(H197,2)&amp;" Electricity Motors - New 1"</f>
        <v>Industry Paper &amp; Pulp EM Electricity Motors - New 1</v>
      </c>
      <c r="F197" s="239" t="s">
        <v>1274</v>
      </c>
      <c r="G197" s="240" t="s">
        <v>500</v>
      </c>
      <c r="H197" s="240" t="str">
        <f>AI17</f>
        <v>IRDEM</v>
      </c>
      <c r="I197" s="240"/>
      <c r="J197" s="81">
        <v>2011</v>
      </c>
      <c r="K197" s="81">
        <v>2011</v>
      </c>
      <c r="L197" s="273">
        <v>1</v>
      </c>
      <c r="M197" s="273"/>
      <c r="N197" s="273">
        <v>10</v>
      </c>
      <c r="O197" s="270"/>
      <c r="P197" s="270"/>
      <c r="Q197" s="270"/>
      <c r="R197" s="209"/>
      <c r="S197" s="293">
        <v>0.9</v>
      </c>
      <c r="T197" s="243"/>
      <c r="U197" s="243"/>
      <c r="V197" s="243"/>
      <c r="W197" s="320"/>
      <c r="X197" s="298"/>
      <c r="Y197" s="271"/>
      <c r="Z197" s="271"/>
      <c r="AA197" s="271"/>
      <c r="AB197" s="271"/>
    </row>
    <row r="198" spans="1:32">
      <c r="A198" s="172"/>
      <c r="D198" s="173"/>
      <c r="E198" s="64"/>
      <c r="F198" s="239" t="s">
        <v>1274</v>
      </c>
      <c r="G198" s="176" t="s">
        <v>1437</v>
      </c>
      <c r="H198" s="176"/>
      <c r="I198" s="176"/>
      <c r="J198" s="273">
        <v>2020</v>
      </c>
      <c r="K198" s="274"/>
      <c r="L198" s="274"/>
      <c r="M198" s="274"/>
      <c r="N198" s="274"/>
      <c r="O198" s="61"/>
      <c r="P198" s="61"/>
      <c r="Q198" s="61"/>
      <c r="R198" s="61"/>
      <c r="S198" s="294"/>
      <c r="T198" s="55"/>
      <c r="U198" s="55"/>
      <c r="V198" s="55"/>
      <c r="W198" s="315"/>
      <c r="X198" s="297"/>
      <c r="Y198" s="61"/>
      <c r="Z198" s="61"/>
      <c r="AA198" s="61"/>
      <c r="AB198" s="61"/>
    </row>
    <row r="199" spans="1:32">
      <c r="A199" s="172"/>
      <c r="F199" s="239" t="s">
        <v>1274</v>
      </c>
      <c r="H199" s="176"/>
      <c r="I199" s="176"/>
      <c r="J199" s="273">
        <v>2030</v>
      </c>
      <c r="K199" s="274"/>
      <c r="L199" s="274"/>
      <c r="M199" s="274"/>
      <c r="N199" s="274"/>
      <c r="O199" s="61"/>
      <c r="P199" s="61"/>
      <c r="Q199" s="61"/>
      <c r="R199" s="61"/>
      <c r="S199" s="294"/>
      <c r="T199" s="55"/>
      <c r="U199" s="55"/>
      <c r="V199" s="55"/>
      <c r="W199" s="315"/>
      <c r="X199" s="297"/>
      <c r="Y199" s="61"/>
      <c r="Z199" s="61"/>
      <c r="AA199" s="61"/>
      <c r="AB199" s="61"/>
    </row>
    <row r="200" spans="1:32">
      <c r="A200" s="172"/>
      <c r="D200" s="211"/>
      <c r="E200" s="211"/>
      <c r="F200" s="239" t="s">
        <v>1274</v>
      </c>
      <c r="G200" s="211"/>
      <c r="H200" s="283"/>
      <c r="I200" s="283"/>
      <c r="J200" s="273">
        <v>2050</v>
      </c>
      <c r="K200" s="274"/>
      <c r="L200" s="274"/>
      <c r="M200" s="274"/>
      <c r="N200" s="274"/>
      <c r="O200" s="61"/>
      <c r="P200" s="61"/>
      <c r="Q200" s="61"/>
      <c r="R200" s="61"/>
      <c r="S200" s="294"/>
      <c r="T200" s="55"/>
      <c r="U200" s="55"/>
      <c r="V200" s="55"/>
      <c r="W200" s="315"/>
      <c r="X200" s="297"/>
      <c r="Y200" s="61"/>
      <c r="Z200" s="61"/>
      <c r="AA200" s="61"/>
      <c r="AB200" s="61"/>
    </row>
    <row r="201" spans="1:32">
      <c r="A201" s="172"/>
      <c r="D201" s="223" t="str">
        <f>"IND"&amp;RIGHT(H201,4)&amp;"DSL"&amp;"N"&amp;RIGHT(E201,1)</f>
        <v>INDRDTFDSLN1</v>
      </c>
      <c r="E201" s="239" t="str">
        <f>"Industry "&amp;$AJ$12&amp;" "&amp;RIGHT(H201,2)&amp;" Tractors, Trucks, Fishing boats - New 1"</f>
        <v>Industry Paper &amp; Pulp TF Tractors, Trucks, Fishing boats - New 1</v>
      </c>
      <c r="F201" s="239" t="s">
        <v>1274</v>
      </c>
      <c r="G201" s="55" t="s">
        <v>569</v>
      </c>
      <c r="H201" s="177" t="str">
        <f>AI18</f>
        <v>IRDTF</v>
      </c>
      <c r="I201" s="177"/>
      <c r="J201" s="81">
        <v>2011</v>
      </c>
      <c r="K201" s="81">
        <v>2011</v>
      </c>
      <c r="L201" s="273">
        <v>1</v>
      </c>
      <c r="M201" s="273"/>
      <c r="N201" s="273">
        <v>10</v>
      </c>
      <c r="O201" s="270"/>
      <c r="P201" s="270"/>
      <c r="Q201" s="270"/>
      <c r="R201" s="209"/>
      <c r="S201" s="293">
        <v>0.9</v>
      </c>
      <c r="T201" s="243"/>
      <c r="U201" s="243"/>
      <c r="V201" s="243"/>
      <c r="W201" s="320"/>
      <c r="X201" s="55"/>
      <c r="Y201" s="55"/>
      <c r="Z201" s="55"/>
      <c r="AA201" s="55"/>
      <c r="AB201" s="55"/>
    </row>
    <row r="202" spans="1:32">
      <c r="A202" s="172"/>
      <c r="D202" s="55"/>
      <c r="E202" s="55"/>
      <c r="F202" s="239" t="s">
        <v>1274</v>
      </c>
      <c r="G202" s="176" t="s">
        <v>1438</v>
      </c>
      <c r="H202" s="177"/>
      <c r="I202" s="177"/>
      <c r="J202" s="273">
        <v>2020</v>
      </c>
      <c r="K202" s="273"/>
      <c r="L202" s="273"/>
      <c r="M202" s="273"/>
      <c r="N202" s="273"/>
      <c r="O202" s="270"/>
      <c r="P202" s="270"/>
      <c r="Q202" s="270"/>
      <c r="R202" s="209"/>
      <c r="S202" s="293"/>
      <c r="T202" s="243"/>
      <c r="U202" s="243"/>
      <c r="V202" s="243"/>
      <c r="W202" s="243"/>
      <c r="X202" s="55"/>
      <c r="Y202" s="55"/>
      <c r="Z202" s="55"/>
      <c r="AA202" s="55"/>
      <c r="AB202" s="55"/>
    </row>
    <row r="203" spans="1:32">
      <c r="A203" s="172"/>
      <c r="D203" s="55"/>
      <c r="E203" s="55"/>
      <c r="F203" s="239" t="s">
        <v>1274</v>
      </c>
      <c r="G203" s="55"/>
      <c r="J203" s="273">
        <v>2030</v>
      </c>
      <c r="K203" s="273"/>
      <c r="L203" s="273"/>
      <c r="M203" s="273"/>
      <c r="N203" s="273"/>
      <c r="O203" s="270"/>
      <c r="P203" s="270"/>
      <c r="Q203" s="270"/>
      <c r="R203" s="209"/>
      <c r="S203" s="293"/>
      <c r="T203" s="243"/>
      <c r="U203" s="243"/>
      <c r="V203" s="243"/>
      <c r="W203" s="243"/>
      <c r="X203" s="55"/>
      <c r="Y203" s="55"/>
      <c r="Z203" s="55"/>
      <c r="AA203" s="55"/>
      <c r="AB203" s="55"/>
    </row>
    <row r="204" spans="1:32">
      <c r="A204" s="172"/>
      <c r="D204" s="55"/>
      <c r="E204" s="55"/>
      <c r="F204" s="239" t="s">
        <v>1274</v>
      </c>
      <c r="G204" s="55"/>
      <c r="J204" s="273">
        <v>2050</v>
      </c>
      <c r="K204" s="273"/>
      <c r="L204" s="273"/>
      <c r="M204" s="273"/>
      <c r="N204" s="273"/>
      <c r="O204" s="270"/>
      <c r="P204" s="270"/>
      <c r="Q204" s="270"/>
      <c r="R204" s="209"/>
      <c r="S204" s="293"/>
      <c r="T204" s="243"/>
      <c r="U204" s="243"/>
      <c r="V204" s="243"/>
      <c r="W204" s="243"/>
      <c r="X204" s="55"/>
      <c r="Y204" s="55"/>
      <c r="Z204" s="55"/>
      <c r="AA204" s="55"/>
      <c r="AB204" s="55"/>
    </row>
    <row r="205" spans="1:32">
      <c r="A205" s="172"/>
      <c r="D205" s="223" t="str">
        <f>"IND"&amp;RIGHT(H205,4)&amp;RIGHT(G205,3)&amp;"N"&amp;RIGHT(E205,1)</f>
        <v>INDRDFLNG2N1</v>
      </c>
      <c r="E205" s="239" t="str">
        <f>"Industry "&amp;$AJ$12&amp;" "&amp;RIGHT(H201,2)&amp;" Forklifts - New 1"</f>
        <v>Industry Paper &amp; Pulp TF Forklifts - New 1</v>
      </c>
      <c r="F205" s="239" t="s">
        <v>1274</v>
      </c>
      <c r="G205" s="55" t="s">
        <v>653</v>
      </c>
      <c r="H205" s="239" t="str">
        <f>AI19</f>
        <v>IRDFL</v>
      </c>
      <c r="J205" s="81">
        <v>2011</v>
      </c>
      <c r="K205" s="81">
        <v>2011</v>
      </c>
      <c r="L205" s="273">
        <v>1</v>
      </c>
      <c r="M205" s="273"/>
      <c r="N205" s="273">
        <v>10</v>
      </c>
      <c r="O205" s="270"/>
      <c r="P205" s="270"/>
      <c r="Q205" s="270"/>
      <c r="R205" s="209"/>
      <c r="S205" s="293">
        <v>0.9</v>
      </c>
      <c r="T205" s="243"/>
      <c r="U205" s="243"/>
      <c r="V205" s="243"/>
      <c r="W205" s="243"/>
      <c r="X205" s="55"/>
      <c r="Y205" s="55"/>
      <c r="Z205" s="55"/>
      <c r="AA205" s="55"/>
      <c r="AB205" s="55"/>
    </row>
    <row r="206" spans="1:32">
      <c r="A206" s="172"/>
      <c r="D206" s="55"/>
      <c r="E206" s="55"/>
      <c r="F206" s="239" t="s">
        <v>1274</v>
      </c>
      <c r="G206" s="55"/>
      <c r="H206" s="177"/>
      <c r="I206" s="177"/>
      <c r="J206" s="273">
        <v>2020</v>
      </c>
      <c r="K206" s="273"/>
      <c r="L206" s="273"/>
      <c r="M206" s="273"/>
      <c r="N206" s="274"/>
      <c r="O206" s="61"/>
      <c r="P206" s="61"/>
      <c r="Q206" s="61"/>
      <c r="R206" s="61"/>
      <c r="S206" s="294"/>
      <c r="T206" s="55"/>
      <c r="U206" s="55"/>
      <c r="V206" s="55"/>
      <c r="W206" s="55"/>
      <c r="X206" s="55"/>
      <c r="Y206" s="55"/>
      <c r="Z206" s="55"/>
      <c r="AA206" s="55"/>
      <c r="AB206" s="55"/>
    </row>
    <row r="207" spans="1:32">
      <c r="A207" s="172"/>
      <c r="D207" s="55"/>
      <c r="E207" s="55"/>
      <c r="F207" s="239" t="s">
        <v>1274</v>
      </c>
      <c r="G207" s="55"/>
      <c r="J207" s="273">
        <v>2030</v>
      </c>
      <c r="K207" s="273"/>
      <c r="L207" s="273"/>
      <c r="M207" s="273"/>
      <c r="N207" s="274"/>
      <c r="O207" s="61"/>
      <c r="P207" s="61"/>
      <c r="Q207" s="61"/>
      <c r="R207" s="61"/>
      <c r="S207" s="294"/>
      <c r="T207" s="55"/>
      <c r="U207" s="55"/>
      <c r="V207" s="55"/>
      <c r="W207" s="55"/>
      <c r="X207" s="55"/>
      <c r="Y207" s="55"/>
      <c r="Z207" s="55"/>
      <c r="AA207" s="55"/>
      <c r="AB207" s="55"/>
    </row>
    <row r="208" spans="1:32">
      <c r="A208" s="172"/>
      <c r="D208" s="55"/>
      <c r="E208" s="55"/>
      <c r="F208" s="239" t="s">
        <v>1274</v>
      </c>
      <c r="G208" s="55"/>
      <c r="H208" s="177"/>
      <c r="I208" s="177"/>
      <c r="J208" s="273">
        <v>2050</v>
      </c>
      <c r="K208" s="273"/>
      <c r="L208" s="273"/>
      <c r="M208" s="273"/>
      <c r="N208" s="274"/>
      <c r="O208" s="61"/>
      <c r="P208" s="61"/>
      <c r="Q208" s="61"/>
      <c r="R208" s="61"/>
      <c r="S208" s="294"/>
      <c r="T208" s="55"/>
      <c r="U208" s="55"/>
      <c r="V208" s="55"/>
      <c r="W208" s="55"/>
      <c r="X208" s="55"/>
      <c r="Y208" s="55"/>
      <c r="Z208" s="55"/>
      <c r="AA208" s="55"/>
      <c r="AB208" s="55"/>
    </row>
    <row r="209" spans="1:11">
      <c r="A209" s="172"/>
    </row>
    <row r="210" spans="1:11">
      <c r="A210" s="172"/>
    </row>
    <row r="211" spans="1:11">
      <c r="A211" s="172"/>
    </row>
    <row r="212" spans="1:11">
      <c r="A212" s="172"/>
    </row>
    <row r="213" spans="1:11">
      <c r="A213" s="172"/>
      <c r="C213" s="218" t="s">
        <v>467</v>
      </c>
      <c r="D213" s="219"/>
      <c r="E213" s="219"/>
      <c r="F213" s="219"/>
      <c r="G213" s="219"/>
      <c r="H213" s="219"/>
      <c r="I213" s="219"/>
      <c r="J213" s="219"/>
      <c r="K213" s="219"/>
    </row>
    <row r="214" spans="1:11">
      <c r="A214" s="172"/>
      <c r="C214" s="220" t="s">
        <v>466</v>
      </c>
      <c r="D214" s="220" t="s">
        <v>425</v>
      </c>
      <c r="E214" s="220" t="s">
        <v>465</v>
      </c>
      <c r="F214" s="220" t="s">
        <v>464</v>
      </c>
      <c r="G214" s="220" t="s">
        <v>463</v>
      </c>
      <c r="H214" s="220" t="s">
        <v>462</v>
      </c>
      <c r="I214" s="220" t="s">
        <v>461</v>
      </c>
      <c r="J214" s="220" t="s">
        <v>460</v>
      </c>
    </row>
    <row r="215" spans="1:11" ht="21" thickBot="1">
      <c r="A215" s="172"/>
      <c r="C215" s="221" t="s">
        <v>459</v>
      </c>
      <c r="D215" s="221" t="s">
        <v>458</v>
      </c>
      <c r="E215" s="221" t="s">
        <v>457</v>
      </c>
      <c r="F215" s="221" t="s">
        <v>456</v>
      </c>
      <c r="G215" s="221" t="s">
        <v>455</v>
      </c>
      <c r="H215" s="221" t="s">
        <v>454</v>
      </c>
      <c r="I215" s="221" t="s">
        <v>453</v>
      </c>
      <c r="J215" s="221" t="s">
        <v>452</v>
      </c>
    </row>
    <row r="216" spans="1:11">
      <c r="A216" s="172"/>
      <c r="C216" s="222" t="str">
        <f ca="1">IF(D216="*","*","DMD")</f>
        <v>*</v>
      </c>
      <c r="D216" s="223" t="str">
        <f ca="1">D9</f>
        <v>*</v>
      </c>
      <c r="E216" s="223" t="str">
        <f t="shared" ref="E216:E247" ca="1" si="171">VLOOKUP(D216,$D$9:$E$209,2,FALSE)</f>
        <v>Industrial heating technology Paper &amp; Pulp MT - Heat pump utilizing waste heat - new 1</v>
      </c>
      <c r="F216" s="222" t="s">
        <v>450</v>
      </c>
      <c r="G216" s="222" t="s">
        <v>449</v>
      </c>
      <c r="H216" s="334" t="s">
        <v>665</v>
      </c>
      <c r="I216" s="334"/>
      <c r="J216" s="219" t="s">
        <v>469</v>
      </c>
    </row>
    <row r="217" spans="1:11">
      <c r="A217" s="172"/>
      <c r="B217" s="334"/>
      <c r="C217" s="222" t="str">
        <f t="shared" ref="C217:C271" ca="1" si="172">IF(D217="*","*","DMD")</f>
        <v>DMD</v>
      </c>
      <c r="D217" s="223" t="str">
        <f t="shared" ref="D217:D225" ca="1" si="173">OFFSET($D$9,(ROW(D1)*6),0)</f>
        <v>INDRDRHELCN1</v>
      </c>
      <c r="E217" s="223" t="str">
        <f t="shared" ca="1" si="171"/>
        <v>Industrial heating technology Paper &amp; Pulp RH - Heat pump utilizing waste heat - new 1</v>
      </c>
      <c r="F217" s="279" t="s">
        <v>450</v>
      </c>
      <c r="G217" s="279" t="s">
        <v>449</v>
      </c>
      <c r="H217" s="334" t="s">
        <v>665</v>
      </c>
      <c r="I217" s="334"/>
      <c r="J217" s="281" t="s">
        <v>469</v>
      </c>
    </row>
    <row r="218" spans="1:11">
      <c r="A218" s="172"/>
      <c r="C218" s="222" t="str">
        <f t="shared" ca="1" si="172"/>
        <v>*</v>
      </c>
      <c r="D218" s="223" t="str">
        <f t="shared" ca="1" si="173"/>
        <v>*</v>
      </c>
      <c r="E218" s="223" t="str">
        <f t="shared" ca="1" si="171"/>
        <v>Industrial heating technology Paper &amp; Pulp MT - Heat pump utilizing waste heat - new 1</v>
      </c>
      <c r="F218" s="222" t="s">
        <v>450</v>
      </c>
      <c r="G218" s="222" t="s">
        <v>449</v>
      </c>
      <c r="H218" s="334" t="s">
        <v>665</v>
      </c>
      <c r="I218" s="219"/>
      <c r="J218" s="281" t="s">
        <v>469</v>
      </c>
    </row>
    <row r="219" spans="1:11">
      <c r="A219" s="172"/>
      <c r="B219" s="222"/>
      <c r="C219" s="222" t="str">
        <f t="shared" ca="1" si="172"/>
        <v>DMD</v>
      </c>
      <c r="D219" s="223" t="str">
        <f t="shared" ca="1" si="173"/>
        <v>INDRDRHELCN2</v>
      </c>
      <c r="E219" s="223" t="str">
        <f t="shared" ca="1" si="171"/>
        <v>Industrial heating technology Paper &amp; Pulp RH - Heat driven heat pump utilizing waste heat - new 2</v>
      </c>
      <c r="F219" s="279" t="s">
        <v>450</v>
      </c>
      <c r="G219" s="279" t="s">
        <v>449</v>
      </c>
      <c r="H219" s="334" t="s">
        <v>665</v>
      </c>
      <c r="I219" s="281"/>
      <c r="J219" s="281" t="s">
        <v>469</v>
      </c>
    </row>
    <row r="220" spans="1:11">
      <c r="A220" s="172"/>
      <c r="B220" s="222"/>
      <c r="C220" s="222" t="str">
        <f t="shared" ca="1" si="172"/>
        <v>*</v>
      </c>
      <c r="D220" s="223" t="str">
        <f t="shared" ca="1" si="173"/>
        <v>*</v>
      </c>
      <c r="E220" s="223" t="str">
        <f t="shared" ca="1" si="171"/>
        <v>Industrial heating technology Paper &amp; Pulp MT - Heat pump utilizing waste heat - new 1</v>
      </c>
      <c r="F220" s="279" t="s">
        <v>450</v>
      </c>
      <c r="G220" s="279" t="s">
        <v>449</v>
      </c>
      <c r="H220" s="334" t="s">
        <v>665</v>
      </c>
      <c r="I220" s="281"/>
      <c r="J220" s="281" t="s">
        <v>469</v>
      </c>
    </row>
    <row r="221" spans="1:11">
      <c r="A221" s="172"/>
      <c r="B221" s="222"/>
      <c r="C221" s="222" t="str">
        <f t="shared" ca="1" si="172"/>
        <v>DMD</v>
      </c>
      <c r="D221" s="223" t="str">
        <f t="shared" ca="1" si="173"/>
        <v>INDRDRHELCN3</v>
      </c>
      <c r="E221" s="223" t="str">
        <f t="shared" ca="1" si="171"/>
        <v>Industrial heating technology Paper &amp; Pulp RH - High Temp abs. Heat pump utilizing waste heat - new 3</v>
      </c>
      <c r="F221" s="279" t="s">
        <v>450</v>
      </c>
      <c r="G221" s="279" t="s">
        <v>449</v>
      </c>
      <c r="H221" s="334" t="s">
        <v>665</v>
      </c>
      <c r="I221" s="281"/>
      <c r="J221" s="281" t="s">
        <v>469</v>
      </c>
    </row>
    <row r="222" spans="1:11">
      <c r="A222" s="172"/>
      <c r="B222" s="222"/>
      <c r="C222" s="222" t="str">
        <f t="shared" ca="1" si="172"/>
        <v>*</v>
      </c>
      <c r="D222" s="223" t="str">
        <f t="shared" ca="1" si="173"/>
        <v>*</v>
      </c>
      <c r="E222" s="223" t="str">
        <f t="shared" ca="1" si="171"/>
        <v>Industrial heating technology Paper &amp; Pulp MT - Heat pump utilizing waste heat - new 1</v>
      </c>
      <c r="F222" s="279" t="s">
        <v>450</v>
      </c>
      <c r="G222" s="279" t="s">
        <v>449</v>
      </c>
      <c r="H222" s="334" t="s">
        <v>665</v>
      </c>
      <c r="I222" s="281"/>
      <c r="J222" s="281" t="s">
        <v>469</v>
      </c>
    </row>
    <row r="223" spans="1:11">
      <c r="A223" s="172"/>
      <c r="B223" s="222"/>
      <c r="C223" s="222" t="str">
        <f t="shared" ca="1" si="172"/>
        <v>DMD</v>
      </c>
      <c r="D223" s="223" t="str">
        <f t="shared" ca="1" si="173"/>
        <v>INDRDRHELCN4</v>
      </c>
      <c r="E223" s="223" t="str">
        <f t="shared" ca="1" si="171"/>
        <v>Industrial heating technology Paper &amp; Pulp RH - Booster Heat pump utilizing waste heat - new 4</v>
      </c>
      <c r="F223" s="279" t="s">
        <v>450</v>
      </c>
      <c r="G223" s="279" t="s">
        <v>449</v>
      </c>
      <c r="H223" s="334" t="s">
        <v>665</v>
      </c>
      <c r="I223" s="281"/>
      <c r="J223" s="281" t="s">
        <v>469</v>
      </c>
    </row>
    <row r="224" spans="1:11">
      <c r="A224" s="172"/>
      <c r="B224" s="222"/>
      <c r="C224" s="222" t="str">
        <f t="shared" ca="1" si="172"/>
        <v>*</v>
      </c>
      <c r="D224" s="223" t="str">
        <f t="shared" ca="1" si="173"/>
        <v>*</v>
      </c>
      <c r="E224" s="223" t="str">
        <f t="shared" ca="1" si="171"/>
        <v>Industrial heating technology Paper &amp; Pulp MT - Heat pump utilizing waste heat - new 1</v>
      </c>
      <c r="F224" s="279" t="s">
        <v>450</v>
      </c>
      <c r="G224" s="279" t="s">
        <v>449</v>
      </c>
      <c r="H224" s="280"/>
      <c r="I224" s="281"/>
      <c r="J224" s="281" t="s">
        <v>469</v>
      </c>
    </row>
    <row r="225" spans="1:16">
      <c r="A225" s="172"/>
      <c r="B225" s="222"/>
      <c r="C225" s="222" t="str">
        <f t="shared" ca="1" si="172"/>
        <v>*</v>
      </c>
      <c r="D225" s="223" t="str">
        <f t="shared" ca="1" si="173"/>
        <v>*</v>
      </c>
      <c r="E225" s="223" t="str">
        <f t="shared" ca="1" si="171"/>
        <v>Industrial heating technology Paper &amp; Pulp MT - Heat pump utilizing waste heat - new 1</v>
      </c>
      <c r="F225" s="279" t="s">
        <v>450</v>
      </c>
      <c r="G225" s="279" t="s">
        <v>449</v>
      </c>
      <c r="H225" s="334" t="s">
        <v>665</v>
      </c>
      <c r="I225" s="281"/>
      <c r="J225" s="281" t="s">
        <v>469</v>
      </c>
    </row>
    <row r="226" spans="1:16">
      <c r="A226" s="172"/>
      <c r="B226" s="222"/>
      <c r="C226" s="222" t="str">
        <f t="shared" ca="1" si="172"/>
        <v>*</v>
      </c>
      <c r="D226" s="223" t="str">
        <f t="shared" ref="D226:D265" ca="1" si="174">OFFSET($D$9,(ROW(D19)*3),0)</f>
        <v>*</v>
      </c>
      <c r="E226" s="223" t="str">
        <f t="shared" ca="1" si="171"/>
        <v>Industrial heating technology Paper &amp; Pulp MT - Heat pump utilizing waste heat - new 1</v>
      </c>
      <c r="F226" s="279" t="s">
        <v>450</v>
      </c>
      <c r="G226" s="279" t="s">
        <v>449</v>
      </c>
      <c r="H226" s="334" t="s">
        <v>665</v>
      </c>
      <c r="I226" s="281"/>
      <c r="J226" s="281" t="s">
        <v>469</v>
      </c>
    </row>
    <row r="227" spans="1:16">
      <c r="A227" s="172"/>
      <c r="B227" s="222"/>
      <c r="C227" s="222" t="str">
        <f t="shared" ca="1" si="172"/>
        <v>*</v>
      </c>
      <c r="D227" s="223" t="str">
        <f t="shared" ca="1" si="174"/>
        <v>*</v>
      </c>
      <c r="E227" s="223" t="str">
        <f t="shared" ca="1" si="171"/>
        <v>Industrial heating technology Paper &amp; Pulp MT - Heat pump utilizing waste heat - new 1</v>
      </c>
      <c r="F227" s="279" t="s">
        <v>450</v>
      </c>
      <c r="G227" s="279" t="s">
        <v>449</v>
      </c>
      <c r="H227" s="334" t="s">
        <v>665</v>
      </c>
      <c r="I227" s="281"/>
      <c r="J227" s="281" t="s">
        <v>469</v>
      </c>
    </row>
    <row r="228" spans="1:16">
      <c r="A228" s="172"/>
      <c r="B228" s="222"/>
      <c r="C228" s="222" t="str">
        <f t="shared" ca="1" si="172"/>
        <v>DMD</v>
      </c>
      <c r="D228" s="223" t="str">
        <f t="shared" ca="1" si="174"/>
        <v>INDRDHTELCN8</v>
      </c>
      <c r="E228" s="223" t="str">
        <f t="shared" ca="1" si="171"/>
        <v>Industrial heating technology Paper &amp; Pulp HT - Electric boiler (Steam) - new 8</v>
      </c>
      <c r="F228" s="279" t="s">
        <v>450</v>
      </c>
      <c r="G228" s="279" t="s">
        <v>449</v>
      </c>
      <c r="H228" s="334" t="s">
        <v>665</v>
      </c>
      <c r="I228" s="281"/>
      <c r="J228" s="281" t="s">
        <v>469</v>
      </c>
    </row>
    <row r="229" spans="1:16">
      <c r="A229" s="172"/>
      <c r="B229" s="222"/>
      <c r="C229" s="222" t="str">
        <f t="shared" ca="1" si="172"/>
        <v>DMD</v>
      </c>
      <c r="D229" s="223" t="str">
        <f t="shared" ca="1" si="174"/>
        <v>INDRDMTELCN8</v>
      </c>
      <c r="E229" s="223" t="str">
        <f t="shared" ca="1" si="171"/>
        <v>Industrial heating technology Paper &amp; Pulp MT - Electric boiler (Steam) - new 8</v>
      </c>
      <c r="F229" s="279" t="s">
        <v>450</v>
      </c>
      <c r="G229" s="279" t="s">
        <v>449</v>
      </c>
      <c r="H229" s="334" t="s">
        <v>665</v>
      </c>
      <c r="I229" s="281"/>
      <c r="J229" s="281" t="s">
        <v>469</v>
      </c>
    </row>
    <row r="230" spans="1:16">
      <c r="A230" s="172"/>
      <c r="B230" s="222"/>
      <c r="C230" s="222" t="str">
        <f t="shared" ca="1" si="172"/>
        <v>*</v>
      </c>
      <c r="D230" s="223" t="str">
        <f t="shared" ca="1" si="174"/>
        <v>*</v>
      </c>
      <c r="E230" s="223" t="str">
        <f t="shared" ca="1" si="171"/>
        <v>Industrial heating technology Paper &amp; Pulp MT - Heat pump utilizing waste heat - new 1</v>
      </c>
      <c r="F230" s="279" t="s">
        <v>450</v>
      </c>
      <c r="G230" s="279" t="s">
        <v>449</v>
      </c>
      <c r="H230" s="334" t="s">
        <v>665</v>
      </c>
      <c r="I230" s="281"/>
      <c r="J230" s="281" t="s">
        <v>469</v>
      </c>
      <c r="P230" s="176"/>
    </row>
    <row r="231" spans="1:16">
      <c r="A231" s="172"/>
      <c r="B231" s="222"/>
      <c r="C231" s="222" t="str">
        <f t="shared" ca="1" si="172"/>
        <v>DMD</v>
      </c>
      <c r="D231" s="223" t="str">
        <f t="shared" ca="1" si="174"/>
        <v>INDRDMTELCN9</v>
      </c>
      <c r="E231" s="223" t="str">
        <f t="shared" ca="1" si="171"/>
        <v>Industrial heating technology Paper &amp; Pulp MT - Electric boiler (Hot Water) - new 9</v>
      </c>
      <c r="F231" s="279" t="s">
        <v>450</v>
      </c>
      <c r="G231" s="279" t="s">
        <v>449</v>
      </c>
      <c r="H231" s="334" t="s">
        <v>665</v>
      </c>
      <c r="I231" s="281"/>
      <c r="J231" s="281" t="s">
        <v>469</v>
      </c>
      <c r="P231" s="176"/>
    </row>
    <row r="232" spans="1:16">
      <c r="A232" s="172"/>
      <c r="B232" s="222"/>
      <c r="C232" s="222" t="str">
        <f t="shared" ca="1" si="172"/>
        <v>*</v>
      </c>
      <c r="D232" s="223" t="str">
        <f t="shared" ca="1" si="174"/>
        <v>*</v>
      </c>
      <c r="E232" s="223" t="str">
        <f t="shared" ca="1" si="171"/>
        <v>Industrial heating technology Paper &amp; Pulp MT - Heat pump utilizing waste heat - new 1</v>
      </c>
      <c r="F232" s="279" t="s">
        <v>450</v>
      </c>
      <c r="G232" s="279" t="s">
        <v>449</v>
      </c>
      <c r="H232" s="334" t="s">
        <v>665</v>
      </c>
      <c r="I232" s="281"/>
      <c r="J232" s="281" t="s">
        <v>469</v>
      </c>
      <c r="P232" s="176"/>
    </row>
    <row r="233" spans="1:16">
      <c r="A233" s="172"/>
      <c r="B233" s="222"/>
      <c r="C233" s="222" t="str">
        <f t="shared" ca="1" si="172"/>
        <v>DMD</v>
      </c>
      <c r="D233" s="223" t="str">
        <f t="shared" ca="1" si="174"/>
        <v>INDRDHTWCHN1</v>
      </c>
      <c r="E233" s="223" t="str">
        <f t="shared" ca="1" si="171"/>
        <v>Industrial heating technology Paper &amp; Pulp HT - Wood chip boiler (Steam) - new 1</v>
      </c>
      <c r="F233" s="279" t="s">
        <v>450</v>
      </c>
      <c r="G233" s="279" t="s">
        <v>449</v>
      </c>
      <c r="H233" s="280"/>
      <c r="I233" s="281"/>
      <c r="J233" s="281" t="s">
        <v>469</v>
      </c>
      <c r="P233" s="176"/>
    </row>
    <row r="234" spans="1:16">
      <c r="A234" s="172"/>
      <c r="B234" s="222"/>
      <c r="C234" s="222" t="str">
        <f t="shared" ca="1" si="172"/>
        <v>DMD</v>
      </c>
      <c r="D234" s="223" t="str">
        <f t="shared" ca="1" si="174"/>
        <v/>
      </c>
      <c r="E234" s="223">
        <f t="shared" ca="1" si="171"/>
        <v>0</v>
      </c>
      <c r="F234" s="279" t="s">
        <v>450</v>
      </c>
      <c r="G234" s="279" t="s">
        <v>449</v>
      </c>
      <c r="H234" s="280"/>
      <c r="I234" s="281"/>
      <c r="J234" s="281" t="s">
        <v>469</v>
      </c>
      <c r="M234" s="174"/>
      <c r="N234" s="174"/>
      <c r="P234" s="176"/>
    </row>
    <row r="235" spans="1:16">
      <c r="A235" s="172"/>
      <c r="B235" s="222"/>
      <c r="C235" s="222" t="str">
        <f t="shared" ca="1" si="172"/>
        <v>DMD</v>
      </c>
      <c r="D235" s="223" t="str">
        <f t="shared" ca="1" si="174"/>
        <v/>
      </c>
      <c r="E235" s="223">
        <f t="shared" ca="1" si="171"/>
        <v>0</v>
      </c>
      <c r="F235" s="279" t="s">
        <v>450</v>
      </c>
      <c r="G235" s="279" t="s">
        <v>449</v>
      </c>
      <c r="H235" s="280"/>
      <c r="I235" s="281"/>
      <c r="J235" s="281" t="s">
        <v>469</v>
      </c>
      <c r="M235" s="174"/>
      <c r="N235" s="174"/>
      <c r="P235" s="176"/>
    </row>
    <row r="236" spans="1:16">
      <c r="A236" s="172"/>
      <c r="B236" s="222"/>
      <c r="C236" s="222" t="str">
        <f t="shared" ca="1" si="172"/>
        <v>DMD</v>
      </c>
      <c r="D236" s="223">
        <f t="shared" ca="1" si="174"/>
        <v>0</v>
      </c>
      <c r="E236" s="223" t="e">
        <f t="shared" ca="1" si="171"/>
        <v>#N/A</v>
      </c>
      <c r="F236" s="279" t="s">
        <v>450</v>
      </c>
      <c r="G236" s="279" t="s">
        <v>449</v>
      </c>
      <c r="H236" s="280"/>
      <c r="I236" s="281"/>
      <c r="J236" s="281" t="s">
        <v>469</v>
      </c>
      <c r="M236" s="174"/>
      <c r="N236" s="174"/>
      <c r="P236" s="176"/>
    </row>
    <row r="237" spans="1:16">
      <c r="A237" s="172"/>
      <c r="B237" s="223"/>
      <c r="C237" s="222" t="str">
        <f t="shared" ca="1" si="172"/>
        <v>*</v>
      </c>
      <c r="D237" s="223" t="str">
        <f t="shared" ca="1" si="174"/>
        <v>*</v>
      </c>
      <c r="E237" s="223" t="str">
        <f t="shared" ca="1" si="171"/>
        <v>Industrial heating technology Paper &amp; Pulp MT - Heat pump utilizing waste heat - new 1</v>
      </c>
      <c r="F237" s="279" t="s">
        <v>450</v>
      </c>
      <c r="G237" s="279" t="s">
        <v>449</v>
      </c>
      <c r="H237" s="280"/>
      <c r="I237" s="281"/>
      <c r="J237" s="281" t="s">
        <v>469</v>
      </c>
    </row>
    <row r="238" spans="1:16">
      <c r="A238" s="172"/>
      <c r="B238" s="223"/>
      <c r="C238" s="222" t="str">
        <f t="shared" ca="1" si="172"/>
        <v>*</v>
      </c>
      <c r="D238" s="223" t="str">
        <f t="shared" ca="1" si="174"/>
        <v>*</v>
      </c>
      <c r="E238" s="223" t="str">
        <f t="shared" ca="1" si="171"/>
        <v>Industrial heating technology Paper &amp; Pulp MT - Heat pump utilizing waste heat - new 1</v>
      </c>
      <c r="F238" s="279" t="s">
        <v>450</v>
      </c>
      <c r="G238" s="279" t="s">
        <v>449</v>
      </c>
      <c r="H238" s="278"/>
      <c r="I238" s="278"/>
      <c r="J238" s="281" t="s">
        <v>469</v>
      </c>
    </row>
    <row r="239" spans="1:16">
      <c r="A239" s="172"/>
      <c r="B239" s="223"/>
      <c r="C239" s="222" t="str">
        <f t="shared" ca="1" si="172"/>
        <v>DMD</v>
      </c>
      <c r="D239" s="223" t="str">
        <f t="shared" ca="1" si="174"/>
        <v>INDRDMTWCHN3</v>
      </c>
      <c r="E239" s="223" t="str">
        <f t="shared" ca="1" si="171"/>
        <v>Industrial heating technology Paper &amp; Pulp MT - Wood chip boiler (Hot Water) - new 3</v>
      </c>
      <c r="F239" s="279" t="s">
        <v>450</v>
      </c>
      <c r="G239" s="279" t="s">
        <v>449</v>
      </c>
      <c r="H239" s="278"/>
      <c r="I239" s="278"/>
      <c r="J239" s="281" t="s">
        <v>469</v>
      </c>
    </row>
    <row r="240" spans="1:16">
      <c r="A240" s="172"/>
      <c r="B240" s="223"/>
      <c r="C240" s="222" t="str">
        <f t="shared" ca="1" si="172"/>
        <v>DMD</v>
      </c>
      <c r="D240" s="223" t="str">
        <f t="shared" ca="1" si="174"/>
        <v>INDRDRHWCHN3</v>
      </c>
      <c r="E240" s="223" t="str">
        <f t="shared" ca="1" si="171"/>
        <v>Industrial heating technology Paper &amp; Pulp RH - Wood chip boiler (Hot Water) - new 3</v>
      </c>
      <c r="F240" s="279" t="s">
        <v>450</v>
      </c>
      <c r="G240" s="279" t="s">
        <v>449</v>
      </c>
      <c r="H240" s="278"/>
      <c r="I240" s="278"/>
      <c r="J240" s="281" t="s">
        <v>469</v>
      </c>
    </row>
    <row r="241" spans="1:10">
      <c r="A241" s="172"/>
      <c r="B241" s="223"/>
      <c r="C241" s="222" t="str">
        <f t="shared" ca="1" si="172"/>
        <v>DMD</v>
      </c>
      <c r="D241" s="223" t="str">
        <f t="shared" ca="1" si="174"/>
        <v>INDRDMTBLQN4</v>
      </c>
      <c r="E241" s="223" t="str">
        <f t="shared" ca="1" si="171"/>
        <v>Industrial heating technology Paper &amp; Pulp MT - Wood chip boiler (Hot Water - condensing) - new 4</v>
      </c>
      <c r="F241" s="279" t="s">
        <v>450</v>
      </c>
      <c r="G241" s="279" t="s">
        <v>449</v>
      </c>
      <c r="H241" s="278"/>
      <c r="I241" s="278"/>
      <c r="J241" s="281" t="s">
        <v>469</v>
      </c>
    </row>
    <row r="242" spans="1:10">
      <c r="B242" s="223"/>
      <c r="C242" s="222" t="str">
        <f t="shared" ca="1" si="172"/>
        <v>DMD</v>
      </c>
      <c r="D242" s="223" t="str">
        <f t="shared" ca="1" si="174"/>
        <v>INDRDRHBLQN4</v>
      </c>
      <c r="E242" s="223" t="str">
        <f t="shared" ca="1" si="171"/>
        <v>Industrial heating technology Paper &amp; Pulp RH - Wood chip boiler (Hot Water- condensing) - new 4</v>
      </c>
      <c r="F242" s="279" t="s">
        <v>450</v>
      </c>
      <c r="G242" s="279" t="s">
        <v>449</v>
      </c>
      <c r="H242" s="334" t="s">
        <v>665</v>
      </c>
      <c r="I242" s="278"/>
      <c r="J242" s="281" t="s">
        <v>469</v>
      </c>
    </row>
    <row r="243" spans="1:10">
      <c r="B243" s="223"/>
      <c r="C243" s="222" t="str">
        <f t="shared" ca="1" si="172"/>
        <v>DMD</v>
      </c>
      <c r="D243" s="223" t="str">
        <f t="shared" ca="1" si="174"/>
        <v>INDRDHTELCN0</v>
      </c>
      <c r="E243" s="223" t="str">
        <f t="shared" ca="1" si="171"/>
        <v>Industrial heating technology Paper &amp; Pulp HT - Direct electric heating - new 10</v>
      </c>
      <c r="F243" s="279" t="s">
        <v>450</v>
      </c>
      <c r="G243" s="279" t="s">
        <v>449</v>
      </c>
      <c r="H243" s="334" t="s">
        <v>665</v>
      </c>
      <c r="I243" s="278"/>
      <c r="J243" s="281" t="s">
        <v>469</v>
      </c>
    </row>
    <row r="244" spans="1:10">
      <c r="B244" s="223"/>
      <c r="C244" s="222" t="str">
        <f t="shared" ca="1" si="172"/>
        <v>*</v>
      </c>
      <c r="D244" s="223" t="str">
        <f t="shared" ca="1" si="174"/>
        <v>*</v>
      </c>
      <c r="E244" s="223" t="str">
        <f t="shared" ca="1" si="171"/>
        <v>Industrial heating technology Paper &amp; Pulp MT - Heat pump utilizing waste heat - new 1</v>
      </c>
      <c r="F244" s="279" t="s">
        <v>450</v>
      </c>
      <c r="G244" s="279" t="s">
        <v>449</v>
      </c>
      <c r="H244" s="278"/>
      <c r="I244" s="278"/>
      <c r="J244" s="281" t="s">
        <v>469</v>
      </c>
    </row>
    <row r="245" spans="1:10">
      <c r="B245" s="223"/>
      <c r="C245" s="222" t="str">
        <f t="shared" ca="1" si="172"/>
        <v>DMD</v>
      </c>
      <c r="D245" s="223" t="str">
        <f t="shared" ca="1" si="174"/>
        <v>INDRDHTDSEN1</v>
      </c>
      <c r="E245" s="223" t="str">
        <f t="shared" ca="1" si="171"/>
        <v>Industrial heating technology Paper &amp; Pulp HT - Oil boiler (Steam) - new 1</v>
      </c>
      <c r="F245" s="279" t="s">
        <v>450</v>
      </c>
      <c r="G245" s="279" t="s">
        <v>449</v>
      </c>
      <c r="H245" s="278"/>
      <c r="I245" s="278"/>
      <c r="J245" s="281" t="s">
        <v>469</v>
      </c>
    </row>
    <row r="246" spans="1:10">
      <c r="B246" s="223"/>
      <c r="C246" s="222" t="str">
        <f t="shared" ca="1" si="172"/>
        <v>DMD</v>
      </c>
      <c r="D246" s="223" t="str">
        <f t="shared" ca="1" si="174"/>
        <v>INDRDMTDSEN1</v>
      </c>
      <c r="E246" s="223" t="str">
        <f t="shared" ca="1" si="171"/>
        <v>Industrial heating technology Paper &amp; Pulp MT - Oil boiler (Steam) - new 1</v>
      </c>
      <c r="F246" s="279" t="s">
        <v>450</v>
      </c>
      <c r="G246" s="279" t="s">
        <v>449</v>
      </c>
      <c r="H246" s="278"/>
      <c r="I246" s="278"/>
      <c r="J246" s="281" t="s">
        <v>469</v>
      </c>
    </row>
    <row r="247" spans="1:10">
      <c r="A247" s="226"/>
      <c r="B247" s="223"/>
      <c r="C247" s="222" t="str">
        <f t="shared" ca="1" si="172"/>
        <v>DMD</v>
      </c>
      <c r="D247" s="223" t="str">
        <f t="shared" ca="1" si="174"/>
        <v>INDRDRHDSEN1</v>
      </c>
      <c r="E247" s="223" t="str">
        <f t="shared" ca="1" si="171"/>
        <v>Industrial heating technology Paper &amp; Pulp RH - Oil boiler (Steam) - new 1</v>
      </c>
      <c r="F247" s="279" t="s">
        <v>450</v>
      </c>
      <c r="G247" s="279" t="s">
        <v>449</v>
      </c>
      <c r="H247" s="278"/>
      <c r="I247" s="278"/>
      <c r="J247" s="281" t="s">
        <v>469</v>
      </c>
    </row>
    <row r="248" spans="1:10">
      <c r="A248" s="226"/>
      <c r="B248" s="223"/>
      <c r="C248" s="222" t="str">
        <f t="shared" ca="1" si="172"/>
        <v>DMD</v>
      </c>
      <c r="D248" s="223" t="str">
        <f t="shared" ca="1" si="174"/>
        <v>INDRDMTDSEN2</v>
      </c>
      <c r="E248" s="223" t="str">
        <f t="shared" ref="E248:E271" ca="1" si="175">VLOOKUP(D248,$D$9:$E$209,2,FALSE)</f>
        <v>Industrial heating technology Paper &amp; Pulp MT - Oil boiler (Steam - condensing) - new 2</v>
      </c>
      <c r="F248" s="279" t="s">
        <v>450</v>
      </c>
      <c r="G248" s="279" t="s">
        <v>449</v>
      </c>
      <c r="H248" s="278"/>
      <c r="I248" s="278"/>
      <c r="J248" s="281" t="s">
        <v>469</v>
      </c>
    </row>
    <row r="249" spans="1:10">
      <c r="A249" s="226"/>
      <c r="B249" s="223"/>
      <c r="C249" s="222" t="str">
        <f t="shared" ca="1" si="172"/>
        <v>DMD</v>
      </c>
      <c r="D249" s="223" t="str">
        <f t="shared" ca="1" si="174"/>
        <v>INDRDRHDH2N2</v>
      </c>
      <c r="E249" s="223" t="str">
        <f t="shared" ca="1" si="175"/>
        <v>Industrial heating technology Paper &amp; Pulp RH - Oil boiler (Steam - condensing) - new 2</v>
      </c>
      <c r="F249" s="279" t="s">
        <v>450</v>
      </c>
      <c r="G249" s="279" t="s">
        <v>449</v>
      </c>
      <c r="H249" s="278"/>
      <c r="I249" s="278"/>
      <c r="J249" s="281" t="s">
        <v>469</v>
      </c>
    </row>
    <row r="250" spans="1:10">
      <c r="A250" s="226"/>
      <c r="B250" s="223"/>
      <c r="C250" s="222" t="str">
        <f t="shared" ca="1" si="172"/>
        <v>DMD</v>
      </c>
      <c r="D250" s="223" t="str">
        <f t="shared" ca="1" si="174"/>
        <v>INDRDHTDH2N1</v>
      </c>
      <c r="E250" s="223" t="str">
        <f t="shared" ca="1" si="175"/>
        <v>Industrial heating technology Paper &amp; Pulp HT - Gas boiler (Steam) - new 1</v>
      </c>
      <c r="F250" s="279" t="s">
        <v>450</v>
      </c>
      <c r="G250" s="279" t="s">
        <v>449</v>
      </c>
      <c r="H250" s="278"/>
      <c r="I250" s="278"/>
      <c r="J250" s="281" t="s">
        <v>469</v>
      </c>
    </row>
    <row r="251" spans="1:10">
      <c r="B251" s="223"/>
      <c r="C251" s="222" t="str">
        <f t="shared" ca="1" si="172"/>
        <v>DMD</v>
      </c>
      <c r="D251" s="223" t="str">
        <f t="shared" ca="1" si="174"/>
        <v>INDRDMTDH2N1</v>
      </c>
      <c r="E251" s="223" t="str">
        <f t="shared" ca="1" si="175"/>
        <v>Industrial heating technology Paper &amp; Pulp MT - Gas boiler (Steam) - new 1</v>
      </c>
      <c r="F251" s="279" t="s">
        <v>450</v>
      </c>
      <c r="G251" s="279" t="s">
        <v>449</v>
      </c>
      <c r="H251" s="278"/>
      <c r="I251" s="278"/>
      <c r="J251" s="281" t="s">
        <v>469</v>
      </c>
    </row>
    <row r="252" spans="1:10">
      <c r="B252" s="223"/>
      <c r="C252" s="222" t="str">
        <f t="shared" ca="1" si="172"/>
        <v>DMD</v>
      </c>
      <c r="D252" s="223" t="str">
        <f t="shared" ca="1" si="174"/>
        <v>INDRDRHDH2N1</v>
      </c>
      <c r="E252" s="223" t="str">
        <f t="shared" ca="1" si="175"/>
        <v>Industrial heating technology Paper &amp; Pulp RH - Gas boiler (Steam) - new 1</v>
      </c>
      <c r="F252" s="279" t="s">
        <v>450</v>
      </c>
      <c r="G252" s="279" t="s">
        <v>449</v>
      </c>
      <c r="H252" s="278"/>
      <c r="I252" s="278"/>
      <c r="J252" s="281" t="s">
        <v>469</v>
      </c>
    </row>
    <row r="253" spans="1:10">
      <c r="B253" s="223"/>
      <c r="C253" s="222" t="str">
        <f t="shared" ca="1" si="172"/>
        <v>DMD</v>
      </c>
      <c r="D253" s="223" t="str">
        <f t="shared" ca="1" si="174"/>
        <v>INDRDMTDH2N2</v>
      </c>
      <c r="E253" s="223" t="str">
        <f t="shared" ca="1" si="175"/>
        <v>Industrial heating technology Paper &amp; Pulp MT - Gas boiler (Steam - condensing) - new 2</v>
      </c>
      <c r="F253" s="279" t="s">
        <v>450</v>
      </c>
      <c r="G253" s="279" t="s">
        <v>449</v>
      </c>
      <c r="H253" s="278"/>
      <c r="I253" s="278"/>
      <c r="J253" s="281" t="s">
        <v>469</v>
      </c>
    </row>
    <row r="254" spans="1:10">
      <c r="B254" s="223"/>
      <c r="C254" s="222" t="str">
        <f t="shared" ca="1" si="172"/>
        <v>DMD</v>
      </c>
      <c r="D254" s="223" t="str">
        <f t="shared" ca="1" si="174"/>
        <v>INDRDRHDH2N2</v>
      </c>
      <c r="E254" s="223" t="str">
        <f t="shared" ca="1" si="175"/>
        <v>Industrial heating technology Paper &amp; Pulp RH - Oil boiler (Steam - condensing) - new 2</v>
      </c>
      <c r="F254" s="279" t="s">
        <v>450</v>
      </c>
      <c r="G254" s="279" t="s">
        <v>449</v>
      </c>
      <c r="H254" s="278"/>
      <c r="I254" s="278"/>
      <c r="J254" s="281" t="s">
        <v>469</v>
      </c>
    </row>
    <row r="255" spans="1:10">
      <c r="B255" s="223"/>
      <c r="C255" s="222" t="str">
        <f t="shared" ca="1" si="172"/>
        <v>DMD</v>
      </c>
      <c r="D255" s="223" t="str">
        <f t="shared" ca="1" si="174"/>
        <v>INDRDMTDH2N3</v>
      </c>
      <c r="E255" s="223" t="str">
        <f t="shared" ca="1" si="175"/>
        <v>Industrial heating technology Paper &amp; Pulp MT - Gas boiler (Hot Water) - new 3</v>
      </c>
      <c r="F255" s="279" t="s">
        <v>450</v>
      </c>
      <c r="G255" s="279" t="s">
        <v>449</v>
      </c>
      <c r="H255" s="278"/>
      <c r="I255" s="278"/>
      <c r="J255" s="281" t="s">
        <v>469</v>
      </c>
    </row>
    <row r="256" spans="1:10">
      <c r="B256" s="223"/>
      <c r="C256" s="222" t="str">
        <f t="shared" ca="1" si="172"/>
        <v>DMD</v>
      </c>
      <c r="D256" s="223" t="str">
        <f t="shared" ca="1" si="174"/>
        <v>INDRDRHDH2N3</v>
      </c>
      <c r="E256" s="223" t="str">
        <f t="shared" ca="1" si="175"/>
        <v>Industrial heating technology Paper &amp; Pulp RH - Gas boiler (Hot Water) - new 3</v>
      </c>
      <c r="F256" s="279" t="s">
        <v>450</v>
      </c>
      <c r="G256" s="279" t="s">
        <v>449</v>
      </c>
      <c r="H256" s="278"/>
      <c r="I256" s="278"/>
      <c r="J256" s="281" t="s">
        <v>469</v>
      </c>
    </row>
    <row r="257" spans="2:10">
      <c r="B257" s="223"/>
      <c r="C257" s="222" t="str">
        <f t="shared" ca="1" si="172"/>
        <v>DMD</v>
      </c>
      <c r="D257" s="223" t="str">
        <f t="shared" ca="1" si="174"/>
        <v>INDRDMTDH2N4</v>
      </c>
      <c r="E257" s="223" t="str">
        <f t="shared" ca="1" si="175"/>
        <v>Industrial heating technology Paper &amp; Pulp MT - Gas boiler (Hot Water - condensing) - new 4</v>
      </c>
      <c r="F257" s="279" t="s">
        <v>450</v>
      </c>
      <c r="G257" s="279" t="s">
        <v>449</v>
      </c>
      <c r="H257" s="278"/>
      <c r="I257" s="278"/>
      <c r="J257" s="281" t="s">
        <v>469</v>
      </c>
    </row>
    <row r="258" spans="2:10">
      <c r="B258" s="223"/>
      <c r="C258" s="222" t="str">
        <f t="shared" ca="1" si="172"/>
        <v>DMD</v>
      </c>
      <c r="D258" s="223" t="str">
        <f t="shared" ca="1" si="174"/>
        <v>INDRDRHDH2N4</v>
      </c>
      <c r="E258" s="223" t="str">
        <f t="shared" ca="1" si="175"/>
        <v>Industrial heating technology Paper &amp; Pulp RH - Gas boiler (Hot Water- condensing) - new 4</v>
      </c>
      <c r="F258" s="279" t="s">
        <v>450</v>
      </c>
      <c r="G258" s="279" t="s">
        <v>449</v>
      </c>
      <c r="H258" s="278"/>
      <c r="I258" s="278"/>
      <c r="J258" s="281" t="s">
        <v>469</v>
      </c>
    </row>
    <row r="259" spans="2:10">
      <c r="B259" s="223"/>
      <c r="C259" s="222" t="str">
        <f t="shared" ca="1" si="172"/>
        <v>*</v>
      </c>
      <c r="D259" s="223" t="str">
        <f t="shared" ca="1" si="174"/>
        <v>*</v>
      </c>
      <c r="E259" s="223" t="str">
        <f t="shared" ca="1" si="175"/>
        <v>Industrial heating technology Paper &amp; Pulp MT - Heat pump utilizing waste heat - new 1</v>
      </c>
      <c r="F259" s="279" t="s">
        <v>450</v>
      </c>
      <c r="G259" s="279" t="s">
        <v>449</v>
      </c>
      <c r="H259" s="278"/>
      <c r="I259" s="278"/>
      <c r="J259" s="281" t="s">
        <v>469</v>
      </c>
    </row>
    <row r="260" spans="2:10">
      <c r="B260" s="223"/>
      <c r="C260" s="222" t="str">
        <f t="shared" ca="1" si="172"/>
        <v>*</v>
      </c>
      <c r="D260" s="223" t="str">
        <f t="shared" ca="1" si="174"/>
        <v>*</v>
      </c>
      <c r="E260" s="223" t="str">
        <f t="shared" ca="1" si="175"/>
        <v>Industrial heating technology Paper &amp; Pulp MT - Heat pump utilizing waste heat - new 1</v>
      </c>
      <c r="F260" s="279" t="s">
        <v>450</v>
      </c>
      <c r="G260" s="279" t="s">
        <v>449</v>
      </c>
      <c r="H260" s="278"/>
      <c r="I260" s="278"/>
      <c r="J260" s="281" t="s">
        <v>469</v>
      </c>
    </row>
    <row r="261" spans="2:10">
      <c r="B261" s="223"/>
      <c r="C261" s="222" t="str">
        <f t="shared" ca="1" si="172"/>
        <v>DMD</v>
      </c>
      <c r="D261" s="223" t="str">
        <f t="shared" ca="1" si="174"/>
        <v>INDRDHTCOAN1</v>
      </c>
      <c r="E261" s="223" t="str">
        <f t="shared" ca="1" si="175"/>
        <v>Industrial heating technology Paper &amp; Pulp HT - Coal boiler (Steam) - new 1</v>
      </c>
      <c r="F261" s="279" t="s">
        <v>450</v>
      </c>
      <c r="G261" s="279" t="s">
        <v>449</v>
      </c>
      <c r="H261" s="278"/>
      <c r="I261" s="278"/>
      <c r="J261" s="281" t="s">
        <v>469</v>
      </c>
    </row>
    <row r="262" spans="2:10">
      <c r="B262" s="223"/>
      <c r="C262" s="222" t="str">
        <f t="shared" ca="1" si="172"/>
        <v>DMD</v>
      </c>
      <c r="D262" s="223" t="str">
        <f t="shared" ca="1" si="174"/>
        <v>INDRDMTCOAN1</v>
      </c>
      <c r="E262" s="223" t="str">
        <f t="shared" ca="1" si="175"/>
        <v>Industrial heating technology Paper &amp; Pulp MT - Coal boiler (Steam) - new 1</v>
      </c>
      <c r="F262" s="279" t="s">
        <v>450</v>
      </c>
      <c r="G262" s="279" t="s">
        <v>449</v>
      </c>
      <c r="H262" s="278"/>
      <c r="I262" s="278"/>
      <c r="J262" s="281" t="s">
        <v>469</v>
      </c>
    </row>
    <row r="263" spans="2:10">
      <c r="B263" s="223"/>
      <c r="C263" s="222" t="str">
        <f t="shared" ca="1" si="172"/>
        <v>DMD</v>
      </c>
      <c r="D263" s="223" t="str">
        <f t="shared" ca="1" si="174"/>
        <v>INDRDRHCOAN1</v>
      </c>
      <c r="E263" s="223" t="str">
        <f t="shared" ca="1" si="175"/>
        <v>Industrial heating technology Paper &amp; Pulp RH - Coal boiler (Steam) - new 1</v>
      </c>
      <c r="F263" s="279" t="s">
        <v>450</v>
      </c>
      <c r="G263" s="279" t="s">
        <v>449</v>
      </c>
      <c r="H263" s="278"/>
      <c r="I263" s="278"/>
      <c r="J263" s="281" t="s">
        <v>469</v>
      </c>
    </row>
    <row r="264" spans="2:10">
      <c r="B264" s="223"/>
      <c r="C264" s="222" t="str">
        <f t="shared" ca="1" si="172"/>
        <v>DMD</v>
      </c>
      <c r="D264" s="223" t="str">
        <f t="shared" ca="1" si="174"/>
        <v>INDRDMTCOAN2</v>
      </c>
      <c r="E264" s="223" t="str">
        <f t="shared" ca="1" si="175"/>
        <v>Industrial heating technology Paper &amp; Pulp MT - Coal boiler (Hot Water) - new 2</v>
      </c>
      <c r="F264" s="279" t="s">
        <v>450</v>
      </c>
      <c r="G264" s="279" t="s">
        <v>449</v>
      </c>
      <c r="H264" s="278"/>
      <c r="I264" s="278"/>
      <c r="J264" s="281" t="s">
        <v>469</v>
      </c>
    </row>
    <row r="265" spans="2:10">
      <c r="B265" s="223"/>
      <c r="C265" s="222" t="str">
        <f t="shared" ca="1" si="172"/>
        <v>DMD</v>
      </c>
      <c r="D265" s="223" t="str">
        <f t="shared" ca="1" si="174"/>
        <v>INDRDRHCOAN2</v>
      </c>
      <c r="E265" s="223" t="str">
        <f t="shared" ca="1" si="175"/>
        <v>Industrial heating technology Paper &amp; Pulp RH - Coal boiler (Hot Water) - new 2</v>
      </c>
      <c r="F265" s="279" t="s">
        <v>450</v>
      </c>
      <c r="G265" s="279" t="s">
        <v>449</v>
      </c>
      <c r="H265" s="334" t="s">
        <v>665</v>
      </c>
      <c r="I265" s="278"/>
      <c r="J265" s="281" t="s">
        <v>469</v>
      </c>
    </row>
    <row r="266" spans="2:10">
      <c r="B266" s="223"/>
      <c r="C266" s="222" t="str">
        <f t="shared" si="172"/>
        <v>*</v>
      </c>
      <c r="D266" s="949" t="str">
        <f>D190</f>
        <v>*</v>
      </c>
      <c r="E266" s="949" t="str">
        <f t="shared" ca="1" si="175"/>
        <v>Industrial heating technology Paper &amp; Pulp MT - Heat pump utilizing waste heat - new 1</v>
      </c>
      <c r="F266" s="279" t="s">
        <v>450</v>
      </c>
      <c r="G266" s="279" t="s">
        <v>449</v>
      </c>
      <c r="H266" s="334" t="s">
        <v>665</v>
      </c>
      <c r="I266" s="950"/>
      <c r="J266" s="280" t="s">
        <v>469</v>
      </c>
    </row>
    <row r="267" spans="2:10">
      <c r="B267" s="223"/>
      <c r="C267" s="222" t="str">
        <f t="shared" si="172"/>
        <v>*</v>
      </c>
      <c r="D267" s="223" t="str">
        <f t="shared" ref="D267" si="176">D191</f>
        <v>*</v>
      </c>
      <c r="E267" s="223" t="str">
        <f t="shared" ca="1" si="175"/>
        <v>Industrial heating technology Paper &amp; Pulp MT - Heat pump utilizing waste heat - new 1</v>
      </c>
      <c r="F267" s="279" t="s">
        <v>450</v>
      </c>
      <c r="G267" s="279" t="s">
        <v>449</v>
      </c>
      <c r="H267" s="334" t="s">
        <v>665</v>
      </c>
      <c r="I267" s="278"/>
      <c r="J267" s="281" t="s">
        <v>469</v>
      </c>
    </row>
    <row r="268" spans="2:10">
      <c r="B268" s="223"/>
      <c r="C268" s="222" t="str">
        <f t="shared" si="172"/>
        <v>DMD</v>
      </c>
      <c r="D268" s="223" t="str">
        <f>D193</f>
        <v>INDRDLAELCN1</v>
      </c>
      <c r="E268" s="223" t="str">
        <f t="shared" ca="1" si="175"/>
        <v>Industry Paper &amp; Pulp LA Electricity Light Appliance - New 1</v>
      </c>
      <c r="F268" s="279" t="s">
        <v>450</v>
      </c>
      <c r="G268" s="279" t="s">
        <v>449</v>
      </c>
      <c r="H268" s="334" t="s">
        <v>665</v>
      </c>
      <c r="I268" s="278"/>
      <c r="J268" s="281" t="s">
        <v>469</v>
      </c>
    </row>
    <row r="269" spans="2:10">
      <c r="B269" s="223"/>
      <c r="C269" s="222" t="str">
        <f t="shared" si="172"/>
        <v>DMD</v>
      </c>
      <c r="D269" s="223" t="str">
        <f>D197</f>
        <v>INDRDEMELCN1</v>
      </c>
      <c r="E269" s="223" t="str">
        <f t="shared" ca="1" si="175"/>
        <v>Industry Paper &amp; Pulp EM Electricity Motors - New 1</v>
      </c>
      <c r="F269" s="279" t="s">
        <v>450</v>
      </c>
      <c r="G269" s="279" t="s">
        <v>449</v>
      </c>
      <c r="H269" s="334" t="s">
        <v>665</v>
      </c>
      <c r="I269" s="278"/>
      <c r="J269" s="281" t="s">
        <v>469</v>
      </c>
    </row>
    <row r="270" spans="2:10">
      <c r="B270" s="223"/>
      <c r="C270" s="222" t="str">
        <f t="shared" si="172"/>
        <v>DMD</v>
      </c>
      <c r="D270" s="223" t="str">
        <f>D201</f>
        <v>INDRDTFDSLN1</v>
      </c>
      <c r="E270" s="223" t="str">
        <f t="shared" ca="1" si="175"/>
        <v>Industry Paper &amp; Pulp TF Tractors, Trucks, Fishing boats - New 1</v>
      </c>
      <c r="F270" s="279" t="s">
        <v>450</v>
      </c>
      <c r="G270" s="279" t="s">
        <v>449</v>
      </c>
      <c r="H270" s="278"/>
      <c r="I270" s="278"/>
      <c r="J270" s="281" t="s">
        <v>469</v>
      </c>
    </row>
    <row r="271" spans="2:10">
      <c r="B271" s="223"/>
      <c r="C271" s="222" t="str">
        <f t="shared" si="172"/>
        <v>DMD</v>
      </c>
      <c r="D271" s="223" t="str">
        <f>D205</f>
        <v>INDRDFLNG2N1</v>
      </c>
      <c r="E271" s="223" t="str">
        <f t="shared" ca="1" si="175"/>
        <v>Industry Paper &amp; Pulp TF Forklifts - New 1</v>
      </c>
      <c r="F271" s="279" t="s">
        <v>450</v>
      </c>
      <c r="G271" s="279" t="s">
        <v>449</v>
      </c>
      <c r="H271" s="278"/>
      <c r="I271" s="278"/>
      <c r="J271" s="281" t="s">
        <v>469</v>
      </c>
    </row>
    <row r="272" spans="2:10">
      <c r="D272" s="223"/>
      <c r="E272" s="223"/>
    </row>
    <row r="273" spans="2:10">
      <c r="B273" s="225" t="s">
        <v>448</v>
      </c>
      <c r="C273" s="225"/>
      <c r="D273" s="226"/>
      <c r="E273" s="226"/>
      <c r="F273" s="226"/>
      <c r="G273" s="226"/>
      <c r="H273" s="226"/>
      <c r="I273" s="226"/>
      <c r="J273" s="226"/>
    </row>
    <row r="274" spans="2:10">
      <c r="B274" s="220" t="s">
        <v>447</v>
      </c>
      <c r="C274" s="220" t="s">
        <v>446</v>
      </c>
      <c r="D274" s="220" t="s">
        <v>445</v>
      </c>
      <c r="E274" s="220" t="s">
        <v>444</v>
      </c>
      <c r="F274" s="220" t="s">
        <v>435</v>
      </c>
      <c r="G274" s="220" t="s">
        <v>443</v>
      </c>
      <c r="H274" s="220" t="s">
        <v>442</v>
      </c>
      <c r="I274" s="220" t="s">
        <v>441</v>
      </c>
      <c r="J274" s="220" t="s">
        <v>440</v>
      </c>
    </row>
    <row r="275" spans="2:10" ht="21" thickBot="1">
      <c r="B275" s="227" t="s">
        <v>439</v>
      </c>
      <c r="C275" s="228" t="s">
        <v>438</v>
      </c>
      <c r="D275" s="228" t="s">
        <v>437</v>
      </c>
      <c r="E275" s="228" t="s">
        <v>436</v>
      </c>
      <c r="F275" s="228" t="s">
        <v>435</v>
      </c>
      <c r="G275" s="228" t="s">
        <v>434</v>
      </c>
      <c r="H275" s="228" t="s">
        <v>433</v>
      </c>
      <c r="I275" s="228" t="s">
        <v>432</v>
      </c>
      <c r="J275" s="228" t="s">
        <v>431</v>
      </c>
    </row>
    <row r="276" spans="2:10">
      <c r="B276" s="229" t="s">
        <v>430</v>
      </c>
      <c r="C276" s="230"/>
      <c r="D276" s="277" t="str">
        <f>"I"&amp;LEFT($AJ$12,1)&amp;"DSOx"</f>
        <v>IPDSOx</v>
      </c>
      <c r="E276" s="287" t="str">
        <f>"Industrial heating  heating technology "&amp;$AJ$12&amp;" - SOx emission"</f>
        <v>Industrial heating  heating technology Paper &amp; Pulp - SOx emission</v>
      </c>
      <c r="F276" s="231" t="s">
        <v>352</v>
      </c>
      <c r="G276" s="222"/>
      <c r="H276" s="222"/>
      <c r="I276" s="222"/>
      <c r="J276" s="222"/>
    </row>
    <row r="277" spans="2:10">
      <c r="B277" s="226"/>
      <c r="C277" s="226"/>
      <c r="D277" s="277" t="str">
        <f>"I"&amp;LEFT($AJ$12,1)&amp;"DNOx"</f>
        <v>IPDNOx</v>
      </c>
      <c r="E277" s="287" t="str">
        <f>"Industrial heating  heating technology "&amp;$AJ$12&amp;" - NOx emission"</f>
        <v>Industrial heating  heating technology Paper &amp; Pulp - NOx emission</v>
      </c>
      <c r="F277" s="231" t="s">
        <v>352</v>
      </c>
      <c r="G277" s="222"/>
      <c r="H277" s="226"/>
      <c r="I277" s="226"/>
      <c r="J277" s="226"/>
    </row>
    <row r="278" spans="2:10">
      <c r="B278" s="226"/>
      <c r="C278" s="226"/>
      <c r="D278" s="277" t="str">
        <f>"I"&amp;LEFT($AJ$12,1)&amp;"DCH4"</f>
        <v>IPDCH4</v>
      </c>
      <c r="E278" s="287" t="str">
        <f>"Industrial heating  heating technology "&amp;$AJ$12&amp;" - CH4 emission"</f>
        <v>Industrial heating  heating technology Paper &amp; Pulp - CH4 emission</v>
      </c>
      <c r="F278" s="231" t="s">
        <v>352</v>
      </c>
      <c r="G278" s="222"/>
      <c r="H278" s="226"/>
      <c r="I278" s="226"/>
      <c r="J278" s="226"/>
    </row>
    <row r="279" spans="2:10">
      <c r="B279" s="226"/>
      <c r="C279" s="226"/>
      <c r="D279" s="277" t="str">
        <f>"I"&amp;LEFT($AJ$12,1)&amp;"DNO2"</f>
        <v>IPDNO2</v>
      </c>
      <c r="E279" s="287" t="str">
        <f>"Industrial heating  heating technology "&amp;$AJ$12&amp;" - NO2 emission"</f>
        <v>Industrial heating  heating technology Paper &amp; Pulp - NO2 emission</v>
      </c>
      <c r="F279" s="231" t="s">
        <v>352</v>
      </c>
      <c r="G279" s="222"/>
      <c r="H279" s="226"/>
      <c r="I279" s="226"/>
      <c r="J279" s="226"/>
    </row>
    <row r="280" spans="2:10">
      <c r="B280" s="226"/>
      <c r="C280" s="226"/>
      <c r="D280" s="277" t="str">
        <f>"I"&amp;LEFT($AJ$12,1)&amp;"DPM"</f>
        <v>IPDPM</v>
      </c>
      <c r="E280" s="287" t="str">
        <f>"Industrial heating  heating technology "&amp;$AJ$12&amp;" - Particle emission"</f>
        <v>Industrial heating  heating technology Paper &amp; Pulp - Particle emission</v>
      </c>
      <c r="F280" s="231" t="s">
        <v>352</v>
      </c>
      <c r="G280" s="222"/>
      <c r="H280" s="226"/>
      <c r="I280" s="226"/>
      <c r="J280" s="226"/>
    </row>
    <row r="281" spans="2:10">
      <c r="B281" s="239" t="s">
        <v>1182</v>
      </c>
      <c r="D281" s="239" t="str">
        <f>AI20</f>
        <v>INDRWH</v>
      </c>
      <c r="E281" s="287" t="str">
        <f>"Industrial heating technology "&amp;$AJ$12&amp;" - Waste heat"</f>
        <v>Industrial heating technology Paper &amp; Pulp - Waste heat</v>
      </c>
      <c r="F281" s="280" t="s">
        <v>450</v>
      </c>
      <c r="H281" s="239" t="s">
        <v>665</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46800020-93E0-4B93-9BA4-1763BE2C01EC}">
          <x14:formula1>
            <xm:f>'Oil-fired boiler_NEW'!$T$4:$X$4</xm:f>
          </x14:formula1>
          <xm:sqref>E1</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9998-164B-4976-8107-9F99D05D7716}">
  <sheetPr>
    <tabColor rgb="FF00B050"/>
  </sheetPr>
  <dimension ref="A1:AP278"/>
  <sheetViews>
    <sheetView topLeftCell="A37" zoomScale="70" zoomScaleNormal="70" workbookViewId="0">
      <selection activeCell="E73" sqref="E73"/>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841</v>
      </c>
      <c r="N1" s="64"/>
      <c r="O1" s="64"/>
      <c r="P1" s="64"/>
      <c r="S1" s="787" t="s">
        <v>1129</v>
      </c>
      <c r="T1" s="836" t="s">
        <v>1128</v>
      </c>
      <c r="U1" s="835" t="s">
        <v>1178</v>
      </c>
      <c r="V1" s="836" t="s">
        <v>1179</v>
      </c>
      <c r="W1" s="840">
        <v>0.3</v>
      </c>
    </row>
    <row r="2" spans="2:42" ht="15" thickBot="1">
      <c r="E2" s="790" t="s">
        <v>756</v>
      </c>
      <c r="N2" s="791"/>
      <c r="O2" s="791"/>
      <c r="P2" s="791"/>
      <c r="S2" s="786">
        <v>15</v>
      </c>
      <c r="T2" s="971">
        <v>15</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FEMIS~IWDSOx</v>
      </c>
      <c r="Y6" s="299" t="str">
        <f>"FEMIS~"&amp;D274</f>
        <v>FEMIS~IWDNOx</v>
      </c>
      <c r="Z6" s="299" t="str">
        <f>"FEMIS~"&amp;D275</f>
        <v>FEMIS~IWDCH4</v>
      </c>
      <c r="AA6" s="299" t="str">
        <f>"FEMIS~"&amp;D276</f>
        <v>FEMIS~IWDNO2</v>
      </c>
      <c r="AB6" s="299" t="str">
        <f>"FEMIS~"&amp;D277</f>
        <v>FEMIS~IWDPM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v>
      </c>
      <c r="E9" s="278" t="str">
        <f>"Industrial heating technology "&amp;$AJ$12&amp;" "&amp;RIGHT(H9,2)&amp;" - Heat pump utilizing waste heat - new 1"</f>
        <v>Industrial heating technology Wood products MT - Heat pump utilizing waste heat - new 1</v>
      </c>
      <c r="F9" s="239" t="s">
        <v>1274</v>
      </c>
      <c r="G9" s="176" t="s">
        <v>500</v>
      </c>
      <c r="H9" s="177" t="str">
        <f>$AI$14</f>
        <v>IWDMT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v>
      </c>
      <c r="E10" s="278"/>
      <c r="F10" s="239" t="s">
        <v>1274</v>
      </c>
      <c r="G10" s="176" t="str">
        <f>$AI$20</f>
        <v>INDWWH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v>
      </c>
      <c r="E11" s="223"/>
      <c r="F11" s="239" t="s">
        <v>1274</v>
      </c>
      <c r="G11" s="176" t="s">
        <v>500</v>
      </c>
      <c r="H11" s="177" t="str">
        <f>$AI$14</f>
        <v>IWDMT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v>
      </c>
      <c r="E12" s="223"/>
      <c r="F12" s="239" t="s">
        <v>1274</v>
      </c>
      <c r="G12" s="176" t="str">
        <f>$AI$20</f>
        <v>INDWWH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Wood products</v>
      </c>
    </row>
    <row r="13" spans="2:42">
      <c r="B13" s="393" t="s">
        <v>1123</v>
      </c>
      <c r="D13" s="223" t="str">
        <f ca="1">IF(T9=0,"*",IF(T13&gt;0,"IND"&amp;RIGHT(H9,4)&amp;RIGHT(G9,3)&amp;"N"&amp;RIGHT(E9,1),""))</f>
        <v>*</v>
      </c>
      <c r="E13" s="223"/>
      <c r="F13" s="239" t="s">
        <v>1274</v>
      </c>
      <c r="G13" s="176" t="s">
        <v>500</v>
      </c>
      <c r="H13" s="177" t="str">
        <f>$AI$14</f>
        <v>IWDMT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IWDHT</v>
      </c>
      <c r="AJ13" s="239" t="str">
        <f>AP14</f>
        <v>Wood products industry Demand Heat High Temp. over 150C</v>
      </c>
      <c r="AO13" s="239" t="s">
        <v>1386</v>
      </c>
      <c r="AP13" s="239" t="s">
        <v>1387</v>
      </c>
    </row>
    <row r="14" spans="2:42">
      <c r="B14" s="393" t="s">
        <v>1123</v>
      </c>
      <c r="D14" s="223" t="str">
        <f ca="1">IF(T9=0,"*",IF(T14&gt;0,"IND"&amp;RIGHT(H9,4)&amp;RIGHT(G9,3)&amp;"N"&amp;RIGHT(E9,1),""))</f>
        <v>*</v>
      </c>
      <c r="E14" s="223"/>
      <c r="F14" s="239" t="s">
        <v>1274</v>
      </c>
      <c r="G14" s="176" t="str">
        <f>$AI$20</f>
        <v>INDWWH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IWDMT</v>
      </c>
      <c r="AJ14" s="239" t="str">
        <f>AP13</f>
        <v>Wood products industry Demand Heat Medium Temp. up to 150C</v>
      </c>
      <c r="AO14" s="239" t="s">
        <v>1388</v>
      </c>
      <c r="AP14" s="239" t="s">
        <v>1389</v>
      </c>
    </row>
    <row r="15" spans="2:42">
      <c r="B15" s="393" t="s">
        <v>1123</v>
      </c>
      <c r="D15" s="223" t="str">
        <f ca="1">IF(T15=0,"*",IF(T15&gt;0,"IND"&amp;RIGHT(H15,4)&amp;RIGHT(G15,3)&amp;"N"&amp;RIGHT(E15,1),""))</f>
        <v>INDWDRHELCN1</v>
      </c>
      <c r="E15" s="278" t="str">
        <f>"Industrial heating technology "&amp;$AJ$12&amp;" "&amp;RIGHT(H15,2)&amp;" - Heat pump utilizing waste heat - new 1"</f>
        <v>Industrial heating technology Wood products RH - Heat pump utilizing waste heat - new 1</v>
      </c>
      <c r="F15" s="239" t="s">
        <v>1274</v>
      </c>
      <c r="G15" s="176" t="s">
        <v>500</v>
      </c>
      <c r="H15" s="177" t="str">
        <f>$AI$15</f>
        <v>IWDRH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IWDRH</v>
      </c>
      <c r="AJ15" s="239" t="str">
        <f>AP15</f>
        <v>Wood products industry Demand Heat Room Heat</v>
      </c>
      <c r="AO15" s="239" t="s">
        <v>1390</v>
      </c>
      <c r="AP15" s="239" t="s">
        <v>1391</v>
      </c>
    </row>
    <row r="16" spans="2:42">
      <c r="B16" s="393" t="s">
        <v>1123</v>
      </c>
      <c r="D16" s="223" t="str">
        <f ca="1">IF(T15=0,"*",IF(T16&gt;0,"IND"&amp;RIGHT(H15,4)&amp;RIGHT(G15,3)&amp;"N"&amp;RIGHT(E15,1),""))</f>
        <v/>
      </c>
      <c r="E16" s="278"/>
      <c r="F16" s="239" t="s">
        <v>1274</v>
      </c>
      <c r="G16" s="176" t="str">
        <f>$AI$20</f>
        <v>INDWWH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IWDLA</v>
      </c>
      <c r="AJ16" s="239" t="str">
        <f t="shared" si="6"/>
        <v>Wood products industry Demand Light</v>
      </c>
      <c r="AO16" s="239" t="s">
        <v>1392</v>
      </c>
      <c r="AP16" s="239" t="s">
        <v>1393</v>
      </c>
    </row>
    <row r="17" spans="2:42">
      <c r="B17" s="393" t="s">
        <v>1123</v>
      </c>
      <c r="D17" s="223" t="str">
        <f ca="1">IF(T15=0,"*",IF(T17&gt;0,"IND"&amp;RIGHT(H15,4)&amp;RIGHT(G15,3)&amp;"N"&amp;RIGHT(E15,1),""))</f>
        <v/>
      </c>
      <c r="E17" s="223"/>
      <c r="F17" s="239" t="s">
        <v>1274</v>
      </c>
      <c r="G17" s="176" t="s">
        <v>500</v>
      </c>
      <c r="H17" s="177" t="str">
        <f>$AI$15</f>
        <v>IWDRH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IWDEM</v>
      </c>
      <c r="AJ17" s="239" t="str">
        <f t="shared" si="6"/>
        <v>Wood products industry Demand Electric Motors</v>
      </c>
      <c r="AO17" s="239" t="s">
        <v>1394</v>
      </c>
      <c r="AP17" s="239" t="s">
        <v>1395</v>
      </c>
    </row>
    <row r="18" spans="2:42">
      <c r="B18" s="393" t="s">
        <v>1123</v>
      </c>
      <c r="D18" s="223" t="str">
        <f ca="1">IF(T15=0,"*",IF(T18&gt;0,"IND"&amp;RIGHT(H15,4)&amp;RIGHT(G15,3)&amp;"N"&amp;RIGHT(E15,1),""))</f>
        <v/>
      </c>
      <c r="E18" s="223"/>
      <c r="F18" s="239" t="s">
        <v>1274</v>
      </c>
      <c r="G18" s="176" t="str">
        <f>$AI$20</f>
        <v>INDWWH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IWDTF</v>
      </c>
      <c r="AJ18" s="239" t="str">
        <f t="shared" si="6"/>
        <v>Wood products industry Demand Haulage Tractors, Trucks, Fishing boats, Forest machines</v>
      </c>
      <c r="AO18" s="239" t="s">
        <v>1396</v>
      </c>
      <c r="AP18" s="239" t="s">
        <v>1397</v>
      </c>
    </row>
    <row r="19" spans="2:42">
      <c r="B19" s="393" t="s">
        <v>1123</v>
      </c>
      <c r="D19" s="223" t="str">
        <f ca="1">IF(T15=0,"*",IF(T19&gt;0,"IND"&amp;RIGHT(H15,4)&amp;RIGHT(G15,3)&amp;"N"&amp;RIGHT(E15,1),""))</f>
        <v/>
      </c>
      <c r="E19" s="223"/>
      <c r="F19" s="239" t="s">
        <v>1274</v>
      </c>
      <c r="G19" s="176" t="s">
        <v>500</v>
      </c>
      <c r="H19" s="177" t="str">
        <f>$AI$15</f>
        <v>IWDRH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IWDFL</v>
      </c>
      <c r="AJ19" s="239" t="str">
        <f t="shared" si="6"/>
        <v>Wood products industry Demand Haulage Forklifts</v>
      </c>
      <c r="AO19" s="239" t="s">
        <v>1398</v>
      </c>
      <c r="AP19" s="239" t="s">
        <v>1399</v>
      </c>
    </row>
    <row r="20" spans="2:42">
      <c r="B20" s="393" t="s">
        <v>1123</v>
      </c>
      <c r="D20" s="223" t="str">
        <f ca="1">IF(T15=0,"*",IF(T20&gt;0,"IND"&amp;RIGHT(H15,4)&amp;RIGHT(G15,3)&amp;"N"&amp;RIGHT(E15,1),""))</f>
        <v/>
      </c>
      <c r="E20" s="223"/>
      <c r="F20" s="239" t="s">
        <v>1274</v>
      </c>
      <c r="G20" s="176" t="str">
        <f>$AI$20</f>
        <v>INDWWH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INDWWH</v>
      </c>
      <c r="AJ20" s="239" t="str">
        <f>$AJ$12&amp;" Industrial Waste Heat"</f>
        <v>Wood products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Wood products MT - Heat driven heat pump utilizing waste heat - new 2</v>
      </c>
      <c r="F21" s="239" t="s">
        <v>1274</v>
      </c>
      <c r="G21" s="176" t="s">
        <v>500</v>
      </c>
      <c r="H21" s="177" t="str">
        <f>$AI$14</f>
        <v>IWDMT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INDWWH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IWDMT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INDWWH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IWDMT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INDWWH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INDWDRHELCN2</v>
      </c>
      <c r="E27" s="278" t="str">
        <f>"Industrial heating technology "&amp;$AJ$12&amp;" "&amp;RIGHT(H27,2)&amp;" - Heat driven heat pump utilizing waste heat - new 2"</f>
        <v>Industrial heating technology Wood products RH - Heat driven heat pump utilizing waste heat - new 2</v>
      </c>
      <c r="F27" s="239" t="s">
        <v>1274</v>
      </c>
      <c r="G27" s="176" t="s">
        <v>500</v>
      </c>
      <c r="H27" s="177" t="str">
        <f>$AI$15</f>
        <v>IWDRH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INDWWH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IWDRH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INDWWH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IWDRH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INDWWH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v>
      </c>
      <c r="E33" s="278" t="str">
        <f>"Industrial heating technology "&amp;$AJ$12&amp;" "&amp;RIGHT(H33,2)&amp;" - High Temp abs. Heat pump utilizing waste heat - new 3"</f>
        <v>Industrial heating technology Wood products MT - High Temp abs. Heat pump utilizing waste heat - new 3</v>
      </c>
      <c r="F33" s="239" t="s">
        <v>1274</v>
      </c>
      <c r="G33" s="176" t="s">
        <v>500</v>
      </c>
      <c r="H33" s="177" t="str">
        <f>$AI$14</f>
        <v>IWDMT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v>
      </c>
      <c r="E34" s="278"/>
      <c r="F34" s="239" t="s">
        <v>1274</v>
      </c>
      <c r="G34" s="176" t="str">
        <f>$AI$20</f>
        <v>INDWWH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v>
      </c>
      <c r="E35" s="223"/>
      <c r="F35" s="239" t="s">
        <v>1274</v>
      </c>
      <c r="G35" s="176" t="s">
        <v>500</v>
      </c>
      <c r="H35" s="177" t="str">
        <f>$AI$14</f>
        <v>IWDMT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v>
      </c>
      <c r="E36" s="223"/>
      <c r="F36" s="239" t="s">
        <v>1274</v>
      </c>
      <c r="G36" s="176" t="str">
        <f>$AI$20</f>
        <v>INDWWH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v>
      </c>
      <c r="E37" s="223"/>
      <c r="F37" s="239" t="s">
        <v>1274</v>
      </c>
      <c r="G37" s="176" t="s">
        <v>500</v>
      </c>
      <c r="H37" s="177" t="str">
        <f>$AI$14</f>
        <v>IWDMT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v>
      </c>
      <c r="E38" s="223"/>
      <c r="F38" s="239" t="s">
        <v>1274</v>
      </c>
      <c r="G38" s="176" t="str">
        <f>$AI$20</f>
        <v>INDWWH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INDWDRHELCN3</v>
      </c>
      <c r="E39" s="278" t="str">
        <f>"Industrial heating technology "&amp;$AJ$12&amp;" "&amp;RIGHT(H39,2)&amp;" - High Temp abs. Heat pump utilizing waste heat - new 3"</f>
        <v>Industrial heating technology Wood products RH - High Temp abs. Heat pump utilizing waste heat - new 3</v>
      </c>
      <c r="F39" s="239" t="s">
        <v>1274</v>
      </c>
      <c r="G39" s="176" t="s">
        <v>500</v>
      </c>
      <c r="H39" s="177" t="str">
        <f>$AI$15</f>
        <v>IWDRH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INDWWH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IWDRH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INDWWH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IWDRH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INDWWH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v>
      </c>
      <c r="E45" s="278" t="str">
        <f>"Industrial heating technology "&amp;$AJ$12&amp;" "&amp;RIGHT(H45,2)&amp;" - Booster Heat pump utilizing waste heat - new 4"</f>
        <v>Industrial heating technology Wood products MT - Booster Heat pump utilizing waste heat - new 4</v>
      </c>
      <c r="F45" s="239" t="s">
        <v>1274</v>
      </c>
      <c r="G45" s="176" t="s">
        <v>500</v>
      </c>
      <c r="H45" s="177" t="str">
        <f>$AI$14</f>
        <v>IWDMT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v>
      </c>
      <c r="E46" s="278"/>
      <c r="F46" s="239" t="s">
        <v>1274</v>
      </c>
      <c r="G46" s="176" t="str">
        <f>$AI$20</f>
        <v>INDWWH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v>
      </c>
      <c r="E47" s="223"/>
      <c r="F47" s="239" t="s">
        <v>1274</v>
      </c>
      <c r="G47" s="176" t="s">
        <v>500</v>
      </c>
      <c r="H47" s="177" t="str">
        <f>$AI$14</f>
        <v>IWDMT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v>
      </c>
      <c r="E48" s="223"/>
      <c r="F48" s="239" t="s">
        <v>1274</v>
      </c>
      <c r="G48" s="176" t="str">
        <f>$AI$20</f>
        <v>INDWWH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v>
      </c>
      <c r="E49" s="223"/>
      <c r="F49" s="239" t="s">
        <v>1274</v>
      </c>
      <c r="G49" s="176" t="s">
        <v>500</v>
      </c>
      <c r="H49" s="177" t="str">
        <f>$AI$14</f>
        <v>IWDMT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v>
      </c>
      <c r="E50" s="223"/>
      <c r="F50" s="239" t="s">
        <v>1274</v>
      </c>
      <c r="G50" s="176" t="str">
        <f>$AI$20</f>
        <v>INDWWH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INDWDRHELCN4</v>
      </c>
      <c r="E51" s="278" t="str">
        <f>"Industrial heating technology "&amp;$AJ$12&amp;" "&amp;RIGHT(H51,2)&amp;" - Booster Heat pump utilizing waste heat - new 4"</f>
        <v>Industrial heating technology Wood products RH - Booster Heat pump utilizing waste heat - new 4</v>
      </c>
      <c r="F51" s="239" t="s">
        <v>1274</v>
      </c>
      <c r="G51" s="176" t="s">
        <v>500</v>
      </c>
      <c r="H51" s="177" t="str">
        <f>$AI$15</f>
        <v>IWDRH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INDWWH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IWDRH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INDWWH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IWDRH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INDWWH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v>
      </c>
      <c r="E57" s="278" t="str">
        <f>"Industrial heating technology "&amp;$AJ$12&amp;" "&amp;RIGHT(H57,2)&amp;" - MVR utilizing waste heat - new 5"</f>
        <v>Industrial heating technology Wood products MT - MVR utilizing waste heat - new 5</v>
      </c>
      <c r="F57" s="239" t="s">
        <v>1274</v>
      </c>
      <c r="G57" s="176" t="s">
        <v>500</v>
      </c>
      <c r="H57" s="177" t="str">
        <f>$AI$14</f>
        <v>IWDMT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v>
      </c>
      <c r="E58" s="278"/>
      <c r="F58" s="239" t="s">
        <v>1274</v>
      </c>
      <c r="G58" s="176" t="str">
        <f>$AI$20</f>
        <v>INDWWH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v>
      </c>
      <c r="E59" s="223"/>
      <c r="F59" s="239" t="s">
        <v>1274</v>
      </c>
      <c r="G59" s="176" t="s">
        <v>500</v>
      </c>
      <c r="H59" s="177" t="str">
        <f>$AI$14</f>
        <v>IWDMT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v>
      </c>
      <c r="E60" s="223"/>
      <c r="F60" s="239" t="s">
        <v>1274</v>
      </c>
      <c r="G60" s="176" t="str">
        <f>$AI$20</f>
        <v>INDWWH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v>
      </c>
      <c r="E61" s="223"/>
      <c r="F61" s="239" t="s">
        <v>1274</v>
      </c>
      <c r="G61" s="176" t="s">
        <v>500</v>
      </c>
      <c r="H61" s="177" t="str">
        <f>$AI$14</f>
        <v>IWDMT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v>
      </c>
      <c r="E62" s="792"/>
      <c r="F62" s="239" t="s">
        <v>1274</v>
      </c>
      <c r="G62" s="848" t="str">
        <f>$AI$20</f>
        <v>INDWWH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Wood products HT - Hotdisc - new 1</v>
      </c>
      <c r="F63" s="239" t="s">
        <v>1274</v>
      </c>
      <c r="G63" s="892" t="s">
        <v>1130</v>
      </c>
      <c r="H63" s="177" t="str">
        <f>$AI$13</f>
        <v>IWDHT</v>
      </c>
      <c r="I63" s="176" t="str">
        <f t="shared" ref="I63:I94" si="53">$AI$20</f>
        <v>INDWWH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INDWWH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INDWWH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Wood products MT - Dielectric heating - new 6</v>
      </c>
      <c r="F66" s="239" t="s">
        <v>1274</v>
      </c>
      <c r="G66" s="176" t="s">
        <v>500</v>
      </c>
      <c r="H66" s="177" t="str">
        <f>$AI$14</f>
        <v>IWDMT</v>
      </c>
      <c r="I66" s="176" t="str">
        <f t="shared" si="53"/>
        <v>INDWWH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INDWWH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INDWWH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Wood products MT - Infrared heating - new 7</v>
      </c>
      <c r="F69" s="239" t="s">
        <v>1274</v>
      </c>
      <c r="G69" s="176" t="s">
        <v>500</v>
      </c>
      <c r="H69" s="177" t="str">
        <f>$AI$14</f>
        <v>IWDMT</v>
      </c>
      <c r="I69" s="176" t="str">
        <f t="shared" si="53"/>
        <v>INDWWH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v>
      </c>
      <c r="E70" s="223"/>
      <c r="F70" s="239" t="s">
        <v>1274</v>
      </c>
      <c r="H70" s="177"/>
      <c r="I70" s="176" t="str">
        <f t="shared" si="53"/>
        <v>INDWWH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v>
      </c>
      <c r="E71" s="223"/>
      <c r="F71" s="239" t="s">
        <v>1274</v>
      </c>
      <c r="H71" s="177"/>
      <c r="I71" s="177" t="str">
        <f t="shared" si="53"/>
        <v>INDWWH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INDWDHTELCN8</v>
      </c>
      <c r="E72" s="278" t="str">
        <f>"Industrial heating technology "&amp;$AJ$12&amp;" "&amp;RIGHT(H72,2)&amp;" - Electric boiler (Steam) - new 8"</f>
        <v>Industrial heating technology Wood products HT - Electric boiler (Steam) - new 8</v>
      </c>
      <c r="F72" s="239" t="s">
        <v>1274</v>
      </c>
      <c r="G72" s="176" t="s">
        <v>500</v>
      </c>
      <c r="H72" s="177" t="str">
        <f>$AI$13</f>
        <v>IWDHT</v>
      </c>
      <c r="I72" s="177" t="str">
        <f t="shared" si="53"/>
        <v>INDWWH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0.2</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INDWWH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INDWWH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INDWDMTELCN8</v>
      </c>
      <c r="E75" s="278" t="str">
        <f>"Industrial heating technology "&amp;$AJ$12&amp;" "&amp;RIGHT(H75,2)&amp;" - Electric boiler (Steam) - new 8"</f>
        <v>Industrial heating technology Wood products MT - Electric boiler (Steam) - new 8</v>
      </c>
      <c r="F75" s="239" t="s">
        <v>1274</v>
      </c>
      <c r="G75" s="176" t="s">
        <v>500</v>
      </c>
      <c r="H75" s="177" t="str">
        <f>$AI$14</f>
        <v>IWDMT</v>
      </c>
      <c r="I75" s="177" t="str">
        <f t="shared" si="53"/>
        <v>INDWWH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INDWWH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INDWWH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v>
      </c>
      <c r="E78" s="278" t="str">
        <f>"Industrial heating technology "&amp;$AJ$12&amp;" "&amp;RIGHT(H78,2)&amp;" - Electric boiler (Steam) - new 8"</f>
        <v>Industrial heating technology Wood products RH - Electric boiler (Steam) - new 8</v>
      </c>
      <c r="F78" s="239" t="s">
        <v>1274</v>
      </c>
      <c r="G78" s="176" t="s">
        <v>500</v>
      </c>
      <c r="H78" s="177" t="str">
        <f>$AI$15</f>
        <v>IWDRH</v>
      </c>
      <c r="I78" s="177" t="str">
        <f t="shared" si="53"/>
        <v>INDWWH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0</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v>
      </c>
      <c r="E79" s="223"/>
      <c r="F79" s="239" t="s">
        <v>1274</v>
      </c>
      <c r="H79" s="177"/>
      <c r="I79" s="177" t="str">
        <f t="shared" si="53"/>
        <v>INDWWH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v>
      </c>
      <c r="E80" s="223"/>
      <c r="F80" s="239" t="s">
        <v>1274</v>
      </c>
      <c r="H80" s="177"/>
      <c r="I80" s="177" t="str">
        <f t="shared" si="53"/>
        <v>INDWWH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INDWDMTELCN9</v>
      </c>
      <c r="E81" s="767" t="str">
        <f>"Industrial heating technology "&amp;$AJ$12&amp;" "&amp;RIGHT(H81,2)&amp;" - Electric boiler (Hot Water) - new 9"</f>
        <v>Industrial heating technology Wood products MT - Electric boiler (Hot Water) - new 9</v>
      </c>
      <c r="F81" s="239" t="s">
        <v>1274</v>
      </c>
      <c r="G81" s="768" t="s">
        <v>500</v>
      </c>
      <c r="H81" s="768" t="str">
        <f>$AI$14</f>
        <v>IWDMT</v>
      </c>
      <c r="I81" s="768" t="str">
        <f t="shared" si="53"/>
        <v>INDWWH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INDWWH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INDWWH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v>
      </c>
      <c r="E84" s="278" t="str">
        <f>"Industrial heating technology "&amp;$AJ$12&amp;" "&amp;RIGHT(H84,2)&amp;" - Electric boiler (Hot Water) - new 9"</f>
        <v>Industrial heating technology Wood products RH - Electric boiler (Hot Water) - new 9</v>
      </c>
      <c r="F84" s="239" t="s">
        <v>1274</v>
      </c>
      <c r="G84" s="177" t="s">
        <v>500</v>
      </c>
      <c r="H84" s="177" t="str">
        <f>$AI$15</f>
        <v>IWDRH</v>
      </c>
      <c r="I84" s="177" t="str">
        <f t="shared" si="53"/>
        <v>INDWWH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0</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v>
      </c>
      <c r="E85" s="278"/>
      <c r="F85" s="239" t="s">
        <v>1274</v>
      </c>
      <c r="G85" s="55"/>
      <c r="H85" s="177"/>
      <c r="I85" s="177" t="str">
        <f t="shared" si="53"/>
        <v>INDWWH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v>
      </c>
      <c r="E86" s="761"/>
      <c r="F86" s="239" t="s">
        <v>1274</v>
      </c>
      <c r="G86" s="211"/>
      <c r="H86" s="762"/>
      <c r="I86" s="762" t="str">
        <f t="shared" si="53"/>
        <v>INDWWH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v>
      </c>
      <c r="E87" s="278" t="str">
        <f>"Industrial heating technology "&amp;$AJ$12&amp;" "&amp;RIGHT(H87,2)&amp;" - Wood chip boiler (Steam) - new 1"</f>
        <v>Industrial heating technology Wood products HT - Wood chip boiler (Steam) - new 1</v>
      </c>
      <c r="F87" s="239" t="s">
        <v>1274</v>
      </c>
      <c r="G87" s="176" t="s">
        <v>499</v>
      </c>
      <c r="H87" s="177" t="str">
        <f>$AI$13</f>
        <v>IWDHT</v>
      </c>
      <c r="I87" s="177" t="str">
        <f t="shared" si="53"/>
        <v>INDWWH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0</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v>
      </c>
      <c r="E88" s="223"/>
      <c r="F88" s="239" t="s">
        <v>1274</v>
      </c>
      <c r="H88" s="177"/>
      <c r="I88" s="177" t="str">
        <f t="shared" si="53"/>
        <v>INDWWH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v>
      </c>
      <c r="E89" s="223"/>
      <c r="F89" s="239" t="s">
        <v>1274</v>
      </c>
      <c r="H89" s="177"/>
      <c r="I89" s="177" t="str">
        <f t="shared" si="53"/>
        <v>INDWWH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INDWDMTWCHN1</v>
      </c>
      <c r="E90" s="278" t="str">
        <f>"Industrial heating technology "&amp;$AJ$12&amp;" "&amp;RIGHT(H90,2)&amp;" - Wood chip boiler (Steam) - new 1"</f>
        <v>Industrial heating technology Wood products MT - Wood chip boiler (Steam) - new 1</v>
      </c>
      <c r="F90" s="239" t="s">
        <v>1274</v>
      </c>
      <c r="G90" s="176" t="s">
        <v>499</v>
      </c>
      <c r="H90" s="177" t="str">
        <f>$AI$14</f>
        <v>IWDMT</v>
      </c>
      <c r="I90" s="177" t="str">
        <f t="shared" si="53"/>
        <v>INDWWH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INDWWH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INDWWH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INDWDRHWCHN1</v>
      </c>
      <c r="E93" s="278" t="str">
        <f>"Industrial heating technology "&amp;$AJ$12&amp;" "&amp;RIGHT(H93,2)&amp;" - Wood chip boiler (Steam) - new 1"</f>
        <v>Industrial heating technology Wood products RH - Wood chip boiler (Steam) - new 1</v>
      </c>
      <c r="F93" s="239" t="s">
        <v>1274</v>
      </c>
      <c r="G93" s="176" t="s">
        <v>499</v>
      </c>
      <c r="H93" s="177" t="str">
        <f>$AI$15</f>
        <v>IWDRH</v>
      </c>
      <c r="I93" s="177" t="str">
        <f t="shared" si="53"/>
        <v>INDWWH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INDWWH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INDWWH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INDWDMTWCHN2</v>
      </c>
      <c r="E96" s="767" t="str">
        <f>"Industrial heating technology "&amp;$AJ$12&amp;" "&amp;RIGHT(H96,2)&amp;" - Wood chip boiler (Steam - condensing) - new 2"</f>
        <v>Industrial heating technology Wood products MT - Wood chip boiler (Steam - condensing) - new 2</v>
      </c>
      <c r="F96" s="239" t="s">
        <v>1274</v>
      </c>
      <c r="G96" s="768" t="s">
        <v>499</v>
      </c>
      <c r="H96" s="768" t="str">
        <f>$AI$14</f>
        <v>IWDMT</v>
      </c>
      <c r="I96" s="768" t="str">
        <f t="shared" si="80"/>
        <v>INDWWH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INDWWH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INDWWH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INDWDRHWCHN2</v>
      </c>
      <c r="E99" s="278" t="str">
        <f>"Industrial heating technology "&amp;$AJ$12&amp;" "&amp;RIGHT(H99,2)&amp;" - Wood chip boiler (Steam - condensing) - new 2"</f>
        <v>Industrial heating technology Wood products RH - Wood chip boiler (Steam - condensing) - new 2</v>
      </c>
      <c r="F99" s="239" t="s">
        <v>1274</v>
      </c>
      <c r="G99" s="177" t="s">
        <v>499</v>
      </c>
      <c r="H99" s="177" t="str">
        <f>$AI$15</f>
        <v>IWDRH</v>
      </c>
      <c r="I99" s="177" t="str">
        <f t="shared" si="80"/>
        <v>INDWWH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INDWWH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INDWWH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INDWDMTWCHN3</v>
      </c>
      <c r="E102" s="767" t="str">
        <f>"Industrial heating technology "&amp;$AJ$12&amp;" "&amp;RIGHT(H102,2)&amp;" - Wood chip boiler (Hot Water) - new 3"</f>
        <v>Industrial heating technology Wood products MT - Wood chip boiler (Hot Water) - new 3</v>
      </c>
      <c r="F102" s="239" t="s">
        <v>1274</v>
      </c>
      <c r="G102" s="768" t="s">
        <v>499</v>
      </c>
      <c r="H102" s="768" t="str">
        <f>$AI$14</f>
        <v>IWDMT</v>
      </c>
      <c r="I102" s="768" t="str">
        <f t="shared" si="80"/>
        <v>INDWWH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INDWWH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INDWWH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INDWDRHWCHN3</v>
      </c>
      <c r="E105" s="278" t="str">
        <f>"Industrial heating technology "&amp;$AJ$12&amp;" "&amp;RIGHT(H105,2)&amp;" - Wood chip boiler (Hot Water) - new 3"</f>
        <v>Industrial heating technology Wood products RH - Wood chip boiler (Hot Water) - new 3</v>
      </c>
      <c r="F105" s="239" t="s">
        <v>1274</v>
      </c>
      <c r="G105" s="177" t="s">
        <v>499</v>
      </c>
      <c r="H105" s="177" t="str">
        <f>$AI$15</f>
        <v>IWDRH</v>
      </c>
      <c r="I105" s="177" t="str">
        <f t="shared" si="80"/>
        <v>INDWWH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INDWWH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INDWWH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INDWDMTWCHN4</v>
      </c>
      <c r="E108" s="767" t="str">
        <f>"Industrial heating technology "&amp;$AJ$12&amp;" "&amp;RIGHT(H108,2)&amp;" - Wood chip boiler (Hot Water - condensing) - new 4"</f>
        <v>Industrial heating technology Wood products MT - Wood chip boiler (Hot Water - condensing) - new 4</v>
      </c>
      <c r="F108" s="239" t="s">
        <v>1274</v>
      </c>
      <c r="G108" s="768" t="s">
        <v>499</v>
      </c>
      <c r="H108" s="768" t="str">
        <f>$AI$14</f>
        <v>IWDMT</v>
      </c>
      <c r="I108" s="768" t="str">
        <f t="shared" si="80"/>
        <v>INDWWH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INDWWH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INDWWH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INDWDRHWCHN4</v>
      </c>
      <c r="E111" s="278" t="str">
        <f>"Industrial heating technology "&amp;$AJ$12&amp;" "&amp;RIGHT(H111,2)&amp;" - Wood chip boiler (Hot Water- condensing) - new 4"</f>
        <v>Industrial heating technology Wood products RH - Wood chip boiler (Hot Water- condensing) - new 4</v>
      </c>
      <c r="F111" s="239" t="s">
        <v>1274</v>
      </c>
      <c r="G111" s="177" t="s">
        <v>499</v>
      </c>
      <c r="H111" s="177" t="str">
        <f>$AI$15</f>
        <v>IWDRH</v>
      </c>
      <c r="I111" s="177" t="str">
        <f t="shared" si="80"/>
        <v>INDWWH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INDWWH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INDWWH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INDWDHTELCN0</v>
      </c>
      <c r="E114" s="278" t="str">
        <f>"Industrial heating technology "&amp;$AJ$12&amp;" "&amp;RIGHT(H114,2)&amp;" - Direct electric heating - new 10"</f>
        <v>Industrial heating technology Wood products HT - Direct electric heating - new 10</v>
      </c>
      <c r="F114" s="239" t="s">
        <v>1274</v>
      </c>
      <c r="G114" s="176" t="s">
        <v>500</v>
      </c>
      <c r="H114" s="177" t="str">
        <f>$AI$13</f>
        <v>IWDHT</v>
      </c>
      <c r="I114" s="177" t="str">
        <f t="shared" si="80"/>
        <v>INDWWH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0.05</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
      </c>
      <c r="E115" s="223"/>
      <c r="F115" s="239" t="s">
        <v>1274</v>
      </c>
      <c r="H115" s="177"/>
      <c r="I115" s="177" t="str">
        <f t="shared" si="80"/>
        <v>INDWWH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
      </c>
      <c r="E116" s="223"/>
      <c r="F116" s="239" t="s">
        <v>1274</v>
      </c>
      <c r="H116" s="177"/>
      <c r="I116" s="177" t="str">
        <f t="shared" si="80"/>
        <v>INDWWH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Wood products MT - Direct electric heating - new 10</v>
      </c>
      <c r="F117" s="239" t="s">
        <v>1274</v>
      </c>
      <c r="G117" s="176" t="s">
        <v>500</v>
      </c>
      <c r="H117" s="177" t="str">
        <f>$AI$14</f>
        <v>IWDMT</v>
      </c>
      <c r="I117" s="177" t="str">
        <f t="shared" si="80"/>
        <v>INDWWH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INDWWH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INDWWH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INDWDHTDSEN1</v>
      </c>
      <c r="E120" s="278" t="str">
        <f>"Industrial heating technology "&amp;$AJ$12&amp;" "&amp;RIGHT(H120,2)&amp;" - Oil boiler (Steam) - new 1"</f>
        <v>Industrial heating technology Wood products HT - Oil boiler (Steam) - new 1</v>
      </c>
      <c r="F120" s="239" t="s">
        <v>1274</v>
      </c>
      <c r="G120" s="176" t="s">
        <v>1437</v>
      </c>
      <c r="H120" s="177" t="str">
        <f>$AI$13</f>
        <v>IWDHT</v>
      </c>
      <c r="I120" s="177" t="str">
        <f t="shared" si="80"/>
        <v>INDWWH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INDWWH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INDWWH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INDWDMTDSEN1</v>
      </c>
      <c r="E123" s="278" t="str">
        <f>"Industrial heating technology "&amp;$AJ$12&amp;" "&amp;RIGHT(H123,2)&amp;" - Oil boiler (Steam) - new 1"</f>
        <v>Industrial heating technology Wood products MT - Oil boiler (Steam) - new 1</v>
      </c>
      <c r="F123" s="239" t="s">
        <v>1274</v>
      </c>
      <c r="G123" s="176" t="s">
        <v>1437</v>
      </c>
      <c r="H123" s="177" t="str">
        <f>$AI$14</f>
        <v>IWDMT</v>
      </c>
      <c r="I123" s="177" t="str">
        <f t="shared" si="80"/>
        <v>INDWWH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INDWWH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INDWWH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INDWDRHDSEN1</v>
      </c>
      <c r="E126" s="278" t="str">
        <f>"Industrial heating technology "&amp;$AJ$12&amp;" "&amp;RIGHT(H126,2)&amp;" - Oil boiler (Steam) - new 1"</f>
        <v>Industrial heating technology Wood products RH - Oil boiler (Steam) - new 1</v>
      </c>
      <c r="F126" s="239" t="s">
        <v>1274</v>
      </c>
      <c r="G126" s="176" t="s">
        <v>1437</v>
      </c>
      <c r="H126" s="177" t="str">
        <f>$AI$15</f>
        <v>IWDRH</v>
      </c>
      <c r="I126" s="177" t="str">
        <f t="shared" si="80"/>
        <v>INDWWH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INDWWH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INDWWH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INDWDMTDSEN2</v>
      </c>
      <c r="E129" s="767" t="str">
        <f>"Industrial heating technology "&amp;$AJ$12&amp;" "&amp;RIGHT(H129,2)&amp;" - Oil boiler (Steam - condensing) - new 2"</f>
        <v>Industrial heating technology Wood products MT - Oil boiler (Steam - condensing) - new 2</v>
      </c>
      <c r="F129" s="239" t="s">
        <v>1274</v>
      </c>
      <c r="G129" s="176" t="s">
        <v>1437</v>
      </c>
      <c r="H129" s="768" t="str">
        <f>$AI$14</f>
        <v>IWDMT</v>
      </c>
      <c r="I129" s="768" t="str">
        <f t="shared" si="115"/>
        <v>INDWWH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INDWWH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INDWWH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INDWDRHDSEN2</v>
      </c>
      <c r="E132" s="278" t="str">
        <f>"Industrial heating technology "&amp;$AJ$12&amp;" "&amp;RIGHT(H132,2)&amp;" - Oil boiler (Steam - condensing) - new 2"</f>
        <v>Industrial heating technology Wood products RH - Oil boiler (Steam - condensing) - new 2</v>
      </c>
      <c r="F132" s="239" t="s">
        <v>1274</v>
      </c>
      <c r="G132" s="176" t="s">
        <v>1437</v>
      </c>
      <c r="H132" s="177" t="str">
        <f>$AI$15</f>
        <v>IWDRH</v>
      </c>
      <c r="I132" s="177" t="str">
        <f t="shared" si="115"/>
        <v>INDWWH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INDWWH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INDWWH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INDWDHTDH2N1</v>
      </c>
      <c r="E135" s="278" t="str">
        <f>"Industrial heating technology "&amp;$AJ$12&amp;" "&amp;RIGHT(H135,2)&amp;" - Gas boiler (Steam) - new 1"</f>
        <v>Industrial heating technology Wood products HT - Gas boiler (Steam) - new 1</v>
      </c>
      <c r="F135" s="239" t="s">
        <v>1274</v>
      </c>
      <c r="G135" s="176" t="s">
        <v>1438</v>
      </c>
      <c r="H135" s="177" t="str">
        <f>$AI$13</f>
        <v>IWDHT</v>
      </c>
      <c r="I135" s="177" t="str">
        <f t="shared" si="115"/>
        <v>INDWWH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INDWWH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INDWWH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INDWDMTDH2N1</v>
      </c>
      <c r="E138" s="278" t="str">
        <f>"Industrial heating technology "&amp;$AJ$12&amp;" "&amp;RIGHT(H138,2)&amp;" - Gas boiler (Steam) - new 1"</f>
        <v>Industrial heating technology Wood products MT - Gas boiler (Steam) - new 1</v>
      </c>
      <c r="F138" s="239" t="s">
        <v>1274</v>
      </c>
      <c r="G138" s="176" t="s">
        <v>1438</v>
      </c>
      <c r="H138" s="177" t="str">
        <f>$AI$14</f>
        <v>IWDMT</v>
      </c>
      <c r="I138" s="177" t="str">
        <f t="shared" si="115"/>
        <v>INDWWH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INDWWH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INDWWH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INDWDRHDH2N1</v>
      </c>
      <c r="E141" s="278" t="str">
        <f>"Industrial heating technology "&amp;$AJ$12&amp;" "&amp;RIGHT(H141,2)&amp;" - Gas boiler (Steam) - new 1"</f>
        <v>Industrial heating technology Wood products RH - Gas boiler (Steam) - new 1</v>
      </c>
      <c r="F141" s="239" t="s">
        <v>1274</v>
      </c>
      <c r="G141" s="176" t="s">
        <v>1438</v>
      </c>
      <c r="H141" s="177" t="str">
        <f>$AI$15</f>
        <v>IWDRH</v>
      </c>
      <c r="I141" s="177" t="str">
        <f t="shared" si="115"/>
        <v>INDWWH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INDWWH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INDWWH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INDWDMTDH2N2</v>
      </c>
      <c r="E144" s="767" t="str">
        <f>"Industrial heating technology "&amp;$AJ$12&amp;" "&amp;RIGHT(H144,2)&amp;" - Gas boiler (Steam - condensing) - new 2"</f>
        <v>Industrial heating technology Wood products MT - Gas boiler (Steam - condensing) - new 2</v>
      </c>
      <c r="F144" s="239" t="s">
        <v>1274</v>
      </c>
      <c r="G144" s="176" t="s">
        <v>1438</v>
      </c>
      <c r="H144" s="768" t="str">
        <f>$AI$14</f>
        <v>IWDMT</v>
      </c>
      <c r="I144" s="768" t="str">
        <f t="shared" si="115"/>
        <v>INDWWH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INDWWH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INDWWH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INDWDRHDH2N2</v>
      </c>
      <c r="E147" s="278" t="str">
        <f>"Industrial heating technology "&amp;$AJ$12&amp;" "&amp;RIGHT(H147,2)&amp;" - Gas boiler (Steam - condensing) - new 2"</f>
        <v>Industrial heating technology Wood products RH - Gas boiler (Steam - condensing) - new 2</v>
      </c>
      <c r="F147" s="239" t="s">
        <v>1274</v>
      </c>
      <c r="G147" s="176" t="s">
        <v>1438</v>
      </c>
      <c r="H147" s="177" t="str">
        <f>$AI$15</f>
        <v>IWDRH</v>
      </c>
      <c r="I147" s="177" t="str">
        <f t="shared" si="115"/>
        <v>INDWWH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INDWWH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INDWWH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INDWDMTDH2N3</v>
      </c>
      <c r="E150" s="767" t="str">
        <f>"Industrial heating technology "&amp;$AJ$12&amp;" "&amp;RIGHT(H150,2)&amp;" - Gas boiler (Hot Water) - new 3"</f>
        <v>Industrial heating technology Wood products MT - Gas boiler (Hot Water) - new 3</v>
      </c>
      <c r="F150" s="239" t="s">
        <v>1274</v>
      </c>
      <c r="G150" s="176" t="s">
        <v>1438</v>
      </c>
      <c r="H150" s="768" t="str">
        <f>$AI$14</f>
        <v>IWDMT</v>
      </c>
      <c r="I150" s="768" t="str">
        <f t="shared" si="115"/>
        <v>INDWWH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INDWWH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INDWWH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INDWDRHDH2N3</v>
      </c>
      <c r="E153" s="278" t="str">
        <f>"Industrial heating technology "&amp;$AJ$12&amp;" "&amp;RIGHT(H153,2)&amp;" - Gas boiler (Hot Water) - new 3"</f>
        <v>Industrial heating technology Wood products RH - Gas boiler (Hot Water) - new 3</v>
      </c>
      <c r="F153" s="239" t="s">
        <v>1274</v>
      </c>
      <c r="G153" s="176" t="s">
        <v>1438</v>
      </c>
      <c r="H153" s="177" t="str">
        <f>$AI$15</f>
        <v>IWDRH</v>
      </c>
      <c r="I153" s="177" t="str">
        <f t="shared" si="115"/>
        <v>INDWWH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INDWWH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INDWWH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INDWDMTDH2N4</v>
      </c>
      <c r="E156" s="767" t="str">
        <f>"Industrial heating technology "&amp;$AJ$12&amp;" "&amp;RIGHT(H156,2)&amp;" - Gas boiler (Hot Water - condensing) - new 4"</f>
        <v>Industrial heating technology Wood products MT - Gas boiler (Hot Water - condensing) - new 4</v>
      </c>
      <c r="F156" s="239" t="s">
        <v>1274</v>
      </c>
      <c r="G156" s="176" t="s">
        <v>1438</v>
      </c>
      <c r="H156" s="768" t="str">
        <f>$AI$14</f>
        <v>IWDMT</v>
      </c>
      <c r="I156" s="768" t="str">
        <f t="shared" si="115"/>
        <v>INDWWH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INDWWH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INDWWH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INDWDRHDH2N4</v>
      </c>
      <c r="E159" s="278" t="str">
        <f>"Industrial heating technology "&amp;$AJ$12&amp;" "&amp;RIGHT(H159,2)&amp;" - Gas boiler (Hot Water- condensing) - new 4"</f>
        <v>Industrial heating technology Wood products RH - Gas boiler (Hot Water- condensing) - new 4</v>
      </c>
      <c r="F159" s="239" t="s">
        <v>1274</v>
      </c>
      <c r="G159" s="176" t="s">
        <v>1438</v>
      </c>
      <c r="H159" s="177" t="str">
        <f>$AI$15</f>
        <v>IWDRH</v>
      </c>
      <c r="I159" s="177" t="str">
        <f t="shared" ref="I159:I182" si="158">$AI$20</f>
        <v>INDWWH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INDWWH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INDWWH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INDWDHTDH2N5</v>
      </c>
      <c r="E162" s="767" t="str">
        <f>"Industrial heating technology "&amp;$AJ$12&amp;" "&amp;RIGHT(H162,2)&amp;" - Gas boiler (Direct firing) - new 5"</f>
        <v>Industrial heating technology Wood products HT - Gas boiler (Direct firing) - new 5</v>
      </c>
      <c r="F162" s="239" t="s">
        <v>1274</v>
      </c>
      <c r="G162" s="176" t="s">
        <v>1438</v>
      </c>
      <c r="H162" s="177" t="str">
        <f>$AI$13</f>
        <v>IWDHT</v>
      </c>
      <c r="I162" s="177" t="str">
        <f t="shared" si="158"/>
        <v>INDWWH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INDWWH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INDWWH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INDWDMTDH2N5</v>
      </c>
      <c r="E165" s="278" t="str">
        <f>"Industrial heating technology "&amp;$AJ$12&amp;" "&amp;RIGHT(H165,2)&amp;" - Gas boiler (Direct firing) - new 5"</f>
        <v>Industrial heating technology Wood products MT - Gas boiler (Direct firing) - new 5</v>
      </c>
      <c r="F165" s="239" t="s">
        <v>1274</v>
      </c>
      <c r="G165" s="176" t="s">
        <v>1438</v>
      </c>
      <c r="H165" s="177" t="str">
        <f>$AI$14</f>
        <v>IWDMT</v>
      </c>
      <c r="I165" s="781" t="str">
        <f t="shared" si="158"/>
        <v>INDWWH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INDWWH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INDWWH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INDWDHTCOAN1</v>
      </c>
      <c r="E168" s="278" t="str">
        <f>"Industrial heating technology "&amp;$AJ$12&amp;" "&amp;RIGHT(H168,2)&amp;" - Coal boiler (Steam) - new 1"</f>
        <v>Industrial heating technology Wood products HT - Coal boiler (Steam) - new 1</v>
      </c>
      <c r="F168" s="239" t="s">
        <v>1274</v>
      </c>
      <c r="G168" s="55" t="s">
        <v>662</v>
      </c>
      <c r="H168" s="177" t="str">
        <f>$AI$13</f>
        <v>IWDHT</v>
      </c>
      <c r="I168" s="177" t="str">
        <f t="shared" si="158"/>
        <v>INDWWH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INDWWH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INDWWH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INDWDMTCOAN1</v>
      </c>
      <c r="E171" s="278" t="str">
        <f>"Industrial heating technology "&amp;$AJ$12&amp;" "&amp;RIGHT(H171,2)&amp;" - Coal boiler (Steam) - new 1"</f>
        <v>Industrial heating technology Wood products MT - Coal boiler (Steam) - new 1</v>
      </c>
      <c r="F171" s="239" t="s">
        <v>1274</v>
      </c>
      <c r="G171" s="55" t="s">
        <v>662</v>
      </c>
      <c r="H171" s="177" t="str">
        <f>$AI$14</f>
        <v>IWDMT</v>
      </c>
      <c r="I171" s="177" t="str">
        <f t="shared" si="158"/>
        <v>INDWWH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INDWWH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INDWWH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INDWDRHCOAN1</v>
      </c>
      <c r="E174" s="278" t="str">
        <f>"Industrial heating technology "&amp;$AJ$12&amp;" "&amp;RIGHT(H174,2)&amp;" - Coal boiler (Steam) - new 1"</f>
        <v>Industrial heating technology Wood products RH - Coal boiler (Steam) - new 1</v>
      </c>
      <c r="F174" s="239" t="s">
        <v>1274</v>
      </c>
      <c r="G174" s="55" t="s">
        <v>662</v>
      </c>
      <c r="H174" s="177" t="str">
        <f>$AI$15</f>
        <v>IWDRH</v>
      </c>
      <c r="I174" s="177" t="str">
        <f t="shared" si="158"/>
        <v>INDWWH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INDWWH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INDWWH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INDWDMTCOAN2</v>
      </c>
      <c r="E177" s="278" t="str">
        <f>"Industrial heating technology "&amp;$AJ$12&amp;" "&amp;RIGHT(H177,2)&amp;" - Coal boiler (Hot Water) - new 2"</f>
        <v>Industrial heating technology Wood products MT - Coal boiler (Hot Water) - new 2</v>
      </c>
      <c r="F177" s="239" t="s">
        <v>1274</v>
      </c>
      <c r="G177" s="55" t="s">
        <v>662</v>
      </c>
      <c r="H177" s="177" t="str">
        <f>$AI$14</f>
        <v>IWDMT</v>
      </c>
      <c r="I177" s="177" t="str">
        <f t="shared" si="158"/>
        <v>INDWWH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INDWWH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INDWWH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INDWDRHCOAN2</v>
      </c>
      <c r="E180" s="278" t="str">
        <f>"Industrial heating technology "&amp;$AJ$12&amp;" "&amp;RIGHT(H180,2)&amp;" - Coal boiler (Hot Water) - new 2"</f>
        <v>Industrial heating technology Wood products RH - Coal boiler (Hot Water) - new 2</v>
      </c>
      <c r="F180" s="239" t="s">
        <v>1274</v>
      </c>
      <c r="G180" s="55" t="s">
        <v>662</v>
      </c>
      <c r="H180" s="177" t="str">
        <f>$AI$15</f>
        <v>IWDRH</v>
      </c>
      <c r="I180" s="177" t="str">
        <f t="shared" si="158"/>
        <v>INDWWH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INDWWH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INDWWH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INDWDRHSOLN1</v>
      </c>
      <c r="E183" s="278" t="str">
        <f>"Industrial heating technology "&amp;$AJ$12&amp;" "&amp;RIGHT(H183,2)&amp;" - Solar - new 1"</f>
        <v>Industrial heating technology Wood products RH - Solar - new 1</v>
      </c>
      <c r="F183" s="239" t="s">
        <v>1274</v>
      </c>
      <c r="G183" s="55" t="s">
        <v>501</v>
      </c>
      <c r="H183" s="177" t="str">
        <f>$AI$15</f>
        <v>IWDRH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
        <v>451</v>
      </c>
      <c r="E187" s="239" t="str">
        <f>"Industrial heating technology "&amp;$AJ$12&amp;" "&amp;RIGHT(H187,2)&amp;" - central district heating - within DH area - new 1"</f>
        <v>Industrial heating technology Wood products RH - central district heating - within DH area - new 1</v>
      </c>
      <c r="F187" s="239" t="s">
        <v>1274</v>
      </c>
      <c r="G187" s="240" t="s">
        <v>502</v>
      </c>
      <c r="H187" s="240" t="str">
        <f>AI15</f>
        <v>IWDRH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
        <v>451</v>
      </c>
      <c r="E188" s="239" t="str">
        <f>"Industrial heating technology "&amp;$AJ$12&amp;" "&amp;RIGHT(H188,2)&amp;" - decentral district heating - within DH area - new 1"</f>
        <v>Industrial heating technology Wood products RH - decentral district heating - within DH area - new 1</v>
      </c>
      <c r="F188" s="239" t="s">
        <v>1274</v>
      </c>
      <c r="G188" s="276" t="s">
        <v>503</v>
      </c>
      <c r="H188" s="282" t="str">
        <f>AI15</f>
        <v>IWDRH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INDWDLAELCN1</v>
      </c>
      <c r="E190" s="239" t="str">
        <f>"Industry "&amp;$AJ$12&amp;" "&amp;RIGHT(H190,2)&amp;" Electricity Light Appliance - New 1"</f>
        <v>Industry Wood products LA Electricity Light Appliance - New 1</v>
      </c>
      <c r="F190" s="239" t="s">
        <v>1274</v>
      </c>
      <c r="G190" s="240" t="s">
        <v>500</v>
      </c>
      <c r="H190" s="240" t="str">
        <f>AI16</f>
        <v>IWDLA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INDWDEMELCN1</v>
      </c>
      <c r="E194" s="239" t="str">
        <f>"Industry "&amp;$AJ$12&amp;" "&amp;RIGHT(H194,2)&amp;" Electricity Motors - New 1"</f>
        <v>Industry Wood products EM Electricity Motors - New 1</v>
      </c>
      <c r="F194" s="239" t="s">
        <v>1274</v>
      </c>
      <c r="G194" s="240" t="s">
        <v>500</v>
      </c>
      <c r="H194" s="240" t="str">
        <f>AI17</f>
        <v>IWDEM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INDWDTFDSLN1</v>
      </c>
      <c r="E198" s="239" t="str">
        <f>"Industry "&amp;$AJ$12&amp;" "&amp;RIGHT(H198,2)&amp;" Tractors, Trucks, Fishing boats - New 1"</f>
        <v>Industry Wood products TF Tractors, Trucks, Fishing boats - New 1</v>
      </c>
      <c r="F198" s="239" t="s">
        <v>1274</v>
      </c>
      <c r="G198" s="176" t="s">
        <v>1437</v>
      </c>
      <c r="H198" s="177" t="str">
        <f>AI18</f>
        <v>IWDTF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INDWDFLDH2N1</v>
      </c>
      <c r="E202" s="239" t="str">
        <f>"Industry "&amp;$AJ$12&amp;" "&amp;RIGHT(H198,2)&amp;" Forklifts - New 1"</f>
        <v>Industry Wood products TF Forklifts - New 1</v>
      </c>
      <c r="F202" s="239" t="s">
        <v>1274</v>
      </c>
      <c r="G202" s="176" t="s">
        <v>1438</v>
      </c>
      <c r="H202" s="239" t="str">
        <f>AI19</f>
        <v>IWDFL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v>
      </c>
      <c r="D213" s="223" t="str">
        <f ca="1">D9</f>
        <v>*</v>
      </c>
      <c r="E213" s="223" t="str">
        <f t="shared" ref="E213:E244" ca="1" si="181">VLOOKUP(D213,$D$9:$E$206,2,FALSE)</f>
        <v>Industrial heating technology Wood products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INDWDRHELCN1</v>
      </c>
      <c r="E214" s="223" t="str">
        <f t="shared" ca="1" si="181"/>
        <v>Industrial heating technology Wood products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Wood products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INDWDRHELCN2</v>
      </c>
      <c r="E216" s="223" t="str">
        <f t="shared" ca="1" si="181"/>
        <v>Industrial heating technology Wood products RH - Heat driven heat pump utilizing waste heat - new 2</v>
      </c>
      <c r="F216" s="279" t="s">
        <v>450</v>
      </c>
      <c r="G216" s="279" t="s">
        <v>449</v>
      </c>
      <c r="H216" s="334" t="s">
        <v>665</v>
      </c>
      <c r="I216" s="281"/>
      <c r="J216" s="281" t="s">
        <v>469</v>
      </c>
    </row>
    <row r="217" spans="1:11">
      <c r="A217" s="172"/>
      <c r="B217" s="222"/>
      <c r="C217" s="222" t="str">
        <f t="shared" ca="1" si="182"/>
        <v>*</v>
      </c>
      <c r="D217" s="223" t="str">
        <f t="shared" ca="1" si="183"/>
        <v>*</v>
      </c>
      <c r="E217" s="223" t="str">
        <f t="shared" ca="1" si="181"/>
        <v>Industrial heating technology Wood products MT - Heat pump utilizing waste heat - new 1</v>
      </c>
      <c r="F217" s="279" t="s">
        <v>450</v>
      </c>
      <c r="G217" s="279" t="s">
        <v>449</v>
      </c>
      <c r="H217" s="334" t="s">
        <v>665</v>
      </c>
      <c r="I217" s="281"/>
      <c r="J217" s="281" t="s">
        <v>469</v>
      </c>
    </row>
    <row r="218" spans="1:11">
      <c r="A218" s="172"/>
      <c r="B218" s="222"/>
      <c r="C218" s="222" t="str">
        <f t="shared" ca="1" si="182"/>
        <v>DMD</v>
      </c>
      <c r="D218" s="223" t="str">
        <f t="shared" ca="1" si="183"/>
        <v>INDWDRHELCN3</v>
      </c>
      <c r="E218" s="223" t="str">
        <f t="shared" ca="1" si="181"/>
        <v>Industrial heating technology Wood products RH - High Temp abs. Heat pump utilizing waste heat - new 3</v>
      </c>
      <c r="F218" s="279" t="s">
        <v>450</v>
      </c>
      <c r="G218" s="279" t="s">
        <v>449</v>
      </c>
      <c r="H218" s="334" t="s">
        <v>665</v>
      </c>
      <c r="I218" s="281"/>
      <c r="J218" s="281" t="s">
        <v>469</v>
      </c>
    </row>
    <row r="219" spans="1:11">
      <c r="A219" s="172"/>
      <c r="B219" s="222"/>
      <c r="C219" s="222" t="str">
        <f t="shared" ca="1" si="182"/>
        <v>*</v>
      </c>
      <c r="D219" s="223" t="str">
        <f t="shared" ca="1" si="183"/>
        <v>*</v>
      </c>
      <c r="E219" s="223" t="str">
        <f t="shared" ca="1" si="181"/>
        <v>Industrial heating technology Wood products MT - Heat pump utilizing waste heat - new 1</v>
      </c>
      <c r="F219" s="279" t="s">
        <v>450</v>
      </c>
      <c r="G219" s="279" t="s">
        <v>449</v>
      </c>
      <c r="H219" s="334" t="s">
        <v>665</v>
      </c>
      <c r="I219" s="281"/>
      <c r="J219" s="281" t="s">
        <v>469</v>
      </c>
    </row>
    <row r="220" spans="1:11">
      <c r="A220" s="172"/>
      <c r="B220" s="222"/>
      <c r="C220" s="222" t="str">
        <f t="shared" ca="1" si="182"/>
        <v>DMD</v>
      </c>
      <c r="D220" s="223" t="str">
        <f t="shared" ca="1" si="183"/>
        <v>INDWDRHELCN4</v>
      </c>
      <c r="E220" s="223" t="str">
        <f t="shared" ca="1" si="181"/>
        <v>Industrial heating technology Wood products RH - Booster Heat pump utilizing waste heat - new 4</v>
      </c>
      <c r="F220" s="279" t="s">
        <v>450</v>
      </c>
      <c r="G220" s="279" t="s">
        <v>449</v>
      </c>
      <c r="H220" s="334" t="s">
        <v>665</v>
      </c>
      <c r="I220" s="281"/>
      <c r="J220" s="281" t="s">
        <v>469</v>
      </c>
    </row>
    <row r="221" spans="1:11">
      <c r="A221" s="172"/>
      <c r="B221" s="222"/>
      <c r="C221" s="222" t="str">
        <f t="shared" ca="1" si="182"/>
        <v>*</v>
      </c>
      <c r="D221" s="223" t="str">
        <f t="shared" ca="1" si="183"/>
        <v>*</v>
      </c>
      <c r="E221" s="223" t="str">
        <f t="shared" ca="1" si="181"/>
        <v>Industrial heating technology Wood products MT - Heat pump utilizing waste heat - new 1</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Wood products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Wood products MT - Heat pump utilizing waste heat - new 1</v>
      </c>
      <c r="F223" s="279" t="s">
        <v>450</v>
      </c>
      <c r="G223" s="279" t="s">
        <v>449</v>
      </c>
      <c r="H223" s="334" t="s">
        <v>665</v>
      </c>
      <c r="I223" s="281"/>
      <c r="J223" s="281" t="s">
        <v>469</v>
      </c>
    </row>
    <row r="224" spans="1:11">
      <c r="A224" s="172"/>
      <c r="B224" s="222"/>
      <c r="C224" s="222" t="str">
        <f t="shared" ca="1" si="182"/>
        <v>*</v>
      </c>
      <c r="D224" s="223" t="str">
        <f t="shared" ca="1" si="184"/>
        <v>*</v>
      </c>
      <c r="E224" s="223" t="str">
        <f t="shared" ca="1" si="181"/>
        <v>Industrial heating technology Wood products MT - Heat pump utilizing waste heat - new 1</v>
      </c>
      <c r="F224" s="279" t="s">
        <v>450</v>
      </c>
      <c r="G224" s="279" t="s">
        <v>449</v>
      </c>
      <c r="H224" s="334" t="s">
        <v>665</v>
      </c>
      <c r="I224" s="281"/>
      <c r="J224" s="281" t="s">
        <v>469</v>
      </c>
    </row>
    <row r="225" spans="1:16">
      <c r="A225" s="172"/>
      <c r="B225" s="222"/>
      <c r="C225" s="222" t="str">
        <f t="shared" ca="1" si="182"/>
        <v>DMD</v>
      </c>
      <c r="D225" s="223" t="str">
        <f t="shared" ca="1" si="184"/>
        <v>INDWDHTELCN8</v>
      </c>
      <c r="E225" s="223" t="str">
        <f t="shared" ca="1" si="181"/>
        <v>Industrial heating technology Wood products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INDWDMTELCN8</v>
      </c>
      <c r="E226" s="223" t="str">
        <f t="shared" ca="1" si="181"/>
        <v>Industrial heating technology Wood products MT - Electric boiler (Steam) - new 8</v>
      </c>
      <c r="F226" s="279" t="s">
        <v>450</v>
      </c>
      <c r="G226" s="279" t="s">
        <v>449</v>
      </c>
      <c r="H226" s="334" t="s">
        <v>665</v>
      </c>
      <c r="I226" s="281"/>
      <c r="J226" s="281" t="s">
        <v>469</v>
      </c>
    </row>
    <row r="227" spans="1:16">
      <c r="A227" s="172"/>
      <c r="B227" s="222"/>
      <c r="C227" s="222" t="str">
        <f t="shared" ca="1" si="182"/>
        <v>*</v>
      </c>
      <c r="D227" s="223" t="str">
        <f t="shared" ca="1" si="184"/>
        <v>*</v>
      </c>
      <c r="E227" s="223" t="str">
        <f t="shared" ca="1" si="181"/>
        <v>Industrial heating technology Wood products MT - Heat pump utilizing waste heat - new 1</v>
      </c>
      <c r="F227" s="279" t="s">
        <v>450</v>
      </c>
      <c r="G227" s="279" t="s">
        <v>449</v>
      </c>
      <c r="H227" s="334" t="s">
        <v>665</v>
      </c>
      <c r="I227" s="281"/>
      <c r="J227" s="281" t="s">
        <v>469</v>
      </c>
      <c r="P227" s="176"/>
    </row>
    <row r="228" spans="1:16">
      <c r="A228" s="172"/>
      <c r="B228" s="222"/>
      <c r="C228" s="222" t="str">
        <f t="shared" ca="1" si="182"/>
        <v>DMD</v>
      </c>
      <c r="D228" s="223" t="str">
        <f t="shared" ca="1" si="184"/>
        <v>INDWDMTELCN9</v>
      </c>
      <c r="E228" s="223" t="str">
        <f t="shared" ca="1" si="181"/>
        <v>Industrial heating technology Wood products MT - Electric boiler (Hot Water) - new 9</v>
      </c>
      <c r="F228" s="279" t="s">
        <v>450</v>
      </c>
      <c r="G228" s="279" t="s">
        <v>449</v>
      </c>
      <c r="H228" s="334" t="s">
        <v>665</v>
      </c>
      <c r="I228" s="281"/>
      <c r="J228" s="281" t="s">
        <v>469</v>
      </c>
      <c r="P228" s="176"/>
    </row>
    <row r="229" spans="1:16">
      <c r="A229" s="172"/>
      <c r="B229" s="222"/>
      <c r="C229" s="222" t="str">
        <f t="shared" ca="1" si="182"/>
        <v>*</v>
      </c>
      <c r="D229" s="223" t="str">
        <f t="shared" ca="1" si="184"/>
        <v>*</v>
      </c>
      <c r="E229" s="223" t="str">
        <f t="shared" ca="1" si="181"/>
        <v>Industrial heating technology Wood products MT - Heat pump utilizing waste heat - new 1</v>
      </c>
      <c r="F229" s="279" t="s">
        <v>450</v>
      </c>
      <c r="G229" s="279" t="s">
        <v>449</v>
      </c>
      <c r="H229" s="334" t="s">
        <v>665</v>
      </c>
      <c r="I229" s="281"/>
      <c r="J229" s="281" t="s">
        <v>469</v>
      </c>
      <c r="P229" s="176"/>
    </row>
    <row r="230" spans="1:16">
      <c r="A230" s="172"/>
      <c r="B230" s="222"/>
      <c r="C230" s="222" t="str">
        <f t="shared" ca="1" si="182"/>
        <v>*</v>
      </c>
      <c r="D230" s="223" t="str">
        <f t="shared" ca="1" si="184"/>
        <v>*</v>
      </c>
      <c r="E230" s="223" t="str">
        <f t="shared" ca="1" si="181"/>
        <v>Industrial heating technology Wood products MT - Heat pump utilizing waste heat - new 1</v>
      </c>
      <c r="F230" s="279" t="s">
        <v>450</v>
      </c>
      <c r="G230" s="279" t="s">
        <v>449</v>
      </c>
      <c r="H230" s="280"/>
      <c r="I230" s="281"/>
      <c r="J230" s="281" t="s">
        <v>469</v>
      </c>
      <c r="P230" s="176"/>
    </row>
    <row r="231" spans="1:16">
      <c r="A231" s="172"/>
      <c r="B231" s="222"/>
      <c r="C231" s="222" t="str">
        <f t="shared" ca="1" si="182"/>
        <v>DMD</v>
      </c>
      <c r="D231" s="223" t="str">
        <f t="shared" ca="1" si="184"/>
        <v>INDWDMTWCHN1</v>
      </c>
      <c r="E231" s="223" t="str">
        <f t="shared" ca="1" si="181"/>
        <v>Industrial heating technology Wood products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INDWDRHWCHN1</v>
      </c>
      <c r="E232" s="223" t="str">
        <f t="shared" ca="1" si="181"/>
        <v>Industrial heating technology Wood products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INDWDMTWCHN2</v>
      </c>
      <c r="E233" s="223" t="str">
        <f t="shared" ca="1" si="181"/>
        <v>Industrial heating technology Wood products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INDWDRHWCHN2</v>
      </c>
      <c r="E234" s="223" t="str">
        <f t="shared" ca="1" si="181"/>
        <v>Industrial heating technology Wood products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INDWDMTWCHN3</v>
      </c>
      <c r="E235" s="223" t="str">
        <f t="shared" ca="1" si="181"/>
        <v>Industrial heating technology Wood products MT - Wood chip boiler (Hot Water) - new 3</v>
      </c>
      <c r="F235" s="279" t="s">
        <v>450</v>
      </c>
      <c r="G235" s="279" t="s">
        <v>449</v>
      </c>
      <c r="H235" s="278"/>
      <c r="I235" s="278"/>
      <c r="J235" s="281" t="s">
        <v>469</v>
      </c>
    </row>
    <row r="236" spans="1:16">
      <c r="A236" s="172"/>
      <c r="B236" s="223"/>
      <c r="C236" s="222" t="str">
        <f t="shared" ca="1" si="182"/>
        <v>DMD</v>
      </c>
      <c r="D236" s="223" t="str">
        <f t="shared" ca="1" si="184"/>
        <v>INDWDRHWCHN3</v>
      </c>
      <c r="E236" s="223" t="str">
        <f t="shared" ca="1" si="181"/>
        <v>Industrial heating technology Wood products RH - Wood chip boiler (Hot Water) - new 3</v>
      </c>
      <c r="F236" s="279" t="s">
        <v>450</v>
      </c>
      <c r="G236" s="279" t="s">
        <v>449</v>
      </c>
      <c r="H236" s="278"/>
      <c r="I236" s="278"/>
      <c r="J236" s="281" t="s">
        <v>469</v>
      </c>
    </row>
    <row r="237" spans="1:16">
      <c r="A237" s="172"/>
      <c r="B237" s="223"/>
      <c r="C237" s="222" t="str">
        <f t="shared" ca="1" si="182"/>
        <v>DMD</v>
      </c>
      <c r="D237" s="223" t="str">
        <f t="shared" ca="1" si="184"/>
        <v>INDWDMTWCHN4</v>
      </c>
      <c r="E237" s="223" t="str">
        <f t="shared" ca="1" si="181"/>
        <v>Industrial heating technology Wood products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INDWDRHWCHN4</v>
      </c>
      <c r="E238" s="223" t="str">
        <f t="shared" ca="1" si="181"/>
        <v>Industrial heating technology Wood products RH - Wood chip boiler (Hot Water- condensing) - new 4</v>
      </c>
      <c r="F238" s="279" t="s">
        <v>450</v>
      </c>
      <c r="G238" s="279" t="s">
        <v>449</v>
      </c>
      <c r="H238" s="278"/>
      <c r="I238" s="278"/>
      <c r="J238" s="281" t="s">
        <v>469</v>
      </c>
    </row>
    <row r="239" spans="1:16">
      <c r="B239" s="223"/>
      <c r="C239" s="222" t="str">
        <f t="shared" ca="1" si="182"/>
        <v>DMD</v>
      </c>
      <c r="D239" s="223" t="str">
        <f t="shared" ca="1" si="184"/>
        <v>INDWDHTELCN0</v>
      </c>
      <c r="E239" s="223" t="str">
        <f t="shared" ca="1" si="181"/>
        <v>Industrial heating technology Wood products HT - Direct electric heating - new 10</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Wood products MT - Heat pump utilizing waste heat - new 1</v>
      </c>
      <c r="F240" s="279" t="s">
        <v>450</v>
      </c>
      <c r="G240" s="279" t="s">
        <v>449</v>
      </c>
      <c r="H240" s="334" t="s">
        <v>665</v>
      </c>
      <c r="I240" s="278"/>
      <c r="J240" s="281" t="s">
        <v>469</v>
      </c>
    </row>
    <row r="241" spans="1:10">
      <c r="B241" s="223"/>
      <c r="C241" s="222" t="str">
        <f t="shared" ca="1" si="182"/>
        <v>DMD</v>
      </c>
      <c r="D241" s="223" t="str">
        <f t="shared" ca="1" si="184"/>
        <v>INDWDHTDSEN1</v>
      </c>
      <c r="E241" s="223" t="str">
        <f t="shared" ca="1" si="181"/>
        <v>Industrial heating technology Wood products HT - Oil boiler (Steam) - new 1</v>
      </c>
      <c r="F241" s="279" t="s">
        <v>450</v>
      </c>
      <c r="G241" s="279" t="s">
        <v>449</v>
      </c>
      <c r="H241" s="278"/>
      <c r="I241" s="278"/>
      <c r="J241" s="281" t="s">
        <v>469</v>
      </c>
    </row>
    <row r="242" spans="1:10">
      <c r="B242" s="223"/>
      <c r="C242" s="222" t="str">
        <f t="shared" ca="1" si="182"/>
        <v>DMD</v>
      </c>
      <c r="D242" s="223" t="str">
        <f t="shared" ca="1" si="184"/>
        <v>INDWDMTDSEN1</v>
      </c>
      <c r="E242" s="223" t="str">
        <f t="shared" ca="1" si="181"/>
        <v>Industrial heating technology Wood products MT - Oil boiler (Steam) - new 1</v>
      </c>
      <c r="F242" s="279" t="s">
        <v>450</v>
      </c>
      <c r="G242" s="279" t="s">
        <v>449</v>
      </c>
      <c r="H242" s="278"/>
      <c r="I242" s="278"/>
      <c r="J242" s="281" t="s">
        <v>469</v>
      </c>
    </row>
    <row r="243" spans="1:10">
      <c r="B243" s="223"/>
      <c r="C243" s="222" t="str">
        <f t="shared" ca="1" si="182"/>
        <v>DMD</v>
      </c>
      <c r="D243" s="223" t="str">
        <f t="shared" ca="1" si="184"/>
        <v>INDWDRHDSEN1</v>
      </c>
      <c r="E243" s="223" t="str">
        <f t="shared" ca="1" si="181"/>
        <v>Industrial heating technology Wood products RH - Oil boiler (Steam) - new 1</v>
      </c>
      <c r="F243" s="279" t="s">
        <v>450</v>
      </c>
      <c r="G243" s="279" t="s">
        <v>449</v>
      </c>
      <c r="H243" s="278"/>
      <c r="I243" s="278"/>
      <c r="J243" s="281" t="s">
        <v>469</v>
      </c>
    </row>
    <row r="244" spans="1:10">
      <c r="A244" s="226"/>
      <c r="B244" s="223"/>
      <c r="C244" s="222" t="str">
        <f t="shared" ca="1" si="182"/>
        <v>DMD</v>
      </c>
      <c r="D244" s="223" t="str">
        <f t="shared" ca="1" si="184"/>
        <v>INDWDMTDSEN2</v>
      </c>
      <c r="E244" s="223" t="str">
        <f t="shared" ca="1" si="181"/>
        <v>Industrial heating technology Wood products MT - Oil boiler (Steam - condensing) - new 2</v>
      </c>
      <c r="F244" s="279" t="s">
        <v>450</v>
      </c>
      <c r="G244" s="279" t="s">
        <v>449</v>
      </c>
      <c r="H244" s="278"/>
      <c r="I244" s="278"/>
      <c r="J244" s="281" t="s">
        <v>469</v>
      </c>
    </row>
    <row r="245" spans="1:10">
      <c r="A245" s="226"/>
      <c r="B245" s="223"/>
      <c r="C245" s="222" t="str">
        <f t="shared" ca="1" si="182"/>
        <v>DMD</v>
      </c>
      <c r="D245" s="223" t="str">
        <f t="shared" ca="1" si="184"/>
        <v>INDWDRHDSEN2</v>
      </c>
      <c r="E245" s="223" t="str">
        <f t="shared" ref="E245:E268" ca="1" si="185">VLOOKUP(D245,$D$9:$E$206,2,FALSE)</f>
        <v>Industrial heating technology Wood products RH - Oil boiler (Steam - condensing) - new 2</v>
      </c>
      <c r="F245" s="279" t="s">
        <v>450</v>
      </c>
      <c r="G245" s="279" t="s">
        <v>449</v>
      </c>
      <c r="H245" s="278"/>
      <c r="I245" s="278"/>
      <c r="J245" s="281" t="s">
        <v>469</v>
      </c>
    </row>
    <row r="246" spans="1:10">
      <c r="A246" s="226"/>
      <c r="B246" s="223"/>
      <c r="C246" s="222" t="str">
        <f t="shared" ca="1" si="182"/>
        <v>DMD</v>
      </c>
      <c r="D246" s="223" t="str">
        <f t="shared" ca="1" si="184"/>
        <v>INDWDHTDH2N1</v>
      </c>
      <c r="E246" s="223" t="str">
        <f t="shared" ca="1" si="185"/>
        <v>Industrial heating technology Wood products HT - Gas boiler (Steam) - new 1</v>
      </c>
      <c r="F246" s="279" t="s">
        <v>450</v>
      </c>
      <c r="G246" s="279" t="s">
        <v>449</v>
      </c>
      <c r="H246" s="278"/>
      <c r="I246" s="278"/>
      <c r="J246" s="281" t="s">
        <v>469</v>
      </c>
    </row>
    <row r="247" spans="1:10">
      <c r="A247" s="226"/>
      <c r="B247" s="223"/>
      <c r="C247" s="222" t="str">
        <f t="shared" ca="1" si="182"/>
        <v>DMD</v>
      </c>
      <c r="D247" s="223" t="str">
        <f t="shared" ca="1" si="184"/>
        <v>INDWDMTDH2N1</v>
      </c>
      <c r="E247" s="223" t="str">
        <f t="shared" ca="1" si="185"/>
        <v>Industrial heating technology Wood products MT - Gas boiler (Steam) - new 1</v>
      </c>
      <c r="F247" s="279" t="s">
        <v>450</v>
      </c>
      <c r="G247" s="279" t="s">
        <v>449</v>
      </c>
      <c r="H247" s="278"/>
      <c r="I247" s="278"/>
      <c r="J247" s="281" t="s">
        <v>469</v>
      </c>
    </row>
    <row r="248" spans="1:10">
      <c r="B248" s="223"/>
      <c r="C248" s="222" t="str">
        <f t="shared" ca="1" si="182"/>
        <v>DMD</v>
      </c>
      <c r="D248" s="223" t="str">
        <f t="shared" ca="1" si="184"/>
        <v>INDWDRHDH2N1</v>
      </c>
      <c r="E248" s="223" t="str">
        <f t="shared" ca="1" si="185"/>
        <v>Industrial heating technology Wood products RH - Gas boiler (Steam) - new 1</v>
      </c>
      <c r="F248" s="279" t="s">
        <v>450</v>
      </c>
      <c r="G248" s="279" t="s">
        <v>449</v>
      </c>
      <c r="H248" s="278"/>
      <c r="I248" s="278"/>
      <c r="J248" s="281" t="s">
        <v>469</v>
      </c>
    </row>
    <row r="249" spans="1:10">
      <c r="B249" s="223"/>
      <c r="C249" s="222" t="str">
        <f t="shared" ca="1" si="182"/>
        <v>DMD</v>
      </c>
      <c r="D249" s="223" t="str">
        <f t="shared" ca="1" si="184"/>
        <v>INDWDMTDH2N2</v>
      </c>
      <c r="E249" s="223" t="str">
        <f t="shared" ca="1" si="185"/>
        <v>Industrial heating technology Wood products MT - Gas boiler (Steam - condensing) - new 2</v>
      </c>
      <c r="F249" s="279" t="s">
        <v>450</v>
      </c>
      <c r="G249" s="279" t="s">
        <v>449</v>
      </c>
      <c r="H249" s="278"/>
      <c r="I249" s="278"/>
      <c r="J249" s="281" t="s">
        <v>469</v>
      </c>
    </row>
    <row r="250" spans="1:10">
      <c r="B250" s="223"/>
      <c r="C250" s="222" t="str">
        <f t="shared" ca="1" si="182"/>
        <v>DMD</v>
      </c>
      <c r="D250" s="223" t="str">
        <f t="shared" ca="1" si="184"/>
        <v>INDWDRHDH2N2</v>
      </c>
      <c r="E250" s="223" t="str">
        <f t="shared" ca="1" si="185"/>
        <v>Industrial heating technology Wood products RH - Gas boiler (Steam - condensing) - new 2</v>
      </c>
      <c r="F250" s="279" t="s">
        <v>450</v>
      </c>
      <c r="G250" s="279" t="s">
        <v>449</v>
      </c>
      <c r="H250" s="278"/>
      <c r="I250" s="278"/>
      <c r="J250" s="281" t="s">
        <v>469</v>
      </c>
    </row>
    <row r="251" spans="1:10">
      <c r="B251" s="223"/>
      <c r="C251" s="222" t="str">
        <f t="shared" ca="1" si="182"/>
        <v>DMD</v>
      </c>
      <c r="D251" s="223" t="str">
        <f t="shared" ca="1" si="184"/>
        <v>INDWDMTDH2N3</v>
      </c>
      <c r="E251" s="223" t="str">
        <f t="shared" ca="1" si="185"/>
        <v>Industrial heating technology Wood products MT - Gas boiler (Hot Water) - new 3</v>
      </c>
      <c r="F251" s="279" t="s">
        <v>450</v>
      </c>
      <c r="G251" s="279" t="s">
        <v>449</v>
      </c>
      <c r="H251" s="278"/>
      <c r="I251" s="278"/>
      <c r="J251" s="281" t="s">
        <v>469</v>
      </c>
    </row>
    <row r="252" spans="1:10">
      <c r="B252" s="223"/>
      <c r="C252" s="222" t="str">
        <f t="shared" ca="1" si="182"/>
        <v>DMD</v>
      </c>
      <c r="D252" s="223" t="str">
        <f t="shared" ca="1" si="184"/>
        <v>INDWDRHDH2N3</v>
      </c>
      <c r="E252" s="223" t="str">
        <f t="shared" ca="1" si="185"/>
        <v>Industrial heating technology Wood products RH - Gas boiler (Hot Water) - new 3</v>
      </c>
      <c r="F252" s="279" t="s">
        <v>450</v>
      </c>
      <c r="G252" s="279" t="s">
        <v>449</v>
      </c>
      <c r="H252" s="278"/>
      <c r="I252" s="278"/>
      <c r="J252" s="281" t="s">
        <v>469</v>
      </c>
    </row>
    <row r="253" spans="1:10">
      <c r="B253" s="223"/>
      <c r="C253" s="222" t="str">
        <f t="shared" ca="1" si="182"/>
        <v>DMD</v>
      </c>
      <c r="D253" s="223" t="str">
        <f t="shared" ca="1" si="184"/>
        <v>INDWDMTDH2N4</v>
      </c>
      <c r="E253" s="223" t="str">
        <f t="shared" ca="1" si="185"/>
        <v>Industrial heating technology Wood products MT - Gas boiler (Hot Water - condensing) - new 4</v>
      </c>
      <c r="F253" s="279" t="s">
        <v>450</v>
      </c>
      <c r="G253" s="279" t="s">
        <v>449</v>
      </c>
      <c r="H253" s="278"/>
      <c r="I253" s="278"/>
      <c r="J253" s="281" t="s">
        <v>469</v>
      </c>
    </row>
    <row r="254" spans="1:10">
      <c r="B254" s="223"/>
      <c r="C254" s="222" t="str">
        <f t="shared" ca="1" si="182"/>
        <v>DMD</v>
      </c>
      <c r="D254" s="223" t="str">
        <f t="shared" ca="1" si="184"/>
        <v>INDWDRHDH2N4</v>
      </c>
      <c r="E254" s="223" t="str">
        <f t="shared" ca="1" si="185"/>
        <v>Industrial heating technology Wood products RH - Gas boiler (Hot Water- condensing) - new 4</v>
      </c>
      <c r="F254" s="279" t="s">
        <v>450</v>
      </c>
      <c r="G254" s="279" t="s">
        <v>449</v>
      </c>
      <c r="H254" s="278"/>
      <c r="I254" s="278"/>
      <c r="J254" s="281" t="s">
        <v>469</v>
      </c>
    </row>
    <row r="255" spans="1:10">
      <c r="B255" s="223"/>
      <c r="C255" s="222" t="str">
        <f t="shared" ca="1" si="182"/>
        <v>DMD</v>
      </c>
      <c r="D255" s="223" t="str">
        <f t="shared" ca="1" si="184"/>
        <v>INDWDHTDH2N5</v>
      </c>
      <c r="E255" s="223" t="str">
        <f t="shared" ca="1" si="185"/>
        <v>Industrial heating technology Wood products HT - Gas boiler (Direct firing) - new 5</v>
      </c>
      <c r="F255" s="279" t="s">
        <v>450</v>
      </c>
      <c r="G255" s="279" t="s">
        <v>449</v>
      </c>
      <c r="H255" s="278"/>
      <c r="I255" s="278"/>
      <c r="J255" s="281" t="s">
        <v>469</v>
      </c>
    </row>
    <row r="256" spans="1:10">
      <c r="B256" s="223"/>
      <c r="C256" s="222" t="str">
        <f t="shared" ca="1" si="182"/>
        <v>DMD</v>
      </c>
      <c r="D256" s="223" t="str">
        <f t="shared" ca="1" si="184"/>
        <v>INDWDMTDH2N5</v>
      </c>
      <c r="E256" s="223" t="str">
        <f t="shared" ca="1" si="185"/>
        <v>Industrial heating technology Wood products MT - Gas boiler (Direct firing) - new 5</v>
      </c>
      <c r="F256" s="279" t="s">
        <v>450</v>
      </c>
      <c r="G256" s="279" t="s">
        <v>449</v>
      </c>
      <c r="H256" s="278"/>
      <c r="I256" s="278"/>
      <c r="J256" s="281" t="s">
        <v>469</v>
      </c>
    </row>
    <row r="257" spans="2:10">
      <c r="B257" s="223"/>
      <c r="C257" s="222" t="str">
        <f t="shared" ca="1" si="182"/>
        <v>DMD</v>
      </c>
      <c r="D257" s="223" t="str">
        <f t="shared" ca="1" si="184"/>
        <v>INDWDHTCOAN1</v>
      </c>
      <c r="E257" s="223" t="str">
        <f t="shared" ca="1" si="185"/>
        <v>Industrial heating technology Wood products HT - Coal boiler (Steam) - new 1</v>
      </c>
      <c r="F257" s="279" t="s">
        <v>450</v>
      </c>
      <c r="G257" s="279" t="s">
        <v>449</v>
      </c>
      <c r="H257" s="278"/>
      <c r="I257" s="278"/>
      <c r="J257" s="281" t="s">
        <v>469</v>
      </c>
    </row>
    <row r="258" spans="2:10">
      <c r="B258" s="223"/>
      <c r="C258" s="222" t="str">
        <f t="shared" ca="1" si="182"/>
        <v>DMD</v>
      </c>
      <c r="D258" s="223" t="str">
        <f t="shared" ca="1" si="184"/>
        <v>INDWDMTCOAN1</v>
      </c>
      <c r="E258" s="223" t="str">
        <f t="shared" ca="1" si="185"/>
        <v>Industrial heating technology Wood products MT - Coal boiler (Steam) - new 1</v>
      </c>
      <c r="F258" s="279" t="s">
        <v>450</v>
      </c>
      <c r="G258" s="279" t="s">
        <v>449</v>
      </c>
      <c r="H258" s="278"/>
      <c r="I258" s="278"/>
      <c r="J258" s="281" t="s">
        <v>469</v>
      </c>
    </row>
    <row r="259" spans="2:10">
      <c r="B259" s="223"/>
      <c r="C259" s="222" t="str">
        <f t="shared" ca="1" si="182"/>
        <v>DMD</v>
      </c>
      <c r="D259" s="223" t="str">
        <f t="shared" ca="1" si="184"/>
        <v>INDWDRHCOAN1</v>
      </c>
      <c r="E259" s="223" t="str">
        <f t="shared" ca="1" si="185"/>
        <v>Industrial heating technology Wood products RH - Coal boiler (Steam) - new 1</v>
      </c>
      <c r="F259" s="279" t="s">
        <v>450</v>
      </c>
      <c r="G259" s="279" t="s">
        <v>449</v>
      </c>
      <c r="H259" s="278"/>
      <c r="I259" s="278"/>
      <c r="J259" s="281" t="s">
        <v>469</v>
      </c>
    </row>
    <row r="260" spans="2:10">
      <c r="B260" s="223"/>
      <c r="C260" s="222" t="str">
        <f t="shared" ca="1" si="182"/>
        <v>DMD</v>
      </c>
      <c r="D260" s="223" t="str">
        <f t="shared" ca="1" si="184"/>
        <v>INDWDMTCOAN2</v>
      </c>
      <c r="E260" s="223" t="str">
        <f t="shared" ca="1" si="185"/>
        <v>Industrial heating technology Wood products MT - Coal boiler (Hot Water) - new 2</v>
      </c>
      <c r="F260" s="279" t="s">
        <v>450</v>
      </c>
      <c r="G260" s="279" t="s">
        <v>449</v>
      </c>
      <c r="H260" s="278"/>
      <c r="I260" s="278"/>
      <c r="J260" s="281" t="s">
        <v>469</v>
      </c>
    </row>
    <row r="261" spans="2:10">
      <c r="B261" s="223"/>
      <c r="C261" s="222" t="str">
        <f t="shared" ca="1" si="182"/>
        <v>DMD</v>
      </c>
      <c r="D261" s="223" t="str">
        <f t="shared" ca="1" si="184"/>
        <v>INDWDRHCOAN2</v>
      </c>
      <c r="E261" s="223" t="str">
        <f t="shared" ca="1" si="185"/>
        <v>Industrial heating technology Wood products RH - Coal boiler (Hot Water) - new 2</v>
      </c>
      <c r="F261" s="279" t="s">
        <v>450</v>
      </c>
      <c r="G261" s="279" t="s">
        <v>449</v>
      </c>
      <c r="H261" s="278"/>
      <c r="I261" s="278"/>
      <c r="J261" s="281" t="s">
        <v>469</v>
      </c>
    </row>
    <row r="262" spans="2:10">
      <c r="B262" s="223"/>
      <c r="C262" s="222" t="str">
        <f t="shared" ca="1" si="182"/>
        <v>DMD</v>
      </c>
      <c r="D262" s="223" t="str">
        <f t="shared" ca="1" si="184"/>
        <v>INDWDRHSOLN1</v>
      </c>
      <c r="E262" s="223" t="str">
        <f t="shared" ca="1" si="185"/>
        <v>Industrial heating technology Wood products RH - Solar - new 1</v>
      </c>
      <c r="F262" s="279" t="s">
        <v>450</v>
      </c>
      <c r="G262" s="279" t="s">
        <v>449</v>
      </c>
      <c r="H262" s="334" t="s">
        <v>665</v>
      </c>
      <c r="I262" s="278"/>
      <c r="J262" s="281" t="s">
        <v>469</v>
      </c>
    </row>
    <row r="263" spans="2:10">
      <c r="B263" s="223"/>
      <c r="C263" s="222" t="str">
        <f t="shared" si="182"/>
        <v>*</v>
      </c>
      <c r="D263" s="949" t="str">
        <f>D187</f>
        <v>*</v>
      </c>
      <c r="E263" s="949" t="str">
        <f t="shared" ca="1" si="185"/>
        <v>Industrial heating technology Wood products MT - Heat pump utilizing waste heat - new 1</v>
      </c>
      <c r="F263" s="279" t="s">
        <v>450</v>
      </c>
      <c r="G263" s="279" t="s">
        <v>449</v>
      </c>
      <c r="H263" s="334" t="s">
        <v>665</v>
      </c>
      <c r="I263" s="950"/>
      <c r="J263" s="280" t="s">
        <v>469</v>
      </c>
    </row>
    <row r="264" spans="2:10">
      <c r="B264" s="223"/>
      <c r="C264" s="222" t="str">
        <f t="shared" si="182"/>
        <v>*</v>
      </c>
      <c r="D264" s="223" t="str">
        <f t="shared" ref="D264" si="186">D188</f>
        <v>*</v>
      </c>
      <c r="E264" s="223" t="str">
        <f t="shared" ca="1" si="185"/>
        <v>Industrial heating technology Wood products MT - Heat pump utilizing waste heat - new 1</v>
      </c>
      <c r="F264" s="279" t="s">
        <v>450</v>
      </c>
      <c r="G264" s="279" t="s">
        <v>449</v>
      </c>
      <c r="H264" s="334" t="s">
        <v>665</v>
      </c>
      <c r="I264" s="278"/>
      <c r="J264" s="281" t="s">
        <v>469</v>
      </c>
    </row>
    <row r="265" spans="2:10">
      <c r="B265" s="223"/>
      <c r="C265" s="222" t="str">
        <f t="shared" si="182"/>
        <v>DMD</v>
      </c>
      <c r="D265" s="223" t="str">
        <f>D190</f>
        <v>INDWDLAELCN1</v>
      </c>
      <c r="E265" s="223" t="str">
        <f t="shared" ca="1" si="185"/>
        <v>Industry Wood products LA Electricity Light Appliance - New 1</v>
      </c>
      <c r="F265" s="279" t="s">
        <v>450</v>
      </c>
      <c r="G265" s="279" t="s">
        <v>449</v>
      </c>
      <c r="H265" s="334" t="s">
        <v>665</v>
      </c>
      <c r="I265" s="278"/>
      <c r="J265" s="281" t="s">
        <v>469</v>
      </c>
    </row>
    <row r="266" spans="2:10">
      <c r="B266" s="223"/>
      <c r="C266" s="222" t="str">
        <f t="shared" si="182"/>
        <v>DMD</v>
      </c>
      <c r="D266" s="223" t="str">
        <f>D194</f>
        <v>INDWDEMELCN1</v>
      </c>
      <c r="E266" s="223" t="str">
        <f t="shared" ca="1" si="185"/>
        <v>Industry Wood products EM Electricity Motors - New 1</v>
      </c>
      <c r="F266" s="279" t="s">
        <v>450</v>
      </c>
      <c r="G266" s="279" t="s">
        <v>449</v>
      </c>
      <c r="H266" s="334" t="s">
        <v>665</v>
      </c>
      <c r="I266" s="278"/>
      <c r="J266" s="281" t="s">
        <v>469</v>
      </c>
    </row>
    <row r="267" spans="2:10">
      <c r="B267" s="223"/>
      <c r="C267" s="222" t="str">
        <f t="shared" si="182"/>
        <v>DMD</v>
      </c>
      <c r="D267" s="223" t="str">
        <f>D198</f>
        <v>INDWDTFDSLN1</v>
      </c>
      <c r="E267" s="223" t="str">
        <f t="shared" ca="1" si="185"/>
        <v>Industry Wood products TF Tractors, Trucks, Fishing boats - New 1</v>
      </c>
      <c r="F267" s="279" t="s">
        <v>450</v>
      </c>
      <c r="G267" s="279" t="s">
        <v>449</v>
      </c>
      <c r="H267" s="278"/>
      <c r="I267" s="278"/>
      <c r="J267" s="281" t="s">
        <v>469</v>
      </c>
    </row>
    <row r="268" spans="2:10">
      <c r="B268" s="223"/>
      <c r="C268" s="222" t="str">
        <f t="shared" si="182"/>
        <v>DMD</v>
      </c>
      <c r="D268" s="223" t="str">
        <f>D202</f>
        <v>INDWDFLDH2N1</v>
      </c>
      <c r="E268" s="223" t="str">
        <f t="shared" ca="1" si="185"/>
        <v>Industry Wood products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IWDSOx</v>
      </c>
      <c r="E273" s="287" t="str">
        <f>"Industrial heating  heating technology "&amp;$AJ$12&amp;" - SOx emission"</f>
        <v>Industrial heating  heating technology Wood products - SOx emission</v>
      </c>
      <c r="F273" s="231" t="s">
        <v>352</v>
      </c>
      <c r="G273" s="222"/>
      <c r="H273" s="222"/>
      <c r="I273" s="222"/>
      <c r="J273" s="222"/>
    </row>
    <row r="274" spans="2:10">
      <c r="B274" s="226"/>
      <c r="C274" s="226"/>
      <c r="D274" s="277" t="str">
        <f>"I"&amp;LEFT($AJ$12,1)&amp;"DNOx"</f>
        <v>IWDNOx</v>
      </c>
      <c r="E274" s="287" t="str">
        <f>"Industrial heating  heating technology "&amp;$AJ$12&amp;" - NOx emission"</f>
        <v>Industrial heating  heating technology Wood products - NOx emission</v>
      </c>
      <c r="F274" s="231" t="s">
        <v>352</v>
      </c>
      <c r="G274" s="222"/>
      <c r="H274" s="226"/>
      <c r="I274" s="226"/>
      <c r="J274" s="226"/>
    </row>
    <row r="275" spans="2:10">
      <c r="B275" s="226"/>
      <c r="C275" s="226"/>
      <c r="D275" s="277" t="str">
        <f>"I"&amp;LEFT($AJ$12,1)&amp;"DCH4"</f>
        <v>IWDCH4</v>
      </c>
      <c r="E275" s="287" t="str">
        <f>"Industrial heating  heating technology "&amp;$AJ$12&amp;" - CH4 emission"</f>
        <v>Industrial heating  heating technology Wood products - CH4 emission</v>
      </c>
      <c r="F275" s="231" t="s">
        <v>352</v>
      </c>
      <c r="G275" s="222"/>
      <c r="H275" s="226"/>
      <c r="I275" s="226"/>
      <c r="J275" s="226"/>
    </row>
    <row r="276" spans="2:10">
      <c r="B276" s="226"/>
      <c r="C276" s="226"/>
      <c r="D276" s="277" t="str">
        <f>"I"&amp;LEFT($AJ$12,1)&amp;"DNO2"</f>
        <v>IWDNO2</v>
      </c>
      <c r="E276" s="287" t="str">
        <f>"Industrial heating  heating technology "&amp;$AJ$12&amp;" - NO2 emission"</f>
        <v>Industrial heating  heating technology Wood products - NO2 emission</v>
      </c>
      <c r="F276" s="231" t="s">
        <v>352</v>
      </c>
      <c r="G276" s="222"/>
      <c r="H276" s="226"/>
      <c r="I276" s="226"/>
      <c r="J276" s="226"/>
    </row>
    <row r="277" spans="2:10">
      <c r="B277" s="226"/>
      <c r="C277" s="226"/>
      <c r="D277" s="277" t="str">
        <f>"I"&amp;LEFT($AJ$12,1)&amp;"DPM"</f>
        <v>IWDPM</v>
      </c>
      <c r="E277" s="287" t="str">
        <f>"Industrial heating  heating technology "&amp;$AJ$12&amp;" - Particle emission"</f>
        <v>Industrial heating  heating technology Wood products - Particle emission</v>
      </c>
      <c r="F277" s="231" t="s">
        <v>352</v>
      </c>
      <c r="G277" s="222"/>
      <c r="H277" s="226"/>
      <c r="I277" s="226"/>
      <c r="J277" s="226"/>
    </row>
    <row r="278" spans="2:10">
      <c r="B278" s="239" t="s">
        <v>1182</v>
      </c>
      <c r="D278" s="239" t="str">
        <f>AI20</f>
        <v>INDWWH</v>
      </c>
      <c r="E278" s="287" t="str">
        <f>"Industrial heating technology "&amp;$AJ$12&amp;" - Waste heat"</f>
        <v>Industrial heating technology Wood products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DF68587-C75D-476C-A912-E553714A9C0B}">
          <x14:formula1>
            <xm:f>'Oil-fired boiler_NEW'!$T$4:$X$4</xm:f>
          </x14:formula1>
          <xm:sqref>E1</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09155-C92C-4FFC-9121-81EEA92FE344}">
  <sheetPr>
    <tabColor rgb="FF00B050"/>
  </sheetPr>
  <dimension ref="A1:AP278"/>
  <sheetViews>
    <sheetView topLeftCell="D1"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841</v>
      </c>
      <c r="N1" s="64"/>
      <c r="O1" s="64"/>
      <c r="P1" s="64"/>
      <c r="S1" s="787" t="s">
        <v>1129</v>
      </c>
      <c r="T1" s="836" t="s">
        <v>1128</v>
      </c>
      <c r="U1" s="835" t="s">
        <v>1178</v>
      </c>
      <c r="V1" s="836" t="s">
        <v>1179</v>
      </c>
      <c r="W1" s="840">
        <v>0.3</v>
      </c>
    </row>
    <row r="2" spans="2:42" ht="15" thickBot="1">
      <c r="E2" s="790" t="s">
        <v>1271</v>
      </c>
      <c r="N2" s="791"/>
      <c r="O2" s="791"/>
      <c r="P2" s="791"/>
      <c r="S2" s="786">
        <f>MATCH($E$1,$AJ$22:$AJ$35)</f>
        <v>7</v>
      </c>
      <c r="T2" s="838">
        <f>MATCH($E$1,$AJ$22:$AJ$35)+1</f>
        <v>8</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FEMIS~IODSOx</v>
      </c>
      <c r="Y6" s="299" t="str">
        <f>"FEMIS~"&amp;D274</f>
        <v>FEMIS~IODNOx</v>
      </c>
      <c r="Z6" s="299" t="str">
        <f>"FEMIS~"&amp;D275</f>
        <v>FEMIS~IODCH4</v>
      </c>
      <c r="AA6" s="299" t="str">
        <f>"FEMIS~"&amp;D276</f>
        <v>FEMIS~IODNO2</v>
      </c>
      <c r="AB6" s="299" t="str">
        <f>"FEMIS~"&amp;D277</f>
        <v>FEMIS~IODPM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INDODMTELCN1</v>
      </c>
      <c r="E9" s="278" t="str">
        <f>"Industrial heating technology "&amp;$AJ$12&amp;" "&amp;RIGHT(H9,2)&amp;" - Heat pump utilizing waste heat - new 1"</f>
        <v>Industrial heating technology Other MT - Heat pump utilizing waste heat - new 1</v>
      </c>
      <c r="F9" s="239" t="s">
        <v>1274</v>
      </c>
      <c r="G9" s="176" t="s">
        <v>500</v>
      </c>
      <c r="H9" s="177" t="str">
        <f>$AI$14</f>
        <v>IODMT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0.22</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
      </c>
      <c r="E10" s="278"/>
      <c r="F10" s="239" t="s">
        <v>1274</v>
      </c>
      <c r="G10" s="176" t="str">
        <f>$AI$20</f>
        <v>INDOWH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
      </c>
      <c r="E11" s="223"/>
      <c r="F11" s="239" t="s">
        <v>1274</v>
      </c>
      <c r="G11" s="176" t="s">
        <v>500</v>
      </c>
      <c r="H11" s="177" t="str">
        <f>$AI$14</f>
        <v>IODMT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
      </c>
      <c r="E12" s="223"/>
      <c r="F12" s="239" t="s">
        <v>1274</v>
      </c>
      <c r="G12" s="176" t="str">
        <f>$AI$20</f>
        <v>INDOWH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Other</v>
      </c>
    </row>
    <row r="13" spans="2:42">
      <c r="B13" s="393" t="s">
        <v>1123</v>
      </c>
      <c r="D13" s="223" t="str">
        <f ca="1">IF(T9=0,"*",IF(T13&gt;0,"IND"&amp;RIGHT(H9,4)&amp;RIGHT(G9,3)&amp;"N"&amp;RIGHT(E9,1),""))</f>
        <v/>
      </c>
      <c r="E13" s="223"/>
      <c r="F13" s="239" t="s">
        <v>1274</v>
      </c>
      <c r="G13" s="176" t="s">
        <v>500</v>
      </c>
      <c r="H13" s="177" t="str">
        <f>$AI$14</f>
        <v>IODMT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IODHT</v>
      </c>
      <c r="AJ13" s="239" t="str">
        <f>AP14</f>
        <v>Other comm Demand Heat High Temp. over 150C</v>
      </c>
      <c r="AO13" s="239" t="s">
        <v>1372</v>
      </c>
      <c r="AP13" s="239" t="s">
        <v>1373</v>
      </c>
    </row>
    <row r="14" spans="2:42">
      <c r="B14" s="393" t="s">
        <v>1123</v>
      </c>
      <c r="D14" s="223" t="str">
        <f ca="1">IF(T9=0,"*",IF(T14&gt;0,"IND"&amp;RIGHT(H9,4)&amp;RIGHT(G9,3)&amp;"N"&amp;RIGHT(E9,1),""))</f>
        <v/>
      </c>
      <c r="E14" s="223"/>
      <c r="F14" s="239" t="s">
        <v>1274</v>
      </c>
      <c r="G14" s="176" t="str">
        <f>$AI$20</f>
        <v>INDOWH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IODMT</v>
      </c>
      <c r="AJ14" s="239" t="str">
        <f>AP13</f>
        <v>Other comm Demand Heat Medium Temp. up to 150C</v>
      </c>
      <c r="AO14" s="239" t="s">
        <v>1374</v>
      </c>
      <c r="AP14" s="239" t="s">
        <v>1375</v>
      </c>
    </row>
    <row r="15" spans="2:42">
      <c r="B15" s="393" t="s">
        <v>1123</v>
      </c>
      <c r="D15" s="223" t="str">
        <f ca="1">IF(T15=0,"*",IF(T15&gt;0,"IND"&amp;RIGHT(H15,4)&amp;RIGHT(G15,3)&amp;"N"&amp;RIGHT(E15,1),""))</f>
        <v>INDODRHELCN1</v>
      </c>
      <c r="E15" s="278" t="str">
        <f>"Industrial heating technology "&amp;$AJ$12&amp;" "&amp;RIGHT(H15,2)&amp;" - Heat pump utilizing waste heat - new 1"</f>
        <v>Industrial heating technology Other RH - Heat pump utilizing waste heat - new 1</v>
      </c>
      <c r="F15" s="239" t="s">
        <v>1274</v>
      </c>
      <c r="G15" s="176" t="s">
        <v>500</v>
      </c>
      <c r="H15" s="177" t="str">
        <f>$AI$15</f>
        <v>IODRH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IODRH</v>
      </c>
      <c r="AJ15" s="239" t="str">
        <f>AP15</f>
        <v>Other comm Demand Heat Room Heat</v>
      </c>
      <c r="AO15" s="239" t="s">
        <v>1376</v>
      </c>
      <c r="AP15" s="239" t="s">
        <v>1377</v>
      </c>
    </row>
    <row r="16" spans="2:42">
      <c r="B16" s="393" t="s">
        <v>1123</v>
      </c>
      <c r="D16" s="223" t="str">
        <f ca="1">IF(T15=0,"*",IF(T16&gt;0,"IND"&amp;RIGHT(H15,4)&amp;RIGHT(G15,3)&amp;"N"&amp;RIGHT(E15,1),""))</f>
        <v/>
      </c>
      <c r="E16" s="278"/>
      <c r="F16" s="239" t="s">
        <v>1274</v>
      </c>
      <c r="G16" s="176" t="str">
        <f>$AI$20</f>
        <v>INDOWH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IODLA</v>
      </c>
      <c r="AJ16" s="239" t="str">
        <f t="shared" si="6"/>
        <v>Other comm Demand Light</v>
      </c>
      <c r="AO16" s="239" t="s">
        <v>1378</v>
      </c>
      <c r="AP16" s="239" t="s">
        <v>1379</v>
      </c>
    </row>
    <row r="17" spans="2:42">
      <c r="B17" s="393" t="s">
        <v>1123</v>
      </c>
      <c r="D17" s="223" t="str">
        <f ca="1">IF(T15=0,"*",IF(T17&gt;0,"IND"&amp;RIGHT(H15,4)&amp;RIGHT(G15,3)&amp;"N"&amp;RIGHT(E15,1),""))</f>
        <v/>
      </c>
      <c r="E17" s="223"/>
      <c r="F17" s="239" t="s">
        <v>1274</v>
      </c>
      <c r="G17" s="176" t="s">
        <v>500</v>
      </c>
      <c r="H17" s="177" t="str">
        <f>$AI$15</f>
        <v>IODRH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IODEM</v>
      </c>
      <c r="AJ17" s="239" t="str">
        <f t="shared" si="6"/>
        <v>Other comm Demand Electric Motors</v>
      </c>
      <c r="AO17" s="239" t="s">
        <v>1380</v>
      </c>
      <c r="AP17" s="239" t="s">
        <v>1381</v>
      </c>
    </row>
    <row r="18" spans="2:42">
      <c r="B18" s="393" t="s">
        <v>1123</v>
      </c>
      <c r="D18" s="223" t="str">
        <f ca="1">IF(T15=0,"*",IF(T18&gt;0,"IND"&amp;RIGHT(H15,4)&amp;RIGHT(G15,3)&amp;"N"&amp;RIGHT(E15,1),""))</f>
        <v/>
      </c>
      <c r="E18" s="223"/>
      <c r="F18" s="239" t="s">
        <v>1274</v>
      </c>
      <c r="G18" s="176" t="str">
        <f>$AI$20</f>
        <v>INDOWH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IODTF</v>
      </c>
      <c r="AJ18" s="239" t="str">
        <f t="shared" si="6"/>
        <v>Other comm Demand Haulage Tractors, Trucks, Fishing boats, Forest machines</v>
      </c>
      <c r="AO18" s="239" t="s">
        <v>1382</v>
      </c>
      <c r="AP18" s="239" t="s">
        <v>1383</v>
      </c>
    </row>
    <row r="19" spans="2:42">
      <c r="B19" s="393" t="s">
        <v>1123</v>
      </c>
      <c r="D19" s="223" t="str">
        <f ca="1">IF(T15=0,"*",IF(T19&gt;0,"IND"&amp;RIGHT(H15,4)&amp;RIGHT(G15,3)&amp;"N"&amp;RIGHT(E15,1),""))</f>
        <v/>
      </c>
      <c r="E19" s="223"/>
      <c r="F19" s="239" t="s">
        <v>1274</v>
      </c>
      <c r="G19" s="176" t="s">
        <v>500</v>
      </c>
      <c r="H19" s="177" t="str">
        <f>$AI$15</f>
        <v>IODRH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IODFL</v>
      </c>
      <c r="AJ19" s="239" t="str">
        <f t="shared" si="6"/>
        <v>Other comm Demand Haulage Forklifts</v>
      </c>
      <c r="AO19" s="239" t="s">
        <v>1384</v>
      </c>
      <c r="AP19" s="239" t="s">
        <v>1385</v>
      </c>
    </row>
    <row r="20" spans="2:42">
      <c r="B20" s="393" t="s">
        <v>1123</v>
      </c>
      <c r="D20" s="223" t="str">
        <f ca="1">IF(T15=0,"*",IF(T20&gt;0,"IND"&amp;RIGHT(H15,4)&amp;RIGHT(G15,3)&amp;"N"&amp;RIGHT(E15,1),""))</f>
        <v/>
      </c>
      <c r="E20" s="223"/>
      <c r="F20" s="239" t="s">
        <v>1274</v>
      </c>
      <c r="G20" s="176" t="str">
        <f>$AI$20</f>
        <v>INDOWH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INDOWH</v>
      </c>
      <c r="AJ20" s="239" t="str">
        <f>$AJ$12&amp;" Industrial Waste Heat"</f>
        <v>Other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Other MT - Heat driven heat pump utilizing waste heat - new 2</v>
      </c>
      <c r="F21" s="239" t="s">
        <v>1274</v>
      </c>
      <c r="G21" s="176" t="s">
        <v>500</v>
      </c>
      <c r="H21" s="177" t="str">
        <f>$AI$14</f>
        <v>IODMT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INDOWH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IODMT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INDOWH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IODMT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INDOWH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INDODRHELCN2</v>
      </c>
      <c r="E27" s="278" t="str">
        <f>"Industrial heating technology "&amp;$AJ$12&amp;" "&amp;RIGHT(H27,2)&amp;" - Heat driven heat pump utilizing waste heat - new 2"</f>
        <v>Industrial heating technology Other RH - Heat driven heat pump utilizing waste heat - new 2</v>
      </c>
      <c r="F27" s="239" t="s">
        <v>1274</v>
      </c>
      <c r="G27" s="176" t="s">
        <v>500</v>
      </c>
      <c r="H27" s="177" t="str">
        <f>$AI$15</f>
        <v>IODRH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INDOWH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IODRH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INDOWH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IODRH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INDOWH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INDODMTELCN3</v>
      </c>
      <c r="E33" s="278" t="str">
        <f>"Industrial heating technology "&amp;$AJ$12&amp;" "&amp;RIGHT(H33,2)&amp;" - High Temp abs. Heat pump utilizing waste heat - new 3"</f>
        <v>Industrial heating technology Other MT - High Temp abs. Heat pump utilizing waste heat - new 3</v>
      </c>
      <c r="F33" s="239" t="s">
        <v>1274</v>
      </c>
      <c r="G33" s="176" t="s">
        <v>500</v>
      </c>
      <c r="H33" s="177" t="str">
        <f>$AI$14</f>
        <v>IODMT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0.26</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INDOWH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IODMT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INDOWH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IODMT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INDOWH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INDODRHELCN3</v>
      </c>
      <c r="E39" s="278" t="str">
        <f>"Industrial heating technology "&amp;$AJ$12&amp;" "&amp;RIGHT(H39,2)&amp;" - High Temp abs. Heat pump utilizing waste heat - new 3"</f>
        <v>Industrial heating technology Other RH - High Temp abs. Heat pump utilizing waste heat - new 3</v>
      </c>
      <c r="F39" s="239" t="s">
        <v>1274</v>
      </c>
      <c r="G39" s="176" t="s">
        <v>500</v>
      </c>
      <c r="H39" s="177" t="str">
        <f>$AI$15</f>
        <v>IODRH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INDOWH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IODRH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INDOWH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IODRH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INDOWH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INDODMTELCN4</v>
      </c>
      <c r="E45" s="278" t="str">
        <f>"Industrial heating technology "&amp;$AJ$12&amp;" "&amp;RIGHT(H45,2)&amp;" - Booster Heat pump utilizing waste heat - new 4"</f>
        <v>Industrial heating technology Other MT - Booster Heat pump utilizing waste heat - new 4</v>
      </c>
      <c r="F45" s="239" t="s">
        <v>1274</v>
      </c>
      <c r="G45" s="176" t="s">
        <v>500</v>
      </c>
      <c r="H45" s="177" t="str">
        <f>$AI$14</f>
        <v>IODMT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0.36</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INDOWH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IODMT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INDOWH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IODMT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INDOWH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INDODRHELCN4</v>
      </c>
      <c r="E51" s="278" t="str">
        <f>"Industrial heating technology "&amp;$AJ$12&amp;" "&amp;RIGHT(H51,2)&amp;" - Booster Heat pump utilizing waste heat - new 4"</f>
        <v>Industrial heating technology Other RH - Booster Heat pump utilizing waste heat - new 4</v>
      </c>
      <c r="F51" s="239" t="s">
        <v>1274</v>
      </c>
      <c r="G51" s="176" t="s">
        <v>500</v>
      </c>
      <c r="H51" s="177" t="str">
        <f>$AI$15</f>
        <v>IODRH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INDOWH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IODRH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INDOWH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IODRH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INDOWH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INDODMTELCN5</v>
      </c>
      <c r="E57" s="278" t="str">
        <f>"Industrial heating technology "&amp;$AJ$12&amp;" "&amp;RIGHT(H57,2)&amp;" - MVR utilizing waste heat - new 5"</f>
        <v>Industrial heating technology Other MT - MVR utilizing waste heat - new 5</v>
      </c>
      <c r="F57" s="239" t="s">
        <v>1274</v>
      </c>
      <c r="G57" s="176" t="s">
        <v>500</v>
      </c>
      <c r="H57" s="177" t="str">
        <f>$AI$14</f>
        <v>IODMT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0.05</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INDOWH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IODMT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INDOWH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IODMT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INDOWH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Other HT - Hotdisc - new 1</v>
      </c>
      <c r="F63" s="239" t="s">
        <v>1274</v>
      </c>
      <c r="G63" s="892" t="s">
        <v>1130</v>
      </c>
      <c r="H63" s="177" t="str">
        <f>$AI$13</f>
        <v>IODHT</v>
      </c>
      <c r="I63" s="176" t="str">
        <f t="shared" ref="I63:I94" si="53">$AI$20</f>
        <v>INDOWH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INDOWH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INDOWH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INDODMTELCN6</v>
      </c>
      <c r="E66" s="278" t="str">
        <f>"Industrial heating technology "&amp;$AJ$12&amp;" "&amp;RIGHT(H66,2)&amp;" - Dielectric heating - new 6"</f>
        <v>Industrial heating technology Other MT - Dielectric heating - new 6</v>
      </c>
      <c r="F66" s="239" t="s">
        <v>1274</v>
      </c>
      <c r="G66" s="176" t="s">
        <v>500</v>
      </c>
      <c r="H66" s="177" t="str">
        <f>$AI$14</f>
        <v>IODMT</v>
      </c>
      <c r="I66" s="176" t="str">
        <f t="shared" si="53"/>
        <v>INDOWH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0.05</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
      </c>
      <c r="E67" s="223"/>
      <c r="F67" s="239" t="s">
        <v>1274</v>
      </c>
      <c r="H67" s="177"/>
      <c r="I67" s="176" t="str">
        <f t="shared" si="53"/>
        <v>INDOWH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
      </c>
      <c r="E68" s="223"/>
      <c r="F68" s="239" t="s">
        <v>1274</v>
      </c>
      <c r="H68" s="177"/>
      <c r="I68" s="176" t="str">
        <f t="shared" si="53"/>
        <v>INDOWH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INDODMTELCN7</v>
      </c>
      <c r="E69" s="278" t="str">
        <f>"Industrial heating technology "&amp;$AJ$12&amp;" "&amp;RIGHT(H69,2)&amp;" - Infrared heating - new 7"</f>
        <v>Industrial heating technology Other MT - Infrared heating - new 7</v>
      </c>
      <c r="F69" s="239" t="s">
        <v>1274</v>
      </c>
      <c r="G69" s="176" t="s">
        <v>500</v>
      </c>
      <c r="H69" s="177" t="str">
        <f>$AI$14</f>
        <v>IODMT</v>
      </c>
      <c r="I69" s="176" t="str">
        <f t="shared" si="53"/>
        <v>INDOWH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0.05</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
      </c>
      <c r="E70" s="223"/>
      <c r="F70" s="239" t="s">
        <v>1274</v>
      </c>
      <c r="H70" s="177"/>
      <c r="I70" s="176" t="str">
        <f t="shared" si="53"/>
        <v>INDOWH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
      </c>
      <c r="E71" s="223"/>
      <c r="F71" s="239" t="s">
        <v>1274</v>
      </c>
      <c r="H71" s="177"/>
      <c r="I71" s="177" t="str">
        <f t="shared" si="53"/>
        <v>INDOWH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INDODHTELCN8</v>
      </c>
      <c r="E72" s="278" t="str">
        <f>"Industrial heating technology "&amp;$AJ$12&amp;" "&amp;RIGHT(H72,2)&amp;" - Electric boiler (Steam) - new 8"</f>
        <v>Industrial heating technology Other HT - Electric boiler (Steam) - new 8</v>
      </c>
      <c r="F72" s="239" t="s">
        <v>1274</v>
      </c>
      <c r="G72" s="176" t="s">
        <v>500</v>
      </c>
      <c r="H72" s="177" t="str">
        <f>$AI$13</f>
        <v>IODHT</v>
      </c>
      <c r="I72" s="177" t="str">
        <f t="shared" si="53"/>
        <v>INDOWH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INDOWH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INDOWH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INDODMTELCN8</v>
      </c>
      <c r="E75" s="278" t="str">
        <f>"Industrial heating technology "&amp;$AJ$12&amp;" "&amp;RIGHT(H75,2)&amp;" - Electric boiler (Steam) - new 8"</f>
        <v>Industrial heating technology Other MT - Electric boiler (Steam) - new 8</v>
      </c>
      <c r="F75" s="239" t="s">
        <v>1274</v>
      </c>
      <c r="G75" s="176" t="s">
        <v>500</v>
      </c>
      <c r="H75" s="177" t="str">
        <f>$AI$14</f>
        <v>IODMT</v>
      </c>
      <c r="I75" s="177" t="str">
        <f t="shared" si="53"/>
        <v>INDOWH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INDOWH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INDOWH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INDODRHELCN8</v>
      </c>
      <c r="E78" s="278" t="str">
        <f>"Industrial heating technology "&amp;$AJ$12&amp;" "&amp;RIGHT(H78,2)&amp;" - Electric boiler (Steam) - new 8"</f>
        <v>Industrial heating technology Other RH - Electric boiler (Steam) - new 8</v>
      </c>
      <c r="F78" s="239" t="s">
        <v>1274</v>
      </c>
      <c r="G78" s="176" t="s">
        <v>500</v>
      </c>
      <c r="H78" s="177" t="str">
        <f>$AI$15</f>
        <v>IODRH</v>
      </c>
      <c r="I78" s="177" t="str">
        <f t="shared" si="53"/>
        <v>INDOWH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
      </c>
      <c r="E79" s="223"/>
      <c r="F79" s="239" t="s">
        <v>1274</v>
      </c>
      <c r="H79" s="177"/>
      <c r="I79" s="177" t="str">
        <f t="shared" si="53"/>
        <v>INDOWH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
      </c>
      <c r="E80" s="223"/>
      <c r="F80" s="239" t="s">
        <v>1274</v>
      </c>
      <c r="H80" s="177"/>
      <c r="I80" s="177" t="str">
        <f t="shared" si="53"/>
        <v>INDOWH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INDODMTELCN9</v>
      </c>
      <c r="E81" s="767" t="str">
        <f>"Industrial heating technology "&amp;$AJ$12&amp;" "&amp;RIGHT(H81,2)&amp;" - Electric boiler (Hot Water) - new 9"</f>
        <v>Industrial heating technology Other MT - Electric boiler (Hot Water) - new 9</v>
      </c>
      <c r="F81" s="239" t="s">
        <v>1274</v>
      </c>
      <c r="G81" s="768" t="s">
        <v>500</v>
      </c>
      <c r="H81" s="768" t="str">
        <f>$AI$14</f>
        <v>IODMT</v>
      </c>
      <c r="I81" s="768" t="str">
        <f t="shared" si="53"/>
        <v>INDOWH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INDOWH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INDOWH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INDODRHELCN9</v>
      </c>
      <c r="E84" s="278" t="str">
        <f>"Industrial heating technology "&amp;$AJ$12&amp;" "&amp;RIGHT(H84,2)&amp;" - Electric boiler (Hot Water) - new 9"</f>
        <v>Industrial heating technology Other RH - Electric boiler (Hot Water) - new 9</v>
      </c>
      <c r="F84" s="239" t="s">
        <v>1274</v>
      </c>
      <c r="G84" s="177" t="s">
        <v>500</v>
      </c>
      <c r="H84" s="177" t="str">
        <f>$AI$15</f>
        <v>IODRH</v>
      </c>
      <c r="I84" s="177" t="str">
        <f t="shared" si="53"/>
        <v>INDOWH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3"/>
        <v>INDOWH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3"/>
        <v>INDOWH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INDODHTWCHN1</v>
      </c>
      <c r="E87" s="278" t="str">
        <f>"Industrial heating technology "&amp;$AJ$12&amp;" "&amp;RIGHT(H87,2)&amp;" - Wood chip boiler (Steam) - new 1"</f>
        <v>Industrial heating technology Other HT - Wood chip boiler (Steam) - new 1</v>
      </c>
      <c r="F87" s="239" t="s">
        <v>1274</v>
      </c>
      <c r="G87" s="176" t="s">
        <v>499</v>
      </c>
      <c r="H87" s="177" t="str">
        <f>$AI$13</f>
        <v>IODHT</v>
      </c>
      <c r="I87" s="177" t="str">
        <f t="shared" si="53"/>
        <v>INDOWH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3"/>
        <v>INDOWH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
      </c>
      <c r="E89" s="223"/>
      <c r="F89" s="239" t="s">
        <v>1274</v>
      </c>
      <c r="H89" s="177"/>
      <c r="I89" s="177" t="str">
        <f t="shared" si="53"/>
        <v>INDOWH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INDODMTWCHN1</v>
      </c>
      <c r="E90" s="278" t="str">
        <f>"Industrial heating technology "&amp;$AJ$12&amp;" "&amp;RIGHT(H90,2)&amp;" - Wood chip boiler (Steam) - new 1"</f>
        <v>Industrial heating technology Other MT - Wood chip boiler (Steam) - new 1</v>
      </c>
      <c r="F90" s="239" t="s">
        <v>1274</v>
      </c>
      <c r="G90" s="176" t="s">
        <v>499</v>
      </c>
      <c r="H90" s="177" t="str">
        <f>$AI$14</f>
        <v>IODMT</v>
      </c>
      <c r="I90" s="177" t="str">
        <f t="shared" si="53"/>
        <v>INDOWH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INDOWH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INDOWH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INDODRHWCHN1</v>
      </c>
      <c r="E93" s="278" t="str">
        <f>"Industrial heating technology "&amp;$AJ$12&amp;" "&amp;RIGHT(H93,2)&amp;" - Wood chip boiler (Steam) - new 1"</f>
        <v>Industrial heating technology Other RH - Wood chip boiler (Steam) - new 1</v>
      </c>
      <c r="F93" s="239" t="s">
        <v>1274</v>
      </c>
      <c r="G93" s="176" t="s">
        <v>499</v>
      </c>
      <c r="H93" s="177" t="str">
        <f>$AI$15</f>
        <v>IODRH</v>
      </c>
      <c r="I93" s="177" t="str">
        <f t="shared" si="53"/>
        <v>INDOWH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INDOWH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INDOWH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INDODMTWCHN2</v>
      </c>
      <c r="E96" s="767" t="str">
        <f>"Industrial heating technology "&amp;$AJ$12&amp;" "&amp;RIGHT(H96,2)&amp;" - Wood chip boiler (Steam - condensing) - new 2"</f>
        <v>Industrial heating technology Other MT - Wood chip boiler (Steam - condensing) - new 2</v>
      </c>
      <c r="F96" s="239" t="s">
        <v>1274</v>
      </c>
      <c r="G96" s="768" t="s">
        <v>499</v>
      </c>
      <c r="H96" s="768" t="str">
        <f>$AI$14</f>
        <v>IODMT</v>
      </c>
      <c r="I96" s="768" t="str">
        <f t="shared" si="80"/>
        <v>INDOWH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INDOWH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INDOWH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INDODRHWCHN2</v>
      </c>
      <c r="E99" s="278" t="str">
        <f>"Industrial heating technology "&amp;$AJ$12&amp;" "&amp;RIGHT(H99,2)&amp;" - Wood chip boiler (Steam - condensing) - new 2"</f>
        <v>Industrial heating technology Other RH - Wood chip boiler (Steam - condensing) - new 2</v>
      </c>
      <c r="F99" s="239" t="s">
        <v>1274</v>
      </c>
      <c r="G99" s="177" t="s">
        <v>499</v>
      </c>
      <c r="H99" s="177" t="str">
        <f>$AI$15</f>
        <v>IODRH</v>
      </c>
      <c r="I99" s="177" t="str">
        <f t="shared" si="80"/>
        <v>INDOWH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INDOWH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INDOWH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INDODMTWCHN3</v>
      </c>
      <c r="E102" s="767" t="str">
        <f>"Industrial heating technology "&amp;$AJ$12&amp;" "&amp;RIGHT(H102,2)&amp;" - Wood chip boiler (Hot Water) - new 3"</f>
        <v>Industrial heating technology Other MT - Wood chip boiler (Hot Water) - new 3</v>
      </c>
      <c r="F102" s="239" t="s">
        <v>1274</v>
      </c>
      <c r="G102" s="768" t="s">
        <v>499</v>
      </c>
      <c r="H102" s="768" t="str">
        <f>$AI$14</f>
        <v>IODMT</v>
      </c>
      <c r="I102" s="768" t="str">
        <f t="shared" si="80"/>
        <v>INDOWH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INDOWH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INDOWH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INDODRHWCHN3</v>
      </c>
      <c r="E105" s="278" t="str">
        <f>"Industrial heating technology "&amp;$AJ$12&amp;" "&amp;RIGHT(H105,2)&amp;" - Wood chip boiler (Hot Water) - new 3"</f>
        <v>Industrial heating technology Other RH - Wood chip boiler (Hot Water) - new 3</v>
      </c>
      <c r="F105" s="239" t="s">
        <v>1274</v>
      </c>
      <c r="G105" s="177" t="s">
        <v>499</v>
      </c>
      <c r="H105" s="177" t="str">
        <f>$AI$15</f>
        <v>IODRH</v>
      </c>
      <c r="I105" s="177" t="str">
        <f t="shared" si="80"/>
        <v>INDOWH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INDOWH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INDOWH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INDODMTWCHN4</v>
      </c>
      <c r="E108" s="767" t="str">
        <f>"Industrial heating technology "&amp;$AJ$12&amp;" "&amp;RIGHT(H108,2)&amp;" - Wood chip boiler (Hot Water - condensing) - new 4"</f>
        <v>Industrial heating technology Other MT - Wood chip boiler (Hot Water - condensing) - new 4</v>
      </c>
      <c r="F108" s="239" t="s">
        <v>1274</v>
      </c>
      <c r="G108" s="768" t="s">
        <v>499</v>
      </c>
      <c r="H108" s="768" t="str">
        <f>$AI$14</f>
        <v>IODMT</v>
      </c>
      <c r="I108" s="768" t="str">
        <f t="shared" si="80"/>
        <v>INDOWH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INDOWH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INDOWH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INDODRHWCHN4</v>
      </c>
      <c r="E111" s="278" t="str">
        <f>"Industrial heating technology "&amp;$AJ$12&amp;" "&amp;RIGHT(H111,2)&amp;" - Wood chip boiler (Hot Water- condensing) - new 4"</f>
        <v>Industrial heating technology Other RH - Wood chip boiler (Hot Water- condensing) - new 4</v>
      </c>
      <c r="F111" s="239" t="s">
        <v>1274</v>
      </c>
      <c r="G111" s="177" t="s">
        <v>499</v>
      </c>
      <c r="H111" s="177" t="str">
        <f>$AI$15</f>
        <v>IODRH</v>
      </c>
      <c r="I111" s="177" t="str">
        <f t="shared" si="80"/>
        <v>INDOWH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INDOWH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INDOWH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Other HT - Direct electric heating - new 10</v>
      </c>
      <c r="F114" s="239" t="s">
        <v>1274</v>
      </c>
      <c r="G114" s="176" t="s">
        <v>500</v>
      </c>
      <c r="H114" s="177" t="str">
        <f>$AI$13</f>
        <v>IODHT</v>
      </c>
      <c r="I114" s="177" t="str">
        <f t="shared" si="80"/>
        <v>INDOWH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80"/>
        <v>INDOWH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80"/>
        <v>INDOWH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Other MT - Direct electric heating - new 10</v>
      </c>
      <c r="F117" s="239" t="s">
        <v>1274</v>
      </c>
      <c r="G117" s="176" t="s">
        <v>500</v>
      </c>
      <c r="H117" s="177" t="str">
        <f>$AI$14</f>
        <v>IODMT</v>
      </c>
      <c r="I117" s="177" t="str">
        <f t="shared" si="80"/>
        <v>INDOWH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INDOWH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INDOWH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INDODHTDSEN1</v>
      </c>
      <c r="E120" s="278" t="str">
        <f>"Industrial heating technology "&amp;$AJ$12&amp;" "&amp;RIGHT(H120,2)&amp;" - Oil boiler (Steam) - new 1"</f>
        <v>Industrial heating technology Other HT - Oil boiler (Steam) - new 1</v>
      </c>
      <c r="F120" s="239" t="s">
        <v>1274</v>
      </c>
      <c r="G120" s="176" t="s">
        <v>1437</v>
      </c>
      <c r="H120" s="177" t="str">
        <f>$AI$13</f>
        <v>IODHT</v>
      </c>
      <c r="I120" s="177" t="str">
        <f t="shared" si="80"/>
        <v>INDOWH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INDOWH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INDOWH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INDODMTDSEN1</v>
      </c>
      <c r="E123" s="278" t="str">
        <f>"Industrial heating technology "&amp;$AJ$12&amp;" "&amp;RIGHT(H123,2)&amp;" - Oil boiler (Steam) - new 1"</f>
        <v>Industrial heating technology Other MT - Oil boiler (Steam) - new 1</v>
      </c>
      <c r="F123" s="239" t="s">
        <v>1274</v>
      </c>
      <c r="G123" s="176" t="s">
        <v>1437</v>
      </c>
      <c r="H123" s="177" t="str">
        <f>$AI$14</f>
        <v>IODMT</v>
      </c>
      <c r="I123" s="177" t="str">
        <f t="shared" si="80"/>
        <v>INDOWH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INDOWH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INDOWH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INDODRHDSEN1</v>
      </c>
      <c r="E126" s="278" t="str">
        <f>"Industrial heating technology "&amp;$AJ$12&amp;" "&amp;RIGHT(H126,2)&amp;" - Oil boiler (Steam) - new 1"</f>
        <v>Industrial heating technology Other RH - Oil boiler (Steam) - new 1</v>
      </c>
      <c r="F126" s="239" t="s">
        <v>1274</v>
      </c>
      <c r="G126" s="176" t="s">
        <v>1437</v>
      </c>
      <c r="H126" s="177" t="str">
        <f>$AI$15</f>
        <v>IODRH</v>
      </c>
      <c r="I126" s="177" t="str">
        <f t="shared" si="80"/>
        <v>INDOWH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INDOWH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INDOWH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INDODMTDSEN2</v>
      </c>
      <c r="E129" s="767" t="str">
        <f>"Industrial heating technology "&amp;$AJ$12&amp;" "&amp;RIGHT(H129,2)&amp;" - Oil boiler (Steam - condensing) - new 2"</f>
        <v>Industrial heating technology Other MT - Oil boiler (Steam - condensing) - new 2</v>
      </c>
      <c r="F129" s="239" t="s">
        <v>1274</v>
      </c>
      <c r="G129" s="176" t="s">
        <v>1437</v>
      </c>
      <c r="H129" s="768" t="str">
        <f>$AI$14</f>
        <v>IODMT</v>
      </c>
      <c r="I129" s="768" t="str">
        <f t="shared" si="115"/>
        <v>INDOWH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INDOWH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INDOWH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INDODRHDSEN2</v>
      </c>
      <c r="E132" s="278" t="str">
        <f>"Industrial heating technology "&amp;$AJ$12&amp;" "&amp;RIGHT(H132,2)&amp;" - Oil boiler (Steam - condensing) - new 2"</f>
        <v>Industrial heating technology Other RH - Oil boiler (Steam - condensing) - new 2</v>
      </c>
      <c r="F132" s="239" t="s">
        <v>1274</v>
      </c>
      <c r="G132" s="176" t="s">
        <v>1437</v>
      </c>
      <c r="H132" s="177" t="str">
        <f>$AI$15</f>
        <v>IODRH</v>
      </c>
      <c r="I132" s="177" t="str">
        <f t="shared" si="115"/>
        <v>INDOWH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INDOWH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INDOWH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INDODHTDH2N1</v>
      </c>
      <c r="E135" s="278" t="str">
        <f>"Industrial heating technology "&amp;$AJ$12&amp;" "&amp;RIGHT(H135,2)&amp;" - Gas boiler (Steam) - new 1"</f>
        <v>Industrial heating technology Other HT - Gas boiler (Steam) - new 1</v>
      </c>
      <c r="F135" s="239" t="s">
        <v>1274</v>
      </c>
      <c r="G135" s="176" t="s">
        <v>1438</v>
      </c>
      <c r="H135" s="177" t="str">
        <f>$AI$13</f>
        <v>IODHT</v>
      </c>
      <c r="I135" s="177" t="str">
        <f t="shared" si="115"/>
        <v>INDOWH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INDOWH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INDOWH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INDODMTDH2N1</v>
      </c>
      <c r="E138" s="278" t="str">
        <f>"Industrial heating technology "&amp;$AJ$12&amp;" "&amp;RIGHT(H138,2)&amp;" - Gas boiler (Steam) - new 1"</f>
        <v>Industrial heating technology Other MT - Gas boiler (Steam) - new 1</v>
      </c>
      <c r="F138" s="239" t="s">
        <v>1274</v>
      </c>
      <c r="G138" s="176" t="s">
        <v>1438</v>
      </c>
      <c r="H138" s="177" t="str">
        <f>$AI$14</f>
        <v>IODMT</v>
      </c>
      <c r="I138" s="177" t="str">
        <f t="shared" si="115"/>
        <v>INDOWH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INDOWH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INDOWH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INDODRHDH2N1</v>
      </c>
      <c r="E141" s="278" t="str">
        <f>"Industrial heating technology "&amp;$AJ$12&amp;" "&amp;RIGHT(H141,2)&amp;" - Gas boiler (Steam) - new 1"</f>
        <v>Industrial heating technology Other RH - Gas boiler (Steam) - new 1</v>
      </c>
      <c r="F141" s="239" t="s">
        <v>1274</v>
      </c>
      <c r="G141" s="176" t="s">
        <v>1438</v>
      </c>
      <c r="H141" s="177" t="str">
        <f>$AI$15</f>
        <v>IODRH</v>
      </c>
      <c r="I141" s="177" t="str">
        <f t="shared" si="115"/>
        <v>INDOWH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INDOWH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INDOWH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INDODMTDH2N2</v>
      </c>
      <c r="E144" s="767" t="str">
        <f>"Industrial heating technology "&amp;$AJ$12&amp;" "&amp;RIGHT(H144,2)&amp;" - Gas boiler (Steam - condensing) - new 2"</f>
        <v>Industrial heating technology Other MT - Gas boiler (Steam - condensing) - new 2</v>
      </c>
      <c r="F144" s="239" t="s">
        <v>1274</v>
      </c>
      <c r="G144" s="176" t="s">
        <v>1438</v>
      </c>
      <c r="H144" s="768" t="str">
        <f>$AI$14</f>
        <v>IODMT</v>
      </c>
      <c r="I144" s="768" t="str">
        <f t="shared" si="115"/>
        <v>INDOWH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INDOWH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INDOWH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INDODRHDH2N2</v>
      </c>
      <c r="E147" s="278" t="str">
        <f>"Industrial heating technology "&amp;$AJ$12&amp;" "&amp;RIGHT(H147,2)&amp;" - Gas boiler (Steam - condensing) - new 2"</f>
        <v>Industrial heating technology Other RH - Gas boiler (Steam - condensing) - new 2</v>
      </c>
      <c r="F147" s="239" t="s">
        <v>1274</v>
      </c>
      <c r="G147" s="176" t="s">
        <v>1438</v>
      </c>
      <c r="H147" s="177" t="str">
        <f>$AI$15</f>
        <v>IODRH</v>
      </c>
      <c r="I147" s="177" t="str">
        <f t="shared" si="115"/>
        <v>INDOWH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INDOWH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INDOWH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INDODMTDH2N3</v>
      </c>
      <c r="E150" s="767" t="str">
        <f>"Industrial heating technology "&amp;$AJ$12&amp;" "&amp;RIGHT(H150,2)&amp;" - Gas boiler (Hot Water) - new 3"</f>
        <v>Industrial heating technology Other MT - Gas boiler (Hot Water) - new 3</v>
      </c>
      <c r="F150" s="239" t="s">
        <v>1274</v>
      </c>
      <c r="G150" s="176" t="s">
        <v>1438</v>
      </c>
      <c r="H150" s="768" t="str">
        <f>$AI$14</f>
        <v>IODMT</v>
      </c>
      <c r="I150" s="768" t="str">
        <f t="shared" si="115"/>
        <v>INDOWH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INDOWH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INDOWH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INDODRHDH2N3</v>
      </c>
      <c r="E153" s="278" t="str">
        <f>"Industrial heating technology "&amp;$AJ$12&amp;" "&amp;RIGHT(H153,2)&amp;" - Gas boiler (Hot Water) - new 3"</f>
        <v>Industrial heating technology Other RH - Gas boiler (Hot Water) - new 3</v>
      </c>
      <c r="F153" s="239" t="s">
        <v>1274</v>
      </c>
      <c r="G153" s="176" t="s">
        <v>1438</v>
      </c>
      <c r="H153" s="177" t="str">
        <f>$AI$15</f>
        <v>IODRH</v>
      </c>
      <c r="I153" s="177" t="str">
        <f t="shared" si="115"/>
        <v>INDOWH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INDOWH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INDOWH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INDODMTDH2N4</v>
      </c>
      <c r="E156" s="767" t="str">
        <f>"Industrial heating technology "&amp;$AJ$12&amp;" "&amp;RIGHT(H156,2)&amp;" - Gas boiler (Hot Water - condensing) - new 4"</f>
        <v>Industrial heating technology Other MT - Gas boiler (Hot Water - condensing) - new 4</v>
      </c>
      <c r="F156" s="239" t="s">
        <v>1274</v>
      </c>
      <c r="G156" s="176" t="s">
        <v>1438</v>
      </c>
      <c r="H156" s="768" t="str">
        <f>$AI$14</f>
        <v>IODMT</v>
      </c>
      <c r="I156" s="768" t="str">
        <f t="shared" si="115"/>
        <v>INDOWH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INDOWH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INDOWH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INDODRHDH2N4</v>
      </c>
      <c r="E159" s="278" t="str">
        <f>"Industrial heating technology "&amp;$AJ$12&amp;" "&amp;RIGHT(H159,2)&amp;" - Gas boiler (Hot Water- condensing) - new 4"</f>
        <v>Industrial heating technology Other RH - Gas boiler (Hot Water- condensing) - new 4</v>
      </c>
      <c r="F159" s="239" t="s">
        <v>1274</v>
      </c>
      <c r="G159" s="176" t="s">
        <v>1438</v>
      </c>
      <c r="H159" s="177" t="str">
        <f>$AI$15</f>
        <v>IODRH</v>
      </c>
      <c r="I159" s="177" t="str">
        <f t="shared" ref="I159:I182" si="158">$AI$20</f>
        <v>INDOWH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INDOWH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INDOWH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INDODHTDH2N5</v>
      </c>
      <c r="E162" s="767" t="str">
        <f>"Industrial heating technology "&amp;$AJ$12&amp;" "&amp;RIGHT(H162,2)&amp;" - Gas boiler (Direct firing) - new 5"</f>
        <v>Industrial heating technology Other HT - Gas boiler (Direct firing) - new 5</v>
      </c>
      <c r="F162" s="239" t="s">
        <v>1274</v>
      </c>
      <c r="G162" s="176" t="s">
        <v>1438</v>
      </c>
      <c r="H162" s="177" t="str">
        <f>$AI$13</f>
        <v>IODHT</v>
      </c>
      <c r="I162" s="177" t="str">
        <f t="shared" si="158"/>
        <v>INDOWH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INDOWH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INDOWH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INDODMTDH2N5</v>
      </c>
      <c r="E165" s="278" t="str">
        <f>"Industrial heating technology "&amp;$AJ$12&amp;" "&amp;RIGHT(H165,2)&amp;" - Gas boiler (Direct firing) - new 5"</f>
        <v>Industrial heating technology Other MT - Gas boiler (Direct firing) - new 5</v>
      </c>
      <c r="F165" s="239" t="s">
        <v>1274</v>
      </c>
      <c r="G165" s="176" t="s">
        <v>1438</v>
      </c>
      <c r="H165" s="177" t="str">
        <f>$AI$14</f>
        <v>IODMT</v>
      </c>
      <c r="I165" s="781" t="str">
        <f t="shared" si="158"/>
        <v>INDOWH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INDOWH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INDOWH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INDODHTCOAN1</v>
      </c>
      <c r="E168" s="278" t="str">
        <f>"Industrial heating technology "&amp;$AJ$12&amp;" "&amp;RIGHT(H168,2)&amp;" - Coal boiler (Steam) - new 1"</f>
        <v>Industrial heating technology Other HT - Coal boiler (Steam) - new 1</v>
      </c>
      <c r="F168" s="239" t="s">
        <v>1274</v>
      </c>
      <c r="G168" s="55" t="s">
        <v>662</v>
      </c>
      <c r="H168" s="177" t="str">
        <f>$AI$13</f>
        <v>IODHT</v>
      </c>
      <c r="I168" s="177" t="str">
        <f t="shared" si="158"/>
        <v>INDOWH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INDOWH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INDOWH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INDODMTCOAN1</v>
      </c>
      <c r="E171" s="278" t="str">
        <f>"Industrial heating technology "&amp;$AJ$12&amp;" "&amp;RIGHT(H171,2)&amp;" - Coal boiler (Steam) - new 1"</f>
        <v>Industrial heating technology Other MT - Coal boiler (Steam) - new 1</v>
      </c>
      <c r="F171" s="239" t="s">
        <v>1274</v>
      </c>
      <c r="G171" s="55" t="s">
        <v>662</v>
      </c>
      <c r="H171" s="177" t="str">
        <f>$AI$14</f>
        <v>IODMT</v>
      </c>
      <c r="I171" s="177" t="str">
        <f t="shared" si="158"/>
        <v>INDOWH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INDOWH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INDOWH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INDODRHCOAN1</v>
      </c>
      <c r="E174" s="278" t="str">
        <f>"Industrial heating technology "&amp;$AJ$12&amp;" "&amp;RIGHT(H174,2)&amp;" - Coal boiler (Steam) - new 1"</f>
        <v>Industrial heating technology Other RH - Coal boiler (Steam) - new 1</v>
      </c>
      <c r="F174" s="239" t="s">
        <v>1274</v>
      </c>
      <c r="G174" s="55" t="s">
        <v>662</v>
      </c>
      <c r="H174" s="177" t="str">
        <f>$AI$15</f>
        <v>IODRH</v>
      </c>
      <c r="I174" s="177" t="str">
        <f t="shared" si="158"/>
        <v>INDOWH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INDOWH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INDOWH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INDODMTCOAN2</v>
      </c>
      <c r="E177" s="278" t="str">
        <f>"Industrial heating technology "&amp;$AJ$12&amp;" "&amp;RIGHT(H177,2)&amp;" - Coal boiler (Hot Water) - new 2"</f>
        <v>Industrial heating technology Other MT - Coal boiler (Hot Water) - new 2</v>
      </c>
      <c r="F177" s="239" t="s">
        <v>1274</v>
      </c>
      <c r="G177" s="55" t="s">
        <v>662</v>
      </c>
      <c r="H177" s="177" t="str">
        <f>$AI$14</f>
        <v>IODMT</v>
      </c>
      <c r="I177" s="177" t="str">
        <f t="shared" si="158"/>
        <v>INDOWH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INDOWH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INDOWH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INDODRHCOAN2</v>
      </c>
      <c r="E180" s="278" t="str">
        <f>"Industrial heating technology "&amp;$AJ$12&amp;" "&amp;RIGHT(H180,2)&amp;" - Coal boiler (Hot Water) - new 2"</f>
        <v>Industrial heating technology Other RH - Coal boiler (Hot Water) - new 2</v>
      </c>
      <c r="F180" s="239" t="s">
        <v>1274</v>
      </c>
      <c r="G180" s="55" t="s">
        <v>662</v>
      </c>
      <c r="H180" s="177" t="str">
        <f>$AI$15</f>
        <v>IODRH</v>
      </c>
      <c r="I180" s="177" t="str">
        <f t="shared" si="158"/>
        <v>INDOWH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INDOWH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INDOWH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INDODRHSOLN1</v>
      </c>
      <c r="E183" s="278" t="str">
        <f>"Industrial heating technology "&amp;$AJ$12&amp;" "&amp;RIGHT(H183,2)&amp;" - Solar - new 1"</f>
        <v>Industrial heating technology Other RH - Solar - new 1</v>
      </c>
      <c r="F183" s="239" t="s">
        <v>1274</v>
      </c>
      <c r="G183" s="55" t="s">
        <v>501</v>
      </c>
      <c r="H183" s="177" t="str">
        <f>$AI$15</f>
        <v>IODRH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INDODRHHCEN1</v>
      </c>
      <c r="E187" s="239" t="str">
        <f>"Industrial heating technology "&amp;$AJ$12&amp;" "&amp;RIGHT(H187,2)&amp;" - central district heating - within DH area - new 1"</f>
        <v>Industrial heating technology Other RH - central district heating - within DH area - new 1</v>
      </c>
      <c r="F187" s="239" t="s">
        <v>1274</v>
      </c>
      <c r="G187" s="240" t="s">
        <v>502</v>
      </c>
      <c r="H187" s="240" t="str">
        <f>AI15</f>
        <v>IODRH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INDODRHHDEN1</v>
      </c>
      <c r="E188" s="239" t="str">
        <f>"Industrial heating technology "&amp;$AJ$12&amp;" "&amp;RIGHT(H188,2)&amp;" - decentral district heating - within DH area - new 1"</f>
        <v>Industrial heating technology Other RH - decentral district heating - within DH area - new 1</v>
      </c>
      <c r="F188" s="239" t="s">
        <v>1274</v>
      </c>
      <c r="G188" s="276" t="s">
        <v>503</v>
      </c>
      <c r="H188" s="282" t="str">
        <f>AI15</f>
        <v>IODRH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INDODLAELCN1</v>
      </c>
      <c r="E190" s="239" t="str">
        <f>"Industry "&amp;$AJ$12&amp;" "&amp;RIGHT(H190,2)&amp;" Electricity Light Appliance - New 1"</f>
        <v>Industry Other LA Electricity Light Appliance - New 1</v>
      </c>
      <c r="F190" s="239" t="s">
        <v>1274</v>
      </c>
      <c r="G190" s="240" t="s">
        <v>500</v>
      </c>
      <c r="H190" s="240" t="str">
        <f>AI16</f>
        <v>IODLA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INDODEMELCN1</v>
      </c>
      <c r="E194" s="239" t="str">
        <f>"Industry "&amp;$AJ$12&amp;" "&amp;RIGHT(H194,2)&amp;" Electricity Motors - New 1"</f>
        <v>Industry Other EM Electricity Motors - New 1</v>
      </c>
      <c r="F194" s="239" t="s">
        <v>1274</v>
      </c>
      <c r="G194" s="240" t="s">
        <v>500</v>
      </c>
      <c r="H194" s="240" t="str">
        <f>AI17</f>
        <v>IODEM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INDODTFDSLN1</v>
      </c>
      <c r="E198" s="239" t="str">
        <f>"Industry "&amp;$AJ$12&amp;" "&amp;RIGHT(H198,2)&amp;" Tractors, Trucks, Fishing boats - New 1"</f>
        <v>Industry Other TF Tractors, Trucks, Fishing boats - New 1</v>
      </c>
      <c r="F198" s="239" t="s">
        <v>1274</v>
      </c>
      <c r="G198" s="176" t="s">
        <v>1437</v>
      </c>
      <c r="H198" s="177" t="str">
        <f>AI18</f>
        <v>IODTF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INDODFLDH2N1</v>
      </c>
      <c r="E202" s="239" t="str">
        <f>"Industry "&amp;$AJ$12&amp;" "&amp;RIGHT(H198,2)&amp;" Forklifts - New 1"</f>
        <v>Industry Other TF Forklifts - New 1</v>
      </c>
      <c r="F202" s="239" t="s">
        <v>1274</v>
      </c>
      <c r="G202" s="176" t="s">
        <v>1438</v>
      </c>
      <c r="H202" s="239" t="str">
        <f>AI19</f>
        <v>IODFL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INDODMTELCN1</v>
      </c>
      <c r="E213" s="223" t="str">
        <f t="shared" ref="E213:E244" ca="1" si="181">VLOOKUP(D213,$D$9:$E$206,2,FALSE)</f>
        <v>Industrial heating technology Other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INDODRHELCN1</v>
      </c>
      <c r="E214" s="223" t="str">
        <f t="shared" ca="1" si="181"/>
        <v>Industrial heating technology Other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Other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INDODRHELCN2</v>
      </c>
      <c r="E216" s="223" t="str">
        <f t="shared" ca="1" si="181"/>
        <v>Industrial heating technology Other RH - Heat driven heat pump utilizing waste heat - new 2</v>
      </c>
      <c r="F216" s="279" t="s">
        <v>450</v>
      </c>
      <c r="G216" s="279" t="s">
        <v>449</v>
      </c>
      <c r="H216" s="334" t="s">
        <v>665</v>
      </c>
      <c r="I216" s="281"/>
      <c r="J216" s="281" t="s">
        <v>469</v>
      </c>
    </row>
    <row r="217" spans="1:11">
      <c r="A217" s="172"/>
      <c r="B217" s="222"/>
      <c r="C217" s="222" t="str">
        <f t="shared" ca="1" si="182"/>
        <v>DMD</v>
      </c>
      <c r="D217" s="223" t="str">
        <f t="shared" ca="1" si="183"/>
        <v>INDODMTELCN3</v>
      </c>
      <c r="E217" s="223" t="str">
        <f t="shared" ca="1" si="181"/>
        <v>Industrial heating technology Other MT - High Temp abs. Heat pump utilizing waste heat - new 3</v>
      </c>
      <c r="F217" s="279" t="s">
        <v>450</v>
      </c>
      <c r="G217" s="279" t="s">
        <v>449</v>
      </c>
      <c r="H217" s="334" t="s">
        <v>665</v>
      </c>
      <c r="I217" s="281"/>
      <c r="J217" s="281" t="s">
        <v>469</v>
      </c>
    </row>
    <row r="218" spans="1:11">
      <c r="A218" s="172"/>
      <c r="B218" s="222"/>
      <c r="C218" s="222" t="str">
        <f t="shared" ca="1" si="182"/>
        <v>DMD</v>
      </c>
      <c r="D218" s="223" t="str">
        <f t="shared" ca="1" si="183"/>
        <v>INDODRHELCN3</v>
      </c>
      <c r="E218" s="223" t="str">
        <f t="shared" ca="1" si="181"/>
        <v>Industrial heating technology Other RH - High Temp abs. Heat pump utilizing waste heat - new 3</v>
      </c>
      <c r="F218" s="279" t="s">
        <v>450</v>
      </c>
      <c r="G218" s="279" t="s">
        <v>449</v>
      </c>
      <c r="H218" s="334" t="s">
        <v>665</v>
      </c>
      <c r="I218" s="281"/>
      <c r="J218" s="281" t="s">
        <v>469</v>
      </c>
    </row>
    <row r="219" spans="1:11">
      <c r="A219" s="172"/>
      <c r="B219" s="222"/>
      <c r="C219" s="222" t="str">
        <f t="shared" ca="1" si="182"/>
        <v>DMD</v>
      </c>
      <c r="D219" s="223" t="str">
        <f t="shared" ca="1" si="183"/>
        <v>INDODMTELCN4</v>
      </c>
      <c r="E219" s="223" t="str">
        <f t="shared" ca="1" si="181"/>
        <v>Industrial heating technology Other MT - Booster Heat pump utilizing waste heat - new 4</v>
      </c>
      <c r="F219" s="279" t="s">
        <v>450</v>
      </c>
      <c r="G219" s="279" t="s">
        <v>449</v>
      </c>
      <c r="H219" s="334" t="s">
        <v>665</v>
      </c>
      <c r="I219" s="281"/>
      <c r="J219" s="281" t="s">
        <v>469</v>
      </c>
    </row>
    <row r="220" spans="1:11">
      <c r="A220" s="172"/>
      <c r="B220" s="222"/>
      <c r="C220" s="222" t="str">
        <f t="shared" ca="1" si="182"/>
        <v>DMD</v>
      </c>
      <c r="D220" s="223" t="str">
        <f t="shared" ca="1" si="183"/>
        <v>INDODRHELCN4</v>
      </c>
      <c r="E220" s="223" t="str">
        <f t="shared" ca="1" si="181"/>
        <v>Industrial heating technology Other RH - Booster Heat pump utilizing waste heat - new 4</v>
      </c>
      <c r="F220" s="279" t="s">
        <v>450</v>
      </c>
      <c r="G220" s="279" t="s">
        <v>449</v>
      </c>
      <c r="H220" s="334" t="s">
        <v>665</v>
      </c>
      <c r="I220" s="281"/>
      <c r="J220" s="281" t="s">
        <v>469</v>
      </c>
    </row>
    <row r="221" spans="1:11">
      <c r="A221" s="172"/>
      <c r="B221" s="222"/>
      <c r="C221" s="222" t="str">
        <f t="shared" ca="1" si="182"/>
        <v>DMD</v>
      </c>
      <c r="D221" s="223" t="str">
        <f t="shared" ca="1" si="183"/>
        <v>INDODMTELCN5</v>
      </c>
      <c r="E221" s="223" t="str">
        <f t="shared" ca="1" si="181"/>
        <v>Industrial heating technology Other MT - MVR utilizing waste heat - new 5</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Other MT - Heat pump utilizing waste heat - new 1</v>
      </c>
      <c r="F222" s="279" t="s">
        <v>450</v>
      </c>
      <c r="G222" s="279" t="s">
        <v>449</v>
      </c>
      <c r="H222" s="334" t="s">
        <v>665</v>
      </c>
      <c r="I222" s="281"/>
      <c r="J222" s="281" t="s">
        <v>469</v>
      </c>
    </row>
    <row r="223" spans="1:11">
      <c r="A223" s="172"/>
      <c r="B223" s="222"/>
      <c r="C223" s="222" t="str">
        <f t="shared" ca="1" si="182"/>
        <v>DMD</v>
      </c>
      <c r="D223" s="223" t="str">
        <f t="shared" ref="D223:D262" ca="1" si="184">OFFSET($D$9,(ROW(D19)*3),0)</f>
        <v>INDODMTELCN6</v>
      </c>
      <c r="E223" s="223" t="str">
        <f t="shared" ca="1" si="181"/>
        <v>Industrial heating technology Other MT - Dielectric heating - new 6</v>
      </c>
      <c r="F223" s="279" t="s">
        <v>450</v>
      </c>
      <c r="G223" s="279" t="s">
        <v>449</v>
      </c>
      <c r="H223" s="334" t="s">
        <v>665</v>
      </c>
      <c r="I223" s="281"/>
      <c r="J223" s="281" t="s">
        <v>469</v>
      </c>
    </row>
    <row r="224" spans="1:11">
      <c r="A224" s="172"/>
      <c r="B224" s="222"/>
      <c r="C224" s="222" t="str">
        <f t="shared" ca="1" si="182"/>
        <v>DMD</v>
      </c>
      <c r="D224" s="223" t="str">
        <f t="shared" ca="1" si="184"/>
        <v>INDODMTELCN7</v>
      </c>
      <c r="E224" s="223" t="str">
        <f t="shared" ca="1" si="181"/>
        <v>Industrial heating technology Other MT - Infrared heating - new 7</v>
      </c>
      <c r="F224" s="279" t="s">
        <v>450</v>
      </c>
      <c r="G224" s="279" t="s">
        <v>449</v>
      </c>
      <c r="H224" s="334" t="s">
        <v>665</v>
      </c>
      <c r="I224" s="281"/>
      <c r="J224" s="281" t="s">
        <v>469</v>
      </c>
    </row>
    <row r="225" spans="1:16">
      <c r="A225" s="172"/>
      <c r="B225" s="222"/>
      <c r="C225" s="222" t="str">
        <f t="shared" ca="1" si="182"/>
        <v>DMD</v>
      </c>
      <c r="D225" s="223" t="str">
        <f t="shared" ca="1" si="184"/>
        <v>INDODHTELCN8</v>
      </c>
      <c r="E225" s="223" t="str">
        <f t="shared" ca="1" si="181"/>
        <v>Industrial heating technology Other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INDODMTELCN8</v>
      </c>
      <c r="E226" s="223" t="str">
        <f t="shared" ca="1" si="181"/>
        <v>Industrial heating technology Other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INDODRHELCN8</v>
      </c>
      <c r="E227" s="223" t="str">
        <f t="shared" ca="1" si="181"/>
        <v>Industrial heating technology Other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INDODMTELCN9</v>
      </c>
      <c r="E228" s="223" t="str">
        <f t="shared" ca="1" si="181"/>
        <v>Industrial heating technology Other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INDODRHELCN9</v>
      </c>
      <c r="E229" s="223" t="str">
        <f t="shared" ca="1" si="181"/>
        <v>Industrial heating technology Other RH - Electric boiler (Hot Water) - new 9</v>
      </c>
      <c r="F229" s="279" t="s">
        <v>450</v>
      </c>
      <c r="G229" s="279" t="s">
        <v>449</v>
      </c>
      <c r="H229" s="334" t="s">
        <v>665</v>
      </c>
      <c r="I229" s="281"/>
      <c r="J229" s="281" t="s">
        <v>469</v>
      </c>
      <c r="P229" s="176"/>
    </row>
    <row r="230" spans="1:16">
      <c r="A230" s="172"/>
      <c r="B230" s="222"/>
      <c r="C230" s="222" t="str">
        <f t="shared" ca="1" si="182"/>
        <v>DMD</v>
      </c>
      <c r="D230" s="223" t="str">
        <f t="shared" ca="1" si="184"/>
        <v>INDODHTWCHN1</v>
      </c>
      <c r="E230" s="223" t="str">
        <f t="shared" ca="1" si="181"/>
        <v>Industrial heating technology Other HT - Wood chip boiler (Steam) - new 1</v>
      </c>
      <c r="F230" s="279" t="s">
        <v>450</v>
      </c>
      <c r="G230" s="279" t="s">
        <v>449</v>
      </c>
      <c r="H230" s="280"/>
      <c r="I230" s="281"/>
      <c r="J230" s="281" t="s">
        <v>469</v>
      </c>
      <c r="P230" s="176"/>
    </row>
    <row r="231" spans="1:16">
      <c r="A231" s="172"/>
      <c r="B231" s="222"/>
      <c r="C231" s="222" t="str">
        <f t="shared" ca="1" si="182"/>
        <v>DMD</v>
      </c>
      <c r="D231" s="223" t="str">
        <f t="shared" ca="1" si="184"/>
        <v>INDODMTWCHN1</v>
      </c>
      <c r="E231" s="223" t="str">
        <f t="shared" ca="1" si="181"/>
        <v>Industrial heating technology Other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INDODRHWCHN1</v>
      </c>
      <c r="E232" s="223" t="str">
        <f t="shared" ca="1" si="181"/>
        <v>Industrial heating technology Other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INDODMTWCHN2</v>
      </c>
      <c r="E233" s="223" t="str">
        <f t="shared" ca="1" si="181"/>
        <v>Industrial heating technology Other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INDODRHWCHN2</v>
      </c>
      <c r="E234" s="223" t="str">
        <f t="shared" ca="1" si="181"/>
        <v>Industrial heating technology Other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INDODMTWCHN3</v>
      </c>
      <c r="E235" s="223" t="str">
        <f t="shared" ca="1" si="181"/>
        <v>Industrial heating technology Other MT - Wood chip boiler (Hot Water) - new 3</v>
      </c>
      <c r="F235" s="279" t="s">
        <v>450</v>
      </c>
      <c r="G235" s="279" t="s">
        <v>449</v>
      </c>
      <c r="H235" s="278"/>
      <c r="I235" s="278"/>
      <c r="J235" s="281" t="s">
        <v>469</v>
      </c>
    </row>
    <row r="236" spans="1:16">
      <c r="A236" s="172"/>
      <c r="B236" s="223"/>
      <c r="C236" s="222" t="str">
        <f t="shared" ca="1" si="182"/>
        <v>DMD</v>
      </c>
      <c r="D236" s="223" t="str">
        <f t="shared" ca="1" si="184"/>
        <v>INDODRHWCHN3</v>
      </c>
      <c r="E236" s="223" t="str">
        <f t="shared" ca="1" si="181"/>
        <v>Industrial heating technology Other RH - Wood chip boiler (Hot Water) - new 3</v>
      </c>
      <c r="F236" s="279" t="s">
        <v>450</v>
      </c>
      <c r="G236" s="279" t="s">
        <v>449</v>
      </c>
      <c r="H236" s="278"/>
      <c r="I236" s="278"/>
      <c r="J236" s="281" t="s">
        <v>469</v>
      </c>
    </row>
    <row r="237" spans="1:16">
      <c r="A237" s="172"/>
      <c r="B237" s="223"/>
      <c r="C237" s="222" t="str">
        <f t="shared" ca="1" si="182"/>
        <v>DMD</v>
      </c>
      <c r="D237" s="223" t="str">
        <f t="shared" ca="1" si="184"/>
        <v>INDODMTWCHN4</v>
      </c>
      <c r="E237" s="223" t="str">
        <f t="shared" ca="1" si="181"/>
        <v>Industrial heating technology Other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INDODRHWCHN4</v>
      </c>
      <c r="E238" s="223" t="str">
        <f t="shared" ca="1" si="181"/>
        <v>Industrial heating technology Other RH - Wood chip boiler (Hot Water- condensing) - new 4</v>
      </c>
      <c r="F238" s="279" t="s">
        <v>450</v>
      </c>
      <c r="G238" s="279" t="s">
        <v>449</v>
      </c>
      <c r="H238" s="278"/>
      <c r="I238" s="278"/>
      <c r="J238" s="281" t="s">
        <v>469</v>
      </c>
    </row>
    <row r="239" spans="1:16">
      <c r="B239" s="223"/>
      <c r="C239" s="222" t="str">
        <f t="shared" ca="1" si="182"/>
        <v>*</v>
      </c>
      <c r="D239" s="223" t="str">
        <f t="shared" ca="1" si="184"/>
        <v>*</v>
      </c>
      <c r="E239" s="223" t="str">
        <f t="shared" ca="1" si="181"/>
        <v>Industrial heating technology Other MT - Heat pump utilizing waste heat - new 1</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Other MT - Heat pump utilizing waste heat - new 1</v>
      </c>
      <c r="F240" s="279" t="s">
        <v>450</v>
      </c>
      <c r="G240" s="279" t="s">
        <v>449</v>
      </c>
      <c r="H240" s="334" t="s">
        <v>665</v>
      </c>
      <c r="I240" s="278"/>
      <c r="J240" s="281" t="s">
        <v>469</v>
      </c>
    </row>
    <row r="241" spans="1:10">
      <c r="B241" s="223"/>
      <c r="C241" s="222" t="str">
        <f t="shared" ca="1" si="182"/>
        <v>DMD</v>
      </c>
      <c r="D241" s="223" t="str">
        <f t="shared" ca="1" si="184"/>
        <v>INDODHTDSEN1</v>
      </c>
      <c r="E241" s="223" t="str">
        <f t="shared" ca="1" si="181"/>
        <v>Industrial heating technology Other HT - Oil boiler (Steam) - new 1</v>
      </c>
      <c r="F241" s="279" t="s">
        <v>450</v>
      </c>
      <c r="G241" s="279" t="s">
        <v>449</v>
      </c>
      <c r="H241" s="278"/>
      <c r="I241" s="278"/>
      <c r="J241" s="281" t="s">
        <v>469</v>
      </c>
    </row>
    <row r="242" spans="1:10">
      <c r="B242" s="223"/>
      <c r="C242" s="222" t="str">
        <f t="shared" ca="1" si="182"/>
        <v>DMD</v>
      </c>
      <c r="D242" s="223" t="str">
        <f t="shared" ca="1" si="184"/>
        <v>INDODMTDSEN1</v>
      </c>
      <c r="E242" s="223" t="str">
        <f t="shared" ca="1" si="181"/>
        <v>Industrial heating technology Other MT - Oil boiler (Steam) - new 1</v>
      </c>
      <c r="F242" s="279" t="s">
        <v>450</v>
      </c>
      <c r="G242" s="279" t="s">
        <v>449</v>
      </c>
      <c r="H242" s="278"/>
      <c r="I242" s="278"/>
      <c r="J242" s="281" t="s">
        <v>469</v>
      </c>
    </row>
    <row r="243" spans="1:10">
      <c r="B243" s="223"/>
      <c r="C243" s="222" t="str">
        <f t="shared" ca="1" si="182"/>
        <v>DMD</v>
      </c>
      <c r="D243" s="223" t="str">
        <f t="shared" ca="1" si="184"/>
        <v>INDODRHDSEN1</v>
      </c>
      <c r="E243" s="223" t="str">
        <f t="shared" ca="1" si="181"/>
        <v>Industrial heating technology Other RH - Oil boiler (Steam) - new 1</v>
      </c>
      <c r="F243" s="279" t="s">
        <v>450</v>
      </c>
      <c r="G243" s="279" t="s">
        <v>449</v>
      </c>
      <c r="H243" s="278"/>
      <c r="I243" s="278"/>
      <c r="J243" s="281" t="s">
        <v>469</v>
      </c>
    </row>
    <row r="244" spans="1:10">
      <c r="A244" s="226"/>
      <c r="B244" s="223"/>
      <c r="C244" s="222" t="str">
        <f t="shared" ca="1" si="182"/>
        <v>DMD</v>
      </c>
      <c r="D244" s="223" t="str">
        <f t="shared" ca="1" si="184"/>
        <v>INDODMTDSEN2</v>
      </c>
      <c r="E244" s="223" t="str">
        <f t="shared" ca="1" si="181"/>
        <v>Industrial heating technology Other MT - Oil boiler (Steam - condensing) - new 2</v>
      </c>
      <c r="F244" s="279" t="s">
        <v>450</v>
      </c>
      <c r="G244" s="279" t="s">
        <v>449</v>
      </c>
      <c r="H244" s="278"/>
      <c r="I244" s="278"/>
      <c r="J244" s="281" t="s">
        <v>469</v>
      </c>
    </row>
    <row r="245" spans="1:10">
      <c r="A245" s="226"/>
      <c r="B245" s="223"/>
      <c r="C245" s="222" t="str">
        <f t="shared" ca="1" si="182"/>
        <v>DMD</v>
      </c>
      <c r="D245" s="223" t="str">
        <f t="shared" ca="1" si="184"/>
        <v>INDODRHDSEN2</v>
      </c>
      <c r="E245" s="223" t="str">
        <f t="shared" ref="E245:E268" ca="1" si="185">VLOOKUP(D245,$D$9:$E$206,2,FALSE)</f>
        <v>Industrial heating technology Other RH - Oil boiler (Steam - condensing) - new 2</v>
      </c>
      <c r="F245" s="279" t="s">
        <v>450</v>
      </c>
      <c r="G245" s="279" t="s">
        <v>449</v>
      </c>
      <c r="H245" s="278"/>
      <c r="I245" s="278"/>
      <c r="J245" s="281" t="s">
        <v>469</v>
      </c>
    </row>
    <row r="246" spans="1:10">
      <c r="A246" s="226"/>
      <c r="B246" s="223"/>
      <c r="C246" s="222" t="str">
        <f t="shared" ca="1" si="182"/>
        <v>DMD</v>
      </c>
      <c r="D246" s="223" t="str">
        <f t="shared" ca="1" si="184"/>
        <v>INDODHTDH2N1</v>
      </c>
      <c r="E246" s="223" t="str">
        <f t="shared" ca="1" si="185"/>
        <v>Industrial heating technology Other HT - Gas boiler (Steam) - new 1</v>
      </c>
      <c r="F246" s="279" t="s">
        <v>450</v>
      </c>
      <c r="G246" s="279" t="s">
        <v>449</v>
      </c>
      <c r="H246" s="278"/>
      <c r="I246" s="278"/>
      <c r="J246" s="281" t="s">
        <v>469</v>
      </c>
    </row>
    <row r="247" spans="1:10">
      <c r="A247" s="226"/>
      <c r="B247" s="223"/>
      <c r="C247" s="222" t="str">
        <f t="shared" ca="1" si="182"/>
        <v>DMD</v>
      </c>
      <c r="D247" s="223" t="str">
        <f t="shared" ca="1" si="184"/>
        <v>INDODMTDH2N1</v>
      </c>
      <c r="E247" s="223" t="str">
        <f t="shared" ca="1" si="185"/>
        <v>Industrial heating technology Other MT - Gas boiler (Steam) - new 1</v>
      </c>
      <c r="F247" s="279" t="s">
        <v>450</v>
      </c>
      <c r="G247" s="279" t="s">
        <v>449</v>
      </c>
      <c r="H247" s="278"/>
      <c r="I247" s="278"/>
      <c r="J247" s="281" t="s">
        <v>469</v>
      </c>
    </row>
    <row r="248" spans="1:10">
      <c r="B248" s="223"/>
      <c r="C248" s="222" t="str">
        <f t="shared" ca="1" si="182"/>
        <v>DMD</v>
      </c>
      <c r="D248" s="223" t="str">
        <f t="shared" ca="1" si="184"/>
        <v>INDODRHDH2N1</v>
      </c>
      <c r="E248" s="223" t="str">
        <f t="shared" ca="1" si="185"/>
        <v>Industrial heating technology Other RH - Gas boiler (Steam) - new 1</v>
      </c>
      <c r="F248" s="279" t="s">
        <v>450</v>
      </c>
      <c r="G248" s="279" t="s">
        <v>449</v>
      </c>
      <c r="H248" s="278"/>
      <c r="I248" s="278"/>
      <c r="J248" s="281" t="s">
        <v>469</v>
      </c>
    </row>
    <row r="249" spans="1:10">
      <c r="B249" s="223"/>
      <c r="C249" s="222" t="str">
        <f t="shared" ca="1" si="182"/>
        <v>DMD</v>
      </c>
      <c r="D249" s="223" t="str">
        <f t="shared" ca="1" si="184"/>
        <v>INDODMTDH2N2</v>
      </c>
      <c r="E249" s="223" t="str">
        <f t="shared" ca="1" si="185"/>
        <v>Industrial heating technology Other MT - Gas boiler (Steam - condensing) - new 2</v>
      </c>
      <c r="F249" s="279" t="s">
        <v>450</v>
      </c>
      <c r="G249" s="279" t="s">
        <v>449</v>
      </c>
      <c r="H249" s="278"/>
      <c r="I249" s="278"/>
      <c r="J249" s="281" t="s">
        <v>469</v>
      </c>
    </row>
    <row r="250" spans="1:10">
      <c r="B250" s="223"/>
      <c r="C250" s="222" t="str">
        <f t="shared" ca="1" si="182"/>
        <v>DMD</v>
      </c>
      <c r="D250" s="223" t="str">
        <f t="shared" ca="1" si="184"/>
        <v>INDODRHDH2N2</v>
      </c>
      <c r="E250" s="223" t="str">
        <f t="shared" ca="1" si="185"/>
        <v>Industrial heating technology Other RH - Gas boiler (Steam - condensing) - new 2</v>
      </c>
      <c r="F250" s="279" t="s">
        <v>450</v>
      </c>
      <c r="G250" s="279" t="s">
        <v>449</v>
      </c>
      <c r="H250" s="278"/>
      <c r="I250" s="278"/>
      <c r="J250" s="281" t="s">
        <v>469</v>
      </c>
    </row>
    <row r="251" spans="1:10">
      <c r="B251" s="223"/>
      <c r="C251" s="222" t="str">
        <f t="shared" ca="1" si="182"/>
        <v>DMD</v>
      </c>
      <c r="D251" s="223" t="str">
        <f t="shared" ca="1" si="184"/>
        <v>INDODMTDH2N3</v>
      </c>
      <c r="E251" s="223" t="str">
        <f t="shared" ca="1" si="185"/>
        <v>Industrial heating technology Other MT - Gas boiler (Hot Water) - new 3</v>
      </c>
      <c r="F251" s="279" t="s">
        <v>450</v>
      </c>
      <c r="G251" s="279" t="s">
        <v>449</v>
      </c>
      <c r="H251" s="278"/>
      <c r="I251" s="278"/>
      <c r="J251" s="281" t="s">
        <v>469</v>
      </c>
    </row>
    <row r="252" spans="1:10">
      <c r="B252" s="223"/>
      <c r="C252" s="222" t="str">
        <f t="shared" ca="1" si="182"/>
        <v>DMD</v>
      </c>
      <c r="D252" s="223" t="str">
        <f t="shared" ca="1" si="184"/>
        <v>INDODRHDH2N3</v>
      </c>
      <c r="E252" s="223" t="str">
        <f t="shared" ca="1" si="185"/>
        <v>Industrial heating technology Other RH - Gas boiler (Hot Water) - new 3</v>
      </c>
      <c r="F252" s="279" t="s">
        <v>450</v>
      </c>
      <c r="G252" s="279" t="s">
        <v>449</v>
      </c>
      <c r="H252" s="278"/>
      <c r="I252" s="278"/>
      <c r="J252" s="281" t="s">
        <v>469</v>
      </c>
    </row>
    <row r="253" spans="1:10">
      <c r="B253" s="223"/>
      <c r="C253" s="222" t="str">
        <f t="shared" ca="1" si="182"/>
        <v>DMD</v>
      </c>
      <c r="D253" s="223" t="str">
        <f t="shared" ca="1" si="184"/>
        <v>INDODMTDH2N4</v>
      </c>
      <c r="E253" s="223" t="str">
        <f t="shared" ca="1" si="185"/>
        <v>Industrial heating technology Other MT - Gas boiler (Hot Water - condensing) - new 4</v>
      </c>
      <c r="F253" s="279" t="s">
        <v>450</v>
      </c>
      <c r="G253" s="279" t="s">
        <v>449</v>
      </c>
      <c r="H253" s="278"/>
      <c r="I253" s="278"/>
      <c r="J253" s="281" t="s">
        <v>469</v>
      </c>
    </row>
    <row r="254" spans="1:10">
      <c r="B254" s="223"/>
      <c r="C254" s="222" t="str">
        <f t="shared" ca="1" si="182"/>
        <v>DMD</v>
      </c>
      <c r="D254" s="223" t="str">
        <f t="shared" ca="1" si="184"/>
        <v>INDODRHDH2N4</v>
      </c>
      <c r="E254" s="223" t="str">
        <f t="shared" ca="1" si="185"/>
        <v>Industrial heating technology Other RH - Gas boiler (Hot Water- condensing) - new 4</v>
      </c>
      <c r="F254" s="279" t="s">
        <v>450</v>
      </c>
      <c r="G254" s="279" t="s">
        <v>449</v>
      </c>
      <c r="H254" s="278"/>
      <c r="I254" s="278"/>
      <c r="J254" s="281" t="s">
        <v>469</v>
      </c>
    </row>
    <row r="255" spans="1:10">
      <c r="B255" s="223"/>
      <c r="C255" s="222" t="str">
        <f t="shared" ca="1" si="182"/>
        <v>DMD</v>
      </c>
      <c r="D255" s="223" t="str">
        <f t="shared" ca="1" si="184"/>
        <v>INDODHTDH2N5</v>
      </c>
      <c r="E255" s="223" t="str">
        <f t="shared" ca="1" si="185"/>
        <v>Industrial heating technology Other HT - Gas boiler (Direct firing) - new 5</v>
      </c>
      <c r="F255" s="279" t="s">
        <v>450</v>
      </c>
      <c r="G255" s="279" t="s">
        <v>449</v>
      </c>
      <c r="H255" s="278"/>
      <c r="I255" s="278"/>
      <c r="J255" s="281" t="s">
        <v>469</v>
      </c>
    </row>
    <row r="256" spans="1:10">
      <c r="B256" s="223"/>
      <c r="C256" s="222" t="str">
        <f t="shared" ca="1" si="182"/>
        <v>DMD</v>
      </c>
      <c r="D256" s="223" t="str">
        <f t="shared" ca="1" si="184"/>
        <v>INDODMTDH2N5</v>
      </c>
      <c r="E256" s="223" t="str">
        <f t="shared" ca="1" si="185"/>
        <v>Industrial heating technology Other MT - Gas boiler (Direct firing) - new 5</v>
      </c>
      <c r="F256" s="279" t="s">
        <v>450</v>
      </c>
      <c r="G256" s="279" t="s">
        <v>449</v>
      </c>
      <c r="H256" s="278"/>
      <c r="I256" s="278"/>
      <c r="J256" s="281" t="s">
        <v>469</v>
      </c>
    </row>
    <row r="257" spans="2:10">
      <c r="B257" s="223"/>
      <c r="C257" s="222" t="str">
        <f t="shared" ca="1" si="182"/>
        <v>DMD</v>
      </c>
      <c r="D257" s="223" t="str">
        <f t="shared" ca="1" si="184"/>
        <v>INDODHTCOAN1</v>
      </c>
      <c r="E257" s="223" t="str">
        <f t="shared" ca="1" si="185"/>
        <v>Industrial heating technology Other HT - Coal boiler (Steam) - new 1</v>
      </c>
      <c r="F257" s="279" t="s">
        <v>450</v>
      </c>
      <c r="G257" s="279" t="s">
        <v>449</v>
      </c>
      <c r="H257" s="278"/>
      <c r="I257" s="278"/>
      <c r="J257" s="281" t="s">
        <v>469</v>
      </c>
    </row>
    <row r="258" spans="2:10">
      <c r="B258" s="223"/>
      <c r="C258" s="222" t="str">
        <f t="shared" ca="1" si="182"/>
        <v>DMD</v>
      </c>
      <c r="D258" s="223" t="str">
        <f t="shared" ca="1" si="184"/>
        <v>INDODMTCOAN1</v>
      </c>
      <c r="E258" s="223" t="str">
        <f t="shared" ca="1" si="185"/>
        <v>Industrial heating technology Other MT - Coal boiler (Steam) - new 1</v>
      </c>
      <c r="F258" s="279" t="s">
        <v>450</v>
      </c>
      <c r="G258" s="279" t="s">
        <v>449</v>
      </c>
      <c r="H258" s="278"/>
      <c r="I258" s="278"/>
      <c r="J258" s="281" t="s">
        <v>469</v>
      </c>
    </row>
    <row r="259" spans="2:10">
      <c r="B259" s="223"/>
      <c r="C259" s="222" t="str">
        <f t="shared" ca="1" si="182"/>
        <v>DMD</v>
      </c>
      <c r="D259" s="223" t="str">
        <f t="shared" ca="1" si="184"/>
        <v>INDODRHCOAN1</v>
      </c>
      <c r="E259" s="223" t="str">
        <f t="shared" ca="1" si="185"/>
        <v>Industrial heating technology Other RH - Coal boiler (Steam) - new 1</v>
      </c>
      <c r="F259" s="279" t="s">
        <v>450</v>
      </c>
      <c r="G259" s="279" t="s">
        <v>449</v>
      </c>
      <c r="H259" s="278"/>
      <c r="I259" s="278"/>
      <c r="J259" s="281" t="s">
        <v>469</v>
      </c>
    </row>
    <row r="260" spans="2:10">
      <c r="B260" s="223"/>
      <c r="C260" s="222" t="str">
        <f t="shared" ca="1" si="182"/>
        <v>DMD</v>
      </c>
      <c r="D260" s="223" t="str">
        <f t="shared" ca="1" si="184"/>
        <v>INDODMTCOAN2</v>
      </c>
      <c r="E260" s="223" t="str">
        <f t="shared" ca="1" si="185"/>
        <v>Industrial heating technology Other MT - Coal boiler (Hot Water) - new 2</v>
      </c>
      <c r="F260" s="279" t="s">
        <v>450</v>
      </c>
      <c r="G260" s="279" t="s">
        <v>449</v>
      </c>
      <c r="H260" s="278"/>
      <c r="I260" s="278"/>
      <c r="J260" s="281" t="s">
        <v>469</v>
      </c>
    </row>
    <row r="261" spans="2:10">
      <c r="B261" s="223"/>
      <c r="C261" s="222" t="str">
        <f t="shared" ca="1" si="182"/>
        <v>DMD</v>
      </c>
      <c r="D261" s="223" t="str">
        <f t="shared" ca="1" si="184"/>
        <v>INDODRHCOAN2</v>
      </c>
      <c r="E261" s="223" t="str">
        <f t="shared" ca="1" si="185"/>
        <v>Industrial heating technology Other RH - Coal boiler (Hot Water) - new 2</v>
      </c>
      <c r="F261" s="279" t="s">
        <v>450</v>
      </c>
      <c r="G261" s="279" t="s">
        <v>449</v>
      </c>
      <c r="H261" s="278"/>
      <c r="I261" s="278"/>
      <c r="J261" s="281" t="s">
        <v>469</v>
      </c>
    </row>
    <row r="262" spans="2:10">
      <c r="B262" s="223"/>
      <c r="C262" s="222" t="str">
        <f t="shared" ca="1" si="182"/>
        <v>DMD</v>
      </c>
      <c r="D262" s="223" t="str">
        <f t="shared" ca="1" si="184"/>
        <v>INDODRHSOLN1</v>
      </c>
      <c r="E262" s="223" t="str">
        <f t="shared" ca="1" si="185"/>
        <v>Industrial heating technology Other RH - Solar - new 1</v>
      </c>
      <c r="F262" s="279" t="s">
        <v>450</v>
      </c>
      <c r="G262" s="279" t="s">
        <v>449</v>
      </c>
      <c r="H262" s="334" t="s">
        <v>665</v>
      </c>
      <c r="I262" s="278"/>
      <c r="J262" s="281" t="s">
        <v>469</v>
      </c>
    </row>
    <row r="263" spans="2:10">
      <c r="B263" s="223"/>
      <c r="C263" s="222" t="str">
        <f t="shared" si="182"/>
        <v>DMD</v>
      </c>
      <c r="D263" s="949" t="str">
        <f>D187</f>
        <v>INDODRHHCEN1</v>
      </c>
      <c r="E263" s="949" t="str">
        <f t="shared" ca="1" si="185"/>
        <v>Industrial heating technology Other RH - central district heating - within DH area - new 1</v>
      </c>
      <c r="F263" s="279" t="s">
        <v>450</v>
      </c>
      <c r="G263" s="279" t="s">
        <v>449</v>
      </c>
      <c r="H263" s="334" t="s">
        <v>665</v>
      </c>
      <c r="I263" s="950"/>
      <c r="J263" s="280" t="s">
        <v>469</v>
      </c>
    </row>
    <row r="264" spans="2:10">
      <c r="B264" s="223"/>
      <c r="C264" s="222" t="str">
        <f t="shared" si="182"/>
        <v>DMD</v>
      </c>
      <c r="D264" s="223" t="str">
        <f t="shared" ref="D264" si="186">D188</f>
        <v>INDODRHHDEN1</v>
      </c>
      <c r="E264" s="223" t="str">
        <f t="shared" ca="1" si="185"/>
        <v>Industrial heating technology Other RH - decentral district heating - within DH area - new 1</v>
      </c>
      <c r="F264" s="279" t="s">
        <v>450</v>
      </c>
      <c r="G264" s="279" t="s">
        <v>449</v>
      </c>
      <c r="H264" s="334" t="s">
        <v>665</v>
      </c>
      <c r="I264" s="278"/>
      <c r="J264" s="281" t="s">
        <v>469</v>
      </c>
    </row>
    <row r="265" spans="2:10">
      <c r="B265" s="223"/>
      <c r="C265" s="222" t="str">
        <f t="shared" si="182"/>
        <v>DMD</v>
      </c>
      <c r="D265" s="223" t="str">
        <f>D190</f>
        <v>INDODLAELCN1</v>
      </c>
      <c r="E265" s="223" t="str">
        <f t="shared" ca="1" si="185"/>
        <v>Industry Other LA Electricity Light Appliance - New 1</v>
      </c>
      <c r="F265" s="279" t="s">
        <v>450</v>
      </c>
      <c r="G265" s="279" t="s">
        <v>449</v>
      </c>
      <c r="H265" s="334" t="s">
        <v>665</v>
      </c>
      <c r="I265" s="278"/>
      <c r="J265" s="281" t="s">
        <v>469</v>
      </c>
    </row>
    <row r="266" spans="2:10">
      <c r="B266" s="223"/>
      <c r="C266" s="222" t="str">
        <f t="shared" si="182"/>
        <v>DMD</v>
      </c>
      <c r="D266" s="223" t="str">
        <f>D194</f>
        <v>INDODEMELCN1</v>
      </c>
      <c r="E266" s="223" t="str">
        <f t="shared" ca="1" si="185"/>
        <v>Industry Other EM Electricity Motors - New 1</v>
      </c>
      <c r="F266" s="279" t="s">
        <v>450</v>
      </c>
      <c r="G266" s="279" t="s">
        <v>449</v>
      </c>
      <c r="H266" s="334" t="s">
        <v>665</v>
      </c>
      <c r="I266" s="278"/>
      <c r="J266" s="281" t="s">
        <v>469</v>
      </c>
    </row>
    <row r="267" spans="2:10">
      <c r="B267" s="223"/>
      <c r="C267" s="222" t="str">
        <f t="shared" si="182"/>
        <v>DMD</v>
      </c>
      <c r="D267" s="223" t="str">
        <f>D198</f>
        <v>INDODTFDSLN1</v>
      </c>
      <c r="E267" s="223" t="str">
        <f t="shared" ca="1" si="185"/>
        <v>Industry Other TF Tractors, Trucks, Fishing boats - New 1</v>
      </c>
      <c r="F267" s="279" t="s">
        <v>450</v>
      </c>
      <c r="G267" s="279" t="s">
        <v>449</v>
      </c>
      <c r="H267" s="278"/>
      <c r="I267" s="278"/>
      <c r="J267" s="281" t="s">
        <v>469</v>
      </c>
    </row>
    <row r="268" spans="2:10">
      <c r="B268" s="223"/>
      <c r="C268" s="222" t="str">
        <f t="shared" si="182"/>
        <v>DMD</v>
      </c>
      <c r="D268" s="223" t="str">
        <f>D202</f>
        <v>INDODFLDH2N1</v>
      </c>
      <c r="E268" s="223" t="str">
        <f t="shared" ca="1" si="185"/>
        <v>Industry Other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IODSOx</v>
      </c>
      <c r="E273" s="287" t="str">
        <f>"Industrial heating  heating technology "&amp;$AJ$12&amp;" - SOx emission"</f>
        <v>Industrial heating  heating technology Other - SOx emission</v>
      </c>
      <c r="F273" s="231" t="s">
        <v>352</v>
      </c>
      <c r="G273" s="222"/>
      <c r="H273" s="222"/>
      <c r="I273" s="222"/>
      <c r="J273" s="222"/>
    </row>
    <row r="274" spans="2:10">
      <c r="B274" s="226"/>
      <c r="C274" s="226"/>
      <c r="D274" s="277" t="str">
        <f>"I"&amp;LEFT($AJ$12,1)&amp;"DNOx"</f>
        <v>IODNOx</v>
      </c>
      <c r="E274" s="287" t="str">
        <f>"Industrial heating  heating technology "&amp;$AJ$12&amp;" - NOx emission"</f>
        <v>Industrial heating  heating technology Other - NOx emission</v>
      </c>
      <c r="F274" s="231" t="s">
        <v>352</v>
      </c>
      <c r="G274" s="222"/>
      <c r="H274" s="226"/>
      <c r="I274" s="226"/>
      <c r="J274" s="226"/>
    </row>
    <row r="275" spans="2:10">
      <c r="B275" s="226"/>
      <c r="C275" s="226"/>
      <c r="D275" s="277" t="str">
        <f>"I"&amp;LEFT($AJ$12,1)&amp;"DCH4"</f>
        <v>IODCH4</v>
      </c>
      <c r="E275" s="287" t="str">
        <f>"Industrial heating  heating technology "&amp;$AJ$12&amp;" - CH4 emission"</f>
        <v>Industrial heating  heating technology Other - CH4 emission</v>
      </c>
      <c r="F275" s="231" t="s">
        <v>352</v>
      </c>
      <c r="G275" s="222"/>
      <c r="H275" s="226"/>
      <c r="I275" s="226"/>
      <c r="J275" s="226"/>
    </row>
    <row r="276" spans="2:10">
      <c r="B276" s="226"/>
      <c r="C276" s="226"/>
      <c r="D276" s="277" t="str">
        <f>"I"&amp;LEFT($AJ$12,1)&amp;"DNO2"</f>
        <v>IODNO2</v>
      </c>
      <c r="E276" s="287" t="str">
        <f>"Industrial heating  heating technology "&amp;$AJ$12&amp;" - NO2 emission"</f>
        <v>Industrial heating  heating technology Other - NO2 emission</v>
      </c>
      <c r="F276" s="231" t="s">
        <v>352</v>
      </c>
      <c r="G276" s="222"/>
      <c r="H276" s="226"/>
      <c r="I276" s="226"/>
      <c r="J276" s="226"/>
    </row>
    <row r="277" spans="2:10">
      <c r="B277" s="226"/>
      <c r="C277" s="226"/>
      <c r="D277" s="277" t="str">
        <f>"I"&amp;LEFT($AJ$12,1)&amp;"DPM"</f>
        <v>IODPM</v>
      </c>
      <c r="E277" s="287" t="str">
        <f>"Industrial heating  heating technology "&amp;$AJ$12&amp;" - Particle emission"</f>
        <v>Industrial heating  heating technology Other - Particle emission</v>
      </c>
      <c r="F277" s="231" t="s">
        <v>352</v>
      </c>
      <c r="G277" s="222"/>
      <c r="H277" s="226"/>
      <c r="I277" s="226"/>
      <c r="J277" s="226"/>
    </row>
    <row r="278" spans="2:10">
      <c r="B278" s="239" t="s">
        <v>1182</v>
      </c>
      <c r="D278" s="239" t="str">
        <f>AI20</f>
        <v>INDOWH</v>
      </c>
      <c r="E278" s="287" t="str">
        <f>"Industrial heating technology "&amp;$AJ$12&amp;" - Waste heat"</f>
        <v>Industrial heating technology Other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713A1C-4A00-4FAF-BC1C-CBDFE8F01AD6}">
          <x14:formula1>
            <xm:f>'Oil-fired boiler_NEW'!$T$4:$X$4</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5CB2D-FFD3-4070-83C7-083FC5BBB422}">
  <sheetPr>
    <tabColor rgb="FF00B050"/>
  </sheetPr>
  <dimension ref="A1:AP278"/>
  <sheetViews>
    <sheetView topLeftCell="A149" zoomScale="70" zoomScaleNormal="70" workbookViewId="0">
      <selection activeCell="G193" sqref="G193"/>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842</v>
      </c>
      <c r="N1" s="64"/>
      <c r="O1" s="64"/>
      <c r="P1" s="64"/>
      <c r="S1" s="787" t="s">
        <v>1129</v>
      </c>
      <c r="T1" s="836" t="s">
        <v>1128</v>
      </c>
      <c r="U1" s="835" t="s">
        <v>1178</v>
      </c>
      <c r="V1" s="836" t="s">
        <v>1179</v>
      </c>
      <c r="W1" s="840">
        <v>0.3</v>
      </c>
    </row>
    <row r="2" spans="2:42" ht="15" thickBot="1">
      <c r="E2" s="790" t="s">
        <v>757</v>
      </c>
      <c r="N2" s="791"/>
      <c r="O2" s="791"/>
      <c r="P2" s="791"/>
      <c r="S2" s="786">
        <v>15</v>
      </c>
      <c r="T2" s="971">
        <v>15</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FEMIS~IMDSOx</v>
      </c>
      <c r="Y6" s="299" t="str">
        <f>"FEMIS~"&amp;D274</f>
        <v>FEMIS~IMDNOx</v>
      </c>
      <c r="Z6" s="299" t="str">
        <f>"FEMIS~"&amp;D275</f>
        <v>FEMIS~IMDCH4</v>
      </c>
      <c r="AA6" s="299" t="str">
        <f>"FEMIS~"&amp;D276</f>
        <v>FEMIS~IMDNO2</v>
      </c>
      <c r="AB6" s="299" t="str">
        <f>"FEMIS~"&amp;D277</f>
        <v>FEMIS~IMDPM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v>
      </c>
      <c r="E9" s="278" t="str">
        <f>"Industrial heating technology "&amp;$AJ$12&amp;" "&amp;RIGHT(H9,2)&amp;" - Heat pump utilizing waste heat - new 1"</f>
        <v>Industrial heating technology Mining MT - Heat pump utilizing waste heat - new 1</v>
      </c>
      <c r="F9" s="239" t="s">
        <v>1274</v>
      </c>
      <c r="G9" s="176" t="s">
        <v>500</v>
      </c>
      <c r="H9" s="177" t="str">
        <f>$AI$14</f>
        <v>IIDMT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v>
      </c>
      <c r="E10" s="278"/>
      <c r="F10" s="239" t="s">
        <v>1274</v>
      </c>
      <c r="G10" s="176" t="str">
        <f>$AI$20</f>
        <v>INDIWH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v>
      </c>
      <c r="E11" s="223"/>
      <c r="F11" s="239" t="s">
        <v>1274</v>
      </c>
      <c r="G11" s="176" t="s">
        <v>500</v>
      </c>
      <c r="H11" s="177" t="str">
        <f>$AI$14</f>
        <v>IIDMT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v>
      </c>
      <c r="E12" s="223"/>
      <c r="F12" s="239" t="s">
        <v>1274</v>
      </c>
      <c r="G12" s="176" t="str">
        <f>$AI$20</f>
        <v>INDIWH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Mining</v>
      </c>
    </row>
    <row r="13" spans="2:42">
      <c r="B13" s="393" t="s">
        <v>1123</v>
      </c>
      <c r="D13" s="223" t="str">
        <f ca="1">IF(T9=0,"*",IF(T13&gt;0,"IND"&amp;RIGHT(H9,4)&amp;RIGHT(G9,3)&amp;"N"&amp;RIGHT(E9,1),""))</f>
        <v>*</v>
      </c>
      <c r="E13" s="223"/>
      <c r="F13" s="239" t="s">
        <v>1274</v>
      </c>
      <c r="G13" s="176" t="s">
        <v>500</v>
      </c>
      <c r="H13" s="177" t="str">
        <f>$AI$14</f>
        <v>IIDMT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IIDHT</v>
      </c>
      <c r="AJ13" s="239" t="str">
        <f>AP14</f>
        <v>Mining Demand Heat High Temp. over 150C</v>
      </c>
      <c r="AO13" s="239" t="s">
        <v>1358</v>
      </c>
      <c r="AP13" s="239" t="s">
        <v>1359</v>
      </c>
    </row>
    <row r="14" spans="2:42">
      <c r="B14" s="393" t="s">
        <v>1123</v>
      </c>
      <c r="D14" s="223" t="str">
        <f ca="1">IF(T9=0,"*",IF(T14&gt;0,"IND"&amp;RIGHT(H9,4)&amp;RIGHT(G9,3)&amp;"N"&amp;RIGHT(E9,1),""))</f>
        <v>*</v>
      </c>
      <c r="E14" s="223"/>
      <c r="F14" s="239" t="s">
        <v>1274</v>
      </c>
      <c r="G14" s="176" t="str">
        <f>$AI$20</f>
        <v>INDIWH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IIDMT</v>
      </c>
      <c r="AJ14" s="239" t="str">
        <f>AP13</f>
        <v>Mining Demand Heat Medium Temp. up to 150C</v>
      </c>
      <c r="AO14" s="239" t="s">
        <v>1360</v>
      </c>
      <c r="AP14" s="239" t="s">
        <v>1361</v>
      </c>
    </row>
    <row r="15" spans="2:42">
      <c r="B15" s="393" t="s">
        <v>1123</v>
      </c>
      <c r="D15" s="223" t="str">
        <f ca="1">IF(T15=0,"*",IF(T15&gt;0,"IND"&amp;RIGHT(H15,4)&amp;RIGHT(G15,3)&amp;"N"&amp;RIGHT(E15,1),""))</f>
        <v>INDIDRHELCN1</v>
      </c>
      <c r="E15" s="278" t="str">
        <f>"Industrial heating technology "&amp;$AJ$12&amp;" "&amp;RIGHT(H15,2)&amp;" - Heat pump utilizing waste heat - new 1"</f>
        <v>Industrial heating technology Mining RH - Heat pump utilizing waste heat - new 1</v>
      </c>
      <c r="F15" s="239" t="s">
        <v>1274</v>
      </c>
      <c r="G15" s="176" t="s">
        <v>500</v>
      </c>
      <c r="H15" s="177" t="str">
        <f>$AI$15</f>
        <v>IIDRH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IIDRH</v>
      </c>
      <c r="AJ15" s="239" t="str">
        <f>AP15</f>
        <v>Mining Demand Heat Room Heat</v>
      </c>
      <c r="AO15" s="239" t="s">
        <v>1362</v>
      </c>
      <c r="AP15" s="239" t="s">
        <v>1363</v>
      </c>
    </row>
    <row r="16" spans="2:42">
      <c r="B16" s="393" t="s">
        <v>1123</v>
      </c>
      <c r="D16" s="223" t="str">
        <f ca="1">IF(T15=0,"*",IF(T16&gt;0,"IND"&amp;RIGHT(H15,4)&amp;RIGHT(G15,3)&amp;"N"&amp;RIGHT(E15,1),""))</f>
        <v/>
      </c>
      <c r="E16" s="278"/>
      <c r="F16" s="239" t="s">
        <v>1274</v>
      </c>
      <c r="G16" s="176" t="str">
        <f>$AI$20</f>
        <v>INDIWH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IIDLA</v>
      </c>
      <c r="AJ16" s="239" t="str">
        <f t="shared" si="6"/>
        <v>Mining Demand Light</v>
      </c>
      <c r="AO16" s="239" t="s">
        <v>1364</v>
      </c>
      <c r="AP16" s="239" t="s">
        <v>1365</v>
      </c>
    </row>
    <row r="17" spans="2:42">
      <c r="B17" s="393" t="s">
        <v>1123</v>
      </c>
      <c r="D17" s="223" t="str">
        <f ca="1">IF(T15=0,"*",IF(T17&gt;0,"IND"&amp;RIGHT(H15,4)&amp;RIGHT(G15,3)&amp;"N"&amp;RIGHT(E15,1),""))</f>
        <v/>
      </c>
      <c r="E17" s="223"/>
      <c r="F17" s="239" t="s">
        <v>1274</v>
      </c>
      <c r="G17" s="176" t="s">
        <v>500</v>
      </c>
      <c r="H17" s="177" t="str">
        <f>$AI$15</f>
        <v>IIDRH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IIDEM</v>
      </c>
      <c r="AJ17" s="239" t="str">
        <f t="shared" si="6"/>
        <v>Mining Demand Electric Motors</v>
      </c>
      <c r="AO17" s="239" t="s">
        <v>1366</v>
      </c>
      <c r="AP17" s="239" t="s">
        <v>1367</v>
      </c>
    </row>
    <row r="18" spans="2:42">
      <c r="B18" s="393" t="s">
        <v>1123</v>
      </c>
      <c r="D18" s="223" t="str">
        <f ca="1">IF(T15=0,"*",IF(T18&gt;0,"IND"&amp;RIGHT(H15,4)&amp;RIGHT(G15,3)&amp;"N"&amp;RIGHT(E15,1),""))</f>
        <v/>
      </c>
      <c r="E18" s="223"/>
      <c r="F18" s="239" t="s">
        <v>1274</v>
      </c>
      <c r="G18" s="176" t="str">
        <f>$AI$20</f>
        <v>INDIWH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IIDTF</v>
      </c>
      <c r="AJ18" s="239" t="str">
        <f t="shared" si="6"/>
        <v>Mining Demand Haulage Tractors, Trucks, Fishing boats, Forest machines</v>
      </c>
      <c r="AO18" s="239" t="s">
        <v>1368</v>
      </c>
      <c r="AP18" s="239" t="s">
        <v>1369</v>
      </c>
    </row>
    <row r="19" spans="2:42">
      <c r="B19" s="393" t="s">
        <v>1123</v>
      </c>
      <c r="D19" s="223" t="str">
        <f ca="1">IF(T15=0,"*",IF(T19&gt;0,"IND"&amp;RIGHT(H15,4)&amp;RIGHT(G15,3)&amp;"N"&amp;RIGHT(E15,1),""))</f>
        <v/>
      </c>
      <c r="E19" s="223"/>
      <c r="F19" s="239" t="s">
        <v>1274</v>
      </c>
      <c r="G19" s="176" t="s">
        <v>500</v>
      </c>
      <c r="H19" s="177" t="str">
        <f>$AI$15</f>
        <v>IIDRH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IIDFL</v>
      </c>
      <c r="AJ19" s="239" t="str">
        <f t="shared" si="6"/>
        <v>Mining Demand Haulage Forklifts</v>
      </c>
      <c r="AO19" s="239" t="s">
        <v>1370</v>
      </c>
      <c r="AP19" s="239" t="s">
        <v>1371</v>
      </c>
    </row>
    <row r="20" spans="2:42">
      <c r="B20" s="393" t="s">
        <v>1123</v>
      </c>
      <c r="D20" s="223" t="str">
        <f ca="1">IF(T15=0,"*",IF(T20&gt;0,"IND"&amp;RIGHT(H15,4)&amp;RIGHT(G15,3)&amp;"N"&amp;RIGHT(E15,1),""))</f>
        <v/>
      </c>
      <c r="E20" s="223"/>
      <c r="F20" s="239" t="s">
        <v>1274</v>
      </c>
      <c r="G20" s="176" t="str">
        <f>$AI$20</f>
        <v>INDIWH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INDIWH</v>
      </c>
      <c r="AJ20" s="239" t="str">
        <f>$AJ$12&amp;" Industrial Waste Heat"</f>
        <v>Mining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Mining MT - Heat driven heat pump utilizing waste heat - new 2</v>
      </c>
      <c r="F21" s="239" t="s">
        <v>1274</v>
      </c>
      <c r="G21" s="176" t="s">
        <v>500</v>
      </c>
      <c r="H21" s="177" t="str">
        <f>$AI$14</f>
        <v>IIDMT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INDIWH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IIDMT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INDIWH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IIDMT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INDIWH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INDIDRHELCN2</v>
      </c>
      <c r="E27" s="278" t="str">
        <f>"Industrial heating technology "&amp;$AJ$12&amp;" "&amp;RIGHT(H27,2)&amp;" - Heat driven heat pump utilizing waste heat - new 2"</f>
        <v>Industrial heating technology Mining RH - Heat driven heat pump utilizing waste heat - new 2</v>
      </c>
      <c r="F27" s="239" t="s">
        <v>1274</v>
      </c>
      <c r="G27" s="176" t="s">
        <v>500</v>
      </c>
      <c r="H27" s="177" t="str">
        <f>$AI$15</f>
        <v>IIDRH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INDIWH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IIDRH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INDIWH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IIDRH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INDIWH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v>
      </c>
      <c r="E33" s="278" t="str">
        <f>"Industrial heating technology "&amp;$AJ$12&amp;" "&amp;RIGHT(H33,2)&amp;" - High Temp abs. Heat pump utilizing waste heat - new 3"</f>
        <v>Industrial heating technology Mining MT - High Temp abs. Heat pump utilizing waste heat - new 3</v>
      </c>
      <c r="F33" s="239" t="s">
        <v>1274</v>
      </c>
      <c r="G33" s="176" t="s">
        <v>500</v>
      </c>
      <c r="H33" s="177" t="str">
        <f>$AI$14</f>
        <v>IIDMT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v>
      </c>
      <c r="E34" s="278"/>
      <c r="F34" s="239" t="s">
        <v>1274</v>
      </c>
      <c r="G34" s="176" t="str">
        <f>$AI$20</f>
        <v>INDIWH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v>
      </c>
      <c r="E35" s="223"/>
      <c r="F35" s="239" t="s">
        <v>1274</v>
      </c>
      <c r="G35" s="176" t="s">
        <v>500</v>
      </c>
      <c r="H35" s="177" t="str">
        <f>$AI$14</f>
        <v>IIDMT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v>
      </c>
      <c r="E36" s="223"/>
      <c r="F36" s="239" t="s">
        <v>1274</v>
      </c>
      <c r="G36" s="176" t="str">
        <f>$AI$20</f>
        <v>INDIWH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v>
      </c>
      <c r="E37" s="223"/>
      <c r="F37" s="239" t="s">
        <v>1274</v>
      </c>
      <c r="G37" s="176" t="s">
        <v>500</v>
      </c>
      <c r="H37" s="177" t="str">
        <f>$AI$14</f>
        <v>IIDMT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v>
      </c>
      <c r="E38" s="223"/>
      <c r="F38" s="239" t="s">
        <v>1274</v>
      </c>
      <c r="G38" s="176" t="str">
        <f>$AI$20</f>
        <v>INDIWH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INDIDRHELCN3</v>
      </c>
      <c r="E39" s="278" t="str">
        <f>"Industrial heating technology "&amp;$AJ$12&amp;" "&amp;RIGHT(H39,2)&amp;" - High Temp abs. Heat pump utilizing waste heat - new 3"</f>
        <v>Industrial heating technology Mining RH - High Temp abs. Heat pump utilizing waste heat - new 3</v>
      </c>
      <c r="F39" s="239" t="s">
        <v>1274</v>
      </c>
      <c r="G39" s="176" t="s">
        <v>500</v>
      </c>
      <c r="H39" s="177" t="str">
        <f>$AI$15</f>
        <v>IIDRH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INDIWH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IIDRH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INDIWH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IIDRH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INDIWH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v>
      </c>
      <c r="E45" s="278" t="str">
        <f>"Industrial heating technology "&amp;$AJ$12&amp;" "&amp;RIGHT(H45,2)&amp;" - Booster Heat pump utilizing waste heat - new 4"</f>
        <v>Industrial heating technology Mining MT - Booster Heat pump utilizing waste heat - new 4</v>
      </c>
      <c r="F45" s="239" t="s">
        <v>1274</v>
      </c>
      <c r="G45" s="176" t="s">
        <v>500</v>
      </c>
      <c r="H45" s="177" t="str">
        <f>$AI$14</f>
        <v>IIDMT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v>
      </c>
      <c r="E46" s="278"/>
      <c r="F46" s="239" t="s">
        <v>1274</v>
      </c>
      <c r="G46" s="176" t="str">
        <f>$AI$20</f>
        <v>INDIWH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v>
      </c>
      <c r="E47" s="223"/>
      <c r="F47" s="239" t="s">
        <v>1274</v>
      </c>
      <c r="G47" s="176" t="s">
        <v>500</v>
      </c>
      <c r="H47" s="177" t="str">
        <f>$AI$14</f>
        <v>IIDMT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v>
      </c>
      <c r="E48" s="223"/>
      <c r="F48" s="239" t="s">
        <v>1274</v>
      </c>
      <c r="G48" s="176" t="str">
        <f>$AI$20</f>
        <v>INDIWH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v>
      </c>
      <c r="E49" s="223"/>
      <c r="F49" s="239" t="s">
        <v>1274</v>
      </c>
      <c r="G49" s="176" t="s">
        <v>500</v>
      </c>
      <c r="H49" s="177" t="str">
        <f>$AI$14</f>
        <v>IIDMT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v>
      </c>
      <c r="E50" s="223"/>
      <c r="F50" s="239" t="s">
        <v>1274</v>
      </c>
      <c r="G50" s="176" t="str">
        <f>$AI$20</f>
        <v>INDIWH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INDIDRHELCN4</v>
      </c>
      <c r="E51" s="278" t="str">
        <f>"Industrial heating technology "&amp;$AJ$12&amp;" "&amp;RIGHT(H51,2)&amp;" - Booster Heat pump utilizing waste heat - new 4"</f>
        <v>Industrial heating technology Mining RH - Booster Heat pump utilizing waste heat - new 4</v>
      </c>
      <c r="F51" s="239" t="s">
        <v>1274</v>
      </c>
      <c r="G51" s="176" t="s">
        <v>500</v>
      </c>
      <c r="H51" s="177" t="str">
        <f>$AI$15</f>
        <v>IIDRH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INDIWH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IIDRH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INDIWH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IIDRH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INDIWH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v>
      </c>
      <c r="E57" s="278" t="str">
        <f>"Industrial heating technology "&amp;$AJ$12&amp;" "&amp;RIGHT(H57,2)&amp;" - MVR utilizing waste heat - new 5"</f>
        <v>Industrial heating technology Mining MT - MVR utilizing waste heat - new 5</v>
      </c>
      <c r="F57" s="239" t="s">
        <v>1274</v>
      </c>
      <c r="G57" s="176" t="s">
        <v>500</v>
      </c>
      <c r="H57" s="177" t="str">
        <f>$AI$14</f>
        <v>IIDMT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v>
      </c>
      <c r="E58" s="278"/>
      <c r="F58" s="239" t="s">
        <v>1274</v>
      </c>
      <c r="G58" s="176" t="str">
        <f>$AI$20</f>
        <v>INDIWH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v>
      </c>
      <c r="E59" s="223"/>
      <c r="F59" s="239" t="s">
        <v>1274</v>
      </c>
      <c r="G59" s="176" t="s">
        <v>500</v>
      </c>
      <c r="H59" s="177" t="str">
        <f>$AI$14</f>
        <v>IIDMT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v>
      </c>
      <c r="E60" s="223"/>
      <c r="F60" s="239" t="s">
        <v>1274</v>
      </c>
      <c r="G60" s="176" t="str">
        <f>$AI$20</f>
        <v>INDIWH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v>
      </c>
      <c r="E61" s="223"/>
      <c r="F61" s="239" t="s">
        <v>1274</v>
      </c>
      <c r="G61" s="176" t="s">
        <v>500</v>
      </c>
      <c r="H61" s="177" t="str">
        <f>$AI$14</f>
        <v>IIDMT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v>
      </c>
      <c r="E62" s="792"/>
      <c r="F62" s="239" t="s">
        <v>1274</v>
      </c>
      <c r="G62" s="848" t="str">
        <f>$AI$20</f>
        <v>INDIWH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Mining HT - Hotdisc - new 1</v>
      </c>
      <c r="F63" s="239" t="s">
        <v>1274</v>
      </c>
      <c r="G63" s="892" t="s">
        <v>1130</v>
      </c>
      <c r="H63" s="177" t="str">
        <f>$AI$13</f>
        <v>IIDHT</v>
      </c>
      <c r="I63" s="176" t="str">
        <f t="shared" ref="I63:I94" si="53">$AI$20</f>
        <v>INDIWH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INDIWH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INDIWH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Mining MT - Dielectric heating - new 6</v>
      </c>
      <c r="F66" s="239" t="s">
        <v>1274</v>
      </c>
      <c r="G66" s="176" t="s">
        <v>500</v>
      </c>
      <c r="H66" s="177" t="str">
        <f>$AI$14</f>
        <v>IIDMT</v>
      </c>
      <c r="I66" s="176" t="str">
        <f t="shared" si="53"/>
        <v>INDIWH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INDIWH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INDIWH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Mining MT - Infrared heating - new 7</v>
      </c>
      <c r="F69" s="239" t="s">
        <v>1274</v>
      </c>
      <c r="G69" s="176" t="s">
        <v>500</v>
      </c>
      <c r="H69" s="177" t="str">
        <f>$AI$14</f>
        <v>IIDMT</v>
      </c>
      <c r="I69" s="176" t="str">
        <f t="shared" si="53"/>
        <v>INDIWH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v>
      </c>
      <c r="E70" s="223"/>
      <c r="F70" s="239" t="s">
        <v>1274</v>
      </c>
      <c r="H70" s="177"/>
      <c r="I70" s="176" t="str">
        <f t="shared" si="53"/>
        <v>INDIWH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v>
      </c>
      <c r="E71" s="223"/>
      <c r="F71" s="239" t="s">
        <v>1274</v>
      </c>
      <c r="H71" s="177"/>
      <c r="I71" s="177" t="str">
        <f t="shared" si="53"/>
        <v>INDIWH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INDIDHTELCN8</v>
      </c>
      <c r="E72" s="278" t="str">
        <f>"Industrial heating technology "&amp;$AJ$12&amp;" "&amp;RIGHT(H72,2)&amp;" - Electric boiler (Steam) - new 8"</f>
        <v>Industrial heating technology Mining HT - Electric boiler (Steam) - new 8</v>
      </c>
      <c r="F72" s="239" t="s">
        <v>1274</v>
      </c>
      <c r="G72" s="176" t="s">
        <v>500</v>
      </c>
      <c r="H72" s="177" t="str">
        <f>$AI$13</f>
        <v>IIDHT</v>
      </c>
      <c r="I72" s="177" t="str">
        <f t="shared" si="53"/>
        <v>INDIWH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0.2</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INDIWH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INDIWH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INDIDMTELCN8</v>
      </c>
      <c r="E75" s="278" t="str">
        <f>"Industrial heating technology "&amp;$AJ$12&amp;" "&amp;RIGHT(H75,2)&amp;" - Electric boiler (Steam) - new 8"</f>
        <v>Industrial heating technology Mining MT - Electric boiler (Steam) - new 8</v>
      </c>
      <c r="F75" s="239" t="s">
        <v>1274</v>
      </c>
      <c r="G75" s="176" t="s">
        <v>500</v>
      </c>
      <c r="H75" s="177" t="str">
        <f>$AI$14</f>
        <v>IIDMT</v>
      </c>
      <c r="I75" s="177" t="str">
        <f t="shared" si="53"/>
        <v>INDIWH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INDIWH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INDIWH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v>
      </c>
      <c r="E78" s="278" t="str">
        <f>"Industrial heating technology "&amp;$AJ$12&amp;" "&amp;RIGHT(H78,2)&amp;" - Electric boiler (Steam) - new 8"</f>
        <v>Industrial heating technology Mining RH - Electric boiler (Steam) - new 8</v>
      </c>
      <c r="F78" s="239" t="s">
        <v>1274</v>
      </c>
      <c r="G78" s="176" t="s">
        <v>500</v>
      </c>
      <c r="H78" s="177" t="str">
        <f>$AI$15</f>
        <v>IIDRH</v>
      </c>
      <c r="I78" s="177" t="str">
        <f t="shared" si="53"/>
        <v>INDIWH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0</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v>
      </c>
      <c r="E79" s="223"/>
      <c r="F79" s="239" t="s">
        <v>1274</v>
      </c>
      <c r="H79" s="177"/>
      <c r="I79" s="177" t="str">
        <f t="shared" si="53"/>
        <v>INDIWH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v>
      </c>
      <c r="E80" s="223"/>
      <c r="F80" s="239" t="s">
        <v>1274</v>
      </c>
      <c r="H80" s="177"/>
      <c r="I80" s="177" t="str">
        <f t="shared" si="53"/>
        <v>INDIWH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INDIDMTELCN9</v>
      </c>
      <c r="E81" s="767" t="str">
        <f>"Industrial heating technology "&amp;$AJ$12&amp;" "&amp;RIGHT(H81,2)&amp;" - Electric boiler (Hot Water) - new 9"</f>
        <v>Industrial heating technology Mining MT - Electric boiler (Hot Water) - new 9</v>
      </c>
      <c r="F81" s="239" t="s">
        <v>1274</v>
      </c>
      <c r="G81" s="768" t="s">
        <v>500</v>
      </c>
      <c r="H81" s="768" t="str">
        <f>$AI$14</f>
        <v>IIDMT</v>
      </c>
      <c r="I81" s="768" t="str">
        <f t="shared" si="53"/>
        <v>INDIWH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INDIWH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INDIWH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v>
      </c>
      <c r="E84" s="278" t="str">
        <f>"Industrial heating technology "&amp;$AJ$12&amp;" "&amp;RIGHT(H84,2)&amp;" - Electric boiler (Hot Water) - new 9"</f>
        <v>Industrial heating technology Mining RH - Electric boiler (Hot Water) - new 9</v>
      </c>
      <c r="F84" s="239" t="s">
        <v>1274</v>
      </c>
      <c r="G84" s="177" t="s">
        <v>500</v>
      </c>
      <c r="H84" s="177" t="str">
        <f>$AI$15</f>
        <v>IIDRH</v>
      </c>
      <c r="I84" s="177" t="str">
        <f t="shared" si="53"/>
        <v>INDIWH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0</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v>
      </c>
      <c r="E85" s="278"/>
      <c r="F85" s="239" t="s">
        <v>1274</v>
      </c>
      <c r="G85" s="55"/>
      <c r="H85" s="177"/>
      <c r="I85" s="177" t="str">
        <f t="shared" si="53"/>
        <v>INDIWH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v>
      </c>
      <c r="E86" s="761"/>
      <c r="F86" s="239" t="s">
        <v>1274</v>
      </c>
      <c r="G86" s="211"/>
      <c r="H86" s="762"/>
      <c r="I86" s="762" t="str">
        <f t="shared" si="53"/>
        <v>INDIWH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v>
      </c>
      <c r="E87" s="278" t="str">
        <f>"Industrial heating technology "&amp;$AJ$12&amp;" "&amp;RIGHT(H87,2)&amp;" - Wood chip boiler (Steam) - new 1"</f>
        <v>Industrial heating technology Mining HT - Wood chip boiler (Steam) - new 1</v>
      </c>
      <c r="F87" s="239" t="s">
        <v>1274</v>
      </c>
      <c r="G87" s="176" t="s">
        <v>499</v>
      </c>
      <c r="H87" s="177" t="str">
        <f>$AI$13</f>
        <v>IIDHT</v>
      </c>
      <c r="I87" s="177" t="str">
        <f t="shared" si="53"/>
        <v>INDIWH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0</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v>
      </c>
      <c r="E88" s="223"/>
      <c r="F88" s="239" t="s">
        <v>1274</v>
      </c>
      <c r="H88" s="177"/>
      <c r="I88" s="177" t="str">
        <f t="shared" si="53"/>
        <v>INDIWH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v>
      </c>
      <c r="E89" s="223"/>
      <c r="F89" s="239" t="s">
        <v>1274</v>
      </c>
      <c r="H89" s="177"/>
      <c r="I89" s="177" t="str">
        <f t="shared" si="53"/>
        <v>INDIWH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INDIDMTWCHN1</v>
      </c>
      <c r="E90" s="278" t="str">
        <f>"Industrial heating technology "&amp;$AJ$12&amp;" "&amp;RIGHT(H90,2)&amp;" - Wood chip boiler (Steam) - new 1"</f>
        <v>Industrial heating technology Mining MT - Wood chip boiler (Steam) - new 1</v>
      </c>
      <c r="F90" s="239" t="s">
        <v>1274</v>
      </c>
      <c r="G90" s="176" t="s">
        <v>499</v>
      </c>
      <c r="H90" s="177" t="str">
        <f>$AI$14</f>
        <v>IIDMT</v>
      </c>
      <c r="I90" s="177" t="str">
        <f t="shared" si="53"/>
        <v>INDIWH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INDIWH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INDIWH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INDIDRHWCHN1</v>
      </c>
      <c r="E93" s="278" t="str">
        <f>"Industrial heating technology "&amp;$AJ$12&amp;" "&amp;RIGHT(H93,2)&amp;" - Wood chip boiler (Steam) - new 1"</f>
        <v>Industrial heating technology Mining RH - Wood chip boiler (Steam) - new 1</v>
      </c>
      <c r="F93" s="239" t="s">
        <v>1274</v>
      </c>
      <c r="G93" s="176" t="s">
        <v>499</v>
      </c>
      <c r="H93" s="177" t="str">
        <f>$AI$15</f>
        <v>IIDRH</v>
      </c>
      <c r="I93" s="177" t="str">
        <f t="shared" si="53"/>
        <v>INDIWH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INDIWH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INDIWH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INDIDMTWCHN2</v>
      </c>
      <c r="E96" s="767" t="str">
        <f>"Industrial heating technology "&amp;$AJ$12&amp;" "&amp;RIGHT(H96,2)&amp;" - Wood chip boiler (Steam - condensing) - new 2"</f>
        <v>Industrial heating technology Mining MT - Wood chip boiler (Steam - condensing) - new 2</v>
      </c>
      <c r="F96" s="239" t="s">
        <v>1274</v>
      </c>
      <c r="G96" s="768" t="s">
        <v>499</v>
      </c>
      <c r="H96" s="768" t="str">
        <f>$AI$14</f>
        <v>IIDMT</v>
      </c>
      <c r="I96" s="768" t="str">
        <f t="shared" si="80"/>
        <v>INDIWH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INDIWH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INDIWH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INDIDRHWCHN2</v>
      </c>
      <c r="E99" s="278" t="str">
        <f>"Industrial heating technology "&amp;$AJ$12&amp;" "&amp;RIGHT(H99,2)&amp;" - Wood chip boiler (Steam - condensing) - new 2"</f>
        <v>Industrial heating technology Mining RH - Wood chip boiler (Steam - condensing) - new 2</v>
      </c>
      <c r="F99" s="239" t="s">
        <v>1274</v>
      </c>
      <c r="G99" s="177" t="s">
        <v>499</v>
      </c>
      <c r="H99" s="177" t="str">
        <f>$AI$15</f>
        <v>IIDRH</v>
      </c>
      <c r="I99" s="177" t="str">
        <f t="shared" si="80"/>
        <v>INDIWH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INDIWH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INDIWH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INDIDMTWCHN3</v>
      </c>
      <c r="E102" s="767" t="str">
        <f>"Industrial heating technology "&amp;$AJ$12&amp;" "&amp;RIGHT(H102,2)&amp;" - Wood chip boiler (Hot Water) - new 3"</f>
        <v>Industrial heating technology Mining MT - Wood chip boiler (Hot Water) - new 3</v>
      </c>
      <c r="F102" s="239" t="s">
        <v>1274</v>
      </c>
      <c r="G102" s="768" t="s">
        <v>499</v>
      </c>
      <c r="H102" s="768" t="str">
        <f>$AI$14</f>
        <v>IIDMT</v>
      </c>
      <c r="I102" s="768" t="str">
        <f t="shared" si="80"/>
        <v>INDIWH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INDIWH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INDIWH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INDIDRHWCHN3</v>
      </c>
      <c r="E105" s="278" t="str">
        <f>"Industrial heating technology "&amp;$AJ$12&amp;" "&amp;RIGHT(H105,2)&amp;" - Wood chip boiler (Hot Water) - new 3"</f>
        <v>Industrial heating technology Mining RH - Wood chip boiler (Hot Water) - new 3</v>
      </c>
      <c r="F105" s="239" t="s">
        <v>1274</v>
      </c>
      <c r="G105" s="177" t="s">
        <v>499</v>
      </c>
      <c r="H105" s="177" t="str">
        <f>$AI$15</f>
        <v>IIDRH</v>
      </c>
      <c r="I105" s="177" t="str">
        <f t="shared" si="80"/>
        <v>INDIWH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INDIWH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INDIWH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INDIDMTWCHN4</v>
      </c>
      <c r="E108" s="767" t="str">
        <f>"Industrial heating technology "&amp;$AJ$12&amp;" "&amp;RIGHT(H108,2)&amp;" - Wood chip boiler (Hot Water - condensing) - new 4"</f>
        <v>Industrial heating technology Mining MT - Wood chip boiler (Hot Water - condensing) - new 4</v>
      </c>
      <c r="F108" s="239" t="s">
        <v>1274</v>
      </c>
      <c r="G108" s="768" t="s">
        <v>499</v>
      </c>
      <c r="H108" s="768" t="str">
        <f>$AI$14</f>
        <v>IIDMT</v>
      </c>
      <c r="I108" s="768" t="str">
        <f t="shared" si="80"/>
        <v>INDIWH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INDIWH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INDIWH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INDIDRHWCHN4</v>
      </c>
      <c r="E111" s="278" t="str">
        <f>"Industrial heating technology "&amp;$AJ$12&amp;" "&amp;RIGHT(H111,2)&amp;" - Wood chip boiler (Hot Water- condensing) - new 4"</f>
        <v>Industrial heating technology Mining RH - Wood chip boiler (Hot Water- condensing) - new 4</v>
      </c>
      <c r="F111" s="239" t="s">
        <v>1274</v>
      </c>
      <c r="G111" s="177" t="s">
        <v>499</v>
      </c>
      <c r="H111" s="177" t="str">
        <f>$AI$15</f>
        <v>IIDRH</v>
      </c>
      <c r="I111" s="177" t="str">
        <f t="shared" si="80"/>
        <v>INDIWH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INDIWH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INDIWH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INDIDHTELCN0</v>
      </c>
      <c r="E114" s="278" t="str">
        <f>"Industrial heating technology "&amp;$AJ$12&amp;" "&amp;RIGHT(H114,2)&amp;" - Direct electric heating - new 10"</f>
        <v>Industrial heating technology Mining HT - Direct electric heating - new 10</v>
      </c>
      <c r="F114" s="239" t="s">
        <v>1274</v>
      </c>
      <c r="G114" s="176" t="s">
        <v>500</v>
      </c>
      <c r="H114" s="177" t="str">
        <f>$AI$13</f>
        <v>IIDHT</v>
      </c>
      <c r="I114" s="177" t="str">
        <f t="shared" si="80"/>
        <v>INDIWH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0.05</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
      </c>
      <c r="E115" s="223"/>
      <c r="F115" s="239" t="s">
        <v>1274</v>
      </c>
      <c r="H115" s="177"/>
      <c r="I115" s="177" t="str">
        <f t="shared" si="80"/>
        <v>INDIWH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
      </c>
      <c r="E116" s="223"/>
      <c r="F116" s="239" t="s">
        <v>1274</v>
      </c>
      <c r="H116" s="177"/>
      <c r="I116" s="177" t="str">
        <f t="shared" si="80"/>
        <v>INDIWH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Mining MT - Direct electric heating - new 10</v>
      </c>
      <c r="F117" s="239" t="s">
        <v>1274</v>
      </c>
      <c r="G117" s="176" t="s">
        <v>500</v>
      </c>
      <c r="H117" s="177" t="str">
        <f>$AI$14</f>
        <v>IIDMT</v>
      </c>
      <c r="I117" s="177" t="str">
        <f t="shared" si="80"/>
        <v>INDIWH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INDIWH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INDIWH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INDIDHTDSEN1</v>
      </c>
      <c r="E120" s="278" t="str">
        <f>"Industrial heating technology "&amp;$AJ$12&amp;" "&amp;RIGHT(H120,2)&amp;" - Oil boiler (Steam) - new 1"</f>
        <v>Industrial heating technology Mining HT - Oil boiler (Steam) - new 1</v>
      </c>
      <c r="F120" s="239" t="s">
        <v>1274</v>
      </c>
      <c r="G120" s="176" t="s">
        <v>1437</v>
      </c>
      <c r="H120" s="177" t="str">
        <f>$AI$13</f>
        <v>IIDHT</v>
      </c>
      <c r="I120" s="177" t="str">
        <f t="shared" si="80"/>
        <v>INDIWH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INDIWH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INDIWH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INDIDMTDSEN1</v>
      </c>
      <c r="E123" s="278" t="str">
        <f>"Industrial heating technology "&amp;$AJ$12&amp;" "&amp;RIGHT(H123,2)&amp;" - Oil boiler (Steam) - new 1"</f>
        <v>Industrial heating technology Mining MT - Oil boiler (Steam) - new 1</v>
      </c>
      <c r="F123" s="239" t="s">
        <v>1274</v>
      </c>
      <c r="G123" s="176" t="s">
        <v>1437</v>
      </c>
      <c r="H123" s="177" t="str">
        <f>$AI$14</f>
        <v>IIDMT</v>
      </c>
      <c r="I123" s="177" t="str">
        <f t="shared" si="80"/>
        <v>INDIWH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INDIWH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INDIWH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INDIDRHDSEN1</v>
      </c>
      <c r="E126" s="278" t="str">
        <f>"Industrial heating technology "&amp;$AJ$12&amp;" "&amp;RIGHT(H126,2)&amp;" - Oil boiler (Steam) - new 1"</f>
        <v>Industrial heating technology Mining RH - Oil boiler (Steam) - new 1</v>
      </c>
      <c r="F126" s="239" t="s">
        <v>1274</v>
      </c>
      <c r="G126" s="176" t="s">
        <v>1437</v>
      </c>
      <c r="H126" s="177" t="str">
        <f>$AI$15</f>
        <v>IIDRH</v>
      </c>
      <c r="I126" s="177" t="str">
        <f t="shared" si="80"/>
        <v>INDIWH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INDIWH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INDIWH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INDIDMTDSEN2</v>
      </c>
      <c r="E129" s="767" t="str">
        <f>"Industrial heating technology "&amp;$AJ$12&amp;" "&amp;RIGHT(H129,2)&amp;" - Oil boiler (Steam - condensing) - new 2"</f>
        <v>Industrial heating technology Mining MT - Oil boiler (Steam - condensing) - new 2</v>
      </c>
      <c r="F129" s="239" t="s">
        <v>1274</v>
      </c>
      <c r="G129" s="176" t="s">
        <v>1437</v>
      </c>
      <c r="H129" s="768" t="str">
        <f>$AI$14</f>
        <v>IIDMT</v>
      </c>
      <c r="I129" s="768" t="str">
        <f t="shared" si="115"/>
        <v>INDIWH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INDIWH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INDIWH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INDIDRHDSEN2</v>
      </c>
      <c r="E132" s="278" t="str">
        <f>"Industrial heating technology "&amp;$AJ$12&amp;" "&amp;RIGHT(H132,2)&amp;" - Oil boiler (Steam - condensing) - new 2"</f>
        <v>Industrial heating technology Mining RH - Oil boiler (Steam - condensing) - new 2</v>
      </c>
      <c r="F132" s="239" t="s">
        <v>1274</v>
      </c>
      <c r="G132" s="176" t="s">
        <v>1437</v>
      </c>
      <c r="H132" s="177" t="str">
        <f>$AI$15</f>
        <v>IIDRH</v>
      </c>
      <c r="I132" s="177" t="str">
        <f t="shared" si="115"/>
        <v>INDIWH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INDIWH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INDIWH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INDIDHTDH2N1</v>
      </c>
      <c r="E135" s="278" t="str">
        <f>"Industrial heating technology "&amp;$AJ$12&amp;" "&amp;RIGHT(H135,2)&amp;" - Gas boiler (Steam) - new 1"</f>
        <v>Industrial heating technology Mining HT - Gas boiler (Steam) - new 1</v>
      </c>
      <c r="F135" s="239" t="s">
        <v>1274</v>
      </c>
      <c r="G135" s="176" t="s">
        <v>1438</v>
      </c>
      <c r="H135" s="177" t="str">
        <f>$AI$13</f>
        <v>IIDHT</v>
      </c>
      <c r="I135" s="177" t="str">
        <f t="shared" si="115"/>
        <v>INDIWH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INDIWH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INDIWH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INDIDMTDH2N1</v>
      </c>
      <c r="E138" s="278" t="str">
        <f>"Industrial heating technology "&amp;$AJ$12&amp;" "&amp;RIGHT(H138,2)&amp;" - Gas boiler (Steam) - new 1"</f>
        <v>Industrial heating technology Mining MT - Gas boiler (Steam) - new 1</v>
      </c>
      <c r="F138" s="239" t="s">
        <v>1274</v>
      </c>
      <c r="G138" s="176" t="s">
        <v>1438</v>
      </c>
      <c r="H138" s="177" t="str">
        <f>$AI$14</f>
        <v>IIDMT</v>
      </c>
      <c r="I138" s="177" t="str">
        <f t="shared" si="115"/>
        <v>INDIWH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INDIWH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INDIWH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INDIDRHDH2N1</v>
      </c>
      <c r="E141" s="278" t="str">
        <f>"Industrial heating technology "&amp;$AJ$12&amp;" "&amp;RIGHT(H141,2)&amp;" - Gas boiler (Steam) - new 1"</f>
        <v>Industrial heating technology Mining RH - Gas boiler (Steam) - new 1</v>
      </c>
      <c r="F141" s="239" t="s">
        <v>1274</v>
      </c>
      <c r="G141" s="176" t="s">
        <v>1438</v>
      </c>
      <c r="H141" s="177" t="str">
        <f>$AI$15</f>
        <v>IIDRH</v>
      </c>
      <c r="I141" s="177" t="str">
        <f t="shared" si="115"/>
        <v>INDIWH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INDIWH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INDIWH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INDIDMTDH2N2</v>
      </c>
      <c r="E144" s="767" t="str">
        <f>"Industrial heating technology "&amp;$AJ$12&amp;" "&amp;RIGHT(H144,2)&amp;" - Gas boiler (Steam - condensing) - new 2"</f>
        <v>Industrial heating technology Mining MT - Gas boiler (Steam - condensing) - new 2</v>
      </c>
      <c r="F144" s="239" t="s">
        <v>1274</v>
      </c>
      <c r="G144" s="176" t="s">
        <v>1438</v>
      </c>
      <c r="H144" s="768" t="str">
        <f>$AI$14</f>
        <v>IIDMT</v>
      </c>
      <c r="I144" s="768" t="str">
        <f t="shared" si="115"/>
        <v>INDIWH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INDIWH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INDIWH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INDIDRHDH2N2</v>
      </c>
      <c r="E147" s="278" t="str">
        <f>"Industrial heating technology "&amp;$AJ$12&amp;" "&amp;RIGHT(H147,2)&amp;" - Gas boiler (Steam - condensing) - new 2"</f>
        <v>Industrial heating technology Mining RH - Gas boiler (Steam - condensing) - new 2</v>
      </c>
      <c r="F147" s="239" t="s">
        <v>1274</v>
      </c>
      <c r="G147" s="176" t="s">
        <v>1438</v>
      </c>
      <c r="H147" s="177" t="str">
        <f>$AI$15</f>
        <v>IIDRH</v>
      </c>
      <c r="I147" s="177" t="str">
        <f t="shared" si="115"/>
        <v>INDIWH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INDIWH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INDIWH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INDIDMTDH2N3</v>
      </c>
      <c r="E150" s="767" t="str">
        <f>"Industrial heating technology "&amp;$AJ$12&amp;" "&amp;RIGHT(H150,2)&amp;" - Gas boiler (Hot Water) - new 3"</f>
        <v>Industrial heating technology Mining MT - Gas boiler (Hot Water) - new 3</v>
      </c>
      <c r="F150" s="239" t="s">
        <v>1274</v>
      </c>
      <c r="G150" s="176" t="s">
        <v>1438</v>
      </c>
      <c r="H150" s="768" t="str">
        <f>$AI$14</f>
        <v>IIDMT</v>
      </c>
      <c r="I150" s="768" t="str">
        <f t="shared" si="115"/>
        <v>INDIWH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INDIWH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INDIWH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INDIDRHDH2N3</v>
      </c>
      <c r="E153" s="278" t="str">
        <f>"Industrial heating technology "&amp;$AJ$12&amp;" "&amp;RIGHT(H153,2)&amp;" - Gas boiler (Hot Water) - new 3"</f>
        <v>Industrial heating technology Mining RH - Gas boiler (Hot Water) - new 3</v>
      </c>
      <c r="F153" s="239" t="s">
        <v>1274</v>
      </c>
      <c r="G153" s="176" t="s">
        <v>1438</v>
      </c>
      <c r="H153" s="177" t="str">
        <f>$AI$15</f>
        <v>IIDRH</v>
      </c>
      <c r="I153" s="177" t="str">
        <f t="shared" si="115"/>
        <v>INDIWH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INDIWH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INDIWH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INDIDMTDH2N4</v>
      </c>
      <c r="E156" s="767" t="str">
        <f>"Industrial heating technology "&amp;$AJ$12&amp;" "&amp;RIGHT(H156,2)&amp;" - Gas boiler (Hot Water - condensing) - new 4"</f>
        <v>Industrial heating technology Mining MT - Gas boiler (Hot Water - condensing) - new 4</v>
      </c>
      <c r="F156" s="239" t="s">
        <v>1274</v>
      </c>
      <c r="G156" s="176" t="s">
        <v>1438</v>
      </c>
      <c r="H156" s="768" t="str">
        <f>$AI$14</f>
        <v>IIDMT</v>
      </c>
      <c r="I156" s="768" t="str">
        <f t="shared" si="115"/>
        <v>INDIWH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INDIWH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INDIWH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INDIDRHDH2N4</v>
      </c>
      <c r="E159" s="278" t="str">
        <f>"Industrial heating technology "&amp;$AJ$12&amp;" "&amp;RIGHT(H159,2)&amp;" - Gas boiler (Hot Water- condensing) - new 4"</f>
        <v>Industrial heating technology Mining RH - Gas boiler (Hot Water- condensing) - new 4</v>
      </c>
      <c r="F159" s="239" t="s">
        <v>1274</v>
      </c>
      <c r="G159" s="176" t="s">
        <v>1438</v>
      </c>
      <c r="H159" s="177" t="str">
        <f>$AI$15</f>
        <v>IIDRH</v>
      </c>
      <c r="I159" s="177" t="str">
        <f t="shared" ref="I159:I182" si="158">$AI$20</f>
        <v>INDIWH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INDIWH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INDIWH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INDIDHTDH2N5</v>
      </c>
      <c r="E162" s="767" t="str">
        <f>"Industrial heating technology "&amp;$AJ$12&amp;" "&amp;RIGHT(H162,2)&amp;" - Gas boiler (Direct firing) - new 5"</f>
        <v>Industrial heating technology Mining HT - Gas boiler (Direct firing) - new 5</v>
      </c>
      <c r="F162" s="239" t="s">
        <v>1274</v>
      </c>
      <c r="G162" s="176" t="s">
        <v>1438</v>
      </c>
      <c r="H162" s="177" t="str">
        <f>$AI$13</f>
        <v>IIDHT</v>
      </c>
      <c r="I162" s="177" t="str">
        <f t="shared" si="158"/>
        <v>INDIWH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INDIWH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INDIWH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INDIDMTDH2N5</v>
      </c>
      <c r="E165" s="278" t="str">
        <f>"Industrial heating technology "&amp;$AJ$12&amp;" "&amp;RIGHT(H165,2)&amp;" - Gas boiler (Direct firing) - new 5"</f>
        <v>Industrial heating technology Mining MT - Gas boiler (Direct firing) - new 5</v>
      </c>
      <c r="F165" s="239" t="s">
        <v>1274</v>
      </c>
      <c r="G165" s="176" t="s">
        <v>1438</v>
      </c>
      <c r="H165" s="177" t="str">
        <f>$AI$14</f>
        <v>IIDMT</v>
      </c>
      <c r="I165" s="781" t="str">
        <f t="shared" si="158"/>
        <v>INDIWH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INDIWH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INDIWH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INDIDHTCOAN1</v>
      </c>
      <c r="E168" s="278" t="str">
        <f>"Industrial heating technology "&amp;$AJ$12&amp;" "&amp;RIGHT(H168,2)&amp;" - Coal boiler (Steam) - new 1"</f>
        <v>Industrial heating technology Mining HT - Coal boiler (Steam) - new 1</v>
      </c>
      <c r="F168" s="239" t="s">
        <v>1274</v>
      </c>
      <c r="G168" s="55" t="s">
        <v>662</v>
      </c>
      <c r="H168" s="177" t="str">
        <f>$AI$13</f>
        <v>IIDHT</v>
      </c>
      <c r="I168" s="177" t="str">
        <f t="shared" si="158"/>
        <v>INDIWH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INDIWH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INDIWH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INDIDMTCOAN1</v>
      </c>
      <c r="E171" s="278" t="str">
        <f>"Industrial heating technology "&amp;$AJ$12&amp;" "&amp;RIGHT(H171,2)&amp;" - Coal boiler (Steam) - new 1"</f>
        <v>Industrial heating technology Mining MT - Coal boiler (Steam) - new 1</v>
      </c>
      <c r="F171" s="239" t="s">
        <v>1274</v>
      </c>
      <c r="G171" s="55" t="s">
        <v>662</v>
      </c>
      <c r="H171" s="177" t="str">
        <f>$AI$14</f>
        <v>IIDMT</v>
      </c>
      <c r="I171" s="177" t="str">
        <f t="shared" si="158"/>
        <v>INDIWH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INDIWH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INDIWH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INDIDRHCOAN1</v>
      </c>
      <c r="E174" s="278" t="str">
        <f>"Industrial heating technology "&amp;$AJ$12&amp;" "&amp;RIGHT(H174,2)&amp;" - Coal boiler (Steam) - new 1"</f>
        <v>Industrial heating technology Mining RH - Coal boiler (Steam) - new 1</v>
      </c>
      <c r="F174" s="239" t="s">
        <v>1274</v>
      </c>
      <c r="G174" s="55" t="s">
        <v>662</v>
      </c>
      <c r="H174" s="177" t="str">
        <f>$AI$15</f>
        <v>IIDRH</v>
      </c>
      <c r="I174" s="177" t="str">
        <f t="shared" si="158"/>
        <v>INDIWH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INDIWH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INDIWH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INDIDMTCOAN2</v>
      </c>
      <c r="E177" s="278" t="str">
        <f>"Industrial heating technology "&amp;$AJ$12&amp;" "&amp;RIGHT(H177,2)&amp;" - Coal boiler (Hot Water) - new 2"</f>
        <v>Industrial heating technology Mining MT - Coal boiler (Hot Water) - new 2</v>
      </c>
      <c r="F177" s="239" t="s">
        <v>1274</v>
      </c>
      <c r="G177" s="55" t="s">
        <v>662</v>
      </c>
      <c r="H177" s="177" t="str">
        <f>$AI$14</f>
        <v>IIDMT</v>
      </c>
      <c r="I177" s="177" t="str">
        <f t="shared" si="158"/>
        <v>INDIWH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INDIWH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INDIWH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INDIDRHCOAN2</v>
      </c>
      <c r="E180" s="278" t="str">
        <f>"Industrial heating technology "&amp;$AJ$12&amp;" "&amp;RIGHT(H180,2)&amp;" - Coal boiler (Hot Water) - new 2"</f>
        <v>Industrial heating technology Mining RH - Coal boiler (Hot Water) - new 2</v>
      </c>
      <c r="F180" s="239" t="s">
        <v>1274</v>
      </c>
      <c r="G180" s="55" t="s">
        <v>662</v>
      </c>
      <c r="H180" s="177" t="str">
        <f>$AI$15</f>
        <v>IIDRH</v>
      </c>
      <c r="I180" s="177" t="str">
        <f t="shared" si="158"/>
        <v>INDIWH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INDIWH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INDIWH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INDIDRHSOLN1</v>
      </c>
      <c r="E183" s="278" t="str">
        <f>"Industrial heating technology "&amp;$AJ$12&amp;" "&amp;RIGHT(H183,2)&amp;" - Solar - new 1"</f>
        <v>Industrial heating technology Mining RH - Solar - new 1</v>
      </c>
      <c r="F183" s="239" t="s">
        <v>1274</v>
      </c>
      <c r="G183" s="55" t="s">
        <v>501</v>
      </c>
      <c r="H183" s="177" t="str">
        <f>$AI$15</f>
        <v>IIDRH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
        <v>451</v>
      </c>
      <c r="E187" s="239" t="str">
        <f>"Industrial heating technology "&amp;$AJ$12&amp;" "&amp;RIGHT(H187,2)&amp;" - central district heating - within DH area - new 1"</f>
        <v>Industrial heating technology Mining RH - central district heating - within DH area - new 1</v>
      </c>
      <c r="F187" s="239" t="s">
        <v>1274</v>
      </c>
      <c r="G187" s="240" t="s">
        <v>502</v>
      </c>
      <c r="H187" s="240" t="str">
        <f>AI15</f>
        <v>IIDRH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
        <v>451</v>
      </c>
      <c r="E188" s="239" t="str">
        <f>"Industrial heating technology "&amp;$AJ$12&amp;" "&amp;RIGHT(H188,2)&amp;" - decentral district heating - within DH area - new 1"</f>
        <v>Industrial heating technology Mining RH - decentral district heating - within DH area - new 1</v>
      </c>
      <c r="F188" s="239" t="s">
        <v>1274</v>
      </c>
      <c r="G188" s="276" t="s">
        <v>503</v>
      </c>
      <c r="H188" s="282" t="str">
        <f>AI15</f>
        <v>IIDRH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INDIDLAELCN1</v>
      </c>
      <c r="E190" s="239" t="str">
        <f>"Industry "&amp;$AJ$12&amp;" "&amp;RIGHT(H190,2)&amp;" Electricity Light Appliance - New 1"</f>
        <v>Industry Mining LA Electricity Light Appliance - New 1</v>
      </c>
      <c r="F190" s="239" t="s">
        <v>1274</v>
      </c>
      <c r="G190" s="240" t="s">
        <v>500</v>
      </c>
      <c r="H190" s="240" t="str">
        <f>AI16</f>
        <v>IIDLA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INDIDEMELCN1</v>
      </c>
      <c r="E194" s="239" t="str">
        <f>"Industry "&amp;$AJ$12&amp;" "&amp;RIGHT(H194,2)&amp;" Electricity Motors - New 1"</f>
        <v>Industry Mining EM Electricity Motors - New 1</v>
      </c>
      <c r="F194" s="239" t="s">
        <v>1274</v>
      </c>
      <c r="G194" s="240" t="s">
        <v>500</v>
      </c>
      <c r="H194" s="240" t="str">
        <f>AI17</f>
        <v>IIDEM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INDIDTFDSLN1</v>
      </c>
      <c r="E198" s="239" t="str">
        <f>"Industry "&amp;$AJ$12&amp;" "&amp;RIGHT(H198,2)&amp;" Tractors, Trucks, Fishing boats - New 1"</f>
        <v>Industry Mining TF Tractors, Trucks, Fishing boats - New 1</v>
      </c>
      <c r="F198" s="239" t="s">
        <v>1274</v>
      </c>
      <c r="G198" s="176" t="s">
        <v>1437</v>
      </c>
      <c r="H198" s="177" t="str">
        <f>AI18</f>
        <v>IIDTF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INDIDFLDH2N1</v>
      </c>
      <c r="E202" s="239" t="str">
        <f>"Industry "&amp;$AJ$12&amp;" "&amp;RIGHT(H198,2)&amp;" Forklifts - New 1"</f>
        <v>Industry Mining TF Forklifts - New 1</v>
      </c>
      <c r="F202" s="239" t="s">
        <v>1274</v>
      </c>
      <c r="G202" s="176" t="s">
        <v>1438</v>
      </c>
      <c r="H202" s="239" t="str">
        <f>AI19</f>
        <v>IIDFL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v>
      </c>
      <c r="D213" s="223" t="str">
        <f ca="1">D9</f>
        <v>*</v>
      </c>
      <c r="E213" s="223" t="str">
        <f t="shared" ref="E213:E244" ca="1" si="181">VLOOKUP(D213,$D$9:$E$206,2,FALSE)</f>
        <v>Industrial heating technology Mining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INDIDRHELCN1</v>
      </c>
      <c r="E214" s="223" t="str">
        <f t="shared" ca="1" si="181"/>
        <v>Industrial heating technology Mining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Mining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INDIDRHELCN2</v>
      </c>
      <c r="E216" s="223" t="str">
        <f t="shared" ca="1" si="181"/>
        <v>Industrial heating technology Mining RH - Heat driven heat pump utilizing waste heat - new 2</v>
      </c>
      <c r="F216" s="279" t="s">
        <v>450</v>
      </c>
      <c r="G216" s="279" t="s">
        <v>449</v>
      </c>
      <c r="H216" s="334" t="s">
        <v>665</v>
      </c>
      <c r="I216" s="281"/>
      <c r="J216" s="281" t="s">
        <v>469</v>
      </c>
    </row>
    <row r="217" spans="1:11">
      <c r="A217" s="172"/>
      <c r="B217" s="222"/>
      <c r="C217" s="222" t="str">
        <f t="shared" ca="1" si="182"/>
        <v>*</v>
      </c>
      <c r="D217" s="223" t="str">
        <f t="shared" ca="1" si="183"/>
        <v>*</v>
      </c>
      <c r="E217" s="223" t="str">
        <f t="shared" ca="1" si="181"/>
        <v>Industrial heating technology Mining MT - Heat pump utilizing waste heat - new 1</v>
      </c>
      <c r="F217" s="279" t="s">
        <v>450</v>
      </c>
      <c r="G217" s="279" t="s">
        <v>449</v>
      </c>
      <c r="H217" s="334" t="s">
        <v>665</v>
      </c>
      <c r="I217" s="281"/>
      <c r="J217" s="281" t="s">
        <v>469</v>
      </c>
    </row>
    <row r="218" spans="1:11">
      <c r="A218" s="172"/>
      <c r="B218" s="222"/>
      <c r="C218" s="222" t="str">
        <f t="shared" ca="1" si="182"/>
        <v>DMD</v>
      </c>
      <c r="D218" s="223" t="str">
        <f t="shared" ca="1" si="183"/>
        <v>INDIDRHELCN3</v>
      </c>
      <c r="E218" s="223" t="str">
        <f t="shared" ca="1" si="181"/>
        <v>Industrial heating technology Mining RH - High Temp abs. Heat pump utilizing waste heat - new 3</v>
      </c>
      <c r="F218" s="279" t="s">
        <v>450</v>
      </c>
      <c r="G218" s="279" t="s">
        <v>449</v>
      </c>
      <c r="H218" s="334" t="s">
        <v>665</v>
      </c>
      <c r="I218" s="281"/>
      <c r="J218" s="281" t="s">
        <v>469</v>
      </c>
    </row>
    <row r="219" spans="1:11">
      <c r="A219" s="172"/>
      <c r="B219" s="222"/>
      <c r="C219" s="222" t="str">
        <f t="shared" ca="1" si="182"/>
        <v>*</v>
      </c>
      <c r="D219" s="223" t="str">
        <f t="shared" ca="1" si="183"/>
        <v>*</v>
      </c>
      <c r="E219" s="223" t="str">
        <f t="shared" ca="1" si="181"/>
        <v>Industrial heating technology Mining MT - Heat pump utilizing waste heat - new 1</v>
      </c>
      <c r="F219" s="279" t="s">
        <v>450</v>
      </c>
      <c r="G219" s="279" t="s">
        <v>449</v>
      </c>
      <c r="H219" s="334" t="s">
        <v>665</v>
      </c>
      <c r="I219" s="281"/>
      <c r="J219" s="281" t="s">
        <v>469</v>
      </c>
    </row>
    <row r="220" spans="1:11">
      <c r="A220" s="172"/>
      <c r="B220" s="222"/>
      <c r="C220" s="222" t="str">
        <f t="shared" ca="1" si="182"/>
        <v>DMD</v>
      </c>
      <c r="D220" s="223" t="str">
        <f t="shared" ca="1" si="183"/>
        <v>INDIDRHELCN4</v>
      </c>
      <c r="E220" s="223" t="str">
        <f t="shared" ca="1" si="181"/>
        <v>Industrial heating technology Mining RH - Booster Heat pump utilizing waste heat - new 4</v>
      </c>
      <c r="F220" s="279" t="s">
        <v>450</v>
      </c>
      <c r="G220" s="279" t="s">
        <v>449</v>
      </c>
      <c r="H220" s="334" t="s">
        <v>665</v>
      </c>
      <c r="I220" s="281"/>
      <c r="J220" s="281" t="s">
        <v>469</v>
      </c>
    </row>
    <row r="221" spans="1:11">
      <c r="A221" s="172"/>
      <c r="B221" s="222"/>
      <c r="C221" s="222" t="str">
        <f t="shared" ca="1" si="182"/>
        <v>*</v>
      </c>
      <c r="D221" s="223" t="str">
        <f t="shared" ca="1" si="183"/>
        <v>*</v>
      </c>
      <c r="E221" s="223" t="str">
        <f t="shared" ca="1" si="181"/>
        <v>Industrial heating technology Mining MT - Heat pump utilizing waste heat - new 1</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Mining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Mining MT - Heat pump utilizing waste heat - new 1</v>
      </c>
      <c r="F223" s="279" t="s">
        <v>450</v>
      </c>
      <c r="G223" s="279" t="s">
        <v>449</v>
      </c>
      <c r="H223" s="334" t="s">
        <v>665</v>
      </c>
      <c r="I223" s="281"/>
      <c r="J223" s="281" t="s">
        <v>469</v>
      </c>
    </row>
    <row r="224" spans="1:11">
      <c r="A224" s="172"/>
      <c r="B224" s="222"/>
      <c r="C224" s="222" t="str">
        <f t="shared" ca="1" si="182"/>
        <v>*</v>
      </c>
      <c r="D224" s="223" t="str">
        <f t="shared" ca="1" si="184"/>
        <v>*</v>
      </c>
      <c r="E224" s="223" t="str">
        <f t="shared" ca="1" si="181"/>
        <v>Industrial heating technology Mining MT - Heat pump utilizing waste heat - new 1</v>
      </c>
      <c r="F224" s="279" t="s">
        <v>450</v>
      </c>
      <c r="G224" s="279" t="s">
        <v>449</v>
      </c>
      <c r="H224" s="334" t="s">
        <v>665</v>
      </c>
      <c r="I224" s="281"/>
      <c r="J224" s="281" t="s">
        <v>469</v>
      </c>
    </row>
    <row r="225" spans="1:16">
      <c r="A225" s="172"/>
      <c r="B225" s="222"/>
      <c r="C225" s="222" t="str">
        <f t="shared" ca="1" si="182"/>
        <v>DMD</v>
      </c>
      <c r="D225" s="223" t="str">
        <f t="shared" ca="1" si="184"/>
        <v>INDIDHTELCN8</v>
      </c>
      <c r="E225" s="223" t="str">
        <f t="shared" ca="1" si="181"/>
        <v>Industrial heating technology Mining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INDIDMTELCN8</v>
      </c>
      <c r="E226" s="223" t="str">
        <f t="shared" ca="1" si="181"/>
        <v>Industrial heating technology Mining MT - Electric boiler (Steam) - new 8</v>
      </c>
      <c r="F226" s="279" t="s">
        <v>450</v>
      </c>
      <c r="G226" s="279" t="s">
        <v>449</v>
      </c>
      <c r="H226" s="334" t="s">
        <v>665</v>
      </c>
      <c r="I226" s="281"/>
      <c r="J226" s="281" t="s">
        <v>469</v>
      </c>
    </row>
    <row r="227" spans="1:16">
      <c r="A227" s="172"/>
      <c r="B227" s="222"/>
      <c r="C227" s="222" t="str">
        <f t="shared" ca="1" si="182"/>
        <v>*</v>
      </c>
      <c r="D227" s="223" t="str">
        <f t="shared" ca="1" si="184"/>
        <v>*</v>
      </c>
      <c r="E227" s="223" t="str">
        <f t="shared" ca="1" si="181"/>
        <v>Industrial heating technology Mining MT - Heat pump utilizing waste heat - new 1</v>
      </c>
      <c r="F227" s="279" t="s">
        <v>450</v>
      </c>
      <c r="G227" s="279" t="s">
        <v>449</v>
      </c>
      <c r="H227" s="334" t="s">
        <v>665</v>
      </c>
      <c r="I227" s="281"/>
      <c r="J227" s="281" t="s">
        <v>469</v>
      </c>
      <c r="P227" s="176"/>
    </row>
    <row r="228" spans="1:16">
      <c r="A228" s="172"/>
      <c r="B228" s="222"/>
      <c r="C228" s="222" t="str">
        <f t="shared" ca="1" si="182"/>
        <v>DMD</v>
      </c>
      <c r="D228" s="223" t="str">
        <f t="shared" ca="1" si="184"/>
        <v>INDIDMTELCN9</v>
      </c>
      <c r="E228" s="223" t="str">
        <f t="shared" ca="1" si="181"/>
        <v>Industrial heating technology Mining MT - Electric boiler (Hot Water) - new 9</v>
      </c>
      <c r="F228" s="279" t="s">
        <v>450</v>
      </c>
      <c r="G228" s="279" t="s">
        <v>449</v>
      </c>
      <c r="H228" s="334" t="s">
        <v>665</v>
      </c>
      <c r="I228" s="281"/>
      <c r="J228" s="281" t="s">
        <v>469</v>
      </c>
      <c r="P228" s="176"/>
    </row>
    <row r="229" spans="1:16">
      <c r="A229" s="172"/>
      <c r="B229" s="222"/>
      <c r="C229" s="222" t="str">
        <f t="shared" ca="1" si="182"/>
        <v>*</v>
      </c>
      <c r="D229" s="223" t="str">
        <f t="shared" ca="1" si="184"/>
        <v>*</v>
      </c>
      <c r="E229" s="223" t="str">
        <f t="shared" ca="1" si="181"/>
        <v>Industrial heating technology Mining MT - Heat pump utilizing waste heat - new 1</v>
      </c>
      <c r="F229" s="279" t="s">
        <v>450</v>
      </c>
      <c r="G229" s="279" t="s">
        <v>449</v>
      </c>
      <c r="H229" s="334" t="s">
        <v>665</v>
      </c>
      <c r="I229" s="281"/>
      <c r="J229" s="281" t="s">
        <v>469</v>
      </c>
      <c r="P229" s="176"/>
    </row>
    <row r="230" spans="1:16">
      <c r="A230" s="172"/>
      <c r="B230" s="222"/>
      <c r="C230" s="222" t="str">
        <f t="shared" ca="1" si="182"/>
        <v>*</v>
      </c>
      <c r="D230" s="223" t="str">
        <f t="shared" ca="1" si="184"/>
        <v>*</v>
      </c>
      <c r="E230" s="223" t="str">
        <f t="shared" ca="1" si="181"/>
        <v>Industrial heating technology Mining MT - Heat pump utilizing waste heat - new 1</v>
      </c>
      <c r="F230" s="279" t="s">
        <v>450</v>
      </c>
      <c r="G230" s="279" t="s">
        <v>449</v>
      </c>
      <c r="H230" s="280"/>
      <c r="I230" s="281"/>
      <c r="J230" s="281" t="s">
        <v>469</v>
      </c>
      <c r="P230" s="176"/>
    </row>
    <row r="231" spans="1:16">
      <c r="A231" s="172"/>
      <c r="B231" s="222"/>
      <c r="C231" s="222" t="str">
        <f t="shared" ca="1" si="182"/>
        <v>DMD</v>
      </c>
      <c r="D231" s="223" t="str">
        <f t="shared" ca="1" si="184"/>
        <v>INDIDMTWCHN1</v>
      </c>
      <c r="E231" s="223" t="str">
        <f t="shared" ca="1" si="181"/>
        <v>Industrial heating technology Mining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INDIDRHWCHN1</v>
      </c>
      <c r="E232" s="223" t="str">
        <f t="shared" ca="1" si="181"/>
        <v>Industrial heating technology Mining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INDIDMTWCHN2</v>
      </c>
      <c r="E233" s="223" t="str">
        <f t="shared" ca="1" si="181"/>
        <v>Industrial heating technology Mining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INDIDRHWCHN2</v>
      </c>
      <c r="E234" s="223" t="str">
        <f t="shared" ca="1" si="181"/>
        <v>Industrial heating technology Mining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INDIDMTWCHN3</v>
      </c>
      <c r="E235" s="223" t="str">
        <f t="shared" ca="1" si="181"/>
        <v>Industrial heating technology Mining MT - Wood chip boiler (Hot Water) - new 3</v>
      </c>
      <c r="F235" s="279" t="s">
        <v>450</v>
      </c>
      <c r="G235" s="279" t="s">
        <v>449</v>
      </c>
      <c r="H235" s="278"/>
      <c r="I235" s="278"/>
      <c r="J235" s="281" t="s">
        <v>469</v>
      </c>
    </row>
    <row r="236" spans="1:16">
      <c r="A236" s="172"/>
      <c r="B236" s="223"/>
      <c r="C236" s="222" t="str">
        <f t="shared" ca="1" si="182"/>
        <v>DMD</v>
      </c>
      <c r="D236" s="223" t="str">
        <f t="shared" ca="1" si="184"/>
        <v>INDIDRHWCHN3</v>
      </c>
      <c r="E236" s="223" t="str">
        <f t="shared" ca="1" si="181"/>
        <v>Industrial heating technology Mining RH - Wood chip boiler (Hot Water) - new 3</v>
      </c>
      <c r="F236" s="279" t="s">
        <v>450</v>
      </c>
      <c r="G236" s="279" t="s">
        <v>449</v>
      </c>
      <c r="H236" s="278"/>
      <c r="I236" s="278"/>
      <c r="J236" s="281" t="s">
        <v>469</v>
      </c>
    </row>
    <row r="237" spans="1:16">
      <c r="A237" s="172"/>
      <c r="B237" s="223"/>
      <c r="C237" s="222" t="str">
        <f t="shared" ca="1" si="182"/>
        <v>DMD</v>
      </c>
      <c r="D237" s="223" t="str">
        <f t="shared" ca="1" si="184"/>
        <v>INDIDMTWCHN4</v>
      </c>
      <c r="E237" s="223" t="str">
        <f t="shared" ca="1" si="181"/>
        <v>Industrial heating technology Mining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INDIDRHWCHN4</v>
      </c>
      <c r="E238" s="223" t="str">
        <f t="shared" ca="1" si="181"/>
        <v>Industrial heating technology Mining RH - Wood chip boiler (Hot Water- condensing) - new 4</v>
      </c>
      <c r="F238" s="279" t="s">
        <v>450</v>
      </c>
      <c r="G238" s="279" t="s">
        <v>449</v>
      </c>
      <c r="H238" s="278"/>
      <c r="I238" s="278"/>
      <c r="J238" s="281" t="s">
        <v>469</v>
      </c>
    </row>
    <row r="239" spans="1:16">
      <c r="B239" s="223"/>
      <c r="C239" s="222" t="str">
        <f t="shared" ca="1" si="182"/>
        <v>DMD</v>
      </c>
      <c r="D239" s="223" t="str">
        <f t="shared" ca="1" si="184"/>
        <v>INDIDHTELCN0</v>
      </c>
      <c r="E239" s="223" t="str">
        <f t="shared" ca="1" si="181"/>
        <v>Industrial heating technology Mining HT - Direct electric heating - new 10</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Mining MT - Heat pump utilizing waste heat - new 1</v>
      </c>
      <c r="F240" s="279" t="s">
        <v>450</v>
      </c>
      <c r="G240" s="279" t="s">
        <v>449</v>
      </c>
      <c r="H240" s="334" t="s">
        <v>665</v>
      </c>
      <c r="I240" s="278"/>
      <c r="J240" s="281" t="s">
        <v>469</v>
      </c>
    </row>
    <row r="241" spans="1:10">
      <c r="B241" s="223"/>
      <c r="C241" s="222" t="str">
        <f t="shared" ca="1" si="182"/>
        <v>DMD</v>
      </c>
      <c r="D241" s="223" t="str">
        <f t="shared" ca="1" si="184"/>
        <v>INDIDHTDSEN1</v>
      </c>
      <c r="E241" s="223" t="str">
        <f t="shared" ca="1" si="181"/>
        <v>Industrial heating technology Mining HT - Oil boiler (Steam) - new 1</v>
      </c>
      <c r="F241" s="279" t="s">
        <v>450</v>
      </c>
      <c r="G241" s="279" t="s">
        <v>449</v>
      </c>
      <c r="H241" s="278"/>
      <c r="I241" s="278"/>
      <c r="J241" s="281" t="s">
        <v>469</v>
      </c>
    </row>
    <row r="242" spans="1:10">
      <c r="B242" s="223"/>
      <c r="C242" s="222" t="str">
        <f t="shared" ca="1" si="182"/>
        <v>DMD</v>
      </c>
      <c r="D242" s="223" t="str">
        <f t="shared" ca="1" si="184"/>
        <v>INDIDMTDSEN1</v>
      </c>
      <c r="E242" s="223" t="str">
        <f t="shared" ca="1" si="181"/>
        <v>Industrial heating technology Mining MT - Oil boiler (Steam) - new 1</v>
      </c>
      <c r="F242" s="279" t="s">
        <v>450</v>
      </c>
      <c r="G242" s="279" t="s">
        <v>449</v>
      </c>
      <c r="H242" s="278"/>
      <c r="I242" s="278"/>
      <c r="J242" s="281" t="s">
        <v>469</v>
      </c>
    </row>
    <row r="243" spans="1:10">
      <c r="B243" s="223"/>
      <c r="C243" s="222" t="str">
        <f t="shared" ca="1" si="182"/>
        <v>DMD</v>
      </c>
      <c r="D243" s="223" t="str">
        <f t="shared" ca="1" si="184"/>
        <v>INDIDRHDSEN1</v>
      </c>
      <c r="E243" s="223" t="str">
        <f t="shared" ca="1" si="181"/>
        <v>Industrial heating technology Mining RH - Oil boiler (Steam) - new 1</v>
      </c>
      <c r="F243" s="279" t="s">
        <v>450</v>
      </c>
      <c r="G243" s="279" t="s">
        <v>449</v>
      </c>
      <c r="H243" s="278"/>
      <c r="I243" s="278"/>
      <c r="J243" s="281" t="s">
        <v>469</v>
      </c>
    </row>
    <row r="244" spans="1:10">
      <c r="A244" s="226"/>
      <c r="B244" s="223"/>
      <c r="C244" s="222" t="str">
        <f t="shared" ca="1" si="182"/>
        <v>DMD</v>
      </c>
      <c r="D244" s="223" t="str">
        <f t="shared" ca="1" si="184"/>
        <v>INDIDMTDSEN2</v>
      </c>
      <c r="E244" s="223" t="str">
        <f t="shared" ca="1" si="181"/>
        <v>Industrial heating technology Mining MT - Oil boiler (Steam - condensing) - new 2</v>
      </c>
      <c r="F244" s="279" t="s">
        <v>450</v>
      </c>
      <c r="G244" s="279" t="s">
        <v>449</v>
      </c>
      <c r="H244" s="278"/>
      <c r="I244" s="278"/>
      <c r="J244" s="281" t="s">
        <v>469</v>
      </c>
    </row>
    <row r="245" spans="1:10">
      <c r="A245" s="226"/>
      <c r="B245" s="223"/>
      <c r="C245" s="222" t="str">
        <f t="shared" ca="1" si="182"/>
        <v>DMD</v>
      </c>
      <c r="D245" s="223" t="str">
        <f t="shared" ca="1" si="184"/>
        <v>INDIDRHDSEN2</v>
      </c>
      <c r="E245" s="223" t="str">
        <f t="shared" ref="E245:E268" ca="1" si="185">VLOOKUP(D245,$D$9:$E$206,2,FALSE)</f>
        <v>Industrial heating technology Mining RH - Oil boiler (Steam - condensing) - new 2</v>
      </c>
      <c r="F245" s="279" t="s">
        <v>450</v>
      </c>
      <c r="G245" s="279" t="s">
        <v>449</v>
      </c>
      <c r="H245" s="278"/>
      <c r="I245" s="278"/>
      <c r="J245" s="281" t="s">
        <v>469</v>
      </c>
    </row>
    <row r="246" spans="1:10">
      <c r="A246" s="226"/>
      <c r="B246" s="223"/>
      <c r="C246" s="222" t="str">
        <f t="shared" ca="1" si="182"/>
        <v>DMD</v>
      </c>
      <c r="D246" s="223" t="str">
        <f t="shared" ca="1" si="184"/>
        <v>INDIDHTDH2N1</v>
      </c>
      <c r="E246" s="223" t="str">
        <f t="shared" ca="1" si="185"/>
        <v>Industrial heating technology Mining HT - Gas boiler (Steam) - new 1</v>
      </c>
      <c r="F246" s="279" t="s">
        <v>450</v>
      </c>
      <c r="G246" s="279" t="s">
        <v>449</v>
      </c>
      <c r="H246" s="278"/>
      <c r="I246" s="278"/>
      <c r="J246" s="281" t="s">
        <v>469</v>
      </c>
    </row>
    <row r="247" spans="1:10">
      <c r="A247" s="226"/>
      <c r="B247" s="223"/>
      <c r="C247" s="222" t="str">
        <f t="shared" ca="1" si="182"/>
        <v>DMD</v>
      </c>
      <c r="D247" s="223" t="str">
        <f t="shared" ca="1" si="184"/>
        <v>INDIDMTDH2N1</v>
      </c>
      <c r="E247" s="223" t="str">
        <f t="shared" ca="1" si="185"/>
        <v>Industrial heating technology Mining MT - Gas boiler (Steam) - new 1</v>
      </c>
      <c r="F247" s="279" t="s">
        <v>450</v>
      </c>
      <c r="G247" s="279" t="s">
        <v>449</v>
      </c>
      <c r="H247" s="278"/>
      <c r="I247" s="278"/>
      <c r="J247" s="281" t="s">
        <v>469</v>
      </c>
    </row>
    <row r="248" spans="1:10">
      <c r="B248" s="223"/>
      <c r="C248" s="222" t="str">
        <f t="shared" ca="1" si="182"/>
        <v>DMD</v>
      </c>
      <c r="D248" s="223" t="str">
        <f t="shared" ca="1" si="184"/>
        <v>INDIDRHDH2N1</v>
      </c>
      <c r="E248" s="223" t="str">
        <f t="shared" ca="1" si="185"/>
        <v>Industrial heating technology Mining RH - Gas boiler (Steam) - new 1</v>
      </c>
      <c r="F248" s="279" t="s">
        <v>450</v>
      </c>
      <c r="G248" s="279" t="s">
        <v>449</v>
      </c>
      <c r="H248" s="278"/>
      <c r="I248" s="278"/>
      <c r="J248" s="281" t="s">
        <v>469</v>
      </c>
    </row>
    <row r="249" spans="1:10">
      <c r="B249" s="223"/>
      <c r="C249" s="222" t="str">
        <f t="shared" ca="1" si="182"/>
        <v>DMD</v>
      </c>
      <c r="D249" s="223" t="str">
        <f t="shared" ca="1" si="184"/>
        <v>INDIDMTDH2N2</v>
      </c>
      <c r="E249" s="223" t="str">
        <f t="shared" ca="1" si="185"/>
        <v>Industrial heating technology Mining MT - Gas boiler (Steam - condensing) - new 2</v>
      </c>
      <c r="F249" s="279" t="s">
        <v>450</v>
      </c>
      <c r="G249" s="279" t="s">
        <v>449</v>
      </c>
      <c r="H249" s="278"/>
      <c r="I249" s="278"/>
      <c r="J249" s="281" t="s">
        <v>469</v>
      </c>
    </row>
    <row r="250" spans="1:10">
      <c r="B250" s="223"/>
      <c r="C250" s="222" t="str">
        <f t="shared" ca="1" si="182"/>
        <v>DMD</v>
      </c>
      <c r="D250" s="223" t="str">
        <f t="shared" ca="1" si="184"/>
        <v>INDIDRHDH2N2</v>
      </c>
      <c r="E250" s="223" t="str">
        <f t="shared" ca="1" si="185"/>
        <v>Industrial heating technology Mining RH - Gas boiler (Steam - condensing) - new 2</v>
      </c>
      <c r="F250" s="279" t="s">
        <v>450</v>
      </c>
      <c r="G250" s="279" t="s">
        <v>449</v>
      </c>
      <c r="H250" s="278"/>
      <c r="I250" s="278"/>
      <c r="J250" s="281" t="s">
        <v>469</v>
      </c>
    </row>
    <row r="251" spans="1:10">
      <c r="B251" s="223"/>
      <c r="C251" s="222" t="str">
        <f t="shared" ca="1" si="182"/>
        <v>DMD</v>
      </c>
      <c r="D251" s="223" t="str">
        <f t="shared" ca="1" si="184"/>
        <v>INDIDMTDH2N3</v>
      </c>
      <c r="E251" s="223" t="str">
        <f t="shared" ca="1" si="185"/>
        <v>Industrial heating technology Mining MT - Gas boiler (Hot Water) - new 3</v>
      </c>
      <c r="F251" s="279" t="s">
        <v>450</v>
      </c>
      <c r="G251" s="279" t="s">
        <v>449</v>
      </c>
      <c r="H251" s="278"/>
      <c r="I251" s="278"/>
      <c r="J251" s="281" t="s">
        <v>469</v>
      </c>
    </row>
    <row r="252" spans="1:10">
      <c r="B252" s="223"/>
      <c r="C252" s="222" t="str">
        <f t="shared" ca="1" si="182"/>
        <v>DMD</v>
      </c>
      <c r="D252" s="223" t="str">
        <f t="shared" ca="1" si="184"/>
        <v>INDIDRHDH2N3</v>
      </c>
      <c r="E252" s="223" t="str">
        <f t="shared" ca="1" si="185"/>
        <v>Industrial heating technology Mining RH - Gas boiler (Hot Water) - new 3</v>
      </c>
      <c r="F252" s="279" t="s">
        <v>450</v>
      </c>
      <c r="G252" s="279" t="s">
        <v>449</v>
      </c>
      <c r="H252" s="278"/>
      <c r="I252" s="278"/>
      <c r="J252" s="281" t="s">
        <v>469</v>
      </c>
    </row>
    <row r="253" spans="1:10">
      <c r="B253" s="223"/>
      <c r="C253" s="222" t="str">
        <f t="shared" ca="1" si="182"/>
        <v>DMD</v>
      </c>
      <c r="D253" s="223" t="str">
        <f t="shared" ca="1" si="184"/>
        <v>INDIDMTDH2N4</v>
      </c>
      <c r="E253" s="223" t="str">
        <f t="shared" ca="1" si="185"/>
        <v>Industrial heating technology Mining MT - Gas boiler (Hot Water - condensing) - new 4</v>
      </c>
      <c r="F253" s="279" t="s">
        <v>450</v>
      </c>
      <c r="G253" s="279" t="s">
        <v>449</v>
      </c>
      <c r="H253" s="278"/>
      <c r="I253" s="278"/>
      <c r="J253" s="281" t="s">
        <v>469</v>
      </c>
    </row>
    <row r="254" spans="1:10">
      <c r="B254" s="223"/>
      <c r="C254" s="222" t="str">
        <f t="shared" ca="1" si="182"/>
        <v>DMD</v>
      </c>
      <c r="D254" s="223" t="str">
        <f t="shared" ca="1" si="184"/>
        <v>INDIDRHDH2N4</v>
      </c>
      <c r="E254" s="223" t="str">
        <f t="shared" ca="1" si="185"/>
        <v>Industrial heating technology Mining RH - Gas boiler (Hot Water- condensing) - new 4</v>
      </c>
      <c r="F254" s="279" t="s">
        <v>450</v>
      </c>
      <c r="G254" s="279" t="s">
        <v>449</v>
      </c>
      <c r="H254" s="278"/>
      <c r="I254" s="278"/>
      <c r="J254" s="281" t="s">
        <v>469</v>
      </c>
    </row>
    <row r="255" spans="1:10">
      <c r="B255" s="223"/>
      <c r="C255" s="222" t="str">
        <f t="shared" ca="1" si="182"/>
        <v>DMD</v>
      </c>
      <c r="D255" s="223" t="str">
        <f t="shared" ca="1" si="184"/>
        <v>INDIDHTDH2N5</v>
      </c>
      <c r="E255" s="223" t="str">
        <f t="shared" ca="1" si="185"/>
        <v>Industrial heating technology Mining HT - Gas boiler (Direct firing) - new 5</v>
      </c>
      <c r="F255" s="279" t="s">
        <v>450</v>
      </c>
      <c r="G255" s="279" t="s">
        <v>449</v>
      </c>
      <c r="H255" s="278"/>
      <c r="I255" s="278"/>
      <c r="J255" s="281" t="s">
        <v>469</v>
      </c>
    </row>
    <row r="256" spans="1:10">
      <c r="B256" s="223"/>
      <c r="C256" s="222" t="str">
        <f t="shared" ca="1" si="182"/>
        <v>DMD</v>
      </c>
      <c r="D256" s="223" t="str">
        <f t="shared" ca="1" si="184"/>
        <v>INDIDMTDH2N5</v>
      </c>
      <c r="E256" s="223" t="str">
        <f t="shared" ca="1" si="185"/>
        <v>Industrial heating technology Mining MT - Gas boiler (Direct firing) - new 5</v>
      </c>
      <c r="F256" s="279" t="s">
        <v>450</v>
      </c>
      <c r="G256" s="279" t="s">
        <v>449</v>
      </c>
      <c r="H256" s="278"/>
      <c r="I256" s="278"/>
      <c r="J256" s="281" t="s">
        <v>469</v>
      </c>
    </row>
    <row r="257" spans="2:10">
      <c r="B257" s="223"/>
      <c r="C257" s="222" t="str">
        <f t="shared" ca="1" si="182"/>
        <v>DMD</v>
      </c>
      <c r="D257" s="223" t="str">
        <f t="shared" ca="1" si="184"/>
        <v>INDIDHTCOAN1</v>
      </c>
      <c r="E257" s="223" t="str">
        <f t="shared" ca="1" si="185"/>
        <v>Industrial heating technology Mining HT - Coal boiler (Steam) - new 1</v>
      </c>
      <c r="F257" s="279" t="s">
        <v>450</v>
      </c>
      <c r="G257" s="279" t="s">
        <v>449</v>
      </c>
      <c r="H257" s="278"/>
      <c r="I257" s="278"/>
      <c r="J257" s="281" t="s">
        <v>469</v>
      </c>
    </row>
    <row r="258" spans="2:10">
      <c r="B258" s="223"/>
      <c r="C258" s="222" t="str">
        <f t="shared" ca="1" si="182"/>
        <v>DMD</v>
      </c>
      <c r="D258" s="223" t="str">
        <f t="shared" ca="1" si="184"/>
        <v>INDIDMTCOAN1</v>
      </c>
      <c r="E258" s="223" t="str">
        <f t="shared" ca="1" si="185"/>
        <v>Industrial heating technology Mining MT - Coal boiler (Steam) - new 1</v>
      </c>
      <c r="F258" s="279" t="s">
        <v>450</v>
      </c>
      <c r="G258" s="279" t="s">
        <v>449</v>
      </c>
      <c r="H258" s="278"/>
      <c r="I258" s="278"/>
      <c r="J258" s="281" t="s">
        <v>469</v>
      </c>
    </row>
    <row r="259" spans="2:10">
      <c r="B259" s="223"/>
      <c r="C259" s="222" t="str">
        <f t="shared" ca="1" si="182"/>
        <v>DMD</v>
      </c>
      <c r="D259" s="223" t="str">
        <f t="shared" ca="1" si="184"/>
        <v>INDIDRHCOAN1</v>
      </c>
      <c r="E259" s="223" t="str">
        <f t="shared" ca="1" si="185"/>
        <v>Industrial heating technology Mining RH - Coal boiler (Steam) - new 1</v>
      </c>
      <c r="F259" s="279" t="s">
        <v>450</v>
      </c>
      <c r="G259" s="279" t="s">
        <v>449</v>
      </c>
      <c r="H259" s="278"/>
      <c r="I259" s="278"/>
      <c r="J259" s="281" t="s">
        <v>469</v>
      </c>
    </row>
    <row r="260" spans="2:10">
      <c r="B260" s="223"/>
      <c r="C260" s="222" t="str">
        <f t="shared" ca="1" si="182"/>
        <v>DMD</v>
      </c>
      <c r="D260" s="223" t="str">
        <f t="shared" ca="1" si="184"/>
        <v>INDIDMTCOAN2</v>
      </c>
      <c r="E260" s="223" t="str">
        <f t="shared" ca="1" si="185"/>
        <v>Industrial heating technology Mining MT - Coal boiler (Hot Water) - new 2</v>
      </c>
      <c r="F260" s="279" t="s">
        <v>450</v>
      </c>
      <c r="G260" s="279" t="s">
        <v>449</v>
      </c>
      <c r="H260" s="278"/>
      <c r="I260" s="278"/>
      <c r="J260" s="281" t="s">
        <v>469</v>
      </c>
    </row>
    <row r="261" spans="2:10">
      <c r="B261" s="223"/>
      <c r="C261" s="222" t="str">
        <f t="shared" ca="1" si="182"/>
        <v>DMD</v>
      </c>
      <c r="D261" s="223" t="str">
        <f t="shared" ca="1" si="184"/>
        <v>INDIDRHCOAN2</v>
      </c>
      <c r="E261" s="223" t="str">
        <f t="shared" ca="1" si="185"/>
        <v>Industrial heating technology Mining RH - Coal boiler (Hot Water) - new 2</v>
      </c>
      <c r="F261" s="279" t="s">
        <v>450</v>
      </c>
      <c r="G261" s="279" t="s">
        <v>449</v>
      </c>
      <c r="H261" s="278"/>
      <c r="I261" s="278"/>
      <c r="J261" s="281" t="s">
        <v>469</v>
      </c>
    </row>
    <row r="262" spans="2:10">
      <c r="B262" s="223"/>
      <c r="C262" s="222" t="str">
        <f t="shared" ca="1" si="182"/>
        <v>DMD</v>
      </c>
      <c r="D262" s="223" t="str">
        <f t="shared" ca="1" si="184"/>
        <v>INDIDRHSOLN1</v>
      </c>
      <c r="E262" s="223" t="str">
        <f t="shared" ca="1" si="185"/>
        <v>Industrial heating technology Mining RH - Solar - new 1</v>
      </c>
      <c r="F262" s="279" t="s">
        <v>450</v>
      </c>
      <c r="G262" s="279" t="s">
        <v>449</v>
      </c>
      <c r="H262" s="334" t="s">
        <v>665</v>
      </c>
      <c r="I262" s="278"/>
      <c r="J262" s="281" t="s">
        <v>469</v>
      </c>
    </row>
    <row r="263" spans="2:10">
      <c r="B263" s="223"/>
      <c r="C263" s="222" t="str">
        <f t="shared" si="182"/>
        <v>*</v>
      </c>
      <c r="D263" s="949" t="str">
        <f>D187</f>
        <v>*</v>
      </c>
      <c r="E263" s="949" t="str">
        <f t="shared" ca="1" si="185"/>
        <v>Industrial heating technology Mining MT - Heat pump utilizing waste heat - new 1</v>
      </c>
      <c r="F263" s="279" t="s">
        <v>450</v>
      </c>
      <c r="G263" s="279" t="s">
        <v>449</v>
      </c>
      <c r="H263" s="334" t="s">
        <v>665</v>
      </c>
      <c r="I263" s="950"/>
      <c r="J263" s="280" t="s">
        <v>469</v>
      </c>
    </row>
    <row r="264" spans="2:10">
      <c r="B264" s="223"/>
      <c r="C264" s="222" t="str">
        <f t="shared" si="182"/>
        <v>*</v>
      </c>
      <c r="D264" s="223" t="str">
        <f t="shared" ref="D264" si="186">D188</f>
        <v>*</v>
      </c>
      <c r="E264" s="223" t="str">
        <f t="shared" ca="1" si="185"/>
        <v>Industrial heating technology Mining MT - Heat pump utilizing waste heat - new 1</v>
      </c>
      <c r="F264" s="279" t="s">
        <v>450</v>
      </c>
      <c r="G264" s="279" t="s">
        <v>449</v>
      </c>
      <c r="H264" s="334" t="s">
        <v>665</v>
      </c>
      <c r="I264" s="278"/>
      <c r="J264" s="281" t="s">
        <v>469</v>
      </c>
    </row>
    <row r="265" spans="2:10">
      <c r="B265" s="223"/>
      <c r="C265" s="222" t="str">
        <f t="shared" si="182"/>
        <v>DMD</v>
      </c>
      <c r="D265" s="223" t="str">
        <f>D190</f>
        <v>INDIDLAELCN1</v>
      </c>
      <c r="E265" s="223" t="str">
        <f t="shared" ca="1" si="185"/>
        <v>Industry Mining LA Electricity Light Appliance - New 1</v>
      </c>
      <c r="F265" s="279" t="s">
        <v>450</v>
      </c>
      <c r="G265" s="279" t="s">
        <v>449</v>
      </c>
      <c r="H265" s="334" t="s">
        <v>665</v>
      </c>
      <c r="I265" s="278"/>
      <c r="J265" s="281" t="s">
        <v>469</v>
      </c>
    </row>
    <row r="266" spans="2:10">
      <c r="B266" s="223"/>
      <c r="C266" s="222" t="str">
        <f t="shared" si="182"/>
        <v>DMD</v>
      </c>
      <c r="D266" s="223" t="str">
        <f>D194</f>
        <v>INDIDEMELCN1</v>
      </c>
      <c r="E266" s="223" t="str">
        <f t="shared" ca="1" si="185"/>
        <v>Industry Mining EM Electricity Motors - New 1</v>
      </c>
      <c r="F266" s="279" t="s">
        <v>450</v>
      </c>
      <c r="G266" s="279" t="s">
        <v>449</v>
      </c>
      <c r="H266" s="334" t="s">
        <v>665</v>
      </c>
      <c r="I266" s="278"/>
      <c r="J266" s="281" t="s">
        <v>469</v>
      </c>
    </row>
    <row r="267" spans="2:10">
      <c r="B267" s="223"/>
      <c r="C267" s="222" t="str">
        <f t="shared" si="182"/>
        <v>DMD</v>
      </c>
      <c r="D267" s="223" t="str">
        <f>D198</f>
        <v>INDIDTFDSLN1</v>
      </c>
      <c r="E267" s="223" t="str">
        <f t="shared" ca="1" si="185"/>
        <v>Industry Mining TF Tractors, Trucks, Fishing boats - New 1</v>
      </c>
      <c r="F267" s="279" t="s">
        <v>450</v>
      </c>
      <c r="G267" s="279" t="s">
        <v>449</v>
      </c>
      <c r="H267" s="278"/>
      <c r="I267" s="278"/>
      <c r="J267" s="281" t="s">
        <v>469</v>
      </c>
    </row>
    <row r="268" spans="2:10">
      <c r="B268" s="223"/>
      <c r="C268" s="222" t="str">
        <f t="shared" si="182"/>
        <v>DMD</v>
      </c>
      <c r="D268" s="223" t="str">
        <f>D202</f>
        <v>INDIDFLDH2N1</v>
      </c>
      <c r="E268" s="223" t="str">
        <f t="shared" ca="1" si="185"/>
        <v>Industry Mining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IMDSOx</v>
      </c>
      <c r="E273" s="287" t="str">
        <f>"Industrial heating  heating technology "&amp;$AJ$12&amp;" - SOx emission"</f>
        <v>Industrial heating  heating technology Mining - SOx emission</v>
      </c>
      <c r="F273" s="231" t="s">
        <v>352</v>
      </c>
      <c r="G273" s="222"/>
      <c r="H273" s="222"/>
      <c r="I273" s="222"/>
      <c r="J273" s="222"/>
    </row>
    <row r="274" spans="2:10">
      <c r="B274" s="226"/>
      <c r="C274" s="226"/>
      <c r="D274" s="277" t="str">
        <f>"I"&amp;LEFT($AJ$12,1)&amp;"DNOx"</f>
        <v>IMDNOx</v>
      </c>
      <c r="E274" s="287" t="str">
        <f>"Industrial heating  heating technology "&amp;$AJ$12&amp;" - NOx emission"</f>
        <v>Industrial heating  heating technology Mining - NOx emission</v>
      </c>
      <c r="F274" s="231" t="s">
        <v>352</v>
      </c>
      <c r="G274" s="222"/>
      <c r="H274" s="226"/>
      <c r="I274" s="226"/>
      <c r="J274" s="226"/>
    </row>
    <row r="275" spans="2:10">
      <c r="B275" s="226"/>
      <c r="C275" s="226"/>
      <c r="D275" s="277" t="str">
        <f>"I"&amp;LEFT($AJ$12,1)&amp;"DCH4"</f>
        <v>IMDCH4</v>
      </c>
      <c r="E275" s="287" t="str">
        <f>"Industrial heating  heating technology "&amp;$AJ$12&amp;" - CH4 emission"</f>
        <v>Industrial heating  heating technology Mining - CH4 emission</v>
      </c>
      <c r="F275" s="231" t="s">
        <v>352</v>
      </c>
      <c r="G275" s="222"/>
      <c r="H275" s="226"/>
      <c r="I275" s="226"/>
      <c r="J275" s="226"/>
    </row>
    <row r="276" spans="2:10">
      <c r="B276" s="226"/>
      <c r="C276" s="226"/>
      <c r="D276" s="277" t="str">
        <f>"I"&amp;LEFT($AJ$12,1)&amp;"DNO2"</f>
        <v>IMDNO2</v>
      </c>
      <c r="E276" s="287" t="str">
        <f>"Industrial heating  heating technology "&amp;$AJ$12&amp;" - NO2 emission"</f>
        <v>Industrial heating  heating technology Mining - NO2 emission</v>
      </c>
      <c r="F276" s="231" t="s">
        <v>352</v>
      </c>
      <c r="G276" s="222"/>
      <c r="H276" s="226"/>
      <c r="I276" s="226"/>
      <c r="J276" s="226"/>
    </row>
    <row r="277" spans="2:10">
      <c r="B277" s="226"/>
      <c r="C277" s="226"/>
      <c r="D277" s="277" t="str">
        <f>"I"&amp;LEFT($AJ$12,1)&amp;"DPM"</f>
        <v>IMDPM</v>
      </c>
      <c r="E277" s="287" t="str">
        <f>"Industrial heating  heating technology "&amp;$AJ$12&amp;" - Particle emission"</f>
        <v>Industrial heating  heating technology Mining - Particle emission</v>
      </c>
      <c r="F277" s="231" t="s">
        <v>352</v>
      </c>
      <c r="G277" s="222"/>
      <c r="H277" s="226"/>
      <c r="I277" s="226"/>
      <c r="J277" s="226"/>
    </row>
    <row r="278" spans="2:10">
      <c r="B278" s="239" t="s">
        <v>1182</v>
      </c>
      <c r="D278" s="239" t="str">
        <f>AI20</f>
        <v>INDIWH</v>
      </c>
      <c r="E278" s="287" t="str">
        <f>"Industrial heating technology "&amp;$AJ$12&amp;" - Waste heat"</f>
        <v>Industrial heating technology Mining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366FB9B-FF25-41C5-96C9-CBB893057C75}">
          <x14:formula1>
            <xm:f>'Oil-fired boiler_NEW'!$T$4:$X$4</xm:f>
          </x14:formula1>
          <xm:sqref>E1</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DE50E-67AD-4BD9-B9DD-192AE8B500D6}">
  <sheetPr>
    <tabColor rgb="FF00B050"/>
  </sheetPr>
  <dimension ref="A1:AP278"/>
  <sheetViews>
    <sheetView topLeftCell="A153" zoomScale="70" zoomScaleNormal="70" workbookViewId="0">
      <selection activeCell="G171" sqref="G171"/>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842</v>
      </c>
      <c r="N1" s="64"/>
      <c r="O1" s="64"/>
      <c r="P1" s="64"/>
      <c r="S1" s="787" t="s">
        <v>1129</v>
      </c>
      <c r="T1" s="836" t="s">
        <v>1128</v>
      </c>
      <c r="U1" s="835" t="s">
        <v>1178</v>
      </c>
      <c r="V1" s="836" t="s">
        <v>1179</v>
      </c>
      <c r="W1" s="840">
        <v>0.3</v>
      </c>
    </row>
    <row r="2" spans="2:42" ht="15" thickBot="1">
      <c r="E2" s="790" t="s">
        <v>1263</v>
      </c>
      <c r="N2" s="791"/>
      <c r="O2" s="791"/>
      <c r="P2" s="791"/>
      <c r="S2" s="786">
        <v>15</v>
      </c>
      <c r="T2" s="971">
        <v>15</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FEMIS~IIDSOx</v>
      </c>
      <c r="Y6" s="299" t="str">
        <f>"FEMIS~"&amp;D274</f>
        <v>FEMIS~IIDNOx</v>
      </c>
      <c r="Z6" s="299" t="str">
        <f>"FEMIS~"&amp;D275</f>
        <v>FEMIS~IIDCH4</v>
      </c>
      <c r="AA6" s="299" t="str">
        <f>"FEMIS~"&amp;D276</f>
        <v>FEMIS~IIDNO2</v>
      </c>
      <c r="AB6" s="299" t="str">
        <f>"FEMIS~"&amp;D277</f>
        <v>FEMIS~IIDPM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v>
      </c>
      <c r="E9" s="278" t="str">
        <f>"Industrial heating technology "&amp;$AJ$12&amp;" "&amp;RIGHT(H9,2)&amp;" - Heat pump utilizing waste heat - new 1"</f>
        <v>Industrial heating technology Iron &amp; Steel MT - Heat pump utilizing waste heat - new 1</v>
      </c>
      <c r="F9" s="239" t="s">
        <v>1274</v>
      </c>
      <c r="G9" s="176" t="s">
        <v>500</v>
      </c>
      <c r="H9" s="177" t="str">
        <f>$AI$14</f>
        <v>ISDMT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v>
      </c>
      <c r="E10" s="278"/>
      <c r="F10" s="239" t="s">
        <v>1274</v>
      </c>
      <c r="G10" s="176" t="str">
        <f>$AI$20</f>
        <v>INDSWH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v>
      </c>
      <c r="E11" s="223"/>
      <c r="F11" s="239" t="s">
        <v>1274</v>
      </c>
      <c r="G11" s="176" t="s">
        <v>500</v>
      </c>
      <c r="H11" s="177" t="str">
        <f>$AI$14</f>
        <v>ISDMT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v>
      </c>
      <c r="E12" s="223"/>
      <c r="F12" s="239" t="s">
        <v>1274</v>
      </c>
      <c r="G12" s="176" t="str">
        <f>$AI$20</f>
        <v>INDSWH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Iron &amp; Steel</v>
      </c>
    </row>
    <row r="13" spans="2:42">
      <c r="B13" s="393" t="s">
        <v>1123</v>
      </c>
      <c r="D13" s="223" t="str">
        <f ca="1">IF(T9=0,"*",IF(T13&gt;0,"IND"&amp;RIGHT(H9,4)&amp;RIGHT(G9,3)&amp;"N"&amp;RIGHT(E9,1),""))</f>
        <v>*</v>
      </c>
      <c r="E13" s="223"/>
      <c r="F13" s="239" t="s">
        <v>1274</v>
      </c>
      <c r="G13" s="176" t="s">
        <v>500</v>
      </c>
      <c r="H13" s="177" t="str">
        <f>$AI$14</f>
        <v>ISDMT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ISDHT</v>
      </c>
      <c r="AJ13" s="239" t="str">
        <f>AP14</f>
        <v>Iron &amp; Steel  Demand Heat High Temp. over 150C</v>
      </c>
      <c r="AO13" s="239" t="s">
        <v>1344</v>
      </c>
      <c r="AP13" s="239" t="s">
        <v>1345</v>
      </c>
    </row>
    <row r="14" spans="2:42">
      <c r="B14" s="393" t="s">
        <v>1123</v>
      </c>
      <c r="D14" s="223" t="str">
        <f ca="1">IF(T9=0,"*",IF(T14&gt;0,"IND"&amp;RIGHT(H9,4)&amp;RIGHT(G9,3)&amp;"N"&amp;RIGHT(E9,1),""))</f>
        <v>*</v>
      </c>
      <c r="E14" s="223"/>
      <c r="F14" s="239" t="s">
        <v>1274</v>
      </c>
      <c r="G14" s="176" t="str">
        <f>$AI$20</f>
        <v>INDSWH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ISDMT</v>
      </c>
      <c r="AJ14" s="239" t="str">
        <f>AP13</f>
        <v>Iron &amp; Steel  Demand Heat Medium Temp. up to 150C</v>
      </c>
      <c r="AO14" s="239" t="s">
        <v>1346</v>
      </c>
      <c r="AP14" s="239" t="s">
        <v>1347</v>
      </c>
    </row>
    <row r="15" spans="2:42">
      <c r="B15" s="393" t="s">
        <v>1123</v>
      </c>
      <c r="D15" s="223" t="str">
        <f ca="1">IF(T15=0,"*",IF(T15&gt;0,"IND"&amp;RIGHT(H15,4)&amp;RIGHT(G15,3)&amp;"N"&amp;RIGHT(E15,1),""))</f>
        <v>INDSDRHELCN1</v>
      </c>
      <c r="E15" s="278" t="str">
        <f>"Industrial heating technology "&amp;$AJ$12&amp;" "&amp;RIGHT(H15,2)&amp;" - Heat pump utilizing waste heat - new 1"</f>
        <v>Industrial heating technology Iron &amp; Steel RH - Heat pump utilizing waste heat - new 1</v>
      </c>
      <c r="F15" s="239" t="s">
        <v>1274</v>
      </c>
      <c r="G15" s="176" t="s">
        <v>500</v>
      </c>
      <c r="H15" s="177" t="str">
        <f>$AI$15</f>
        <v>ISDRH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ISDRH</v>
      </c>
      <c r="AJ15" s="239" t="str">
        <f>AP15</f>
        <v>Iron &amp; Steel  Demand Heat Room Heat</v>
      </c>
      <c r="AO15" s="239" t="s">
        <v>1348</v>
      </c>
      <c r="AP15" s="239" t="s">
        <v>1349</v>
      </c>
    </row>
    <row r="16" spans="2:42">
      <c r="B16" s="393" t="s">
        <v>1123</v>
      </c>
      <c r="D16" s="223" t="str">
        <f ca="1">IF(T15=0,"*",IF(T16&gt;0,"IND"&amp;RIGHT(H15,4)&amp;RIGHT(G15,3)&amp;"N"&amp;RIGHT(E15,1),""))</f>
        <v/>
      </c>
      <c r="E16" s="278"/>
      <c r="F16" s="239" t="s">
        <v>1274</v>
      </c>
      <c r="G16" s="176" t="str">
        <f>$AI$20</f>
        <v>INDSWH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ISDLA</v>
      </c>
      <c r="AJ16" s="239" t="str">
        <f t="shared" si="6"/>
        <v>Iron &amp; Steel  Demand Light</v>
      </c>
      <c r="AO16" s="239" t="s">
        <v>1350</v>
      </c>
      <c r="AP16" s="239" t="s">
        <v>1351</v>
      </c>
    </row>
    <row r="17" spans="2:42">
      <c r="B17" s="393" t="s">
        <v>1123</v>
      </c>
      <c r="D17" s="223" t="str">
        <f ca="1">IF(T15=0,"*",IF(T17&gt;0,"IND"&amp;RIGHT(H15,4)&amp;RIGHT(G15,3)&amp;"N"&amp;RIGHT(E15,1),""))</f>
        <v/>
      </c>
      <c r="E17" s="223"/>
      <c r="F17" s="239" t="s">
        <v>1274</v>
      </c>
      <c r="G17" s="176" t="s">
        <v>500</v>
      </c>
      <c r="H17" s="177" t="str">
        <f>$AI$15</f>
        <v>ISDRH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ISDEM</v>
      </c>
      <c r="AJ17" s="239" t="str">
        <f t="shared" si="6"/>
        <v>Iron &amp; Steel  Demand Electric Motors</v>
      </c>
      <c r="AO17" s="239" t="s">
        <v>1352</v>
      </c>
      <c r="AP17" s="239" t="s">
        <v>1353</v>
      </c>
    </row>
    <row r="18" spans="2:42">
      <c r="B18" s="393" t="s">
        <v>1123</v>
      </c>
      <c r="D18" s="223" t="str">
        <f ca="1">IF(T15=0,"*",IF(T18&gt;0,"IND"&amp;RIGHT(H15,4)&amp;RIGHT(G15,3)&amp;"N"&amp;RIGHT(E15,1),""))</f>
        <v/>
      </c>
      <c r="E18" s="223"/>
      <c r="F18" s="239" t="s">
        <v>1274</v>
      </c>
      <c r="G18" s="176" t="str">
        <f>$AI$20</f>
        <v>INDSWH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ISDTF</v>
      </c>
      <c r="AJ18" s="239" t="str">
        <f t="shared" si="6"/>
        <v>Iron &amp; Steel  Demand Haulage Tractors, Trucks, Fishing boats, Forest machines</v>
      </c>
      <c r="AO18" s="239" t="s">
        <v>1354</v>
      </c>
      <c r="AP18" s="239" t="s">
        <v>1355</v>
      </c>
    </row>
    <row r="19" spans="2:42">
      <c r="B19" s="393" t="s">
        <v>1123</v>
      </c>
      <c r="D19" s="223" t="str">
        <f ca="1">IF(T15=0,"*",IF(T19&gt;0,"IND"&amp;RIGHT(H15,4)&amp;RIGHT(G15,3)&amp;"N"&amp;RIGHT(E15,1),""))</f>
        <v/>
      </c>
      <c r="E19" s="223"/>
      <c r="F19" s="239" t="s">
        <v>1274</v>
      </c>
      <c r="G19" s="176" t="s">
        <v>500</v>
      </c>
      <c r="H19" s="177" t="str">
        <f>$AI$15</f>
        <v>ISDRH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ISDFL</v>
      </c>
      <c r="AJ19" s="239" t="str">
        <f t="shared" si="6"/>
        <v>Iron &amp; Steel  Demand Haulage Forklifts</v>
      </c>
      <c r="AO19" s="239" t="s">
        <v>1356</v>
      </c>
      <c r="AP19" s="239" t="s">
        <v>1357</v>
      </c>
    </row>
    <row r="20" spans="2:42">
      <c r="B20" s="393" t="s">
        <v>1123</v>
      </c>
      <c r="D20" s="223" t="str">
        <f ca="1">IF(T15=0,"*",IF(T20&gt;0,"IND"&amp;RIGHT(H15,4)&amp;RIGHT(G15,3)&amp;"N"&amp;RIGHT(E15,1),""))</f>
        <v/>
      </c>
      <c r="E20" s="223"/>
      <c r="F20" s="239" t="s">
        <v>1274</v>
      </c>
      <c r="G20" s="176" t="str">
        <f>$AI$20</f>
        <v>INDSWH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INDSWH</v>
      </c>
      <c r="AJ20" s="239" t="str">
        <f>$AJ$12&amp;" Industrial Waste Heat"</f>
        <v>Iron &amp; Steel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Iron &amp; Steel MT - Heat driven heat pump utilizing waste heat - new 2</v>
      </c>
      <c r="F21" s="239" t="s">
        <v>1274</v>
      </c>
      <c r="G21" s="176" t="s">
        <v>500</v>
      </c>
      <c r="H21" s="177" t="str">
        <f>$AI$14</f>
        <v>ISDMT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INDSWH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ISDMT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INDSWH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ISDMT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INDSWH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INDSDRHELCN2</v>
      </c>
      <c r="E27" s="278" t="str">
        <f>"Industrial heating technology "&amp;$AJ$12&amp;" "&amp;RIGHT(H27,2)&amp;" - Heat driven heat pump utilizing waste heat - new 2"</f>
        <v>Industrial heating technology Iron &amp; Steel RH - Heat driven heat pump utilizing waste heat - new 2</v>
      </c>
      <c r="F27" s="239" t="s">
        <v>1274</v>
      </c>
      <c r="G27" s="176" t="s">
        <v>500</v>
      </c>
      <c r="H27" s="177" t="str">
        <f>$AI$15</f>
        <v>ISDRH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INDSWH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ISDRH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INDSWH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ISDRH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INDSWH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v>
      </c>
      <c r="E33" s="278" t="str">
        <f>"Industrial heating technology "&amp;$AJ$12&amp;" "&amp;RIGHT(H33,2)&amp;" - High Temp abs. Heat pump utilizing waste heat - new 3"</f>
        <v>Industrial heating technology Iron &amp; Steel MT - High Temp abs. Heat pump utilizing waste heat - new 3</v>
      </c>
      <c r="F33" s="239" t="s">
        <v>1274</v>
      </c>
      <c r="G33" s="176" t="s">
        <v>500</v>
      </c>
      <c r="H33" s="177" t="str">
        <f>$AI$14</f>
        <v>ISDMT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v>
      </c>
      <c r="E34" s="278"/>
      <c r="F34" s="239" t="s">
        <v>1274</v>
      </c>
      <c r="G34" s="176" t="str">
        <f>$AI$20</f>
        <v>INDSWH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v>
      </c>
      <c r="E35" s="223"/>
      <c r="F35" s="239" t="s">
        <v>1274</v>
      </c>
      <c r="G35" s="176" t="s">
        <v>500</v>
      </c>
      <c r="H35" s="177" t="str">
        <f>$AI$14</f>
        <v>ISDMT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v>
      </c>
      <c r="E36" s="223"/>
      <c r="F36" s="239" t="s">
        <v>1274</v>
      </c>
      <c r="G36" s="176" t="str">
        <f>$AI$20</f>
        <v>INDSWH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v>
      </c>
      <c r="E37" s="223"/>
      <c r="F37" s="239" t="s">
        <v>1274</v>
      </c>
      <c r="G37" s="176" t="s">
        <v>500</v>
      </c>
      <c r="H37" s="177" t="str">
        <f>$AI$14</f>
        <v>ISDMT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v>
      </c>
      <c r="E38" s="223"/>
      <c r="F38" s="239" t="s">
        <v>1274</v>
      </c>
      <c r="G38" s="176" t="str">
        <f>$AI$20</f>
        <v>INDSWH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INDSDRHELCN3</v>
      </c>
      <c r="E39" s="278" t="str">
        <f>"Industrial heating technology "&amp;$AJ$12&amp;" "&amp;RIGHT(H39,2)&amp;" - High Temp abs. Heat pump utilizing waste heat - new 3"</f>
        <v>Industrial heating technology Iron &amp; Steel RH - High Temp abs. Heat pump utilizing waste heat - new 3</v>
      </c>
      <c r="F39" s="239" t="s">
        <v>1274</v>
      </c>
      <c r="G39" s="176" t="s">
        <v>500</v>
      </c>
      <c r="H39" s="177" t="str">
        <f>$AI$15</f>
        <v>ISDRH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INDSWH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ISDRH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INDSWH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ISDRH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INDSWH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v>
      </c>
      <c r="E45" s="278" t="str">
        <f>"Industrial heating technology "&amp;$AJ$12&amp;" "&amp;RIGHT(H45,2)&amp;" - Booster Heat pump utilizing waste heat - new 4"</f>
        <v>Industrial heating technology Iron &amp; Steel MT - Booster Heat pump utilizing waste heat - new 4</v>
      </c>
      <c r="F45" s="239" t="s">
        <v>1274</v>
      </c>
      <c r="G45" s="176" t="s">
        <v>500</v>
      </c>
      <c r="H45" s="177" t="str">
        <f>$AI$14</f>
        <v>ISDMT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v>
      </c>
      <c r="E46" s="278"/>
      <c r="F46" s="239" t="s">
        <v>1274</v>
      </c>
      <c r="G46" s="176" t="str">
        <f>$AI$20</f>
        <v>INDSWH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v>
      </c>
      <c r="E47" s="223"/>
      <c r="F47" s="239" t="s">
        <v>1274</v>
      </c>
      <c r="G47" s="176" t="s">
        <v>500</v>
      </c>
      <c r="H47" s="177" t="str">
        <f>$AI$14</f>
        <v>ISDMT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v>
      </c>
      <c r="E48" s="223"/>
      <c r="F48" s="239" t="s">
        <v>1274</v>
      </c>
      <c r="G48" s="176" t="str">
        <f>$AI$20</f>
        <v>INDSWH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v>
      </c>
      <c r="E49" s="223"/>
      <c r="F49" s="239" t="s">
        <v>1274</v>
      </c>
      <c r="G49" s="176" t="s">
        <v>500</v>
      </c>
      <c r="H49" s="177" t="str">
        <f>$AI$14</f>
        <v>ISDMT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v>
      </c>
      <c r="E50" s="223"/>
      <c r="F50" s="239" t="s">
        <v>1274</v>
      </c>
      <c r="G50" s="176" t="str">
        <f>$AI$20</f>
        <v>INDSWH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INDSDRHELCN4</v>
      </c>
      <c r="E51" s="278" t="str">
        <f>"Industrial heating technology "&amp;$AJ$12&amp;" "&amp;RIGHT(H51,2)&amp;" - Booster Heat pump utilizing waste heat - new 4"</f>
        <v>Industrial heating technology Iron &amp; Steel RH - Booster Heat pump utilizing waste heat - new 4</v>
      </c>
      <c r="F51" s="239" t="s">
        <v>1274</v>
      </c>
      <c r="G51" s="176" t="s">
        <v>500</v>
      </c>
      <c r="H51" s="177" t="str">
        <f>$AI$15</f>
        <v>ISDRH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INDSWH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ISDRH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INDSWH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ISDRH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INDSWH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v>
      </c>
      <c r="E57" s="278" t="str">
        <f>"Industrial heating technology "&amp;$AJ$12&amp;" "&amp;RIGHT(H57,2)&amp;" - MVR utilizing waste heat - new 5"</f>
        <v>Industrial heating technology Iron &amp; Steel MT - MVR utilizing waste heat - new 5</v>
      </c>
      <c r="F57" s="239" t="s">
        <v>1274</v>
      </c>
      <c r="G57" s="176" t="s">
        <v>500</v>
      </c>
      <c r="H57" s="177" t="str">
        <f>$AI$14</f>
        <v>ISDMT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v>
      </c>
      <c r="E58" s="278"/>
      <c r="F58" s="239" t="s">
        <v>1274</v>
      </c>
      <c r="G58" s="176" t="str">
        <f>$AI$20</f>
        <v>INDSWH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v>
      </c>
      <c r="E59" s="223"/>
      <c r="F59" s="239" t="s">
        <v>1274</v>
      </c>
      <c r="G59" s="176" t="s">
        <v>500</v>
      </c>
      <c r="H59" s="177" t="str">
        <f>$AI$14</f>
        <v>ISDMT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v>
      </c>
      <c r="E60" s="223"/>
      <c r="F60" s="239" t="s">
        <v>1274</v>
      </c>
      <c r="G60" s="176" t="str">
        <f>$AI$20</f>
        <v>INDSWH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v>
      </c>
      <c r="E61" s="223"/>
      <c r="F61" s="239" t="s">
        <v>1274</v>
      </c>
      <c r="G61" s="176" t="s">
        <v>500</v>
      </c>
      <c r="H61" s="177" t="str">
        <f>$AI$14</f>
        <v>ISDMT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v>
      </c>
      <c r="E62" s="792"/>
      <c r="F62" s="239" t="s">
        <v>1274</v>
      </c>
      <c r="G62" s="848" t="str">
        <f>$AI$20</f>
        <v>INDSWH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Iron &amp; Steel HT - Hotdisc - new 1</v>
      </c>
      <c r="F63" s="239" t="s">
        <v>1274</v>
      </c>
      <c r="G63" s="892" t="s">
        <v>1130</v>
      </c>
      <c r="H63" s="177" t="str">
        <f>$AI$13</f>
        <v>ISDHT</v>
      </c>
      <c r="I63" s="176" t="str">
        <f t="shared" ref="I63:I94" si="53">$AI$20</f>
        <v>INDSWH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INDSWH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INDSWH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Iron &amp; Steel MT - Dielectric heating - new 6</v>
      </c>
      <c r="F66" s="239" t="s">
        <v>1274</v>
      </c>
      <c r="G66" s="176" t="s">
        <v>500</v>
      </c>
      <c r="H66" s="177" t="str">
        <f>$AI$14</f>
        <v>ISDMT</v>
      </c>
      <c r="I66" s="176" t="str">
        <f t="shared" si="53"/>
        <v>INDSWH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INDSWH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INDSWH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Iron &amp; Steel MT - Infrared heating - new 7</v>
      </c>
      <c r="F69" s="239" t="s">
        <v>1274</v>
      </c>
      <c r="G69" s="176" t="s">
        <v>500</v>
      </c>
      <c r="H69" s="177" t="str">
        <f>$AI$14</f>
        <v>ISDMT</v>
      </c>
      <c r="I69" s="176" t="str">
        <f t="shared" si="53"/>
        <v>INDSWH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v>
      </c>
      <c r="E70" s="223"/>
      <c r="F70" s="239" t="s">
        <v>1274</v>
      </c>
      <c r="H70" s="177"/>
      <c r="I70" s="176" t="str">
        <f t="shared" si="53"/>
        <v>INDSWH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v>
      </c>
      <c r="E71" s="223"/>
      <c r="F71" s="239" t="s">
        <v>1274</v>
      </c>
      <c r="H71" s="177"/>
      <c r="I71" s="177" t="str">
        <f t="shared" si="53"/>
        <v>INDSWH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INDSDHTELCN8</v>
      </c>
      <c r="E72" s="278" t="str">
        <f>"Industrial heating technology "&amp;$AJ$12&amp;" "&amp;RIGHT(H72,2)&amp;" - Electric boiler (Steam) - new 8"</f>
        <v>Industrial heating technology Iron &amp; Steel HT - Electric boiler (Steam) - new 8</v>
      </c>
      <c r="F72" s="239" t="s">
        <v>1274</v>
      </c>
      <c r="G72" s="176" t="s">
        <v>500</v>
      </c>
      <c r="H72" s="177" t="str">
        <f>$AI$13</f>
        <v>ISDHT</v>
      </c>
      <c r="I72" s="177" t="str">
        <f t="shared" si="53"/>
        <v>INDSWH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0.2</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INDSWH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INDSWH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INDSDMTELCN8</v>
      </c>
      <c r="E75" s="278" t="str">
        <f>"Industrial heating technology "&amp;$AJ$12&amp;" "&amp;RIGHT(H75,2)&amp;" - Electric boiler (Steam) - new 8"</f>
        <v>Industrial heating technology Iron &amp; Steel MT - Electric boiler (Steam) - new 8</v>
      </c>
      <c r="F75" s="239" t="s">
        <v>1274</v>
      </c>
      <c r="G75" s="176" t="s">
        <v>500</v>
      </c>
      <c r="H75" s="177" t="str">
        <f>$AI$14</f>
        <v>ISDMT</v>
      </c>
      <c r="I75" s="177" t="str">
        <f t="shared" si="53"/>
        <v>INDSWH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INDSWH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INDSWH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IF(T78=0,"*",IF(T78&gt;0,"IND"&amp;RIGHT(H78,4)&amp;RIGHT(G78,3)&amp;"N"&amp;RIGHT(E78,1),""))</f>
        <v>INDSDRHELCN8</v>
      </c>
      <c r="E78" s="278" t="str">
        <f>"Industrial heating technology "&amp;$AJ$12&amp;" "&amp;RIGHT(H78,2)&amp;" - Electric boiler (Steam) - new 8"</f>
        <v>Industrial heating technology Iron &amp; Steel RH - Electric boiler (Steam) - new 8</v>
      </c>
      <c r="F78" s="239" t="s">
        <v>1274</v>
      </c>
      <c r="G78" s="176" t="s">
        <v>500</v>
      </c>
      <c r="H78" s="177" t="str">
        <f>$AI$15</f>
        <v>ISDRH</v>
      </c>
      <c r="I78" s="177" t="str">
        <f t="shared" si="53"/>
        <v>INDSWH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IF(T78=0,"*",IF(T79&gt;0,"IND"&amp;RIGHT(H78,4)&amp;RIGHT(G78,3)&amp;"N"&amp;RIGHT(E78,1),""))</f>
        <v/>
      </c>
      <c r="E79" s="223"/>
      <c r="F79" s="239" t="s">
        <v>1274</v>
      </c>
      <c r="H79" s="177"/>
      <c r="I79" s="177" t="str">
        <f t="shared" si="53"/>
        <v>INDSWH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IF(T78=0,"*",IF(T80&gt;0,"IND"&amp;RIGHT(H78,4)&amp;RIGHT(G78,3)&amp;"N"&amp;RIGHT(E78,1),""))</f>
        <v/>
      </c>
      <c r="E80" s="223"/>
      <c r="F80" s="239" t="s">
        <v>1274</v>
      </c>
      <c r="H80" s="177"/>
      <c r="I80" s="177" t="str">
        <f t="shared" si="53"/>
        <v>INDSWH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INDSDMTELCN9</v>
      </c>
      <c r="E81" s="767" t="str">
        <f>"Industrial heating technology "&amp;$AJ$12&amp;" "&amp;RIGHT(H81,2)&amp;" - Electric boiler (Hot Water) - new 9"</f>
        <v>Industrial heating technology Iron &amp; Steel MT - Electric boiler (Hot Water) - new 9</v>
      </c>
      <c r="F81" s="239" t="s">
        <v>1274</v>
      </c>
      <c r="G81" s="768" t="s">
        <v>500</v>
      </c>
      <c r="H81" s="768" t="str">
        <f>$AI$14</f>
        <v>ISDMT</v>
      </c>
      <c r="I81" s="768" t="str">
        <f t="shared" si="53"/>
        <v>INDSWH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INDSWH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INDSWH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v>
      </c>
      <c r="E84" s="278" t="str">
        <f>"Industrial heating technology "&amp;$AJ$12&amp;" "&amp;RIGHT(H84,2)&amp;" - Electric boiler (Hot Water) - new 9"</f>
        <v>Industrial heating technology Iron &amp; Steel RH - Electric boiler (Hot Water) - new 9</v>
      </c>
      <c r="F84" s="239" t="s">
        <v>1274</v>
      </c>
      <c r="G84" s="177" t="s">
        <v>500</v>
      </c>
      <c r="H84" s="177" t="str">
        <f>$AI$15</f>
        <v>ISDRH</v>
      </c>
      <c r="I84" s="177" t="str">
        <f t="shared" si="53"/>
        <v>INDSWH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0</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v>
      </c>
      <c r="E85" s="278"/>
      <c r="F85" s="239" t="s">
        <v>1274</v>
      </c>
      <c r="G85" s="55"/>
      <c r="H85" s="177"/>
      <c r="I85" s="177" t="str">
        <f t="shared" si="53"/>
        <v>INDSWH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v>
      </c>
      <c r="E86" s="761"/>
      <c r="F86" s="239" t="s">
        <v>1274</v>
      </c>
      <c r="G86" s="211"/>
      <c r="H86" s="762"/>
      <c r="I86" s="762" t="str">
        <f t="shared" si="53"/>
        <v>INDSWH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v>
      </c>
      <c r="E87" s="278" t="str">
        <f>"Industrial heating technology "&amp;$AJ$12&amp;" "&amp;RIGHT(H87,2)&amp;" - Wood chip boiler (Steam) - new 1"</f>
        <v>Industrial heating technology Iron &amp; Steel HT - Wood chip boiler (Steam) - new 1</v>
      </c>
      <c r="F87" s="239" t="s">
        <v>1274</v>
      </c>
      <c r="G87" s="176" t="s">
        <v>499</v>
      </c>
      <c r="H87" s="177" t="str">
        <f>$AI$13</f>
        <v>ISDHT</v>
      </c>
      <c r="I87" s="177" t="str">
        <f t="shared" si="53"/>
        <v>INDSWH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0</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v>
      </c>
      <c r="E88" s="223"/>
      <c r="F88" s="239" t="s">
        <v>1274</v>
      </c>
      <c r="H88" s="177"/>
      <c r="I88" s="177" t="str">
        <f t="shared" si="53"/>
        <v>INDSWH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v>
      </c>
      <c r="E89" s="223"/>
      <c r="F89" s="239" t="s">
        <v>1274</v>
      </c>
      <c r="H89" s="177"/>
      <c r="I89" s="177" t="str">
        <f t="shared" si="53"/>
        <v>INDSWH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INDSDMTWCHN1</v>
      </c>
      <c r="E90" s="278" t="str">
        <f>"Industrial heating technology "&amp;$AJ$12&amp;" "&amp;RIGHT(H90,2)&amp;" - Wood chip boiler (Steam) - new 1"</f>
        <v>Industrial heating technology Iron &amp; Steel MT - Wood chip boiler (Steam) - new 1</v>
      </c>
      <c r="F90" s="239" t="s">
        <v>1274</v>
      </c>
      <c r="G90" s="176" t="s">
        <v>499</v>
      </c>
      <c r="H90" s="177" t="str">
        <f>$AI$14</f>
        <v>ISDMT</v>
      </c>
      <c r="I90" s="177" t="str">
        <f t="shared" si="53"/>
        <v>INDSWH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INDSWH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INDSWH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INDSDRHWCHN1</v>
      </c>
      <c r="E93" s="278" t="str">
        <f>"Industrial heating technology "&amp;$AJ$12&amp;" "&amp;RIGHT(H93,2)&amp;" - Wood chip boiler (Steam) - new 1"</f>
        <v>Industrial heating technology Iron &amp; Steel RH - Wood chip boiler (Steam) - new 1</v>
      </c>
      <c r="F93" s="239" t="s">
        <v>1274</v>
      </c>
      <c r="G93" s="176" t="s">
        <v>499</v>
      </c>
      <c r="H93" s="177" t="str">
        <f>$AI$15</f>
        <v>ISDRH</v>
      </c>
      <c r="I93" s="177" t="str">
        <f t="shared" si="53"/>
        <v>INDSWH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INDSWH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INDSWH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INDSDMTWCHN2</v>
      </c>
      <c r="E96" s="767" t="str">
        <f>"Industrial heating technology "&amp;$AJ$12&amp;" "&amp;RIGHT(H96,2)&amp;" - Wood chip boiler (Steam - condensing) - new 2"</f>
        <v>Industrial heating technology Iron &amp; Steel MT - Wood chip boiler (Steam - condensing) - new 2</v>
      </c>
      <c r="F96" s="239" t="s">
        <v>1274</v>
      </c>
      <c r="G96" s="768" t="s">
        <v>499</v>
      </c>
      <c r="H96" s="768" t="str">
        <f>$AI$14</f>
        <v>ISDMT</v>
      </c>
      <c r="I96" s="768" t="str">
        <f t="shared" si="80"/>
        <v>INDSWH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INDSWH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INDSWH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INDSDRHWCHN2</v>
      </c>
      <c r="E99" s="278" t="str">
        <f>"Industrial heating technology "&amp;$AJ$12&amp;" "&amp;RIGHT(H99,2)&amp;" - Wood chip boiler (Steam - condensing) - new 2"</f>
        <v>Industrial heating technology Iron &amp; Steel RH - Wood chip boiler (Steam - condensing) - new 2</v>
      </c>
      <c r="F99" s="239" t="s">
        <v>1274</v>
      </c>
      <c r="G99" s="177" t="s">
        <v>499</v>
      </c>
      <c r="H99" s="177" t="str">
        <f>$AI$15</f>
        <v>ISDRH</v>
      </c>
      <c r="I99" s="177" t="str">
        <f t="shared" si="80"/>
        <v>INDSWH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INDSWH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INDSWH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INDSDMTWCHN3</v>
      </c>
      <c r="E102" s="767" t="str">
        <f>"Industrial heating technology "&amp;$AJ$12&amp;" "&amp;RIGHT(H102,2)&amp;" - Wood chip boiler (Hot Water) - new 3"</f>
        <v>Industrial heating technology Iron &amp; Steel MT - Wood chip boiler (Hot Water) - new 3</v>
      </c>
      <c r="F102" s="239" t="s">
        <v>1274</v>
      </c>
      <c r="G102" s="768" t="s">
        <v>499</v>
      </c>
      <c r="H102" s="768" t="str">
        <f>$AI$14</f>
        <v>ISDMT</v>
      </c>
      <c r="I102" s="768" t="str">
        <f t="shared" si="80"/>
        <v>INDSWH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INDSWH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INDSWH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INDSDRHWCHN3</v>
      </c>
      <c r="E105" s="278" t="str">
        <f>"Industrial heating technology "&amp;$AJ$12&amp;" "&amp;RIGHT(H105,2)&amp;" - Wood chip boiler (Hot Water) - new 3"</f>
        <v>Industrial heating technology Iron &amp; Steel RH - Wood chip boiler (Hot Water) - new 3</v>
      </c>
      <c r="F105" s="239" t="s">
        <v>1274</v>
      </c>
      <c r="G105" s="177" t="s">
        <v>499</v>
      </c>
      <c r="H105" s="177" t="str">
        <f>$AI$15</f>
        <v>ISDRH</v>
      </c>
      <c r="I105" s="177" t="str">
        <f t="shared" si="80"/>
        <v>INDSWH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INDSWH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INDSWH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INDSDMTWCHN4</v>
      </c>
      <c r="E108" s="767" t="str">
        <f>"Industrial heating technology "&amp;$AJ$12&amp;" "&amp;RIGHT(H108,2)&amp;" - Wood chip boiler (Hot Water - condensing) - new 4"</f>
        <v>Industrial heating technology Iron &amp; Steel MT - Wood chip boiler (Hot Water - condensing) - new 4</v>
      </c>
      <c r="F108" s="239" t="s">
        <v>1274</v>
      </c>
      <c r="G108" s="768" t="s">
        <v>499</v>
      </c>
      <c r="H108" s="768" t="str">
        <f>$AI$14</f>
        <v>ISDMT</v>
      </c>
      <c r="I108" s="768" t="str">
        <f t="shared" si="80"/>
        <v>INDSWH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INDSWH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INDSWH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INDSDRHWCHN4</v>
      </c>
      <c r="E111" s="278" t="str">
        <f>"Industrial heating technology "&amp;$AJ$12&amp;" "&amp;RIGHT(H111,2)&amp;" - Wood chip boiler (Hot Water- condensing) - new 4"</f>
        <v>Industrial heating technology Iron &amp; Steel RH - Wood chip boiler (Hot Water- condensing) - new 4</v>
      </c>
      <c r="F111" s="239" t="s">
        <v>1274</v>
      </c>
      <c r="G111" s="177" t="s">
        <v>499</v>
      </c>
      <c r="H111" s="177" t="str">
        <f>$AI$15</f>
        <v>ISDRH</v>
      </c>
      <c r="I111" s="177" t="str">
        <f t="shared" si="80"/>
        <v>INDSWH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INDSWH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INDSWH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IF(T114=0,"*",IF(T114&gt;0,"IND"&amp;RIGHT(H114,4)&amp;RIGHT(G114,3)&amp;"N"&amp;RIGHT(E114,1),""))</f>
        <v>INDSDHTELCN0</v>
      </c>
      <c r="E114" s="278" t="str">
        <f>"Industrial heating technology "&amp;$AJ$12&amp;" "&amp;RIGHT(H114,2)&amp;" - Direct electric heating - new 10"</f>
        <v>Industrial heating technology Iron &amp; Steel HT - Direct electric heating - new 10</v>
      </c>
      <c r="F114" s="239" t="s">
        <v>1274</v>
      </c>
      <c r="G114" s="176" t="s">
        <v>500</v>
      </c>
      <c r="H114" s="177" t="str">
        <f>$AI$13</f>
        <v>ISDHT</v>
      </c>
      <c r="I114" s="177" t="str">
        <f t="shared" si="80"/>
        <v>INDSWH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v>0.5</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IF(T114=0,"*",IF(T115&gt;0,"IND"&amp;RIGHT(H114,4)&amp;RIGHT(G114,3)&amp;"N"&amp;RIGHT(E114,1),""))</f>
        <v/>
      </c>
      <c r="E115" s="223"/>
      <c r="F115" s="239" t="s">
        <v>1274</v>
      </c>
      <c r="H115" s="177"/>
      <c r="I115" s="177" t="str">
        <f t="shared" si="80"/>
        <v>INDSWH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IF(T114=0,"*",IF(T116&gt;0,"IND"&amp;RIGHT(H114,4)&amp;RIGHT(G114,3)&amp;"N"&amp;RIGHT(E114,1),""))</f>
        <v/>
      </c>
      <c r="E116" s="223"/>
      <c r="F116" s="239" t="s">
        <v>1274</v>
      </c>
      <c r="H116" s="177"/>
      <c r="I116" s="177" t="str">
        <f t="shared" si="80"/>
        <v>INDSWH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IF(T117=0,"*",IF(T117&gt;0,"IND"&amp;RIGHT(H117,4)&amp;RIGHT(G117,3)&amp;"N"&amp;RIGHT(E117,1),""))</f>
        <v>INDSDMTELCN0</v>
      </c>
      <c r="E117" s="278" t="str">
        <f>"Industrial heating technology "&amp;$AJ$12&amp;" "&amp;RIGHT(H117,2)&amp;" - Direct electric heating - new 10"</f>
        <v>Industrial heating technology Iron &amp; Steel MT - Direct electric heating - new 10</v>
      </c>
      <c r="F117" s="239" t="s">
        <v>1274</v>
      </c>
      <c r="G117" s="176" t="s">
        <v>500</v>
      </c>
      <c r="H117" s="177" t="str">
        <f>$AI$14</f>
        <v>ISDMT</v>
      </c>
      <c r="I117" s="177" t="str">
        <f t="shared" si="80"/>
        <v>INDSWH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v>1</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IF(T117=0,"*",IF(T118&gt;0,"IND"&amp;RIGHT(H117,4)&amp;RIGHT(G117,3)&amp;"N"&amp;RIGHT(E117,1),""))</f>
        <v/>
      </c>
      <c r="E118" s="223"/>
      <c r="F118" s="239" t="s">
        <v>1274</v>
      </c>
      <c r="H118" s="177"/>
      <c r="I118" s="177" t="str">
        <f t="shared" si="80"/>
        <v>INDSWH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IF(T117=0,"*",IF(T119&gt;0,"IND"&amp;RIGHT(H117,4)&amp;RIGHT(G117,3)&amp;"N"&amp;RIGHT(E117,1),""))</f>
        <v/>
      </c>
      <c r="E119" s="761"/>
      <c r="F119" s="239" t="s">
        <v>1274</v>
      </c>
      <c r="G119" s="211"/>
      <c r="H119" s="762"/>
      <c r="I119" s="762" t="str">
        <f t="shared" si="80"/>
        <v>INDSWH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INDSDHTDSEN1</v>
      </c>
      <c r="E120" s="278" t="str">
        <f>"Industrial heating technology "&amp;$AJ$12&amp;" "&amp;RIGHT(H120,2)&amp;" - Oil boiler (Steam) - new 1"</f>
        <v>Industrial heating technology Iron &amp; Steel HT - Oil boiler (Steam) - new 1</v>
      </c>
      <c r="F120" s="239" t="s">
        <v>1274</v>
      </c>
      <c r="G120" s="176" t="s">
        <v>1437</v>
      </c>
      <c r="H120" s="177" t="str">
        <f>$AI$13</f>
        <v>ISDHT</v>
      </c>
      <c r="I120" s="177" t="str">
        <f t="shared" si="80"/>
        <v>INDSWH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INDSWH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INDSWH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INDSDMTDSEN1</v>
      </c>
      <c r="E123" s="278" t="str">
        <f>"Industrial heating technology "&amp;$AJ$12&amp;" "&amp;RIGHT(H123,2)&amp;" - Oil boiler (Steam) - new 1"</f>
        <v>Industrial heating technology Iron &amp; Steel MT - Oil boiler (Steam) - new 1</v>
      </c>
      <c r="F123" s="239" t="s">
        <v>1274</v>
      </c>
      <c r="G123" s="176" t="s">
        <v>1437</v>
      </c>
      <c r="H123" s="177" t="str">
        <f>$AI$14</f>
        <v>ISDMT</v>
      </c>
      <c r="I123" s="177" t="str">
        <f t="shared" si="80"/>
        <v>INDSWH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INDSWH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INDSWH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INDSDRHDSEN1</v>
      </c>
      <c r="E126" s="278" t="str">
        <f>"Industrial heating technology "&amp;$AJ$12&amp;" "&amp;RIGHT(H126,2)&amp;" - Oil boiler (Steam) - new 1"</f>
        <v>Industrial heating technology Iron &amp; Steel RH - Oil boiler (Steam) - new 1</v>
      </c>
      <c r="F126" s="239" t="s">
        <v>1274</v>
      </c>
      <c r="G126" s="176" t="s">
        <v>1437</v>
      </c>
      <c r="H126" s="177" t="str">
        <f>$AI$15</f>
        <v>ISDRH</v>
      </c>
      <c r="I126" s="177" t="str">
        <f t="shared" si="80"/>
        <v>INDSWH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INDSWH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INDSWH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INDSDMTDSEN2</v>
      </c>
      <c r="E129" s="767" t="str">
        <f>"Industrial heating technology "&amp;$AJ$12&amp;" "&amp;RIGHT(H129,2)&amp;" - Oil boiler (Steam - condensing) - new 2"</f>
        <v>Industrial heating technology Iron &amp; Steel MT - Oil boiler (Steam - condensing) - new 2</v>
      </c>
      <c r="F129" s="239" t="s">
        <v>1274</v>
      </c>
      <c r="G129" s="176" t="s">
        <v>1437</v>
      </c>
      <c r="H129" s="768" t="str">
        <f>$AI$14</f>
        <v>ISDMT</v>
      </c>
      <c r="I129" s="768" t="str">
        <f t="shared" si="115"/>
        <v>INDSWH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INDSWH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INDSWH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INDSDRHDSEN2</v>
      </c>
      <c r="E132" s="278" t="str">
        <f>"Industrial heating technology "&amp;$AJ$12&amp;" "&amp;RIGHT(H132,2)&amp;" - Oil boiler (Steam - condensing) - new 2"</f>
        <v>Industrial heating technology Iron &amp; Steel RH - Oil boiler (Steam - condensing) - new 2</v>
      </c>
      <c r="F132" s="239" t="s">
        <v>1274</v>
      </c>
      <c r="G132" s="176" t="s">
        <v>1437</v>
      </c>
      <c r="H132" s="177" t="str">
        <f>$AI$15</f>
        <v>ISDRH</v>
      </c>
      <c r="I132" s="177" t="str">
        <f t="shared" si="115"/>
        <v>INDSWH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INDSWH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INDSWH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INDSDHTDH2N1</v>
      </c>
      <c r="E135" s="278" t="str">
        <f>"Industrial heating technology "&amp;$AJ$12&amp;" "&amp;RIGHT(H135,2)&amp;" - Gas boiler (Steam) - new 1"</f>
        <v>Industrial heating technology Iron &amp; Steel HT - Gas boiler (Steam) - new 1</v>
      </c>
      <c r="F135" s="239" t="s">
        <v>1274</v>
      </c>
      <c r="G135" s="176" t="s">
        <v>1438</v>
      </c>
      <c r="H135" s="177" t="str">
        <f>$AI$13</f>
        <v>ISDHT</v>
      </c>
      <c r="I135" s="177" t="str">
        <f t="shared" si="115"/>
        <v>INDSWH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INDSWH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INDSWH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INDSDMTDH2N1</v>
      </c>
      <c r="E138" s="278" t="str">
        <f>"Industrial heating technology "&amp;$AJ$12&amp;" "&amp;RIGHT(H138,2)&amp;" - Gas boiler (Steam) - new 1"</f>
        <v>Industrial heating technology Iron &amp; Steel MT - Gas boiler (Steam) - new 1</v>
      </c>
      <c r="F138" s="239" t="s">
        <v>1274</v>
      </c>
      <c r="G138" s="176" t="s">
        <v>1438</v>
      </c>
      <c r="H138" s="177" t="str">
        <f>$AI$14</f>
        <v>ISDMT</v>
      </c>
      <c r="I138" s="177" t="str">
        <f t="shared" si="115"/>
        <v>INDSWH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INDSWH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INDSWH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INDSDRHDH2N1</v>
      </c>
      <c r="E141" s="278" t="str">
        <f>"Industrial heating technology "&amp;$AJ$12&amp;" "&amp;RIGHT(H141,2)&amp;" - Gas boiler (Steam) - new 1"</f>
        <v>Industrial heating technology Iron &amp; Steel RH - Gas boiler (Steam) - new 1</v>
      </c>
      <c r="F141" s="239" t="s">
        <v>1274</v>
      </c>
      <c r="G141" s="176" t="s">
        <v>1438</v>
      </c>
      <c r="H141" s="177" t="str">
        <f>$AI$15</f>
        <v>ISDRH</v>
      </c>
      <c r="I141" s="177" t="str">
        <f t="shared" si="115"/>
        <v>INDSWH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INDSWH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INDSWH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INDSDMTDH2N2</v>
      </c>
      <c r="E144" s="767" t="str">
        <f>"Industrial heating technology "&amp;$AJ$12&amp;" "&amp;RIGHT(H144,2)&amp;" - Gas boiler (Steam - condensing) - new 2"</f>
        <v>Industrial heating technology Iron &amp; Steel MT - Gas boiler (Steam - condensing) - new 2</v>
      </c>
      <c r="F144" s="239" t="s">
        <v>1274</v>
      </c>
      <c r="G144" s="176" t="s">
        <v>1438</v>
      </c>
      <c r="H144" s="768" t="str">
        <f>$AI$14</f>
        <v>ISDMT</v>
      </c>
      <c r="I144" s="768" t="str">
        <f t="shared" si="115"/>
        <v>INDSWH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INDSWH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INDSWH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INDSDRHDH2N2</v>
      </c>
      <c r="E147" s="278" t="str">
        <f>"Industrial heating technology "&amp;$AJ$12&amp;" "&amp;RIGHT(H147,2)&amp;" - Gas boiler (Steam - condensing) - new 2"</f>
        <v>Industrial heating technology Iron &amp; Steel RH - Gas boiler (Steam - condensing) - new 2</v>
      </c>
      <c r="F147" s="239" t="s">
        <v>1274</v>
      </c>
      <c r="G147" s="176" t="s">
        <v>1438</v>
      </c>
      <c r="H147" s="177" t="str">
        <f>$AI$15</f>
        <v>ISDRH</v>
      </c>
      <c r="I147" s="177" t="str">
        <f t="shared" si="115"/>
        <v>INDSWH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INDSWH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INDSWH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INDSDMTDH2N3</v>
      </c>
      <c r="E150" s="767" t="str">
        <f>"Industrial heating technology "&amp;$AJ$12&amp;" "&amp;RIGHT(H150,2)&amp;" - Gas boiler (Hot Water) - new 3"</f>
        <v>Industrial heating technology Iron &amp; Steel MT - Gas boiler (Hot Water) - new 3</v>
      </c>
      <c r="F150" s="239" t="s">
        <v>1274</v>
      </c>
      <c r="G150" s="176" t="s">
        <v>1438</v>
      </c>
      <c r="H150" s="768" t="str">
        <f>$AI$14</f>
        <v>ISDMT</v>
      </c>
      <c r="I150" s="768" t="str">
        <f t="shared" si="115"/>
        <v>INDSWH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INDSWH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INDSWH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INDSDRHDH2N3</v>
      </c>
      <c r="E153" s="278" t="str">
        <f>"Industrial heating technology "&amp;$AJ$12&amp;" "&amp;RIGHT(H153,2)&amp;" - Gas boiler (Hot Water) - new 3"</f>
        <v>Industrial heating technology Iron &amp; Steel RH - Gas boiler (Hot Water) - new 3</v>
      </c>
      <c r="F153" s="239" t="s">
        <v>1274</v>
      </c>
      <c r="G153" s="176" t="s">
        <v>1438</v>
      </c>
      <c r="H153" s="177" t="str">
        <f>$AI$15</f>
        <v>ISDRH</v>
      </c>
      <c r="I153" s="177" t="str">
        <f t="shared" si="115"/>
        <v>INDSWH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INDSWH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INDSWH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INDSDMTDH2N4</v>
      </c>
      <c r="E156" s="767" t="str">
        <f>"Industrial heating technology "&amp;$AJ$12&amp;" "&amp;RIGHT(H156,2)&amp;" - Gas boiler (Hot Water - condensing) - new 4"</f>
        <v>Industrial heating technology Iron &amp; Steel MT - Gas boiler (Hot Water - condensing) - new 4</v>
      </c>
      <c r="F156" s="239" t="s">
        <v>1274</v>
      </c>
      <c r="G156" s="176" t="s">
        <v>1438</v>
      </c>
      <c r="H156" s="768" t="str">
        <f>$AI$14</f>
        <v>ISDMT</v>
      </c>
      <c r="I156" s="768" t="str">
        <f t="shared" si="115"/>
        <v>INDSWH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INDSWH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INDSWH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INDSDRHDH2N4</v>
      </c>
      <c r="E159" s="278" t="str">
        <f>"Industrial heating technology "&amp;$AJ$12&amp;" "&amp;RIGHT(H159,2)&amp;" - Gas boiler (Hot Water- condensing) - new 4"</f>
        <v>Industrial heating technology Iron &amp; Steel RH - Gas boiler (Hot Water- condensing) - new 4</v>
      </c>
      <c r="F159" s="239" t="s">
        <v>1274</v>
      </c>
      <c r="G159" s="176" t="s">
        <v>1438</v>
      </c>
      <c r="H159" s="177" t="str">
        <f>$AI$15</f>
        <v>ISDRH</v>
      </c>
      <c r="I159" s="177" t="str">
        <f t="shared" ref="I159:I182" si="158">$AI$20</f>
        <v>INDSWH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INDSWH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INDSWH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INDSDHTDH2N5</v>
      </c>
      <c r="E162" s="767" t="str">
        <f>"Industrial heating technology "&amp;$AJ$12&amp;" "&amp;RIGHT(H162,2)&amp;" - Gas boiler (Direct firing) - new 5"</f>
        <v>Industrial heating technology Iron &amp; Steel HT - Gas boiler (Direct firing) - new 5</v>
      </c>
      <c r="F162" s="239" t="s">
        <v>1274</v>
      </c>
      <c r="G162" s="176" t="s">
        <v>1438</v>
      </c>
      <c r="H162" s="177" t="str">
        <f>$AI$13</f>
        <v>ISDHT</v>
      </c>
      <c r="I162" s="177" t="str">
        <f t="shared" si="158"/>
        <v>INDSWH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INDSWH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INDSWH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INDSDMTDH2N5</v>
      </c>
      <c r="E165" s="278" t="str">
        <f>"Industrial heating technology "&amp;$AJ$12&amp;" "&amp;RIGHT(H165,2)&amp;" - Gas boiler (Direct firing) - new 5"</f>
        <v>Industrial heating technology Iron &amp; Steel MT - Gas boiler (Direct firing) - new 5</v>
      </c>
      <c r="F165" s="239" t="s">
        <v>1274</v>
      </c>
      <c r="G165" s="176" t="s">
        <v>1438</v>
      </c>
      <c r="H165" s="177" t="str">
        <f>$AI$14</f>
        <v>ISDMT</v>
      </c>
      <c r="I165" s="781" t="str">
        <f t="shared" si="158"/>
        <v>INDSWH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INDSWH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INDSWH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INDSDHTCOAN1</v>
      </c>
      <c r="E168" s="278" t="str">
        <f>"Industrial heating technology "&amp;$AJ$12&amp;" "&amp;RIGHT(H168,2)&amp;" - Coal boiler (Steam) - new 1"</f>
        <v>Industrial heating technology Iron &amp; Steel HT - Coal boiler (Steam) - new 1</v>
      </c>
      <c r="F168" s="239" t="s">
        <v>1274</v>
      </c>
      <c r="G168" s="55" t="s">
        <v>662</v>
      </c>
      <c r="H168" s="177" t="str">
        <f>$AI$13</f>
        <v>ISDHT</v>
      </c>
      <c r="I168" s="177" t="str">
        <f t="shared" si="158"/>
        <v>INDSWH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INDSWH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INDSWH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INDSDMTCOAN1</v>
      </c>
      <c r="E171" s="278" t="str">
        <f>"Industrial heating technology "&amp;$AJ$12&amp;" "&amp;RIGHT(H171,2)&amp;" - Coal boiler (Steam) - new 1"</f>
        <v>Industrial heating technology Iron &amp; Steel MT - Coal boiler (Steam) - new 1</v>
      </c>
      <c r="F171" s="239" t="s">
        <v>1274</v>
      </c>
      <c r="G171" s="55" t="s">
        <v>662</v>
      </c>
      <c r="H171" s="177" t="str">
        <f>$AI$14</f>
        <v>ISDMT</v>
      </c>
      <c r="I171" s="177" t="str">
        <f t="shared" si="158"/>
        <v>INDSWH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INDSWH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INDSWH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INDSDRHCOAN1</v>
      </c>
      <c r="E174" s="278" t="str">
        <f>"Industrial heating technology "&amp;$AJ$12&amp;" "&amp;RIGHT(H174,2)&amp;" - Coal boiler (Steam) - new 1"</f>
        <v>Industrial heating technology Iron &amp; Steel RH - Coal boiler (Steam) - new 1</v>
      </c>
      <c r="F174" s="239" t="s">
        <v>1274</v>
      </c>
      <c r="G174" s="55" t="s">
        <v>662</v>
      </c>
      <c r="H174" s="177" t="str">
        <f>$AI$15</f>
        <v>ISDRH</v>
      </c>
      <c r="I174" s="177" t="str">
        <f t="shared" si="158"/>
        <v>INDSWH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INDSWH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INDSWH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INDSDMTCOAN2</v>
      </c>
      <c r="E177" s="278" t="str">
        <f>"Industrial heating technology "&amp;$AJ$12&amp;" "&amp;RIGHT(H177,2)&amp;" - Coal boiler (Hot Water) - new 2"</f>
        <v>Industrial heating technology Iron &amp; Steel MT - Coal boiler (Hot Water) - new 2</v>
      </c>
      <c r="F177" s="239" t="s">
        <v>1274</v>
      </c>
      <c r="G177" s="55" t="s">
        <v>662</v>
      </c>
      <c r="H177" s="177" t="str">
        <f>$AI$14</f>
        <v>ISDMT</v>
      </c>
      <c r="I177" s="177" t="str">
        <f t="shared" si="158"/>
        <v>INDSWH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INDSWH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INDSWH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INDSDRHCOAN2</v>
      </c>
      <c r="E180" s="278" t="str">
        <f>"Industrial heating technology "&amp;$AJ$12&amp;" "&amp;RIGHT(H180,2)&amp;" - Coal boiler (Hot Water) - new 2"</f>
        <v>Industrial heating technology Iron &amp; Steel RH - Coal boiler (Hot Water) - new 2</v>
      </c>
      <c r="F180" s="239" t="s">
        <v>1274</v>
      </c>
      <c r="G180" s="55" t="s">
        <v>662</v>
      </c>
      <c r="H180" s="177" t="str">
        <f>$AI$15</f>
        <v>ISDRH</v>
      </c>
      <c r="I180" s="177" t="str">
        <f t="shared" si="158"/>
        <v>INDSWH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INDSWH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INDSWH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INDSDRHSOLN1</v>
      </c>
      <c r="E183" s="278" t="str">
        <f>"Industrial heating technology "&amp;$AJ$12&amp;" "&amp;RIGHT(H183,2)&amp;" - Solar - new 1"</f>
        <v>Industrial heating technology Iron &amp; Steel RH - Solar - new 1</v>
      </c>
      <c r="F183" s="239" t="s">
        <v>1274</v>
      </c>
      <c r="G183" s="55" t="s">
        <v>501</v>
      </c>
      <c r="H183" s="177" t="str">
        <f>$AI$15</f>
        <v>ISDRH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
        <v>451</v>
      </c>
      <c r="E187" s="239" t="str">
        <f>"Industrial heating technology "&amp;$AJ$12&amp;" "&amp;RIGHT(H187,2)&amp;" - central district heating - within DH area - new 1"</f>
        <v>Industrial heating technology Iron &amp; Steel RH - central district heating - within DH area - new 1</v>
      </c>
      <c r="F187" s="239" t="s">
        <v>1274</v>
      </c>
      <c r="G187" s="240" t="s">
        <v>502</v>
      </c>
      <c r="H187" s="240" t="str">
        <f>AI15</f>
        <v>ISDRH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
        <v>451</v>
      </c>
      <c r="E188" s="239" t="str">
        <f>"Industrial heating technology "&amp;$AJ$12&amp;" "&amp;RIGHT(H188,2)&amp;" - decentral district heating - within DH area - new 1"</f>
        <v>Industrial heating technology Iron &amp; Steel RH - decentral district heating - within DH area - new 1</v>
      </c>
      <c r="F188" s="239" t="s">
        <v>1274</v>
      </c>
      <c r="G188" s="276" t="s">
        <v>503</v>
      </c>
      <c r="H188" s="282" t="str">
        <f>AI15</f>
        <v>ISDRH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INDSDLAELCN1</v>
      </c>
      <c r="E190" s="239" t="str">
        <f>"Industry "&amp;$AJ$12&amp;" "&amp;RIGHT(H190,2)&amp;" Electricity Light Appliance - New 1"</f>
        <v>Industry Iron &amp; Steel LA Electricity Light Appliance - New 1</v>
      </c>
      <c r="F190" s="239" t="s">
        <v>1274</v>
      </c>
      <c r="G190" s="240" t="s">
        <v>500</v>
      </c>
      <c r="H190" s="240" t="str">
        <f>AI16</f>
        <v>ISDLA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INDSDEMELCN1</v>
      </c>
      <c r="E194" s="239" t="str">
        <f>"Industry "&amp;$AJ$12&amp;" "&amp;RIGHT(H194,2)&amp;" Electricity Motors - New 1"</f>
        <v>Industry Iron &amp; Steel EM Electricity Motors - New 1</v>
      </c>
      <c r="F194" s="239" t="s">
        <v>1274</v>
      </c>
      <c r="G194" s="240" t="s">
        <v>500</v>
      </c>
      <c r="H194" s="240" t="str">
        <f>AI17</f>
        <v>ISDEM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INDSDTFDSLN1</v>
      </c>
      <c r="E198" s="239" t="str">
        <f>"Industry "&amp;$AJ$12&amp;" "&amp;RIGHT(H198,2)&amp;" Tractors, Trucks, Fishing boats - New 1"</f>
        <v>Industry Iron &amp; Steel TF Tractors, Trucks, Fishing boats - New 1</v>
      </c>
      <c r="F198" s="239" t="s">
        <v>1274</v>
      </c>
      <c r="G198" s="176" t="s">
        <v>1437</v>
      </c>
      <c r="H198" s="177" t="str">
        <f>AI18</f>
        <v>ISDTF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INDSDFLDH2N1</v>
      </c>
      <c r="E202" s="239" t="str">
        <f>"Industry "&amp;$AJ$12&amp;" "&amp;RIGHT(H198,2)&amp;" Forklifts - New 1"</f>
        <v>Industry Iron &amp; Steel TF Forklifts - New 1</v>
      </c>
      <c r="F202" s="239" t="s">
        <v>1274</v>
      </c>
      <c r="G202" s="176" t="s">
        <v>1438</v>
      </c>
      <c r="H202" s="239" t="str">
        <f>AI19</f>
        <v>ISDFL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v>
      </c>
      <c r="D213" s="223" t="str">
        <f ca="1">D9</f>
        <v>*</v>
      </c>
      <c r="E213" s="223" t="str">
        <f t="shared" ref="E213:E244" ca="1" si="181">VLOOKUP(D213,$D$9:$E$206,2,FALSE)</f>
        <v>Industrial heating technology Iron &amp; Steel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INDSDRHELCN1</v>
      </c>
      <c r="E214" s="223" t="str">
        <f t="shared" ca="1" si="181"/>
        <v>Industrial heating technology Iron &amp; Steel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Iron &amp; Steel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INDSDRHELCN2</v>
      </c>
      <c r="E216" s="223" t="str">
        <f t="shared" ca="1" si="181"/>
        <v>Industrial heating technology Iron &amp; Steel RH - Heat driven heat pump utilizing waste heat - new 2</v>
      </c>
      <c r="F216" s="279" t="s">
        <v>450</v>
      </c>
      <c r="G216" s="279" t="s">
        <v>449</v>
      </c>
      <c r="H216" s="334" t="s">
        <v>665</v>
      </c>
      <c r="I216" s="281"/>
      <c r="J216" s="281" t="s">
        <v>469</v>
      </c>
    </row>
    <row r="217" spans="1:11">
      <c r="A217" s="172"/>
      <c r="B217" s="222"/>
      <c r="C217" s="222" t="str">
        <f t="shared" ca="1" si="182"/>
        <v>*</v>
      </c>
      <c r="D217" s="223" t="str">
        <f t="shared" ca="1" si="183"/>
        <v>*</v>
      </c>
      <c r="E217" s="223" t="str">
        <f t="shared" ca="1" si="181"/>
        <v>Industrial heating technology Iron &amp; Steel MT - Heat pump utilizing waste heat - new 1</v>
      </c>
      <c r="F217" s="279" t="s">
        <v>450</v>
      </c>
      <c r="G217" s="279" t="s">
        <v>449</v>
      </c>
      <c r="H217" s="334" t="s">
        <v>665</v>
      </c>
      <c r="I217" s="281"/>
      <c r="J217" s="281" t="s">
        <v>469</v>
      </c>
    </row>
    <row r="218" spans="1:11">
      <c r="A218" s="172"/>
      <c r="B218" s="222"/>
      <c r="C218" s="222" t="str">
        <f t="shared" ca="1" si="182"/>
        <v>DMD</v>
      </c>
      <c r="D218" s="223" t="str">
        <f t="shared" ca="1" si="183"/>
        <v>INDSDRHELCN3</v>
      </c>
      <c r="E218" s="223" t="str">
        <f t="shared" ca="1" si="181"/>
        <v>Industrial heating technology Iron &amp; Steel RH - High Temp abs. Heat pump utilizing waste heat - new 3</v>
      </c>
      <c r="F218" s="279" t="s">
        <v>450</v>
      </c>
      <c r="G218" s="279" t="s">
        <v>449</v>
      </c>
      <c r="H218" s="334" t="s">
        <v>665</v>
      </c>
      <c r="I218" s="281"/>
      <c r="J218" s="281" t="s">
        <v>469</v>
      </c>
    </row>
    <row r="219" spans="1:11">
      <c r="A219" s="172"/>
      <c r="B219" s="222"/>
      <c r="C219" s="222" t="str">
        <f t="shared" ca="1" si="182"/>
        <v>*</v>
      </c>
      <c r="D219" s="223" t="str">
        <f t="shared" ca="1" si="183"/>
        <v>*</v>
      </c>
      <c r="E219" s="223" t="str">
        <f t="shared" ca="1" si="181"/>
        <v>Industrial heating technology Iron &amp; Steel MT - Heat pump utilizing waste heat - new 1</v>
      </c>
      <c r="F219" s="279" t="s">
        <v>450</v>
      </c>
      <c r="G219" s="279" t="s">
        <v>449</v>
      </c>
      <c r="H219" s="334" t="s">
        <v>665</v>
      </c>
      <c r="I219" s="281"/>
      <c r="J219" s="281" t="s">
        <v>469</v>
      </c>
    </row>
    <row r="220" spans="1:11">
      <c r="A220" s="172"/>
      <c r="B220" s="222"/>
      <c r="C220" s="222" t="str">
        <f t="shared" ca="1" si="182"/>
        <v>DMD</v>
      </c>
      <c r="D220" s="223" t="str">
        <f t="shared" ca="1" si="183"/>
        <v>INDSDRHELCN4</v>
      </c>
      <c r="E220" s="223" t="str">
        <f t="shared" ca="1" si="181"/>
        <v>Industrial heating technology Iron &amp; Steel RH - Booster Heat pump utilizing waste heat - new 4</v>
      </c>
      <c r="F220" s="279" t="s">
        <v>450</v>
      </c>
      <c r="G220" s="279" t="s">
        <v>449</v>
      </c>
      <c r="H220" s="334" t="s">
        <v>665</v>
      </c>
      <c r="I220" s="281"/>
      <c r="J220" s="281" t="s">
        <v>469</v>
      </c>
    </row>
    <row r="221" spans="1:11">
      <c r="A221" s="172"/>
      <c r="B221" s="222"/>
      <c r="C221" s="222" t="str">
        <f t="shared" ca="1" si="182"/>
        <v>*</v>
      </c>
      <c r="D221" s="223" t="str">
        <f t="shared" ca="1" si="183"/>
        <v>*</v>
      </c>
      <c r="E221" s="223" t="str">
        <f t="shared" ca="1" si="181"/>
        <v>Industrial heating technology Iron &amp; Steel MT - Heat pump utilizing waste heat - new 1</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Iron &amp; Steel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Iron &amp; Steel MT - Heat pump utilizing waste heat - new 1</v>
      </c>
      <c r="F223" s="279" t="s">
        <v>450</v>
      </c>
      <c r="G223" s="279" t="s">
        <v>449</v>
      </c>
      <c r="H223" s="334" t="s">
        <v>665</v>
      </c>
      <c r="I223" s="281"/>
      <c r="J223" s="281" t="s">
        <v>469</v>
      </c>
    </row>
    <row r="224" spans="1:11">
      <c r="A224" s="172"/>
      <c r="B224" s="222"/>
      <c r="C224" s="222" t="str">
        <f t="shared" ca="1" si="182"/>
        <v>*</v>
      </c>
      <c r="D224" s="223" t="str">
        <f t="shared" ca="1" si="184"/>
        <v>*</v>
      </c>
      <c r="E224" s="223" t="str">
        <f t="shared" ca="1" si="181"/>
        <v>Industrial heating technology Iron &amp; Steel MT - Heat pump utilizing waste heat - new 1</v>
      </c>
      <c r="F224" s="279" t="s">
        <v>450</v>
      </c>
      <c r="G224" s="279" t="s">
        <v>449</v>
      </c>
      <c r="H224" s="334" t="s">
        <v>665</v>
      </c>
      <c r="I224" s="281"/>
      <c r="J224" s="281" t="s">
        <v>469</v>
      </c>
    </row>
    <row r="225" spans="1:16">
      <c r="A225" s="172"/>
      <c r="B225" s="222"/>
      <c r="C225" s="222" t="str">
        <f t="shared" ca="1" si="182"/>
        <v>DMD</v>
      </c>
      <c r="D225" s="223" t="str">
        <f t="shared" ca="1" si="184"/>
        <v>INDSDHTELCN8</v>
      </c>
      <c r="E225" s="223" t="str">
        <f t="shared" ca="1" si="181"/>
        <v>Industrial heating technology Iron &amp; Steel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INDSDMTELCN8</v>
      </c>
      <c r="E226" s="223" t="str">
        <f t="shared" ca="1" si="181"/>
        <v>Industrial heating technology Iron &amp; Steel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INDSDRHELCN8</v>
      </c>
      <c r="E227" s="223" t="str">
        <f t="shared" ca="1" si="181"/>
        <v>Industrial heating technology Iron &amp; Steel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INDSDMTELCN9</v>
      </c>
      <c r="E228" s="223" t="str">
        <f t="shared" ca="1" si="181"/>
        <v>Industrial heating technology Iron &amp; Steel MT - Electric boiler (Hot Water) - new 9</v>
      </c>
      <c r="F228" s="279" t="s">
        <v>450</v>
      </c>
      <c r="G228" s="279" t="s">
        <v>449</v>
      </c>
      <c r="H228" s="334" t="s">
        <v>665</v>
      </c>
      <c r="I228" s="281"/>
      <c r="J228" s="281" t="s">
        <v>469</v>
      </c>
      <c r="P228" s="176"/>
    </row>
    <row r="229" spans="1:16">
      <c r="A229" s="172"/>
      <c r="B229" s="222"/>
      <c r="C229" s="222" t="str">
        <f t="shared" ca="1" si="182"/>
        <v>*</v>
      </c>
      <c r="D229" s="223" t="str">
        <f t="shared" ca="1" si="184"/>
        <v>*</v>
      </c>
      <c r="E229" s="223" t="str">
        <f t="shared" ca="1" si="181"/>
        <v>Industrial heating technology Iron &amp; Steel MT - Heat pump utilizing waste heat - new 1</v>
      </c>
      <c r="F229" s="279" t="s">
        <v>450</v>
      </c>
      <c r="G229" s="279" t="s">
        <v>449</v>
      </c>
      <c r="H229" s="334" t="s">
        <v>665</v>
      </c>
      <c r="I229" s="281"/>
      <c r="J229" s="281" t="s">
        <v>469</v>
      </c>
      <c r="P229" s="176"/>
    </row>
    <row r="230" spans="1:16">
      <c r="A230" s="172"/>
      <c r="B230" s="222"/>
      <c r="C230" s="222" t="str">
        <f t="shared" ca="1" si="182"/>
        <v>*</v>
      </c>
      <c r="D230" s="223" t="str">
        <f t="shared" ca="1" si="184"/>
        <v>*</v>
      </c>
      <c r="E230" s="223" t="str">
        <f t="shared" ca="1" si="181"/>
        <v>Industrial heating technology Iron &amp; Steel MT - Heat pump utilizing waste heat - new 1</v>
      </c>
      <c r="F230" s="279" t="s">
        <v>450</v>
      </c>
      <c r="G230" s="279" t="s">
        <v>449</v>
      </c>
      <c r="H230" s="280"/>
      <c r="I230" s="281"/>
      <c r="J230" s="281" t="s">
        <v>469</v>
      </c>
      <c r="P230" s="176"/>
    </row>
    <row r="231" spans="1:16">
      <c r="A231" s="172"/>
      <c r="B231" s="222"/>
      <c r="C231" s="222" t="str">
        <f t="shared" ca="1" si="182"/>
        <v>DMD</v>
      </c>
      <c r="D231" s="223" t="str">
        <f t="shared" ca="1" si="184"/>
        <v>INDSDMTWCHN1</v>
      </c>
      <c r="E231" s="223" t="str">
        <f t="shared" ca="1" si="181"/>
        <v>Industrial heating technology Iron &amp; Steel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INDSDRHWCHN1</v>
      </c>
      <c r="E232" s="223" t="str">
        <f t="shared" ca="1" si="181"/>
        <v>Industrial heating technology Iron &amp; Steel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INDSDMTWCHN2</v>
      </c>
      <c r="E233" s="223" t="str">
        <f t="shared" ca="1" si="181"/>
        <v>Industrial heating technology Iron &amp; Steel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INDSDRHWCHN2</v>
      </c>
      <c r="E234" s="223" t="str">
        <f t="shared" ca="1" si="181"/>
        <v>Industrial heating technology Iron &amp; Steel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INDSDMTWCHN3</v>
      </c>
      <c r="E235" s="223" t="str">
        <f t="shared" ca="1" si="181"/>
        <v>Industrial heating technology Iron &amp; Steel MT - Wood chip boiler (Hot Water) - new 3</v>
      </c>
      <c r="F235" s="279" t="s">
        <v>450</v>
      </c>
      <c r="G235" s="279" t="s">
        <v>449</v>
      </c>
      <c r="H235" s="278"/>
      <c r="I235" s="278"/>
      <c r="J235" s="281" t="s">
        <v>469</v>
      </c>
    </row>
    <row r="236" spans="1:16">
      <c r="A236" s="172"/>
      <c r="B236" s="223"/>
      <c r="C236" s="222" t="str">
        <f t="shared" ca="1" si="182"/>
        <v>DMD</v>
      </c>
      <c r="D236" s="223" t="str">
        <f t="shared" ca="1" si="184"/>
        <v>INDSDRHWCHN3</v>
      </c>
      <c r="E236" s="223" t="str">
        <f t="shared" ca="1" si="181"/>
        <v>Industrial heating technology Iron &amp; Steel RH - Wood chip boiler (Hot Water) - new 3</v>
      </c>
      <c r="F236" s="279" t="s">
        <v>450</v>
      </c>
      <c r="G236" s="279" t="s">
        <v>449</v>
      </c>
      <c r="H236" s="278"/>
      <c r="I236" s="278"/>
      <c r="J236" s="281" t="s">
        <v>469</v>
      </c>
    </row>
    <row r="237" spans="1:16">
      <c r="A237" s="172"/>
      <c r="B237" s="223"/>
      <c r="C237" s="222" t="str">
        <f t="shared" ca="1" si="182"/>
        <v>DMD</v>
      </c>
      <c r="D237" s="223" t="str">
        <f t="shared" ca="1" si="184"/>
        <v>INDSDMTWCHN4</v>
      </c>
      <c r="E237" s="223" t="str">
        <f t="shared" ca="1" si="181"/>
        <v>Industrial heating technology Iron &amp; Steel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INDSDRHWCHN4</v>
      </c>
      <c r="E238" s="223" t="str">
        <f t="shared" ca="1" si="181"/>
        <v>Industrial heating technology Iron &amp; Steel RH - Wood chip boiler (Hot Water- condensing) - new 4</v>
      </c>
      <c r="F238" s="279" t="s">
        <v>450</v>
      </c>
      <c r="G238" s="279" t="s">
        <v>449</v>
      </c>
      <c r="H238" s="278"/>
      <c r="I238" s="278"/>
      <c r="J238" s="281" t="s">
        <v>469</v>
      </c>
    </row>
    <row r="239" spans="1:16">
      <c r="B239" s="223"/>
      <c r="C239" s="222" t="str">
        <f t="shared" ca="1" si="182"/>
        <v>DMD</v>
      </c>
      <c r="D239" s="223" t="str">
        <f t="shared" ca="1" si="184"/>
        <v>INDSDHTELCN0</v>
      </c>
      <c r="E239" s="223" t="str">
        <f t="shared" ca="1" si="181"/>
        <v>Industrial heating technology Iron &amp; Steel HT - Direct electric heating - new 10</v>
      </c>
      <c r="F239" s="279" t="s">
        <v>450</v>
      </c>
      <c r="G239" s="279" t="s">
        <v>449</v>
      </c>
      <c r="H239" s="334" t="s">
        <v>665</v>
      </c>
      <c r="I239" s="278"/>
      <c r="J239" s="281" t="s">
        <v>469</v>
      </c>
    </row>
    <row r="240" spans="1:16">
      <c r="B240" s="223"/>
      <c r="C240" s="222" t="str">
        <f t="shared" ca="1" si="182"/>
        <v>DMD</v>
      </c>
      <c r="D240" s="223" t="str">
        <f t="shared" ca="1" si="184"/>
        <v>INDSDMTELCN0</v>
      </c>
      <c r="E240" s="223" t="str">
        <f t="shared" ca="1" si="181"/>
        <v>Industrial heating technology Iron &amp; Steel MT - Direct electric heating - new 10</v>
      </c>
      <c r="F240" s="279" t="s">
        <v>450</v>
      </c>
      <c r="G240" s="279" t="s">
        <v>449</v>
      </c>
      <c r="H240" s="334" t="s">
        <v>665</v>
      </c>
      <c r="I240" s="278"/>
      <c r="J240" s="281" t="s">
        <v>469</v>
      </c>
    </row>
    <row r="241" spans="1:10">
      <c r="B241" s="223"/>
      <c r="C241" s="222" t="str">
        <f t="shared" ca="1" si="182"/>
        <v>DMD</v>
      </c>
      <c r="D241" s="223" t="str">
        <f t="shared" ca="1" si="184"/>
        <v>INDSDHTDSEN1</v>
      </c>
      <c r="E241" s="223" t="str">
        <f t="shared" ca="1" si="181"/>
        <v>Industrial heating technology Iron &amp; Steel HT - Oil boiler (Steam) - new 1</v>
      </c>
      <c r="F241" s="279" t="s">
        <v>450</v>
      </c>
      <c r="G241" s="279" t="s">
        <v>449</v>
      </c>
      <c r="H241" s="278"/>
      <c r="I241" s="278"/>
      <c r="J241" s="281" t="s">
        <v>469</v>
      </c>
    </row>
    <row r="242" spans="1:10">
      <c r="B242" s="223"/>
      <c r="C242" s="222" t="str">
        <f t="shared" ca="1" si="182"/>
        <v>DMD</v>
      </c>
      <c r="D242" s="223" t="str">
        <f t="shared" ca="1" si="184"/>
        <v>INDSDMTDSEN1</v>
      </c>
      <c r="E242" s="223" t="str">
        <f t="shared" ca="1" si="181"/>
        <v>Industrial heating technology Iron &amp; Steel MT - Oil boiler (Steam) - new 1</v>
      </c>
      <c r="F242" s="279" t="s">
        <v>450</v>
      </c>
      <c r="G242" s="279" t="s">
        <v>449</v>
      </c>
      <c r="H242" s="278"/>
      <c r="I242" s="278"/>
      <c r="J242" s="281" t="s">
        <v>469</v>
      </c>
    </row>
    <row r="243" spans="1:10">
      <c r="B243" s="223"/>
      <c r="C243" s="222" t="str">
        <f t="shared" ca="1" si="182"/>
        <v>DMD</v>
      </c>
      <c r="D243" s="223" t="str">
        <f t="shared" ca="1" si="184"/>
        <v>INDSDRHDSEN1</v>
      </c>
      <c r="E243" s="223" t="str">
        <f t="shared" ca="1" si="181"/>
        <v>Industrial heating technology Iron &amp; Steel RH - Oil boiler (Steam) - new 1</v>
      </c>
      <c r="F243" s="279" t="s">
        <v>450</v>
      </c>
      <c r="G243" s="279" t="s">
        <v>449</v>
      </c>
      <c r="H243" s="278"/>
      <c r="I243" s="278"/>
      <c r="J243" s="281" t="s">
        <v>469</v>
      </c>
    </row>
    <row r="244" spans="1:10">
      <c r="A244" s="226"/>
      <c r="B244" s="223"/>
      <c r="C244" s="222" t="str">
        <f t="shared" ca="1" si="182"/>
        <v>DMD</v>
      </c>
      <c r="D244" s="223" t="str">
        <f t="shared" ca="1" si="184"/>
        <v>INDSDMTDSEN2</v>
      </c>
      <c r="E244" s="223" t="str">
        <f t="shared" ca="1" si="181"/>
        <v>Industrial heating technology Iron &amp; Steel MT - Oil boiler (Steam - condensing) - new 2</v>
      </c>
      <c r="F244" s="279" t="s">
        <v>450</v>
      </c>
      <c r="G244" s="279" t="s">
        <v>449</v>
      </c>
      <c r="H244" s="278"/>
      <c r="I244" s="278"/>
      <c r="J244" s="281" t="s">
        <v>469</v>
      </c>
    </row>
    <row r="245" spans="1:10">
      <c r="A245" s="226"/>
      <c r="B245" s="223"/>
      <c r="C245" s="222" t="str">
        <f t="shared" ca="1" si="182"/>
        <v>DMD</v>
      </c>
      <c r="D245" s="223" t="str">
        <f t="shared" ca="1" si="184"/>
        <v>INDSDRHDSEN2</v>
      </c>
      <c r="E245" s="223" t="str">
        <f t="shared" ref="E245:E268" ca="1" si="185">VLOOKUP(D245,$D$9:$E$206,2,FALSE)</f>
        <v>Industrial heating technology Iron &amp; Steel RH - Oil boiler (Steam - condensing) - new 2</v>
      </c>
      <c r="F245" s="279" t="s">
        <v>450</v>
      </c>
      <c r="G245" s="279" t="s">
        <v>449</v>
      </c>
      <c r="H245" s="278"/>
      <c r="I245" s="278"/>
      <c r="J245" s="281" t="s">
        <v>469</v>
      </c>
    </row>
    <row r="246" spans="1:10">
      <c r="A246" s="226"/>
      <c r="B246" s="223"/>
      <c r="C246" s="222" t="str">
        <f t="shared" ca="1" si="182"/>
        <v>DMD</v>
      </c>
      <c r="D246" s="223" t="str">
        <f t="shared" ca="1" si="184"/>
        <v>INDSDHTDH2N1</v>
      </c>
      <c r="E246" s="223" t="str">
        <f t="shared" ca="1" si="185"/>
        <v>Industrial heating technology Iron &amp; Steel HT - Gas boiler (Steam) - new 1</v>
      </c>
      <c r="F246" s="279" t="s">
        <v>450</v>
      </c>
      <c r="G246" s="279" t="s">
        <v>449</v>
      </c>
      <c r="H246" s="278"/>
      <c r="I246" s="278"/>
      <c r="J246" s="281" t="s">
        <v>469</v>
      </c>
    </row>
    <row r="247" spans="1:10">
      <c r="A247" s="226"/>
      <c r="B247" s="223"/>
      <c r="C247" s="222" t="str">
        <f t="shared" ca="1" si="182"/>
        <v>DMD</v>
      </c>
      <c r="D247" s="223" t="str">
        <f t="shared" ca="1" si="184"/>
        <v>INDSDMTDH2N1</v>
      </c>
      <c r="E247" s="223" t="str">
        <f t="shared" ca="1" si="185"/>
        <v>Industrial heating technology Iron &amp; Steel MT - Gas boiler (Steam) - new 1</v>
      </c>
      <c r="F247" s="279" t="s">
        <v>450</v>
      </c>
      <c r="G247" s="279" t="s">
        <v>449</v>
      </c>
      <c r="H247" s="278"/>
      <c r="I247" s="278"/>
      <c r="J247" s="281" t="s">
        <v>469</v>
      </c>
    </row>
    <row r="248" spans="1:10">
      <c r="B248" s="223"/>
      <c r="C248" s="222" t="str">
        <f t="shared" ca="1" si="182"/>
        <v>DMD</v>
      </c>
      <c r="D248" s="223" t="str">
        <f t="shared" ca="1" si="184"/>
        <v>INDSDRHDH2N1</v>
      </c>
      <c r="E248" s="223" t="str">
        <f t="shared" ca="1" si="185"/>
        <v>Industrial heating technology Iron &amp; Steel RH - Gas boiler (Steam) - new 1</v>
      </c>
      <c r="F248" s="279" t="s">
        <v>450</v>
      </c>
      <c r="G248" s="279" t="s">
        <v>449</v>
      </c>
      <c r="H248" s="278"/>
      <c r="I248" s="278"/>
      <c r="J248" s="281" t="s">
        <v>469</v>
      </c>
    </row>
    <row r="249" spans="1:10">
      <c r="B249" s="223"/>
      <c r="C249" s="222" t="str">
        <f t="shared" ca="1" si="182"/>
        <v>DMD</v>
      </c>
      <c r="D249" s="223" t="str">
        <f t="shared" ca="1" si="184"/>
        <v>INDSDMTDH2N2</v>
      </c>
      <c r="E249" s="223" t="str">
        <f t="shared" ca="1" si="185"/>
        <v>Industrial heating technology Iron &amp; Steel MT - Gas boiler (Steam - condensing) - new 2</v>
      </c>
      <c r="F249" s="279" t="s">
        <v>450</v>
      </c>
      <c r="G249" s="279" t="s">
        <v>449</v>
      </c>
      <c r="H249" s="278"/>
      <c r="I249" s="278"/>
      <c r="J249" s="281" t="s">
        <v>469</v>
      </c>
    </row>
    <row r="250" spans="1:10">
      <c r="B250" s="223"/>
      <c r="C250" s="222" t="str">
        <f t="shared" ca="1" si="182"/>
        <v>DMD</v>
      </c>
      <c r="D250" s="223" t="str">
        <f t="shared" ca="1" si="184"/>
        <v>INDSDRHDH2N2</v>
      </c>
      <c r="E250" s="223" t="str">
        <f t="shared" ca="1" si="185"/>
        <v>Industrial heating technology Iron &amp; Steel RH - Gas boiler (Steam - condensing) - new 2</v>
      </c>
      <c r="F250" s="279" t="s">
        <v>450</v>
      </c>
      <c r="G250" s="279" t="s">
        <v>449</v>
      </c>
      <c r="H250" s="278"/>
      <c r="I250" s="278"/>
      <c r="J250" s="281" t="s">
        <v>469</v>
      </c>
    </row>
    <row r="251" spans="1:10">
      <c r="B251" s="223"/>
      <c r="C251" s="222" t="str">
        <f t="shared" ca="1" si="182"/>
        <v>DMD</v>
      </c>
      <c r="D251" s="223" t="str">
        <f t="shared" ca="1" si="184"/>
        <v>INDSDMTDH2N3</v>
      </c>
      <c r="E251" s="223" t="str">
        <f t="shared" ca="1" si="185"/>
        <v>Industrial heating technology Iron &amp; Steel MT - Gas boiler (Hot Water) - new 3</v>
      </c>
      <c r="F251" s="279" t="s">
        <v>450</v>
      </c>
      <c r="G251" s="279" t="s">
        <v>449</v>
      </c>
      <c r="H251" s="278"/>
      <c r="I251" s="278"/>
      <c r="J251" s="281" t="s">
        <v>469</v>
      </c>
    </row>
    <row r="252" spans="1:10">
      <c r="B252" s="223"/>
      <c r="C252" s="222" t="str">
        <f t="shared" ca="1" si="182"/>
        <v>DMD</v>
      </c>
      <c r="D252" s="223" t="str">
        <f t="shared" ca="1" si="184"/>
        <v>INDSDRHDH2N3</v>
      </c>
      <c r="E252" s="223" t="str">
        <f t="shared" ca="1" si="185"/>
        <v>Industrial heating technology Iron &amp; Steel RH - Gas boiler (Hot Water) - new 3</v>
      </c>
      <c r="F252" s="279" t="s">
        <v>450</v>
      </c>
      <c r="G252" s="279" t="s">
        <v>449</v>
      </c>
      <c r="H252" s="278"/>
      <c r="I252" s="278"/>
      <c r="J252" s="281" t="s">
        <v>469</v>
      </c>
    </row>
    <row r="253" spans="1:10">
      <c r="B253" s="223"/>
      <c r="C253" s="222" t="str">
        <f t="shared" ca="1" si="182"/>
        <v>DMD</v>
      </c>
      <c r="D253" s="223" t="str">
        <f t="shared" ca="1" si="184"/>
        <v>INDSDMTDH2N4</v>
      </c>
      <c r="E253" s="223" t="str">
        <f t="shared" ca="1" si="185"/>
        <v>Industrial heating technology Iron &amp; Steel MT - Gas boiler (Hot Water - condensing) - new 4</v>
      </c>
      <c r="F253" s="279" t="s">
        <v>450</v>
      </c>
      <c r="G253" s="279" t="s">
        <v>449</v>
      </c>
      <c r="H253" s="278"/>
      <c r="I253" s="278"/>
      <c r="J253" s="281" t="s">
        <v>469</v>
      </c>
    </row>
    <row r="254" spans="1:10">
      <c r="B254" s="223"/>
      <c r="C254" s="222" t="str">
        <f t="shared" ca="1" si="182"/>
        <v>DMD</v>
      </c>
      <c r="D254" s="223" t="str">
        <f t="shared" ca="1" si="184"/>
        <v>INDSDRHDH2N4</v>
      </c>
      <c r="E254" s="223" t="str">
        <f t="shared" ca="1" si="185"/>
        <v>Industrial heating technology Iron &amp; Steel RH - Gas boiler (Hot Water- condensing) - new 4</v>
      </c>
      <c r="F254" s="279" t="s">
        <v>450</v>
      </c>
      <c r="G254" s="279" t="s">
        <v>449</v>
      </c>
      <c r="H254" s="278"/>
      <c r="I254" s="278"/>
      <c r="J254" s="281" t="s">
        <v>469</v>
      </c>
    </row>
    <row r="255" spans="1:10">
      <c r="B255" s="223"/>
      <c r="C255" s="222" t="str">
        <f t="shared" ca="1" si="182"/>
        <v>DMD</v>
      </c>
      <c r="D255" s="223" t="str">
        <f t="shared" ca="1" si="184"/>
        <v>INDSDHTDH2N5</v>
      </c>
      <c r="E255" s="223" t="str">
        <f t="shared" ca="1" si="185"/>
        <v>Industrial heating technology Iron &amp; Steel HT - Gas boiler (Direct firing) - new 5</v>
      </c>
      <c r="F255" s="279" t="s">
        <v>450</v>
      </c>
      <c r="G255" s="279" t="s">
        <v>449</v>
      </c>
      <c r="H255" s="278"/>
      <c r="I255" s="278"/>
      <c r="J255" s="281" t="s">
        <v>469</v>
      </c>
    </row>
    <row r="256" spans="1:10">
      <c r="B256" s="223"/>
      <c r="C256" s="222" t="str">
        <f t="shared" ca="1" si="182"/>
        <v>DMD</v>
      </c>
      <c r="D256" s="223" t="str">
        <f t="shared" ca="1" si="184"/>
        <v>INDSDMTDH2N5</v>
      </c>
      <c r="E256" s="223" t="str">
        <f t="shared" ca="1" si="185"/>
        <v>Industrial heating technology Iron &amp; Steel MT - Gas boiler (Direct firing) - new 5</v>
      </c>
      <c r="F256" s="279" t="s">
        <v>450</v>
      </c>
      <c r="G256" s="279" t="s">
        <v>449</v>
      </c>
      <c r="H256" s="278"/>
      <c r="I256" s="278"/>
      <c r="J256" s="281" t="s">
        <v>469</v>
      </c>
    </row>
    <row r="257" spans="2:10">
      <c r="B257" s="223"/>
      <c r="C257" s="222" t="str">
        <f t="shared" ca="1" si="182"/>
        <v>DMD</v>
      </c>
      <c r="D257" s="223" t="str">
        <f t="shared" ca="1" si="184"/>
        <v>INDSDHTCOAN1</v>
      </c>
      <c r="E257" s="223" t="str">
        <f t="shared" ca="1" si="185"/>
        <v>Industrial heating technology Iron &amp; Steel HT - Coal boiler (Steam) - new 1</v>
      </c>
      <c r="F257" s="279" t="s">
        <v>450</v>
      </c>
      <c r="G257" s="279" t="s">
        <v>449</v>
      </c>
      <c r="H257" s="278"/>
      <c r="I257" s="278"/>
      <c r="J257" s="281" t="s">
        <v>469</v>
      </c>
    </row>
    <row r="258" spans="2:10">
      <c r="B258" s="223"/>
      <c r="C258" s="222" t="str">
        <f t="shared" ca="1" si="182"/>
        <v>DMD</v>
      </c>
      <c r="D258" s="223" t="str">
        <f t="shared" ca="1" si="184"/>
        <v>INDSDMTCOAN1</v>
      </c>
      <c r="E258" s="223" t="str">
        <f t="shared" ca="1" si="185"/>
        <v>Industrial heating technology Iron &amp; Steel MT - Coal boiler (Steam) - new 1</v>
      </c>
      <c r="F258" s="279" t="s">
        <v>450</v>
      </c>
      <c r="G258" s="279" t="s">
        <v>449</v>
      </c>
      <c r="H258" s="278"/>
      <c r="I258" s="278"/>
      <c r="J258" s="281" t="s">
        <v>469</v>
      </c>
    </row>
    <row r="259" spans="2:10">
      <c r="B259" s="223"/>
      <c r="C259" s="222" t="str">
        <f t="shared" ca="1" si="182"/>
        <v>DMD</v>
      </c>
      <c r="D259" s="223" t="str">
        <f t="shared" ca="1" si="184"/>
        <v>INDSDRHCOAN1</v>
      </c>
      <c r="E259" s="223" t="str">
        <f t="shared" ca="1" si="185"/>
        <v>Industrial heating technology Iron &amp; Steel RH - Coal boiler (Steam) - new 1</v>
      </c>
      <c r="F259" s="279" t="s">
        <v>450</v>
      </c>
      <c r="G259" s="279" t="s">
        <v>449</v>
      </c>
      <c r="H259" s="278"/>
      <c r="I259" s="278"/>
      <c r="J259" s="281" t="s">
        <v>469</v>
      </c>
    </row>
    <row r="260" spans="2:10">
      <c r="B260" s="223"/>
      <c r="C260" s="222" t="str">
        <f t="shared" ca="1" si="182"/>
        <v>DMD</v>
      </c>
      <c r="D260" s="223" t="str">
        <f t="shared" ca="1" si="184"/>
        <v>INDSDMTCOAN2</v>
      </c>
      <c r="E260" s="223" t="str">
        <f t="shared" ca="1" si="185"/>
        <v>Industrial heating technology Iron &amp; Steel MT - Coal boiler (Hot Water) - new 2</v>
      </c>
      <c r="F260" s="279" t="s">
        <v>450</v>
      </c>
      <c r="G260" s="279" t="s">
        <v>449</v>
      </c>
      <c r="H260" s="278"/>
      <c r="I260" s="278"/>
      <c r="J260" s="281" t="s">
        <v>469</v>
      </c>
    </row>
    <row r="261" spans="2:10">
      <c r="B261" s="223"/>
      <c r="C261" s="222" t="str">
        <f t="shared" ca="1" si="182"/>
        <v>DMD</v>
      </c>
      <c r="D261" s="223" t="str">
        <f t="shared" ca="1" si="184"/>
        <v>INDSDRHCOAN2</v>
      </c>
      <c r="E261" s="223" t="str">
        <f t="shared" ca="1" si="185"/>
        <v>Industrial heating technology Iron &amp; Steel RH - Coal boiler (Hot Water) - new 2</v>
      </c>
      <c r="F261" s="279" t="s">
        <v>450</v>
      </c>
      <c r="G261" s="279" t="s">
        <v>449</v>
      </c>
      <c r="H261" s="278"/>
      <c r="I261" s="278"/>
      <c r="J261" s="281" t="s">
        <v>469</v>
      </c>
    </row>
    <row r="262" spans="2:10">
      <c r="B262" s="223"/>
      <c r="C262" s="222" t="str">
        <f t="shared" ca="1" si="182"/>
        <v>DMD</v>
      </c>
      <c r="D262" s="223" t="str">
        <f t="shared" ca="1" si="184"/>
        <v>INDSDRHSOLN1</v>
      </c>
      <c r="E262" s="223" t="str">
        <f t="shared" ca="1" si="185"/>
        <v>Industrial heating technology Iron &amp; Steel RH - Solar - new 1</v>
      </c>
      <c r="F262" s="279" t="s">
        <v>450</v>
      </c>
      <c r="G262" s="279" t="s">
        <v>449</v>
      </c>
      <c r="H262" s="334" t="s">
        <v>665</v>
      </c>
      <c r="I262" s="278"/>
      <c r="J262" s="281" t="s">
        <v>469</v>
      </c>
    </row>
    <row r="263" spans="2:10">
      <c r="B263" s="223"/>
      <c r="C263" s="222" t="str">
        <f t="shared" si="182"/>
        <v>*</v>
      </c>
      <c r="D263" s="949" t="str">
        <f>D187</f>
        <v>*</v>
      </c>
      <c r="E263" s="949" t="str">
        <f t="shared" ca="1" si="185"/>
        <v>Industrial heating technology Iron &amp; Steel MT - Heat pump utilizing waste heat - new 1</v>
      </c>
      <c r="F263" s="279" t="s">
        <v>450</v>
      </c>
      <c r="G263" s="279" t="s">
        <v>449</v>
      </c>
      <c r="H263" s="334" t="s">
        <v>665</v>
      </c>
      <c r="I263" s="950"/>
      <c r="J263" s="280" t="s">
        <v>469</v>
      </c>
    </row>
    <row r="264" spans="2:10">
      <c r="B264" s="223"/>
      <c r="C264" s="222" t="str">
        <f t="shared" si="182"/>
        <v>*</v>
      </c>
      <c r="D264" s="223" t="str">
        <f t="shared" ref="D264" si="186">D188</f>
        <v>*</v>
      </c>
      <c r="E264" s="223" t="str">
        <f t="shared" ca="1" si="185"/>
        <v>Industrial heating technology Iron &amp; Steel MT - Heat pump utilizing waste heat - new 1</v>
      </c>
      <c r="F264" s="279" t="s">
        <v>450</v>
      </c>
      <c r="G264" s="279" t="s">
        <v>449</v>
      </c>
      <c r="H264" s="334" t="s">
        <v>665</v>
      </c>
      <c r="I264" s="278"/>
      <c r="J264" s="281" t="s">
        <v>469</v>
      </c>
    </row>
    <row r="265" spans="2:10">
      <c r="B265" s="223"/>
      <c r="C265" s="222" t="str">
        <f t="shared" si="182"/>
        <v>DMD</v>
      </c>
      <c r="D265" s="223" t="str">
        <f>D190</f>
        <v>INDSDLAELCN1</v>
      </c>
      <c r="E265" s="223" t="str">
        <f t="shared" ca="1" si="185"/>
        <v>Industry Iron &amp; Steel LA Electricity Light Appliance - New 1</v>
      </c>
      <c r="F265" s="279" t="s">
        <v>450</v>
      </c>
      <c r="G265" s="279" t="s">
        <v>449</v>
      </c>
      <c r="H265" s="334" t="s">
        <v>665</v>
      </c>
      <c r="I265" s="278"/>
      <c r="J265" s="281" t="s">
        <v>469</v>
      </c>
    </row>
    <row r="266" spans="2:10">
      <c r="B266" s="223"/>
      <c r="C266" s="222" t="str">
        <f t="shared" si="182"/>
        <v>DMD</v>
      </c>
      <c r="D266" s="223" t="str">
        <f>D194</f>
        <v>INDSDEMELCN1</v>
      </c>
      <c r="E266" s="223" t="str">
        <f t="shared" ca="1" si="185"/>
        <v>Industry Iron &amp; Steel EM Electricity Motors - New 1</v>
      </c>
      <c r="F266" s="279" t="s">
        <v>450</v>
      </c>
      <c r="G266" s="279" t="s">
        <v>449</v>
      </c>
      <c r="H266" s="334" t="s">
        <v>665</v>
      </c>
      <c r="I266" s="278"/>
      <c r="J266" s="281" t="s">
        <v>469</v>
      </c>
    </row>
    <row r="267" spans="2:10">
      <c r="B267" s="223"/>
      <c r="C267" s="222" t="str">
        <f t="shared" si="182"/>
        <v>DMD</v>
      </c>
      <c r="D267" s="223" t="str">
        <f>D198</f>
        <v>INDSDTFDSLN1</v>
      </c>
      <c r="E267" s="223" t="str">
        <f t="shared" ca="1" si="185"/>
        <v>Industry Iron &amp; Steel TF Tractors, Trucks, Fishing boats - New 1</v>
      </c>
      <c r="F267" s="279" t="s">
        <v>450</v>
      </c>
      <c r="G267" s="279" t="s">
        <v>449</v>
      </c>
      <c r="H267" s="278"/>
      <c r="I267" s="278"/>
      <c r="J267" s="281" t="s">
        <v>469</v>
      </c>
    </row>
    <row r="268" spans="2:10">
      <c r="B268" s="223"/>
      <c r="C268" s="222" t="str">
        <f t="shared" si="182"/>
        <v>DMD</v>
      </c>
      <c r="D268" s="223" t="str">
        <f>D202</f>
        <v>INDSDFLDH2N1</v>
      </c>
      <c r="E268" s="223" t="str">
        <f t="shared" ca="1" si="185"/>
        <v>Industry Iron &amp; Steel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IIDSOx</v>
      </c>
      <c r="E273" s="287" t="str">
        <f>"Industrial heating  heating technology "&amp;$AJ$12&amp;" - SOx emission"</f>
        <v>Industrial heating  heating technology Iron &amp; Steel - SOx emission</v>
      </c>
      <c r="F273" s="231" t="s">
        <v>352</v>
      </c>
      <c r="G273" s="222"/>
      <c r="H273" s="222"/>
      <c r="I273" s="222"/>
      <c r="J273" s="222"/>
    </row>
    <row r="274" spans="2:10">
      <c r="B274" s="226"/>
      <c r="C274" s="226"/>
      <c r="D274" s="277" t="str">
        <f>"I"&amp;LEFT($AJ$12,1)&amp;"DNOx"</f>
        <v>IIDNOx</v>
      </c>
      <c r="E274" s="287" t="str">
        <f>"Industrial heating  heating technology "&amp;$AJ$12&amp;" - NOx emission"</f>
        <v>Industrial heating  heating technology Iron &amp; Steel - NOx emission</v>
      </c>
      <c r="F274" s="231" t="s">
        <v>352</v>
      </c>
      <c r="G274" s="222"/>
      <c r="H274" s="226"/>
      <c r="I274" s="226"/>
      <c r="J274" s="226"/>
    </row>
    <row r="275" spans="2:10">
      <c r="B275" s="226"/>
      <c r="C275" s="226"/>
      <c r="D275" s="277" t="str">
        <f>"I"&amp;LEFT($AJ$12,1)&amp;"DCH4"</f>
        <v>IIDCH4</v>
      </c>
      <c r="E275" s="287" t="str">
        <f>"Industrial heating  heating technology "&amp;$AJ$12&amp;" - CH4 emission"</f>
        <v>Industrial heating  heating technology Iron &amp; Steel - CH4 emission</v>
      </c>
      <c r="F275" s="231" t="s">
        <v>352</v>
      </c>
      <c r="G275" s="222"/>
      <c r="H275" s="226"/>
      <c r="I275" s="226"/>
      <c r="J275" s="226"/>
    </row>
    <row r="276" spans="2:10">
      <c r="B276" s="226"/>
      <c r="C276" s="226"/>
      <c r="D276" s="277" t="str">
        <f>"I"&amp;LEFT($AJ$12,1)&amp;"DNO2"</f>
        <v>IIDNO2</v>
      </c>
      <c r="E276" s="287" t="str">
        <f>"Industrial heating  heating technology "&amp;$AJ$12&amp;" - NO2 emission"</f>
        <v>Industrial heating  heating technology Iron &amp; Steel - NO2 emission</v>
      </c>
      <c r="F276" s="231" t="s">
        <v>352</v>
      </c>
      <c r="G276" s="222"/>
      <c r="H276" s="226"/>
      <c r="I276" s="226"/>
      <c r="J276" s="226"/>
    </row>
    <row r="277" spans="2:10">
      <c r="B277" s="226"/>
      <c r="C277" s="226"/>
      <c r="D277" s="277" t="str">
        <f>"I"&amp;LEFT($AJ$12,1)&amp;"DPM"</f>
        <v>IIDPM</v>
      </c>
      <c r="E277" s="287" t="str">
        <f>"Industrial heating  heating technology "&amp;$AJ$12&amp;" - Particle emission"</f>
        <v>Industrial heating  heating technology Iron &amp; Steel - Particle emission</v>
      </c>
      <c r="F277" s="231" t="s">
        <v>352</v>
      </c>
      <c r="G277" s="222"/>
      <c r="H277" s="226"/>
      <c r="I277" s="226"/>
      <c r="J277" s="226"/>
    </row>
    <row r="278" spans="2:10">
      <c r="B278" s="239" t="s">
        <v>1182</v>
      </c>
      <c r="D278" s="239" t="str">
        <f>AI20</f>
        <v>INDSWH</v>
      </c>
      <c r="E278" s="287" t="str">
        <f>"Industrial heating technology "&amp;$AJ$12&amp;" - Waste heat"</f>
        <v>Industrial heating technology Iron &amp; Steel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B47FE0C-CD89-476B-806B-11586C6AD4D1}">
          <x14:formula1>
            <xm:f>'Oil-fired boiler_NEW'!$T$4:$X$4</xm:f>
          </x14:formula1>
          <xm:sqref>E1</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6F27B-FF11-492F-89CD-16B6B0FA1056}">
  <sheetPr>
    <tabColor rgb="FF00B050"/>
  </sheetPr>
  <dimension ref="A1:AP278"/>
  <sheetViews>
    <sheetView topLeftCell="A101"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842</v>
      </c>
      <c r="N1" s="64"/>
      <c r="O1" s="64"/>
      <c r="P1" s="64"/>
      <c r="S1" s="787" t="s">
        <v>1129</v>
      </c>
      <c r="T1" s="836" t="s">
        <v>1128</v>
      </c>
      <c r="U1" s="835" t="s">
        <v>1178</v>
      </c>
      <c r="V1" s="836" t="s">
        <v>1179</v>
      </c>
      <c r="W1" s="840">
        <v>0.3</v>
      </c>
    </row>
    <row r="2" spans="2:42" ht="15" thickBot="1">
      <c r="E2" s="790" t="s">
        <v>750</v>
      </c>
      <c r="N2" s="791"/>
      <c r="O2" s="791"/>
      <c r="P2" s="791"/>
      <c r="S2" s="786">
        <v>15</v>
      </c>
      <c r="T2" s="971">
        <v>15</v>
      </c>
      <c r="U2" s="839"/>
      <c r="V2" s="828" t="s">
        <v>1180</v>
      </c>
      <c r="W2" s="841">
        <v>0.2</v>
      </c>
    </row>
    <row r="3" spans="2:42" ht="15" thickBot="1">
      <c r="E3" s="239" t="s">
        <v>1436</v>
      </c>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FEMIS~IADSOx</v>
      </c>
      <c r="Y6" s="299" t="str">
        <f>"FEMIS~"&amp;D274</f>
        <v>FEMIS~IADNOx</v>
      </c>
      <c r="Z6" s="299" t="str">
        <f>"FEMIS~"&amp;D275</f>
        <v>FEMIS~IADCH4</v>
      </c>
      <c r="AA6" s="299" t="str">
        <f>"FEMIS~"&amp;D276</f>
        <v>FEMIS~IADNO2</v>
      </c>
      <c r="AB6" s="299" t="str">
        <f>"FEMIS~"&amp;D277</f>
        <v>FEMIS~IADPM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v>
      </c>
      <c r="E9" s="278" t="str">
        <f>"Industrial heating technology "&amp;$AJ$12&amp;" "&amp;RIGHT(H9,2)&amp;" - Heat pump utilizing waste heat - new 1"</f>
        <v>Industrial heating technology Aluminium MT - Heat pump utilizing waste heat - new 1</v>
      </c>
      <c r="F9" s="239" t="s">
        <v>1274</v>
      </c>
      <c r="G9" s="176" t="s">
        <v>500</v>
      </c>
      <c r="H9" s="177" t="str">
        <f>$AI$14</f>
        <v>IXDMT</v>
      </c>
      <c r="I9" s="176"/>
      <c r="J9" s="239">
        <f>AD9</f>
        <v>2020</v>
      </c>
      <c r="K9" s="81">
        <v>2025</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v>
      </c>
      <c r="E10" s="278"/>
      <c r="F10" s="239" t="s">
        <v>1274</v>
      </c>
      <c r="G10" s="176" t="str">
        <f>$AI$20</f>
        <v>INDXWH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v>
      </c>
      <c r="E11" s="223"/>
      <c r="F11" s="239" t="s">
        <v>1274</v>
      </c>
      <c r="G11" s="176" t="s">
        <v>500</v>
      </c>
      <c r="H11" s="177" t="str">
        <f>$AI$14</f>
        <v>IXDMT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c r="AJ11" s="36" t="s">
        <v>749</v>
      </c>
    </row>
    <row r="12" spans="2:42">
      <c r="B12" s="393" t="s">
        <v>1123</v>
      </c>
      <c r="D12" s="223" t="str">
        <f ca="1">IF(T9=0,"*",IF(T12&gt;0,"IND"&amp;RIGHT(H9,4)&amp;RIGHT(G9,3)&amp;"N"&amp;RIGHT(E9,1),""))</f>
        <v>*</v>
      </c>
      <c r="E12" s="223"/>
      <c r="F12" s="239" t="s">
        <v>1274</v>
      </c>
      <c r="G12" s="176" t="str">
        <f>$AI$20</f>
        <v>INDXWH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Aluminium</v>
      </c>
    </row>
    <row r="13" spans="2:42">
      <c r="B13" s="393" t="s">
        <v>1123</v>
      </c>
      <c r="D13" s="223" t="str">
        <f ca="1">IF(T9=0,"*",IF(T13&gt;0,"IND"&amp;RIGHT(H9,4)&amp;RIGHT(G9,3)&amp;"N"&amp;RIGHT(E9,1),""))</f>
        <v>*</v>
      </c>
      <c r="E13" s="223"/>
      <c r="F13" s="239" t="s">
        <v>1274</v>
      </c>
      <c r="G13" s="176" t="s">
        <v>500</v>
      </c>
      <c r="H13" s="177" t="str">
        <f>$AI$14</f>
        <v>IXDMT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IXDHT</v>
      </c>
      <c r="AJ13" s="239" t="str">
        <f>AP14</f>
        <v>Aluminium industry Demand Heat High Temp. over 150C</v>
      </c>
      <c r="AO13" s="239" t="s">
        <v>1330</v>
      </c>
      <c r="AP13" s="239" t="s">
        <v>1331</v>
      </c>
    </row>
    <row r="14" spans="2:42">
      <c r="B14" s="393" t="s">
        <v>1123</v>
      </c>
      <c r="D14" s="223" t="str">
        <f ca="1">IF(T9=0,"*",IF(T14&gt;0,"IND"&amp;RIGHT(H9,4)&amp;RIGHT(G9,3)&amp;"N"&amp;RIGHT(E9,1),""))</f>
        <v>*</v>
      </c>
      <c r="E14" s="223"/>
      <c r="F14" s="239" t="s">
        <v>1274</v>
      </c>
      <c r="G14" s="176" t="str">
        <f>$AI$20</f>
        <v>INDXWH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IXDMT</v>
      </c>
      <c r="AJ14" s="239" t="str">
        <f>AP13</f>
        <v>Aluminium industry Demand Heat Medium Temp. up to 150C</v>
      </c>
      <c r="AO14" s="239" t="s">
        <v>1332</v>
      </c>
      <c r="AP14" s="239" t="s">
        <v>1333</v>
      </c>
    </row>
    <row r="15" spans="2:42">
      <c r="B15" s="393" t="s">
        <v>1123</v>
      </c>
      <c r="D15" s="223" t="str">
        <f ca="1">IF(T15=0,"*",IF(T15&gt;0,"IND"&amp;RIGHT(H15,4)&amp;RIGHT(G15,3)&amp;"N"&amp;RIGHT(E15,1),""))</f>
        <v>INDXDRHELCN1</v>
      </c>
      <c r="E15" s="278" t="str">
        <f>"Industrial heating technology "&amp;$AJ$12&amp;" "&amp;RIGHT(H15,2)&amp;" - Heat pump utilizing waste heat - new 1"</f>
        <v>Industrial heating technology Aluminium RH - Heat pump utilizing waste heat - new 1</v>
      </c>
      <c r="F15" s="239" t="s">
        <v>1274</v>
      </c>
      <c r="G15" s="176" t="s">
        <v>500</v>
      </c>
      <c r="H15" s="177" t="str">
        <f>$AI$15</f>
        <v>IXDRH</v>
      </c>
      <c r="I15" s="177"/>
      <c r="J15" s="239">
        <f>AD15</f>
        <v>2020</v>
      </c>
      <c r="K15" s="81">
        <v>2025</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IXDRH</v>
      </c>
      <c r="AJ15" s="239" t="str">
        <f>AP15</f>
        <v>Aluminium industry Demand Heat Room Heat</v>
      </c>
      <c r="AO15" s="239" t="s">
        <v>1334</v>
      </c>
      <c r="AP15" s="239" t="s">
        <v>1335</v>
      </c>
    </row>
    <row r="16" spans="2:42">
      <c r="B16" s="393" t="s">
        <v>1123</v>
      </c>
      <c r="D16" s="223" t="str">
        <f ca="1">IF(T15=0,"*",IF(T16&gt;0,"IND"&amp;RIGHT(H15,4)&amp;RIGHT(G15,3)&amp;"N"&amp;RIGHT(E15,1),""))</f>
        <v/>
      </c>
      <c r="E16" s="278"/>
      <c r="F16" s="239" t="s">
        <v>1274</v>
      </c>
      <c r="G16" s="176" t="str">
        <f>$AI$20</f>
        <v>INDXWH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IXDLA</v>
      </c>
      <c r="AJ16" s="239" t="str">
        <f t="shared" si="6"/>
        <v>Aluminium industry Demand Light</v>
      </c>
      <c r="AO16" s="239" t="s">
        <v>1336</v>
      </c>
      <c r="AP16" s="239" t="s">
        <v>1337</v>
      </c>
    </row>
    <row r="17" spans="2:42">
      <c r="B17" s="393" t="s">
        <v>1123</v>
      </c>
      <c r="D17" s="223" t="str">
        <f ca="1">IF(T15=0,"*",IF(T17&gt;0,"IND"&amp;RIGHT(H15,4)&amp;RIGHT(G15,3)&amp;"N"&amp;RIGHT(E15,1),""))</f>
        <v/>
      </c>
      <c r="E17" s="223"/>
      <c r="F17" s="239" t="s">
        <v>1274</v>
      </c>
      <c r="G17" s="176" t="s">
        <v>500</v>
      </c>
      <c r="H17" s="177" t="str">
        <f>$AI$15</f>
        <v>IXDRH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IXDEM</v>
      </c>
      <c r="AJ17" s="239" t="str">
        <f t="shared" si="6"/>
        <v>Aluminium industry Demand Electric Motors</v>
      </c>
      <c r="AO17" s="239" t="s">
        <v>1338</v>
      </c>
      <c r="AP17" s="239" t="s">
        <v>1339</v>
      </c>
    </row>
    <row r="18" spans="2:42">
      <c r="B18" s="393" t="s">
        <v>1123</v>
      </c>
      <c r="D18" s="223" t="str">
        <f ca="1">IF(T15=0,"*",IF(T18&gt;0,"IND"&amp;RIGHT(H15,4)&amp;RIGHT(G15,3)&amp;"N"&amp;RIGHT(E15,1),""))</f>
        <v/>
      </c>
      <c r="E18" s="223"/>
      <c r="F18" s="239" t="s">
        <v>1274</v>
      </c>
      <c r="G18" s="176" t="str">
        <f>$AI$20</f>
        <v>INDXWH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IXDTF</v>
      </c>
      <c r="AJ18" s="239" t="str">
        <f t="shared" si="6"/>
        <v>Aluminium industry Demand Haulage Tractors, Trucks, Fishing boats, Forest machines</v>
      </c>
      <c r="AO18" s="239" t="s">
        <v>1340</v>
      </c>
      <c r="AP18" s="239" t="s">
        <v>1341</v>
      </c>
    </row>
    <row r="19" spans="2:42">
      <c r="B19" s="393" t="s">
        <v>1123</v>
      </c>
      <c r="D19" s="223" t="str">
        <f ca="1">IF(T15=0,"*",IF(T19&gt;0,"IND"&amp;RIGHT(H15,4)&amp;RIGHT(G15,3)&amp;"N"&amp;RIGHT(E15,1),""))</f>
        <v/>
      </c>
      <c r="E19" s="223"/>
      <c r="F19" s="239" t="s">
        <v>1274</v>
      </c>
      <c r="G19" s="176" t="s">
        <v>500</v>
      </c>
      <c r="H19" s="177" t="str">
        <f>$AI$15</f>
        <v>IXDRH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IXDFL</v>
      </c>
      <c r="AJ19" s="239" t="str">
        <f t="shared" si="6"/>
        <v>Aluminium industry Demand Haulage Forklifts</v>
      </c>
      <c r="AO19" s="239" t="s">
        <v>1342</v>
      </c>
      <c r="AP19" s="239" t="s">
        <v>1343</v>
      </c>
    </row>
    <row r="20" spans="2:42">
      <c r="B20" s="393" t="s">
        <v>1123</v>
      </c>
      <c r="D20" s="223" t="str">
        <f ca="1">IF(T15=0,"*",IF(T20&gt;0,"IND"&amp;RIGHT(H15,4)&amp;RIGHT(G15,3)&amp;"N"&amp;RIGHT(E15,1),""))</f>
        <v/>
      </c>
      <c r="E20" s="223"/>
      <c r="F20" s="239" t="s">
        <v>1274</v>
      </c>
      <c r="G20" s="176" t="str">
        <f>$AI$20</f>
        <v>INDXWH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INDXWH</v>
      </c>
      <c r="AJ20" s="239" t="str">
        <f>$AJ$12&amp;" Industrial Waste Heat"</f>
        <v>Aluminium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Aluminium MT - Heat driven heat pump utilizing waste heat - new 2</v>
      </c>
      <c r="F21" s="239" t="s">
        <v>1274</v>
      </c>
      <c r="G21" s="176" t="s">
        <v>500</v>
      </c>
      <c r="H21" s="177" t="str">
        <f>$AI$14</f>
        <v>IXDMT</v>
      </c>
      <c r="I21" s="177"/>
      <c r="J21" s="239">
        <f>AD21</f>
        <v>2020</v>
      </c>
      <c r="K21" s="81">
        <v>2025</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INDXWH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IXDMT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INDXWH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IXDMT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INDXWH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INDXDRHELCN2</v>
      </c>
      <c r="E27" s="278" t="str">
        <f>"Industrial heating technology "&amp;$AJ$12&amp;" "&amp;RIGHT(H27,2)&amp;" - Heat driven heat pump utilizing waste heat - new 2"</f>
        <v>Industrial heating technology Aluminium RH - Heat driven heat pump utilizing waste heat - new 2</v>
      </c>
      <c r="F27" s="239" t="s">
        <v>1274</v>
      </c>
      <c r="G27" s="176" t="s">
        <v>500</v>
      </c>
      <c r="H27" s="177" t="str">
        <f>$AI$15</f>
        <v>IXDRH</v>
      </c>
      <c r="I27" s="177"/>
      <c r="J27" s="239">
        <f>AD27</f>
        <v>2020</v>
      </c>
      <c r="K27" s="81">
        <v>2025</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INDXWH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IXDRH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INDXWH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IXDRH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INDXWH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v>
      </c>
      <c r="E33" s="278" t="str">
        <f>"Industrial heating technology "&amp;$AJ$12&amp;" "&amp;RIGHT(H33,2)&amp;" - High Temp abs. Heat pump utilizing waste heat - new 3"</f>
        <v>Industrial heating technology Aluminium MT - High Temp abs. Heat pump utilizing waste heat - new 3</v>
      </c>
      <c r="F33" s="239" t="s">
        <v>1274</v>
      </c>
      <c r="G33" s="176" t="s">
        <v>500</v>
      </c>
      <c r="H33" s="177" t="str">
        <f>$AI$14</f>
        <v>IXDMT</v>
      </c>
      <c r="I33" s="177"/>
      <c r="J33" s="239">
        <f>AD33</f>
        <v>2020</v>
      </c>
      <c r="K33" s="81">
        <v>2025</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v>
      </c>
      <c r="E34" s="278"/>
      <c r="F34" s="239" t="s">
        <v>1274</v>
      </c>
      <c r="G34" s="176" t="str">
        <f>$AI$20</f>
        <v>INDXWH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v>
      </c>
      <c r="E35" s="223"/>
      <c r="F35" s="239" t="s">
        <v>1274</v>
      </c>
      <c r="G35" s="176" t="s">
        <v>500</v>
      </c>
      <c r="H35" s="177" t="str">
        <f>$AI$14</f>
        <v>IXDMT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v>
      </c>
      <c r="E36" s="223"/>
      <c r="F36" s="239" t="s">
        <v>1274</v>
      </c>
      <c r="G36" s="176" t="str">
        <f>$AI$20</f>
        <v>INDXWH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v>
      </c>
      <c r="E37" s="223"/>
      <c r="F37" s="239" t="s">
        <v>1274</v>
      </c>
      <c r="G37" s="176" t="s">
        <v>500</v>
      </c>
      <c r="H37" s="177" t="str">
        <f>$AI$14</f>
        <v>IXDMT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v>
      </c>
      <c r="E38" s="223"/>
      <c r="F38" s="239" t="s">
        <v>1274</v>
      </c>
      <c r="G38" s="176" t="str">
        <f>$AI$20</f>
        <v>INDXWH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INDXDRHELCN3</v>
      </c>
      <c r="E39" s="278" t="str">
        <f>"Industrial heating technology "&amp;$AJ$12&amp;" "&amp;RIGHT(H39,2)&amp;" - High Temp abs. Heat pump utilizing waste heat - new 3"</f>
        <v>Industrial heating technology Aluminium RH - High Temp abs. Heat pump utilizing waste heat - new 3</v>
      </c>
      <c r="F39" s="239" t="s">
        <v>1274</v>
      </c>
      <c r="G39" s="176" t="s">
        <v>500</v>
      </c>
      <c r="H39" s="177" t="str">
        <f>$AI$15</f>
        <v>IXDRH</v>
      </c>
      <c r="I39" s="177"/>
      <c r="J39" s="239">
        <f>AD39</f>
        <v>2020</v>
      </c>
      <c r="K39" s="81">
        <v>2025</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INDXWH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IXDRH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INDXWH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IXDRH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INDXWH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v>
      </c>
      <c r="E45" s="278" t="str">
        <f>"Industrial heating technology "&amp;$AJ$12&amp;" "&amp;RIGHT(H45,2)&amp;" - Booster Heat pump utilizing waste heat - new 4"</f>
        <v>Industrial heating technology Aluminium MT - Booster Heat pump utilizing waste heat - new 4</v>
      </c>
      <c r="F45" s="239" t="s">
        <v>1274</v>
      </c>
      <c r="G45" s="176" t="s">
        <v>500</v>
      </c>
      <c r="H45" s="177" t="str">
        <f>$AI$14</f>
        <v>IXDMT</v>
      </c>
      <c r="I45" s="177"/>
      <c r="J45" s="239">
        <f>AD45</f>
        <v>2020</v>
      </c>
      <c r="K45" s="81">
        <v>2025</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v>
      </c>
      <c r="E46" s="278"/>
      <c r="F46" s="239" t="s">
        <v>1274</v>
      </c>
      <c r="G46" s="176" t="str">
        <f>$AI$20</f>
        <v>INDXWH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v>
      </c>
      <c r="E47" s="223"/>
      <c r="F47" s="239" t="s">
        <v>1274</v>
      </c>
      <c r="G47" s="176" t="s">
        <v>500</v>
      </c>
      <c r="H47" s="177" t="str">
        <f>$AI$14</f>
        <v>IXDMT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v>
      </c>
      <c r="E48" s="223"/>
      <c r="F48" s="239" t="s">
        <v>1274</v>
      </c>
      <c r="G48" s="176" t="str">
        <f>$AI$20</f>
        <v>INDXWH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v>
      </c>
      <c r="E49" s="223"/>
      <c r="F49" s="239" t="s">
        <v>1274</v>
      </c>
      <c r="G49" s="176" t="s">
        <v>500</v>
      </c>
      <c r="H49" s="177" t="str">
        <f>$AI$14</f>
        <v>IXDMT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v>
      </c>
      <c r="E50" s="223"/>
      <c r="F50" s="239" t="s">
        <v>1274</v>
      </c>
      <c r="G50" s="176" t="str">
        <f>$AI$20</f>
        <v>INDXWH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INDXDRHELCN4</v>
      </c>
      <c r="E51" s="278" t="str">
        <f>"Industrial heating technology "&amp;$AJ$12&amp;" "&amp;RIGHT(H51,2)&amp;" - Booster Heat pump utilizing waste heat - new 4"</f>
        <v>Industrial heating technology Aluminium RH - Booster Heat pump utilizing waste heat - new 4</v>
      </c>
      <c r="F51" s="239" t="s">
        <v>1274</v>
      </c>
      <c r="G51" s="176" t="s">
        <v>500</v>
      </c>
      <c r="H51" s="177" t="str">
        <f>$AI$15</f>
        <v>IXDRH</v>
      </c>
      <c r="I51" s="177"/>
      <c r="J51" s="239">
        <f>AD51</f>
        <v>2020</v>
      </c>
      <c r="K51" s="81">
        <v>2025</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INDXWH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IXDRH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INDXWH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IXDRH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INDXWH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v>
      </c>
      <c r="E57" s="278" t="str">
        <f>"Industrial heating technology "&amp;$AJ$12&amp;" "&amp;RIGHT(H57,2)&amp;" - MVR utilizing waste heat - new 5"</f>
        <v>Industrial heating technology Aluminium MT - MVR utilizing waste heat - new 5</v>
      </c>
      <c r="F57" s="239" t="s">
        <v>1274</v>
      </c>
      <c r="G57" s="176" t="s">
        <v>500</v>
      </c>
      <c r="H57" s="177" t="str">
        <f>$AI$14</f>
        <v>IXDMT</v>
      </c>
      <c r="I57" s="177"/>
      <c r="J57" s="239">
        <f>AD57</f>
        <v>2020</v>
      </c>
      <c r="K57" s="81">
        <v>2025</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v>
      </c>
      <c r="E58" s="278"/>
      <c r="F58" s="239" t="s">
        <v>1274</v>
      </c>
      <c r="G58" s="176" t="str">
        <f>$AI$20</f>
        <v>INDXWH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v>
      </c>
      <c r="E59" s="223"/>
      <c r="F59" s="239" t="s">
        <v>1274</v>
      </c>
      <c r="G59" s="176" t="s">
        <v>500</v>
      </c>
      <c r="H59" s="177" t="str">
        <f>$AI$14</f>
        <v>IXDMT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v>
      </c>
      <c r="E60" s="223"/>
      <c r="F60" s="239" t="s">
        <v>1274</v>
      </c>
      <c r="G60" s="176" t="str">
        <f>$AI$20</f>
        <v>INDXWH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v>
      </c>
      <c r="E61" s="223"/>
      <c r="F61" s="239" t="s">
        <v>1274</v>
      </c>
      <c r="G61" s="176" t="s">
        <v>500</v>
      </c>
      <c r="H61" s="177" t="str">
        <f>$AI$14</f>
        <v>IXDMT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v>
      </c>
      <c r="E62" s="792"/>
      <c r="F62" s="239" t="s">
        <v>1274</v>
      </c>
      <c r="G62" s="848" t="str">
        <f>$AI$20</f>
        <v>INDXWH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Aluminium HT - Hotdisc - new 1</v>
      </c>
      <c r="F63" s="239" t="s">
        <v>1274</v>
      </c>
      <c r="G63" s="892" t="s">
        <v>1130</v>
      </c>
      <c r="H63" s="177" t="str">
        <f>$AI$13</f>
        <v>IXDHT</v>
      </c>
      <c r="I63" s="176" t="str">
        <f t="shared" ref="I63:I94" si="53">$AI$20</f>
        <v>INDXWH</v>
      </c>
      <c r="J63" s="239">
        <f t="shared" ref="J63:J94" si="54">IF(AD63=2020,2011,AD63)</f>
        <v>2011</v>
      </c>
      <c r="K63" s="332">
        <f>J63</f>
        <v>2011</v>
      </c>
      <c r="L63" s="975">
        <f ca="1">VLOOKUP($AD63,INDIRECT("'"&amp;$B63&amp;"'!"&amp;"$P$39:$AD$42"),3,FALSE)*0.5</f>
        <v>0.45</v>
      </c>
      <c r="M63" s="759"/>
      <c r="N63" s="332">
        <f ca="1">VLOOKUP($AD63,INDIRECT("'"&amp;$B63&amp;"'!"&amp;"$P$39:$AD$42"),5,FALSE)</f>
        <v>20</v>
      </c>
      <c r="O63" s="785">
        <f t="shared" ref="O63:O80" ca="1" si="55">VLOOKUP($AD63,INDIRECT("'"&amp;$B63&amp;"'!"&amp;"$P$39:$AD$42"),6,FALSE)/1000</f>
        <v>3.7250000000000001</v>
      </c>
      <c r="P63" s="785">
        <f t="shared" ref="P63:P80" ca="1" si="56">VLOOKUP($AD63,INDIRECT("'"&amp;$B63&amp;"'!"&amp;"$P$39:$AD$42"),7,FALSE)/1000</f>
        <v>2.98E-3</v>
      </c>
      <c r="Q63" s="332">
        <f t="shared" ref="Q63:Q80" ca="1" si="57">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0.85000000000000009</v>
      </c>
      <c r="W63" s="331"/>
      <c r="X63" s="845">
        <f t="shared" ref="X63:X94" ca="1" si="58">IF(VLOOKUP($AD63,INDIRECT("'"&amp;$B63&amp;"'!"&amp;"$P$39:$AD$42"),11,FALSE)="Cf. the utilized electricity",0,VLOOKUP($AD63,INDIRECT("'"&amp;$B63&amp;"'!"&amp;"$P$39:$AD$42"),11,FALSE))</f>
        <v>8.3000000000000007</v>
      </c>
      <c r="Y63" s="332">
        <f t="shared" ref="Y63:Y80" ca="1" si="59">VLOOKUP($AD63,INDIRECT("'"&amp;$B63&amp;"'!"&amp;"$P$39:$AD$42"),12,FALSE)</f>
        <v>56</v>
      </c>
      <c r="Z63" s="332">
        <f t="shared" ref="Z63:Z80" ca="1" si="60">VLOOKUP($AD63,INDIRECT("'"&amp;$B63&amp;"'!"&amp;"$P$39:$AD$42"),13,FALSE)</f>
        <v>0.1</v>
      </c>
      <c r="AA63" s="332">
        <f t="shared" ref="AA63:AA80" ca="1" si="61">VLOOKUP($AD63,INDIRECT("'"&amp;$B63&amp;"'!"&amp;"$P$39:$AD$42"),14,FALSE)</f>
        <v>1</v>
      </c>
      <c r="AB63" s="332">
        <f t="shared" ref="AB63:AB80" ca="1" si="62">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INDXWH</v>
      </c>
      <c r="J64" s="239">
        <f t="shared" si="54"/>
        <v>2030</v>
      </c>
      <c r="K64" s="81"/>
      <c r="L64" s="366">
        <f ca="1">VLOOKUP($AD64,INDIRECT("'"&amp;$B64&amp;"'!"&amp;"$P$39:$AD$42"),3,FALSE)*0.5</f>
        <v>0.45500000000000002</v>
      </c>
      <c r="M64" s="206"/>
      <c r="N64" s="81"/>
      <c r="O64" s="783">
        <f t="shared" ca="1" si="55"/>
        <v>3.4642500000000003</v>
      </c>
      <c r="P64" s="783">
        <f t="shared" ca="1" si="56"/>
        <v>2.98E-3</v>
      </c>
      <c r="Q64" s="81">
        <f t="shared" ca="1" si="57"/>
        <v>2.4729861111111116</v>
      </c>
      <c r="R64" s="333"/>
      <c r="S64" s="333"/>
      <c r="T64" s="333"/>
      <c r="U64" s="333"/>
      <c r="V64" s="759">
        <f ca="1">IF(IF(RIGHT(H63,2)="MT",(1-L64)+$W$2,IF(RIGHT(H63,2)="HT",(1-L64)+$W$1,IF(RIGHT(H63,2)="RH",(1-L64)+$W$3,"")))&lt;0,0,IF(RIGHT(H63,2)="MT",(1-L64)+$W$2,IF(RIGHT(H63,2)="HT",(1-L64)+$W$1,IF(RIGHT(H63,2)="RH",(1-L64)+$W$3,""))))</f>
        <v>0.84499999999999997</v>
      </c>
      <c r="W64" s="331"/>
      <c r="X64" s="758">
        <f t="shared" ca="1" si="58"/>
        <v>8.3000000000000007</v>
      </c>
      <c r="Y64" s="81">
        <f t="shared" ca="1" si="59"/>
        <v>45</v>
      </c>
      <c r="Z64" s="81">
        <f t="shared" ca="1" si="60"/>
        <v>0.1</v>
      </c>
      <c r="AA64" s="81">
        <f t="shared" ca="1" si="61"/>
        <v>1</v>
      </c>
      <c r="AB64" s="81">
        <f t="shared" ca="1" si="62"/>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INDXWH</v>
      </c>
      <c r="J65" s="239">
        <f t="shared" si="54"/>
        <v>2050</v>
      </c>
      <c r="K65" s="81"/>
      <c r="L65" s="366">
        <f ca="1">VLOOKUP($AD65,INDIRECT("'"&amp;$B65&amp;"'!"&amp;"$P$39:$AD$42"),3,FALSE)*0.5</f>
        <v>0.46500000000000002</v>
      </c>
      <c r="M65" s="206"/>
      <c r="N65" s="81"/>
      <c r="O65" s="783">
        <f t="shared" ca="1" si="55"/>
        <v>3.3525</v>
      </c>
      <c r="P65" s="783">
        <f t="shared" ca="1" si="56"/>
        <v>2.98E-3</v>
      </c>
      <c r="Q65" s="81">
        <f t="shared" ca="1" si="57"/>
        <v>2.4936805555555561</v>
      </c>
      <c r="R65" s="333"/>
      <c r="S65" s="333"/>
      <c r="T65" s="333"/>
      <c r="U65" s="333"/>
      <c r="V65" s="759">
        <f ca="1">IF(IF(RIGHT(H63,2)="MT",(1-L65)+$W$2,IF(RIGHT(H63,2)="HT",(1-L65)+$W$1,IF(RIGHT(H63,2)="RH",(1-L65)+$W$3,"")))&lt;0,0,IF(RIGHT(H63,2)="MT",(1-L65)+$W$2,IF(RIGHT(H63,2)="HT",(1-L65)+$W$1,IF(RIGHT(H63,2)="RH",(1-L65)+$W$3,""))))</f>
        <v>0.83499999999999996</v>
      </c>
      <c r="W65" s="331"/>
      <c r="X65" s="758">
        <f t="shared" ca="1" si="58"/>
        <v>8.3000000000000007</v>
      </c>
      <c r="Y65" s="81">
        <f t="shared" ca="1" si="59"/>
        <v>11</v>
      </c>
      <c r="Z65" s="81">
        <f t="shared" ca="1" si="60"/>
        <v>0.1</v>
      </c>
      <c r="AA65" s="81">
        <f t="shared" ca="1" si="61"/>
        <v>1</v>
      </c>
      <c r="AB65" s="81">
        <f t="shared" ca="1" si="62"/>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Aluminium MT - Dielectric heating - new 6</v>
      </c>
      <c r="F66" s="239" t="s">
        <v>1274</v>
      </c>
      <c r="G66" s="176" t="s">
        <v>500</v>
      </c>
      <c r="H66" s="177" t="str">
        <f>$AI$14</f>
        <v>IXDMT</v>
      </c>
      <c r="I66" s="176" t="str">
        <f t="shared" si="53"/>
        <v>INDXWH</v>
      </c>
      <c r="J66" s="239">
        <f t="shared" si="54"/>
        <v>2011</v>
      </c>
      <c r="K66" s="332">
        <f>J66</f>
        <v>2011</v>
      </c>
      <c r="L66" s="206">
        <f t="shared" ref="L66:L80" ca="1" si="63">VLOOKUP($AD66,INDIRECT("'"&amp;$B66&amp;"'!"&amp;"$P$39:$AD$42"),3,FALSE)</f>
        <v>0.95</v>
      </c>
      <c r="M66" s="206"/>
      <c r="N66" s="81">
        <f ca="1">VLOOKUP($AD66,INDIRECT("'"&amp;$B66&amp;"'!"&amp;"$P$39:$AD$42"),5,FALSE)</f>
        <v>30</v>
      </c>
      <c r="O66" s="783">
        <f t="shared" ca="1" si="55"/>
        <v>20.115000000000002</v>
      </c>
      <c r="P66" s="783">
        <f t="shared" ca="1" si="56"/>
        <v>0</v>
      </c>
      <c r="Q66" s="81">
        <f t="shared" ca="1" si="57"/>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8"/>
        <v>0</v>
      </c>
      <c r="Y66" s="81">
        <f t="shared" ca="1" si="59"/>
        <v>0</v>
      </c>
      <c r="Z66" s="81">
        <f t="shared" ca="1" si="60"/>
        <v>0</v>
      </c>
      <c r="AA66" s="81">
        <f t="shared" ca="1" si="61"/>
        <v>0</v>
      </c>
      <c r="AB66" s="81">
        <f t="shared" ca="1" si="62"/>
        <v>0</v>
      </c>
      <c r="AD66" s="81">
        <v>2020</v>
      </c>
      <c r="AE66" s="81"/>
      <c r="AF66" s="232"/>
    </row>
    <row r="67" spans="2:32">
      <c r="B67" s="393" t="s">
        <v>1047</v>
      </c>
      <c r="D67" s="223" t="str">
        <f ca="1">IF(T66=0,"*",IF(T67&gt;0,"IND"&amp;RIGHT(H66,4)&amp;RIGHT(G66,3)&amp;"N"&amp;RIGHT(E66,1),""))</f>
        <v>*</v>
      </c>
      <c r="E67" s="223"/>
      <c r="F67" s="239" t="s">
        <v>1274</v>
      </c>
      <c r="H67" s="177"/>
      <c r="I67" s="176" t="str">
        <f t="shared" si="53"/>
        <v>INDXWH</v>
      </c>
      <c r="J67" s="239">
        <f t="shared" si="54"/>
        <v>2030</v>
      </c>
      <c r="K67" s="81"/>
      <c r="L67" s="206">
        <f t="shared" ca="1" si="63"/>
        <v>0.95</v>
      </c>
      <c r="M67" s="206"/>
      <c r="N67" s="81"/>
      <c r="O67" s="783">
        <f t="shared" ca="1" si="55"/>
        <v>19.511550000000003</v>
      </c>
      <c r="P67" s="783">
        <f t="shared" ca="1" si="56"/>
        <v>0</v>
      </c>
      <c r="Q67" s="81">
        <f t="shared" ca="1" si="57"/>
        <v>94.832291666666663</v>
      </c>
      <c r="R67" s="333"/>
      <c r="S67" s="333"/>
      <c r="T67" s="333"/>
      <c r="U67" s="333"/>
      <c r="V67" s="759">
        <f ca="1">IF(IF(RIGHT(H66,2)="MT",(1-L67)+$W$2,IF(RIGHT(H66,2)="HT",(1-L67)+$W$1,IF(RIGHT(H66,2)="RH",(1-L67)+$W$3,"")))&lt;0,0,IF(RIGHT(H66,2)="MT",(1-L67)+$W$2,IF(RIGHT(H66,2)="HT",(1-L67)+$W$1,IF(RIGHT(H66,2)="RH",(1-L67)+$W$3,""))))</f>
        <v>0.25000000000000006</v>
      </c>
      <c r="W67" s="331"/>
      <c r="X67" s="758">
        <f t="shared" ca="1" si="58"/>
        <v>0</v>
      </c>
      <c r="Y67" s="81">
        <f t="shared" ca="1" si="59"/>
        <v>0</v>
      </c>
      <c r="Z67" s="81">
        <f t="shared" ca="1" si="60"/>
        <v>0</v>
      </c>
      <c r="AA67" s="81">
        <f t="shared" ca="1" si="61"/>
        <v>0</v>
      </c>
      <c r="AB67" s="81">
        <f t="shared" ca="1" si="62"/>
        <v>0</v>
      </c>
      <c r="AD67" s="81">
        <v>2030</v>
      </c>
      <c r="AE67" s="81"/>
      <c r="AF67" s="232"/>
    </row>
    <row r="68" spans="2:32">
      <c r="B68" s="393" t="s">
        <v>1047</v>
      </c>
      <c r="D68" s="223" t="str">
        <f ca="1">IF(T66=0,"*",IF(T68&gt;0,"IND"&amp;RIGHT(H66,4)&amp;RIGHT(G66,3)&amp;"N"&amp;RIGHT(E66,1),""))</f>
        <v>*</v>
      </c>
      <c r="E68" s="223"/>
      <c r="F68" s="239" t="s">
        <v>1274</v>
      </c>
      <c r="H68" s="177"/>
      <c r="I68" s="176" t="str">
        <f t="shared" si="53"/>
        <v>INDXWH</v>
      </c>
      <c r="J68" s="239">
        <f t="shared" si="54"/>
        <v>2050</v>
      </c>
      <c r="K68" s="81"/>
      <c r="L68" s="206">
        <f t="shared" ca="1" si="63"/>
        <v>0.95</v>
      </c>
      <c r="M68" s="206"/>
      <c r="N68" s="81"/>
      <c r="O68" s="783">
        <f t="shared" ca="1" si="55"/>
        <v>18.1035</v>
      </c>
      <c r="P68" s="783">
        <f t="shared" ca="1" si="56"/>
        <v>0</v>
      </c>
      <c r="Q68" s="81">
        <f t="shared" ca="1" si="57"/>
        <v>94.834361111111107</v>
      </c>
      <c r="R68" s="333"/>
      <c r="S68" s="333"/>
      <c r="T68" s="333"/>
      <c r="U68" s="333"/>
      <c r="V68" s="759">
        <f ca="1">IF(IF(RIGHT(H66,2)="MT",(1-L68)+$W$2,IF(RIGHT(H66,2)="HT",(1-L68)+$W$1,IF(RIGHT(H66,2)="RH",(1-L68)+$W$3,"")))&lt;0,0,IF(RIGHT(H66,2)="MT",(1-L68)+$W$2,IF(RIGHT(H66,2)="HT",(1-L68)+$W$1,IF(RIGHT(H66,2)="RH",(1-L68)+$W$3,""))))</f>
        <v>0.25000000000000006</v>
      </c>
      <c r="W68" s="331"/>
      <c r="X68" s="758">
        <f t="shared" ca="1" si="58"/>
        <v>0</v>
      </c>
      <c r="Y68" s="81">
        <f t="shared" ca="1" si="59"/>
        <v>0</v>
      </c>
      <c r="Z68" s="81">
        <f t="shared" ca="1" si="60"/>
        <v>0</v>
      </c>
      <c r="AA68" s="81">
        <f t="shared" ca="1" si="61"/>
        <v>0</v>
      </c>
      <c r="AB68" s="81">
        <f t="shared" ca="1" si="62"/>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Aluminium MT - Infrared heating - new 7</v>
      </c>
      <c r="F69" s="239" t="s">
        <v>1274</v>
      </c>
      <c r="G69" s="176" t="s">
        <v>500</v>
      </c>
      <c r="H69" s="177" t="str">
        <f>$AI$14</f>
        <v>IXDMT</v>
      </c>
      <c r="I69" s="176" t="str">
        <f t="shared" si="53"/>
        <v>INDXWH</v>
      </c>
      <c r="J69" s="239">
        <f t="shared" si="54"/>
        <v>2011</v>
      </c>
      <c r="K69" s="332">
        <f>J69</f>
        <v>2011</v>
      </c>
      <c r="L69" s="206">
        <f t="shared" ca="1" si="63"/>
        <v>0.96</v>
      </c>
      <c r="M69" s="206"/>
      <c r="N69" s="81">
        <f ca="1">VLOOKUP($AD69,INDIRECT("'"&amp;$B69&amp;"'!"&amp;"$P$39:$AD$42"),5,FALSE)</f>
        <v>30</v>
      </c>
      <c r="O69" s="783">
        <f t="shared" ca="1" si="55"/>
        <v>2.6074999999999999</v>
      </c>
      <c r="P69" s="783">
        <f t="shared" ca="1" si="56"/>
        <v>0</v>
      </c>
      <c r="Q69" s="81">
        <f t="shared" ca="1" si="57"/>
        <v>242.27606944444443</v>
      </c>
      <c r="R69" s="81">
        <v>3.1536000000000002E-2</v>
      </c>
      <c r="S69" s="206">
        <v>0.5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8"/>
        <v>0</v>
      </c>
      <c r="Y69" s="81">
        <f t="shared" ca="1" si="59"/>
        <v>0</v>
      </c>
      <c r="Z69" s="81">
        <f t="shared" ca="1" si="60"/>
        <v>0</v>
      </c>
      <c r="AA69" s="81">
        <f t="shared" ca="1" si="61"/>
        <v>0</v>
      </c>
      <c r="AB69" s="81">
        <f t="shared" ca="1" si="62"/>
        <v>0</v>
      </c>
      <c r="AD69" s="81">
        <v>2020</v>
      </c>
      <c r="AE69" s="81"/>
      <c r="AF69" s="232"/>
    </row>
    <row r="70" spans="2:32">
      <c r="B70" s="393" t="s">
        <v>1131</v>
      </c>
      <c r="D70" s="223" t="str">
        <f ca="1">IF(T69=0,"*",IF(T70&gt;0,"IND"&amp;RIGHT(H69,4)&amp;RIGHT(G69,3)&amp;"N"&amp;RIGHT(E69,1),""))</f>
        <v>*</v>
      </c>
      <c r="E70" s="223"/>
      <c r="F70" s="239" t="s">
        <v>1274</v>
      </c>
      <c r="H70" s="177"/>
      <c r="I70" s="176" t="str">
        <f t="shared" si="53"/>
        <v>INDXWH</v>
      </c>
      <c r="J70" s="239">
        <f t="shared" si="54"/>
        <v>2030</v>
      </c>
      <c r="K70" s="81"/>
      <c r="L70" s="206">
        <f t="shared" ca="1" si="63"/>
        <v>0.96</v>
      </c>
      <c r="M70" s="206"/>
      <c r="N70" s="81"/>
      <c r="O70" s="783">
        <f t="shared" ca="1" si="55"/>
        <v>2.5330000000000004</v>
      </c>
      <c r="P70" s="783">
        <f t="shared" ca="1" si="56"/>
        <v>0</v>
      </c>
      <c r="Q70" s="81">
        <f t="shared" ca="1" si="57"/>
        <v>242.28020833333332</v>
      </c>
      <c r="R70" s="333"/>
      <c r="S70" s="333"/>
      <c r="T70" s="333"/>
      <c r="U70" s="333"/>
      <c r="V70" s="759">
        <f ca="1">IF(IF(RIGHT(H69,2)="MT",(1-L70)+$W$2,IF(RIGHT(H69,2)="HT",(1-L70)+$W$1,IF(RIGHT(H69,2)="RH",(1-L70)+$W$3,"")))&lt;0,0,IF(RIGHT(H69,2)="MT",(1-L70)+$W$2,IF(RIGHT(H69,2)="HT",(1-L70)+$W$1,IF(RIGHT(H69,2)="RH",(1-L70)+$W$3,""))))</f>
        <v>0.24000000000000005</v>
      </c>
      <c r="W70" s="331"/>
      <c r="X70" s="758">
        <f t="shared" ca="1" si="58"/>
        <v>0</v>
      </c>
      <c r="Y70" s="81">
        <f t="shared" ca="1" si="59"/>
        <v>0</v>
      </c>
      <c r="Z70" s="81">
        <f t="shared" ca="1" si="60"/>
        <v>0</v>
      </c>
      <c r="AA70" s="81">
        <f t="shared" ca="1" si="61"/>
        <v>0</v>
      </c>
      <c r="AB70" s="81">
        <f t="shared" ca="1" si="62"/>
        <v>0</v>
      </c>
      <c r="AD70" s="81">
        <v>2030</v>
      </c>
      <c r="AE70" s="81"/>
      <c r="AF70" s="232"/>
    </row>
    <row r="71" spans="2:32">
      <c r="B71" s="393" t="s">
        <v>1131</v>
      </c>
      <c r="D71" s="223" t="str">
        <f ca="1">IF(T69=0,"*",IF(T71&gt;0,"IND"&amp;RIGHT(H69,4)&amp;RIGHT(G69,3)&amp;"N"&amp;RIGHT(E69,1),""))</f>
        <v>*</v>
      </c>
      <c r="E71" s="223"/>
      <c r="F71" s="239" t="s">
        <v>1274</v>
      </c>
      <c r="H71" s="177"/>
      <c r="I71" s="177" t="str">
        <f t="shared" si="53"/>
        <v>INDXWH</v>
      </c>
      <c r="J71" s="239">
        <f t="shared" si="54"/>
        <v>2050</v>
      </c>
      <c r="K71" s="81"/>
      <c r="L71" s="206">
        <f t="shared" ca="1" si="63"/>
        <v>0.96</v>
      </c>
      <c r="M71" s="206"/>
      <c r="N71" s="81"/>
      <c r="O71" s="783">
        <f t="shared" ca="1" si="55"/>
        <v>2.3467500000000001</v>
      </c>
      <c r="P71" s="783">
        <f t="shared" ca="1" si="56"/>
        <v>0</v>
      </c>
      <c r="Q71" s="81">
        <f t="shared" ca="1" si="57"/>
        <v>242.28227777777775</v>
      </c>
      <c r="R71" s="333"/>
      <c r="S71" s="333"/>
      <c r="T71" s="333"/>
      <c r="U71" s="333"/>
      <c r="V71" s="759">
        <f ca="1">IF(IF(RIGHT(H69,2)="MT",(1-L71)+$W$2,IF(RIGHT(H69,2)="HT",(1-L71)+$W$1,IF(RIGHT(H69,2)="RH",(1-L71)+$W$3,"")))&lt;0,0,IF(RIGHT(H69,2)="MT",(1-L71)+$W$2,IF(RIGHT(H69,2)="HT",(1-L71)+$W$1,IF(RIGHT(H69,2)="RH",(1-L71)+$W$3,""))))</f>
        <v>0.24000000000000005</v>
      </c>
      <c r="W71" s="331"/>
      <c r="X71" s="758">
        <f t="shared" ca="1" si="58"/>
        <v>0</v>
      </c>
      <c r="Y71" s="81">
        <f t="shared" ca="1" si="59"/>
        <v>0</v>
      </c>
      <c r="Z71" s="81">
        <f t="shared" ca="1" si="60"/>
        <v>0</v>
      </c>
      <c r="AA71" s="81">
        <f t="shared" ca="1" si="61"/>
        <v>0</v>
      </c>
      <c r="AB71" s="81">
        <f t="shared" ca="1" si="62"/>
        <v>0</v>
      </c>
      <c r="AD71" s="81">
        <v>2050</v>
      </c>
      <c r="AE71" s="81"/>
      <c r="AF71" s="232"/>
    </row>
    <row r="72" spans="2:32">
      <c r="B72" s="393" t="s">
        <v>1132</v>
      </c>
      <c r="D72" s="223" t="str">
        <f>IF(T72=0,"*",IF(T72&gt;0,"IND"&amp;RIGHT(H72,4)&amp;RIGHT(G72,3)&amp;"N"&amp;RIGHT(E72,1),""))</f>
        <v>INDXDHTELCN8</v>
      </c>
      <c r="E72" s="278" t="str">
        <f>"Industrial heating technology "&amp;$AJ$12&amp;" "&amp;RIGHT(H72,2)&amp;" - Electric boiler (Steam) - new 8"</f>
        <v>Industrial heating technology Aluminium HT - Electric boiler (Steam) - new 8</v>
      </c>
      <c r="F72" s="239" t="s">
        <v>1274</v>
      </c>
      <c r="G72" s="176" t="s">
        <v>500</v>
      </c>
      <c r="H72" s="177" t="str">
        <f>$AI$13</f>
        <v>IXDHT</v>
      </c>
      <c r="I72" s="177" t="str">
        <f t="shared" si="53"/>
        <v>INDXWH</v>
      </c>
      <c r="J72" s="239">
        <f t="shared" si="54"/>
        <v>2011</v>
      </c>
      <c r="K72" s="332">
        <f>J72</f>
        <v>2011</v>
      </c>
      <c r="L72" s="366">
        <f ca="1">VLOOKUP($AD72,INDIRECT("'"&amp;$B72&amp;"'!"&amp;"$P$39:$AD$42"),3,FALSE)*0.5</f>
        <v>0.495</v>
      </c>
      <c r="M72" s="206"/>
      <c r="N72" s="81">
        <f ca="1">VLOOKUP($AD72,INDIRECT("'"&amp;$B72&amp;"'!"&amp;"$P$39:$AD$42"),5,FALSE)</f>
        <v>25</v>
      </c>
      <c r="O72" s="783">
        <f t="shared" ca="1" si="55"/>
        <v>0.59599999999999997</v>
      </c>
      <c r="P72" s="783">
        <f t="shared" ca="1" si="56"/>
        <v>7.9714999999999994E-3</v>
      </c>
      <c r="Q72" s="81">
        <f t="shared" ca="1" si="57"/>
        <v>1.7900694444444445</v>
      </c>
      <c r="R72" s="81">
        <v>3.1536000000000002E-2</v>
      </c>
      <c r="S72" s="206">
        <v>0.5</v>
      </c>
      <c r="T72" s="206">
        <v>1</v>
      </c>
      <c r="U72" s="832"/>
      <c r="V72" s="759">
        <f ca="1">IF(IF(RIGHT(H72,2)="MT",(1-L72)+$W$2,IF(RIGHT(H72,2)="HT",(1-L72)+$W$1,IF(RIGHT(H72,2)="RH",(1-L72)+$W$3,"")))&lt;0,0,IF(RIGHT(H72,2)="MT",(1-L72)+$W$2,IF(RIGHT(H72,2)="HT",(1-L72)+$W$1,IF(RIGHT(H72,2)="RH",(1-L72)+$W$3,""))))</f>
        <v>0.80499999999999994</v>
      </c>
      <c r="W72" s="331"/>
      <c r="X72" s="758">
        <f t="shared" ca="1" si="58"/>
        <v>0</v>
      </c>
      <c r="Y72" s="81">
        <f t="shared" ca="1" si="59"/>
        <v>0</v>
      </c>
      <c r="Z72" s="81">
        <f t="shared" ca="1" si="60"/>
        <v>0</v>
      </c>
      <c r="AA72" s="81">
        <f t="shared" ca="1" si="61"/>
        <v>0</v>
      </c>
      <c r="AB72" s="81">
        <f t="shared" ca="1" si="62"/>
        <v>0</v>
      </c>
      <c r="AD72" s="81">
        <v>2020</v>
      </c>
      <c r="AE72" s="81"/>
      <c r="AF72" s="232"/>
    </row>
    <row r="73" spans="2:32">
      <c r="B73" s="393" t="s">
        <v>1132</v>
      </c>
      <c r="D73" s="223" t="str">
        <f>IF(T72=0,"*",IF(T73&gt;0,"IND"&amp;RIGHT(H72,4)&amp;RIGHT(G72,3)&amp;"N"&amp;RIGHT(E72,1),""))</f>
        <v/>
      </c>
      <c r="E73" s="223"/>
      <c r="F73" s="239" t="s">
        <v>1274</v>
      </c>
      <c r="H73" s="177"/>
      <c r="I73" s="177" t="str">
        <f t="shared" si="53"/>
        <v>INDXWH</v>
      </c>
      <c r="J73" s="239">
        <f t="shared" si="54"/>
        <v>2030</v>
      </c>
      <c r="K73" s="81"/>
      <c r="L73" s="366">
        <f ca="1">VLOOKUP($AD73,INDIRECT("'"&amp;$B73&amp;"'!"&amp;"$P$39:$AD$42"),3,FALSE)*0.5</f>
        <v>0.495</v>
      </c>
      <c r="M73" s="206"/>
      <c r="N73" s="81"/>
      <c r="O73" s="783">
        <f t="shared" ca="1" si="55"/>
        <v>0.52150000000000007</v>
      </c>
      <c r="P73" s="783">
        <f t="shared" ca="1" si="56"/>
        <v>7.5989999999999999E-3</v>
      </c>
      <c r="Q73" s="81">
        <f t="shared" ca="1" si="57"/>
        <v>1.8107638888888888</v>
      </c>
      <c r="R73" s="333"/>
      <c r="S73" s="333"/>
      <c r="T73" s="333"/>
      <c r="U73" s="333"/>
      <c r="V73" s="759">
        <f ca="1">IF(IF(RIGHT(H72,2)="MT",(1-L73)+$W$2,IF(RIGHT(H72,2)="HT",(1-L73)+$W$1,IF(RIGHT(H72,2)="RH",(1-L73)+$W$3,"")))&lt;0,0,IF(RIGHT(H72,2)="MT",(1-L73)+$W$2,IF(RIGHT(H72,2)="HT",(1-L73)+$W$1,IF(RIGHT(H72,2)="RH",(1-L73)+$W$3,""))))</f>
        <v>0.80499999999999994</v>
      </c>
      <c r="W73" s="331"/>
      <c r="X73" s="758">
        <f t="shared" ca="1" si="58"/>
        <v>0</v>
      </c>
      <c r="Y73" s="81">
        <f t="shared" ca="1" si="59"/>
        <v>0</v>
      </c>
      <c r="Z73" s="81">
        <f t="shared" ca="1" si="60"/>
        <v>0</v>
      </c>
      <c r="AA73" s="81">
        <f t="shared" ca="1" si="61"/>
        <v>0</v>
      </c>
      <c r="AB73" s="81">
        <f t="shared" ca="1" si="62"/>
        <v>0</v>
      </c>
      <c r="AD73" s="81">
        <v>2030</v>
      </c>
      <c r="AE73" s="81"/>
      <c r="AF73" s="232"/>
    </row>
    <row r="74" spans="2:32">
      <c r="B74" s="393" t="s">
        <v>1132</v>
      </c>
      <c r="D74" s="223" t="str">
        <f>IF(T72=0,"*",IF(T74&gt;0,"IND"&amp;RIGHT(H72,4)&amp;RIGHT(G72,3)&amp;"N"&amp;RIGHT(E72,1),""))</f>
        <v/>
      </c>
      <c r="E74" s="223"/>
      <c r="F74" s="239" t="s">
        <v>1274</v>
      </c>
      <c r="H74" s="177"/>
      <c r="I74" s="177" t="str">
        <f t="shared" si="53"/>
        <v>INDXWH</v>
      </c>
      <c r="J74" s="239">
        <f t="shared" si="54"/>
        <v>2050</v>
      </c>
      <c r="K74" s="81"/>
      <c r="L74" s="366">
        <f ca="1">VLOOKUP($AD74,INDIRECT("'"&amp;$B74&amp;"'!"&amp;"$P$39:$AD$42"),3,FALSE)*0.5</f>
        <v>0.495</v>
      </c>
      <c r="M74" s="206"/>
      <c r="N74" s="81"/>
      <c r="O74" s="783">
        <f t="shared" ca="1" si="55"/>
        <v>0.52150000000000007</v>
      </c>
      <c r="P74" s="783">
        <f t="shared" ca="1" si="56"/>
        <v>6.8539999999999998E-3</v>
      </c>
      <c r="Q74" s="81">
        <f t="shared" ca="1" si="57"/>
        <v>1.6141666666666665</v>
      </c>
      <c r="R74" s="333"/>
      <c r="S74" s="333"/>
      <c r="T74" s="333"/>
      <c r="U74" s="333"/>
      <c r="V74" s="759">
        <f ca="1">IF(IF(RIGHT(H72,2)="MT",(1-L74)+$W$2,IF(RIGHT(H72,2)="HT",(1-L74)+$W$1,IF(RIGHT(H72,2)="RH",(1-L74)+$W$3,"")))&lt;0,0,IF(RIGHT(H72,2)="MT",(1-L74)+$W$2,IF(RIGHT(H72,2)="HT",(1-L74)+$W$1,IF(RIGHT(H72,2)="RH",(1-L74)+$W$3,""))))</f>
        <v>0.80499999999999994</v>
      </c>
      <c r="W74" s="331"/>
      <c r="X74" s="758">
        <f t="shared" ca="1" si="58"/>
        <v>0</v>
      </c>
      <c r="Y74" s="81">
        <f t="shared" ca="1" si="59"/>
        <v>0</v>
      </c>
      <c r="Z74" s="81">
        <f t="shared" ca="1" si="60"/>
        <v>0</v>
      </c>
      <c r="AA74" s="81">
        <f t="shared" ca="1" si="61"/>
        <v>0</v>
      </c>
      <c r="AB74" s="81">
        <f t="shared" ca="1" si="62"/>
        <v>0</v>
      </c>
      <c r="AD74" s="81">
        <v>2050</v>
      </c>
      <c r="AE74" s="81"/>
      <c r="AF74" s="232"/>
    </row>
    <row r="75" spans="2:32">
      <c r="B75" s="393" t="s">
        <v>1132</v>
      </c>
      <c r="D75" s="223" t="str">
        <f ca="1">IF(T75=0,"*",IF(T75&gt;0,"IND"&amp;RIGHT(H75,4)&amp;RIGHT(G75,3)&amp;"N"&amp;RIGHT(E75,1),""))</f>
        <v>INDXDMTELCN8</v>
      </c>
      <c r="E75" s="278" t="str">
        <f>"Industrial heating technology "&amp;$AJ$12&amp;" "&amp;RIGHT(H75,2)&amp;" - Electric boiler (Steam) - new 8"</f>
        <v>Industrial heating technology Aluminium MT - Electric boiler (Steam) - new 8</v>
      </c>
      <c r="F75" s="239" t="s">
        <v>1274</v>
      </c>
      <c r="G75" s="176" t="s">
        <v>500</v>
      </c>
      <c r="H75" s="177" t="str">
        <f>$AI$14</f>
        <v>IXDMT</v>
      </c>
      <c r="I75" s="177" t="str">
        <f t="shared" si="53"/>
        <v>INDXWH</v>
      </c>
      <c r="J75" s="239">
        <f t="shared" si="54"/>
        <v>2011</v>
      </c>
      <c r="K75" s="332">
        <f>J75</f>
        <v>2011</v>
      </c>
      <c r="L75" s="206">
        <f t="shared" ca="1" si="63"/>
        <v>0.99</v>
      </c>
      <c r="M75" s="206"/>
      <c r="N75" s="81">
        <f ca="1">VLOOKUP($AD75,INDIRECT("'"&amp;$B75&amp;"'!"&amp;"$P$39:$AD$42"),5,FALSE)</f>
        <v>25</v>
      </c>
      <c r="O75" s="783">
        <f t="shared" ca="1" si="55"/>
        <v>0.59599999999999997</v>
      </c>
      <c r="P75" s="783">
        <f t="shared" ca="1" si="56"/>
        <v>7.9714999999999994E-3</v>
      </c>
      <c r="Q75" s="81">
        <f t="shared" ca="1" si="57"/>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8"/>
        <v>0</v>
      </c>
      <c r="Y75" s="81">
        <f t="shared" ca="1" si="59"/>
        <v>0</v>
      </c>
      <c r="Z75" s="81">
        <f t="shared" ca="1" si="60"/>
        <v>0</v>
      </c>
      <c r="AA75" s="81">
        <f t="shared" ca="1" si="61"/>
        <v>0</v>
      </c>
      <c r="AB75" s="81">
        <f t="shared" ca="1" si="62"/>
        <v>0</v>
      </c>
      <c r="AD75" s="81">
        <v>2020</v>
      </c>
      <c r="AE75" s="81"/>
      <c r="AF75" s="232"/>
    </row>
    <row r="76" spans="2:32">
      <c r="B76" s="393" t="s">
        <v>1132</v>
      </c>
      <c r="D76" s="223" t="str">
        <f ca="1">IF(T75=0,"*",IF(T76&gt;0,"IND"&amp;RIGHT(H75,4)&amp;RIGHT(G75,3)&amp;"N"&amp;RIGHT(E75,1),""))</f>
        <v/>
      </c>
      <c r="E76" s="223"/>
      <c r="F76" s="239" t="s">
        <v>1274</v>
      </c>
      <c r="H76" s="177"/>
      <c r="I76" s="177" t="str">
        <f t="shared" si="53"/>
        <v>INDXWH</v>
      </c>
      <c r="J76" s="239">
        <f t="shared" si="54"/>
        <v>2030</v>
      </c>
      <c r="K76" s="81"/>
      <c r="L76" s="206">
        <f t="shared" ca="1" si="63"/>
        <v>0.99</v>
      </c>
      <c r="M76" s="206"/>
      <c r="N76" s="81"/>
      <c r="O76" s="783">
        <f t="shared" ca="1" si="55"/>
        <v>0.52150000000000007</v>
      </c>
      <c r="P76" s="783">
        <f t="shared" ca="1" si="56"/>
        <v>7.5989999999999999E-3</v>
      </c>
      <c r="Q76" s="81">
        <f t="shared" ca="1" si="57"/>
        <v>1.8107638888888888</v>
      </c>
      <c r="R76" s="333"/>
      <c r="S76" s="333"/>
      <c r="T76" s="333"/>
      <c r="U76" s="333"/>
      <c r="V76" s="759">
        <f ca="1">IF(IF(RIGHT(H75,2)="MT",(1-L76)+$W$2,IF(RIGHT(H75,2)="HT",(1-L76)+$W$1,IF(RIGHT(H75,2)="RH",(1-L76)+$W$3,"")))&lt;0,0,IF(RIGHT(H75,2)="MT",(1-L76)+$W$2,IF(RIGHT(H75,2)="HT",(1-L76)+$W$1,IF(RIGHT(H75,2)="RH",(1-L76)+$W$3,""))))</f>
        <v>0.21000000000000002</v>
      </c>
      <c r="W76" s="331"/>
      <c r="X76" s="758">
        <f t="shared" ca="1" si="58"/>
        <v>0</v>
      </c>
      <c r="Y76" s="81">
        <f t="shared" ca="1" si="59"/>
        <v>0</v>
      </c>
      <c r="Z76" s="81">
        <f t="shared" ca="1" si="60"/>
        <v>0</v>
      </c>
      <c r="AA76" s="81">
        <f t="shared" ca="1" si="61"/>
        <v>0</v>
      </c>
      <c r="AB76" s="81">
        <f t="shared" ca="1" si="62"/>
        <v>0</v>
      </c>
      <c r="AD76" s="81">
        <v>2030</v>
      </c>
      <c r="AE76" s="81"/>
      <c r="AF76" s="232"/>
    </row>
    <row r="77" spans="2:32">
      <c r="B77" s="393" t="s">
        <v>1132</v>
      </c>
      <c r="D77" s="223" t="str">
        <f ca="1">IF(T75=0,"*",IF(T77&gt;0,"IND"&amp;RIGHT(H75,4)&amp;RIGHT(G75,3)&amp;"N"&amp;RIGHT(E75,1),""))</f>
        <v/>
      </c>
      <c r="E77" s="223"/>
      <c r="F77" s="239" t="s">
        <v>1274</v>
      </c>
      <c r="H77" s="177"/>
      <c r="I77" s="177" t="str">
        <f t="shared" si="53"/>
        <v>INDXWH</v>
      </c>
      <c r="J77" s="239">
        <f t="shared" si="54"/>
        <v>2050</v>
      </c>
      <c r="K77" s="81"/>
      <c r="L77" s="206">
        <f t="shared" ca="1" si="63"/>
        <v>0.99</v>
      </c>
      <c r="M77" s="206"/>
      <c r="N77" s="81"/>
      <c r="O77" s="783">
        <f t="shared" ca="1" si="55"/>
        <v>0.52150000000000007</v>
      </c>
      <c r="P77" s="783">
        <f t="shared" ca="1" si="56"/>
        <v>6.8539999999999998E-3</v>
      </c>
      <c r="Q77" s="81">
        <f t="shared" ca="1" si="57"/>
        <v>1.6141666666666665</v>
      </c>
      <c r="R77" s="333"/>
      <c r="S77" s="333"/>
      <c r="T77" s="333"/>
      <c r="U77" s="333"/>
      <c r="V77" s="759">
        <f ca="1">IF(IF(RIGHT(H75,2)="MT",(1-L77)+$W$2,IF(RIGHT(H75,2)="HT",(1-L77)+$W$1,IF(RIGHT(H75,2)="RH",(1-L77)+$W$3,"")))&lt;0,0,IF(RIGHT(H75,2)="MT",(1-L77)+$W$2,IF(RIGHT(H75,2)="HT",(1-L77)+$W$1,IF(RIGHT(H75,2)="RH",(1-L77)+$W$3,""))))</f>
        <v>0.21000000000000002</v>
      </c>
      <c r="W77" s="331"/>
      <c r="X77" s="758">
        <f t="shared" ca="1" si="58"/>
        <v>0</v>
      </c>
      <c r="Y77" s="81">
        <f t="shared" ca="1" si="59"/>
        <v>0</v>
      </c>
      <c r="Z77" s="81">
        <f t="shared" ca="1" si="60"/>
        <v>0</v>
      </c>
      <c r="AA77" s="81">
        <f t="shared" ca="1" si="61"/>
        <v>0</v>
      </c>
      <c r="AB77" s="81">
        <f t="shared" ca="1" si="62"/>
        <v>0</v>
      </c>
      <c r="AD77" s="81">
        <v>2050</v>
      </c>
      <c r="AE77" s="766"/>
      <c r="AF77" s="232"/>
    </row>
    <row r="78" spans="2:32">
      <c r="B78" s="393" t="s">
        <v>1132</v>
      </c>
      <c r="D78" s="223" t="str">
        <f>IF(T78=0,"*",IF(T78&gt;0,"IND"&amp;RIGHT(H78,4)&amp;RIGHT(G78,3)&amp;"N"&amp;RIGHT(E78,1),""))</f>
        <v>INDXDRHELCN8</v>
      </c>
      <c r="E78" s="278" t="str">
        <f>"Industrial heating technology "&amp;$AJ$12&amp;" "&amp;RIGHT(H78,2)&amp;" - Electric boiler (Steam) - new 8"</f>
        <v>Industrial heating technology Aluminium RH - Electric boiler (Steam) - new 8</v>
      </c>
      <c r="F78" s="239" t="s">
        <v>1274</v>
      </c>
      <c r="G78" s="176" t="s">
        <v>500</v>
      </c>
      <c r="H78" s="177" t="str">
        <f>$AI$15</f>
        <v>IXDRH</v>
      </c>
      <c r="I78" s="177" t="str">
        <f t="shared" si="53"/>
        <v>INDXWH</v>
      </c>
      <c r="J78" s="239">
        <f t="shared" si="54"/>
        <v>2011</v>
      </c>
      <c r="K78" s="332">
        <f>J78</f>
        <v>2011</v>
      </c>
      <c r="L78" s="206">
        <f t="shared" ca="1" si="63"/>
        <v>0.99</v>
      </c>
      <c r="M78" s="206"/>
      <c r="N78" s="81">
        <f ca="1">VLOOKUP($AD78,INDIRECT("'"&amp;$B78&amp;"'!"&amp;"$P$39:$AD$42"),5,FALSE)</f>
        <v>25</v>
      </c>
      <c r="O78" s="783">
        <f t="shared" ca="1" si="55"/>
        <v>0.59599999999999997</v>
      </c>
      <c r="P78" s="783">
        <f t="shared" ca="1" si="56"/>
        <v>7.9714999999999994E-3</v>
      </c>
      <c r="Q78" s="81">
        <f t="shared" ca="1" si="57"/>
        <v>1.7900694444444445</v>
      </c>
      <c r="R78" s="81">
        <v>3.1536000000000002E-2</v>
      </c>
      <c r="S78" s="206">
        <v>0.5</v>
      </c>
      <c r="T78" s="206">
        <v>1</v>
      </c>
      <c r="U78" s="832"/>
      <c r="V78" s="759">
        <f ca="1">IF(IF(RIGHT(H78,2)="MT",(1-L78)+$W$2,IF(RIGHT(H78,2)="HT",(1-L78)+$W$1,IF(RIGHT(H78,2)="RH",(1-L78)+$W$3,"")))&lt;0,0,IF(RIGHT(H78,2)="MT",(1-L78)+$W$2,IF(RIGHT(H78,2)="HT",(1-L78)+$W$1,IF(RIGHT(H78,2)="RH",(1-L78)+$W$3,""))))</f>
        <v>1.0000000000000009E-2</v>
      </c>
      <c r="W78" s="331"/>
      <c r="X78" s="758">
        <f t="shared" ca="1" si="58"/>
        <v>0</v>
      </c>
      <c r="Y78" s="81">
        <f t="shared" ca="1" si="59"/>
        <v>0</v>
      </c>
      <c r="Z78" s="81">
        <f t="shared" ca="1" si="60"/>
        <v>0</v>
      </c>
      <c r="AA78" s="81">
        <f t="shared" ca="1" si="61"/>
        <v>0</v>
      </c>
      <c r="AB78" s="81">
        <f t="shared" ca="1" si="62"/>
        <v>0</v>
      </c>
      <c r="AC78" s="329"/>
      <c r="AD78" s="81">
        <v>2020</v>
      </c>
      <c r="AE78" s="81"/>
      <c r="AF78" s="770"/>
    </row>
    <row r="79" spans="2:32">
      <c r="B79" s="393" t="s">
        <v>1132</v>
      </c>
      <c r="D79" s="223" t="str">
        <f>IF(T78=0,"*",IF(T79&gt;0,"IND"&amp;RIGHT(H78,4)&amp;RIGHT(G78,3)&amp;"N"&amp;RIGHT(E78,1),""))</f>
        <v/>
      </c>
      <c r="E79" s="223"/>
      <c r="F79" s="239" t="s">
        <v>1274</v>
      </c>
      <c r="H79" s="177"/>
      <c r="I79" s="177" t="str">
        <f t="shared" si="53"/>
        <v>INDXWH</v>
      </c>
      <c r="J79" s="239">
        <f t="shared" si="54"/>
        <v>2030</v>
      </c>
      <c r="K79" s="81"/>
      <c r="L79" s="206">
        <f t="shared" ca="1" si="63"/>
        <v>0.99</v>
      </c>
      <c r="M79" s="206"/>
      <c r="N79" s="81"/>
      <c r="O79" s="783">
        <f t="shared" ca="1" si="55"/>
        <v>0.52150000000000007</v>
      </c>
      <c r="P79" s="783">
        <f t="shared" ca="1" si="56"/>
        <v>7.5989999999999999E-3</v>
      </c>
      <c r="Q79" s="81">
        <f t="shared" ca="1" si="57"/>
        <v>1.8107638888888888</v>
      </c>
      <c r="R79" s="333"/>
      <c r="S79" s="333"/>
      <c r="T79" s="333"/>
      <c r="U79" s="333"/>
      <c r="V79" s="759">
        <f ca="1">IF(IF(RIGHT(H78,2)="MT",(1-L79)+$W$2,IF(RIGHT(H78,2)="HT",(1-L79)+$W$1,IF(RIGHT(H78,2)="RH",(1-L79)+$W$3,"")))&lt;0,0,IF(RIGHT(H78,2)="MT",(1-L79)+$W$2,IF(RIGHT(H78,2)="HT",(1-L79)+$W$1,IF(RIGHT(H78,2)="RH",(1-L79)+$W$3,""))))</f>
        <v>1.0000000000000009E-2</v>
      </c>
      <c r="W79" s="331"/>
      <c r="X79" s="758">
        <f t="shared" ca="1" si="58"/>
        <v>0</v>
      </c>
      <c r="Y79" s="81">
        <f t="shared" ca="1" si="59"/>
        <v>0</v>
      </c>
      <c r="Z79" s="81">
        <f t="shared" ca="1" si="60"/>
        <v>0</v>
      </c>
      <c r="AA79" s="81">
        <f t="shared" ca="1" si="61"/>
        <v>0</v>
      </c>
      <c r="AB79" s="81">
        <f t="shared" ca="1" si="62"/>
        <v>0</v>
      </c>
      <c r="AC79" s="55"/>
      <c r="AD79" s="81">
        <v>2030</v>
      </c>
      <c r="AE79" s="81"/>
      <c r="AF79" s="760"/>
    </row>
    <row r="80" spans="2:32">
      <c r="B80" s="393" t="s">
        <v>1132</v>
      </c>
      <c r="D80" s="223" t="str">
        <f>IF(T78=0,"*",IF(T80&gt;0,"IND"&amp;RIGHT(H78,4)&amp;RIGHT(G78,3)&amp;"N"&amp;RIGHT(E78,1),""))</f>
        <v/>
      </c>
      <c r="E80" s="223"/>
      <c r="F80" s="239" t="s">
        <v>1274</v>
      </c>
      <c r="H80" s="177"/>
      <c r="I80" s="177" t="str">
        <f t="shared" si="53"/>
        <v>INDXWH</v>
      </c>
      <c r="J80" s="239">
        <f t="shared" si="54"/>
        <v>2050</v>
      </c>
      <c r="K80" s="766"/>
      <c r="L80" s="206">
        <f t="shared" ca="1" si="63"/>
        <v>0.99</v>
      </c>
      <c r="M80" s="834"/>
      <c r="N80" s="766"/>
      <c r="O80" s="784">
        <f t="shared" ca="1" si="55"/>
        <v>0.52150000000000007</v>
      </c>
      <c r="P80" s="784">
        <f t="shared" ca="1" si="56"/>
        <v>6.8539999999999998E-3</v>
      </c>
      <c r="Q80" s="766">
        <f t="shared" ca="1" si="57"/>
        <v>1.6141666666666665</v>
      </c>
      <c r="R80" s="333"/>
      <c r="S80" s="333"/>
      <c r="T80" s="333"/>
      <c r="U80" s="333"/>
      <c r="V80" s="759">
        <f ca="1">IF(IF(RIGHT(H78,2)="MT",(1-L80)+$W$2,IF(RIGHT(H78,2)="HT",(1-L80)+$W$1,IF(RIGHT(H78,2)="RH",(1-L80)+$W$3,"")))&lt;0,0,IF(RIGHT(H78,2)="MT",(1-L80)+$W$2,IF(RIGHT(H78,2)="HT",(1-L80)+$W$1,IF(RIGHT(H78,2)="RH",(1-L80)+$W$3,""))))</f>
        <v>1.0000000000000009E-2</v>
      </c>
      <c r="W80" s="331"/>
      <c r="X80" s="758">
        <f t="shared" ca="1" si="58"/>
        <v>0</v>
      </c>
      <c r="Y80" s="766">
        <f t="shared" ca="1" si="59"/>
        <v>0</v>
      </c>
      <c r="Z80" s="766">
        <f t="shared" ca="1" si="60"/>
        <v>0</v>
      </c>
      <c r="AA80" s="766">
        <f t="shared" ca="1" si="61"/>
        <v>0</v>
      </c>
      <c r="AB80" s="766">
        <f t="shared" ca="1" si="62"/>
        <v>0</v>
      </c>
      <c r="AC80" s="55"/>
      <c r="AD80" s="766">
        <v>2050</v>
      </c>
      <c r="AE80" s="81"/>
      <c r="AF80" s="760"/>
    </row>
    <row r="81" spans="1:33">
      <c r="B81" s="776" t="s">
        <v>1132</v>
      </c>
      <c r="C81" s="329"/>
      <c r="D81" s="223" t="str">
        <f ca="1">IF(T81=0,"*",IF(T81&gt;0,"IND"&amp;RIGHT(H81,4)&amp;RIGHT(G81,3)&amp;"N"&amp;RIGHT(E81,1),""))</f>
        <v>INDXDMTELCN9</v>
      </c>
      <c r="E81" s="767" t="str">
        <f>"Industrial heating technology "&amp;$AJ$12&amp;" "&amp;RIGHT(H81,2)&amp;" - Electric boiler (Hot Water) - new 9"</f>
        <v>Industrial heating technology Aluminium MT - Electric boiler (Hot Water) - new 9</v>
      </c>
      <c r="F81" s="239" t="s">
        <v>1274</v>
      </c>
      <c r="G81" s="768" t="s">
        <v>500</v>
      </c>
      <c r="H81" s="768" t="str">
        <f>$AI$14</f>
        <v>IXDMT</v>
      </c>
      <c r="I81" s="768" t="str">
        <f t="shared" si="53"/>
        <v>INDXWH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8"/>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INDXWH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8"/>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INDXWH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8"/>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IF(T84=0,"*",IF(T84&gt;0,"IND"&amp;RIGHT(H84,4)&amp;RIGHT(G84,3)&amp;"N"&amp;RIGHT(E84,1),""))</f>
        <v>INDXDRHELCN9</v>
      </c>
      <c r="E84" s="278" t="str">
        <f>"Industrial heating technology "&amp;$AJ$12&amp;" "&amp;RIGHT(H84,2)&amp;" - Electric boiler (Hot Water) - new 9"</f>
        <v>Industrial heating technology Aluminium RH - Electric boiler (Hot Water) - new 9</v>
      </c>
      <c r="F84" s="239" t="s">
        <v>1274</v>
      </c>
      <c r="G84" s="177" t="s">
        <v>500</v>
      </c>
      <c r="H84" s="177" t="str">
        <f>$AI$15</f>
        <v>IXDRH</v>
      </c>
      <c r="I84" s="177" t="str">
        <f t="shared" si="53"/>
        <v>INDXWH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v>1</v>
      </c>
      <c r="U84" s="832"/>
      <c r="V84" s="759">
        <f ca="1">IF(IF(RIGHT(H84,2)="MT",(1-L84)+$W$2,IF(RIGHT(H84,2)="HT",(1-L84)+$W$1,IF(RIGHT(H84,2)="RH",(1-L84)+$W$3,"")))&lt;0,0,IF(RIGHT(H84,2)="MT",(1-L84)+$W$2,IF(RIGHT(H84,2)="HT",(1-L84)+$W$1,IF(RIGHT(H84,2)="RH",(1-L84)+$W$3,""))))</f>
        <v>1.0000000000000009E-2</v>
      </c>
      <c r="W84" s="331"/>
      <c r="X84" s="758">
        <f t="shared" ca="1" si="58"/>
        <v>0</v>
      </c>
      <c r="Y84" s="758">
        <f t="shared" ca="1" si="68"/>
        <v>0</v>
      </c>
      <c r="Z84" s="758">
        <f t="shared" ca="1" si="69"/>
        <v>0</v>
      </c>
      <c r="AA84" s="758">
        <f t="shared" ca="1" si="70"/>
        <v>0</v>
      </c>
      <c r="AB84" s="758">
        <f t="shared" ca="1" si="71"/>
        <v>0</v>
      </c>
      <c r="AD84" s="81">
        <v>2020</v>
      </c>
      <c r="AE84" s="332"/>
      <c r="AF84" s="232"/>
    </row>
    <row r="85" spans="1:33">
      <c r="B85" s="393" t="s">
        <v>1132</v>
      </c>
      <c r="C85" s="55"/>
      <c r="D85" s="223" t="str">
        <f>IF(T84=0,"*",IF(T85&gt;0,"IND"&amp;RIGHT(H84,4)&amp;RIGHT(G84,3)&amp;"N"&amp;RIGHT(E84,1),""))</f>
        <v/>
      </c>
      <c r="E85" s="278"/>
      <c r="F85" s="239" t="s">
        <v>1274</v>
      </c>
      <c r="G85" s="55"/>
      <c r="H85" s="177"/>
      <c r="I85" s="177" t="str">
        <f t="shared" si="53"/>
        <v>INDXWH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8"/>
        <v>0</v>
      </c>
      <c r="Y85" s="758">
        <f t="shared" ca="1" si="68"/>
        <v>0</v>
      </c>
      <c r="Z85" s="758">
        <f t="shared" ca="1" si="69"/>
        <v>0</v>
      </c>
      <c r="AA85" s="758">
        <f t="shared" ca="1" si="70"/>
        <v>0</v>
      </c>
      <c r="AB85" s="758">
        <f t="shared" ca="1" si="71"/>
        <v>0</v>
      </c>
      <c r="AD85" s="81">
        <v>2030</v>
      </c>
      <c r="AE85" s="81"/>
      <c r="AF85" s="232"/>
    </row>
    <row r="86" spans="1:33">
      <c r="B86" s="390" t="s">
        <v>1132</v>
      </c>
      <c r="C86" s="211"/>
      <c r="D86" s="223" t="str">
        <f>IF(T84=0,"*",IF(T86&gt;0,"IND"&amp;RIGHT(H84,4)&amp;RIGHT(G84,3)&amp;"N"&amp;RIGHT(E84,1),""))</f>
        <v/>
      </c>
      <c r="E86" s="761"/>
      <c r="F86" s="239" t="s">
        <v>1274</v>
      </c>
      <c r="G86" s="211"/>
      <c r="H86" s="762"/>
      <c r="I86" s="762" t="str">
        <f t="shared" si="53"/>
        <v>INDXWH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8"/>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v>
      </c>
      <c r="E87" s="278" t="str">
        <f>"Industrial heating technology "&amp;$AJ$12&amp;" "&amp;RIGHT(H87,2)&amp;" - Wood chip boiler (Steam) - new 1"</f>
        <v>Industrial heating technology Aluminium HT - Wood chip boiler (Steam) - new 1</v>
      </c>
      <c r="F87" s="239" t="s">
        <v>1274</v>
      </c>
      <c r="G87" s="176" t="s">
        <v>499</v>
      </c>
      <c r="H87" s="177" t="str">
        <f>$AI$13</f>
        <v>IXDHT</v>
      </c>
      <c r="I87" s="177" t="str">
        <f t="shared" si="53"/>
        <v>INDXWH</v>
      </c>
      <c r="J87" s="239">
        <f t="shared" si="54"/>
        <v>2011</v>
      </c>
      <c r="K87" s="332">
        <f>J87</f>
        <v>2011</v>
      </c>
      <c r="L87" s="366">
        <f ca="1">VLOOKUP($AD87,INDIRECT("'"&amp;$B87&amp;"'!"&amp;"$P$39:$AD$42"),3,FALSE)*0.5</f>
        <v>0.44500000000000001</v>
      </c>
      <c r="M87" s="759"/>
      <c r="N87" s="332">
        <f ca="1">VLOOKUP($AD87,INDIRECT("'"&amp;$B87&amp;"'!"&amp;"$P$39:$AD$42"),5,FALSE)</f>
        <v>25</v>
      </c>
      <c r="O87" s="785">
        <f t="shared" ref="O87:O95" ca="1" si="72">VLOOKUP($AD87,INDIRECT("'"&amp;$B87&amp;"'!"&amp;"$P$39:$AD$42"),6,FALSE)/1000</f>
        <v>4.6054545454545455</v>
      </c>
      <c r="P87" s="785">
        <f t="shared" ref="P87:P95" ca="1" si="73">VLOOKUP($AD87,INDIRECT("'"&amp;$B87&amp;"'!"&amp;"$P$39:$AD$42"),7,FALSE)/1000</f>
        <v>0.25106499999999998</v>
      </c>
      <c r="Q87" s="332">
        <f t="shared" ref="Q87:Q95" ca="1" si="74">VLOOKUP($AD87,INDIRECT("'"&amp;$B87&amp;"'!"&amp;"$P$39:$AD$42"),8,FALSE)</f>
        <v>5.7509861111111107</v>
      </c>
      <c r="R87" s="332">
        <v>3.1536000000000002E-2</v>
      </c>
      <c r="S87" s="759">
        <v>0.5</v>
      </c>
      <c r="T87" s="206">
        <f ca="1">IF(HLOOKUP($T$2,INDIRECT("'"&amp;$B87&amp;"'!"&amp;"$P$6:$AE$19"),IF(H87=$AI$13,6,IF(H87=$AI$14,9,14)),FALSE)&lt;0.03,0,HLOOKUP($T$2,INDIRECT("'"&amp;$B87&amp;"'!"&amp;"$P$6:$AE$19"),IF(H87=$AI$13,6,IF(H87=$AI$14,9,14)),FALSE))</f>
        <v>0</v>
      </c>
      <c r="U87" s="832"/>
      <c r="V87" s="759">
        <f ca="1">IF(IF(RIGHT(H87,2)="MT",(1-L87)+$W$2,IF(RIGHT(H87,2)="HT",(1-L87)+$W$1,IF(RIGHT(H87,2)="RH",(1-L87)+$W$3,"")))&lt;0,0,IF(RIGHT(H87,2)="MT",(1-L87)+$W$2,IF(RIGHT(H87,2)="HT",(1-L87)+$W$1,IF(RIGHT(H87,2)="RH",(1-L87)+$W$3,""))))</f>
        <v>0.85499999999999998</v>
      </c>
      <c r="W87" s="331"/>
      <c r="X87" s="758">
        <f t="shared" ca="1" si="58"/>
        <v>11</v>
      </c>
      <c r="Y87" s="332">
        <f t="shared" ref="Y87:Y95" ca="1" si="75">VLOOKUP($AD87,INDIRECT("'"&amp;$B87&amp;"'!"&amp;"$P$39:$AD$42"),12,FALSE)</f>
        <v>63</v>
      </c>
      <c r="Z87" s="332">
        <f t="shared" ref="Z87:Z95" ca="1" si="76">VLOOKUP($AD87,INDIRECT("'"&amp;$B87&amp;"'!"&amp;"$P$39:$AD$42"),13,FALSE)</f>
        <v>11</v>
      </c>
      <c r="AA87" s="332">
        <f t="shared" ref="AA87:AA95" ca="1" si="77">VLOOKUP($AD87,INDIRECT("'"&amp;$B87&amp;"'!"&amp;"$P$39:$AD$42"),14,FALSE)</f>
        <v>3</v>
      </c>
      <c r="AB87" s="332">
        <f t="shared" ref="AB87:AB95" ca="1" si="78">VLOOKUP($AD87,INDIRECT("'"&amp;$B87&amp;"'!"&amp;"$P$39:$AD$42"),15,FALSE)</f>
        <v>10</v>
      </c>
      <c r="AD87" s="332">
        <v>2020</v>
      </c>
      <c r="AE87" s="81"/>
      <c r="AF87" s="232"/>
    </row>
    <row r="88" spans="1:33">
      <c r="B88" s="393" t="s">
        <v>1133</v>
      </c>
      <c r="D88" s="223" t="str">
        <f ca="1">IF(T87=0,"*",IF(T88&gt;0,"IND"&amp;RIGHT(H87,4)&amp;RIGHT(G87,3)&amp;"N"&amp;RIGHT(E87,1),""))</f>
        <v>*</v>
      </c>
      <c r="E88" s="223"/>
      <c r="F88" s="239" t="s">
        <v>1274</v>
      </c>
      <c r="H88" s="177"/>
      <c r="I88" s="177" t="str">
        <f t="shared" si="53"/>
        <v>INDXWH</v>
      </c>
      <c r="J88" s="239">
        <f t="shared" si="54"/>
        <v>2030</v>
      </c>
      <c r="K88" s="81"/>
      <c r="L88" s="366">
        <f ca="1">VLOOKUP($AD88,INDIRECT("'"&amp;$B88&amp;"'!"&amp;"$P$39:$AD$42"),3,FALSE)*0.5</f>
        <v>0.44500000000000001</v>
      </c>
      <c r="M88" s="206"/>
      <c r="N88" s="81"/>
      <c r="O88" s="783">
        <f t="shared" ca="1" si="72"/>
        <v>4.4022727272727264</v>
      </c>
      <c r="P88" s="783">
        <f t="shared" ca="1" si="73"/>
        <v>0.267455</v>
      </c>
      <c r="Q88" s="81">
        <f t="shared" ca="1" si="74"/>
        <v>5.8461805555555557</v>
      </c>
      <c r="R88" s="333"/>
      <c r="S88" s="333"/>
      <c r="T88" s="333"/>
      <c r="U88" s="333"/>
      <c r="V88" s="759">
        <f ca="1">IF(IF(RIGHT(H87,2)="MT",(1-L88)+$W$2,IF(RIGHT(H87,2)="HT",(1-L88)+$W$1,IF(RIGHT(H87,2)="RH",(1-L88)+$W$3,"")))&lt;0,0,IF(RIGHT(H87,2)="MT",(1-L88)+$W$2,IF(RIGHT(H87,2)="HT",(1-L88)+$W$1,IF(RIGHT(H87,2)="RH",(1-L88)+$W$3,""))))</f>
        <v>0.85499999999999998</v>
      </c>
      <c r="W88" s="331"/>
      <c r="X88" s="758">
        <f t="shared" ca="1" si="58"/>
        <v>11</v>
      </c>
      <c r="Y88" s="81">
        <f t="shared" ca="1" si="75"/>
        <v>49</v>
      </c>
      <c r="Z88" s="81">
        <f t="shared" ca="1" si="76"/>
        <v>8</v>
      </c>
      <c r="AA88" s="81">
        <f t="shared" ca="1" si="77"/>
        <v>3</v>
      </c>
      <c r="AB88" s="81">
        <f t="shared" ca="1" si="78"/>
        <v>10</v>
      </c>
      <c r="AD88" s="81">
        <v>2030</v>
      </c>
      <c r="AE88" s="81"/>
      <c r="AF88" s="232"/>
    </row>
    <row r="89" spans="1:33">
      <c r="B89" s="393" t="s">
        <v>1133</v>
      </c>
      <c r="D89" s="223" t="str">
        <f ca="1">IF(T87=0,"*",IF(T89&gt;0,"IND"&amp;RIGHT(H87,4)&amp;RIGHT(G87,3)&amp;"N"&amp;RIGHT(E87,1),""))</f>
        <v>*</v>
      </c>
      <c r="E89" s="223"/>
      <c r="F89" s="239" t="s">
        <v>1274</v>
      </c>
      <c r="H89" s="177"/>
      <c r="I89" s="177" t="str">
        <f t="shared" si="53"/>
        <v>INDXWH</v>
      </c>
      <c r="J89" s="239">
        <f t="shared" si="54"/>
        <v>2050</v>
      </c>
      <c r="K89" s="81"/>
      <c r="L89" s="366">
        <f ca="1">VLOOKUP($AD89,INDIRECT("'"&amp;$B89&amp;"'!"&amp;"$P$39:$AD$42"),3,FALSE)*0.5</f>
        <v>0.45</v>
      </c>
      <c r="M89" s="206"/>
      <c r="N89" s="81"/>
      <c r="O89" s="783">
        <f t="shared" ca="1" si="72"/>
        <v>3.9959090909090902</v>
      </c>
      <c r="P89" s="783">
        <f t="shared" ca="1" si="73"/>
        <v>0.25106499999999998</v>
      </c>
      <c r="Q89" s="81">
        <f t="shared" ca="1" si="74"/>
        <v>5.8937777777777782</v>
      </c>
      <c r="R89" s="333"/>
      <c r="S89" s="333"/>
      <c r="T89" s="333"/>
      <c r="U89" s="333"/>
      <c r="V89" s="759">
        <f ca="1">IF(IF(RIGHT(H87,2)="MT",(1-L89)+$W$2,IF(RIGHT(H87,2)="HT",(1-L89)+$W$1,IF(RIGHT(H87,2)="RH",(1-L89)+$W$3,"")))&lt;0,0,IF(RIGHT(H87,2)="MT",(1-L89)+$W$2,IF(RIGHT(H87,2)="HT",(1-L89)+$W$1,IF(RIGHT(H87,2)="RH",(1-L89)+$W$3,""))))</f>
        <v>0.85000000000000009</v>
      </c>
      <c r="W89" s="331"/>
      <c r="X89" s="758">
        <f t="shared" ca="1" si="58"/>
        <v>11</v>
      </c>
      <c r="Y89" s="81">
        <f t="shared" ca="1" si="75"/>
        <v>41</v>
      </c>
      <c r="Z89" s="81">
        <f t="shared" ca="1" si="76"/>
        <v>4</v>
      </c>
      <c r="AA89" s="81">
        <f t="shared" ca="1" si="77"/>
        <v>1</v>
      </c>
      <c r="AB89" s="81">
        <f t="shared" ca="1" si="78"/>
        <v>10</v>
      </c>
      <c r="AD89" s="81">
        <v>2050</v>
      </c>
      <c r="AE89" s="81"/>
      <c r="AF89" s="232"/>
    </row>
    <row r="90" spans="1:33" s="241" customFormat="1">
      <c r="A90" s="239"/>
      <c r="B90" s="393" t="s">
        <v>1133</v>
      </c>
      <c r="C90" s="239"/>
      <c r="D90" s="223" t="str">
        <f ca="1">IF(T90=0,"*",IF(T90&gt;0,"IND"&amp;RIGHT(H90,4)&amp;RIGHT(G90,3)&amp;"N"&amp;RIGHT(E90,1),""))</f>
        <v>INDXDMTWCHN1</v>
      </c>
      <c r="E90" s="278" t="str">
        <f>"Industrial heating technology "&amp;$AJ$12&amp;" "&amp;RIGHT(H90,2)&amp;" - Wood chip boiler (Steam) - new 1"</f>
        <v>Industrial heating technology Aluminium MT - Wood chip boiler (Steam) - new 1</v>
      </c>
      <c r="F90" s="239" t="s">
        <v>1274</v>
      </c>
      <c r="G90" s="176" t="s">
        <v>499</v>
      </c>
      <c r="H90" s="177" t="str">
        <f>$AI$14</f>
        <v>IXDMT</v>
      </c>
      <c r="I90" s="177" t="str">
        <f t="shared" si="53"/>
        <v>INDXWH</v>
      </c>
      <c r="J90" s="239">
        <f t="shared" si="54"/>
        <v>2011</v>
      </c>
      <c r="K90" s="332">
        <f>J90</f>
        <v>2011</v>
      </c>
      <c r="L90" s="206">
        <f t="shared" ref="L90:L95" ca="1" si="79">VLOOKUP($AD90,INDIRECT("'"&amp;$B90&amp;"'!"&amp;"$P$39:$AD$42"),3,FALSE)</f>
        <v>0.89</v>
      </c>
      <c r="M90" s="206"/>
      <c r="N90" s="81">
        <f ca="1">VLOOKUP($AD90,INDIRECT("'"&amp;$B90&amp;"'!"&amp;"$P$39:$AD$42"),5,FALSE)</f>
        <v>25</v>
      </c>
      <c r="O90" s="783">
        <f t="shared" ca="1" si="72"/>
        <v>4.6054545454545455</v>
      </c>
      <c r="P90" s="783">
        <f t="shared" ca="1" si="73"/>
        <v>0.25106499999999998</v>
      </c>
      <c r="Q90" s="81">
        <f t="shared" ca="1" si="74"/>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8"/>
        <v>11</v>
      </c>
      <c r="Y90" s="81">
        <f t="shared" ca="1" si="75"/>
        <v>63</v>
      </c>
      <c r="Z90" s="81">
        <f t="shared" ca="1" si="76"/>
        <v>11</v>
      </c>
      <c r="AA90" s="81">
        <f t="shared" ca="1" si="77"/>
        <v>3</v>
      </c>
      <c r="AB90" s="81">
        <f t="shared" ca="1" si="78"/>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INDXWH</v>
      </c>
      <c r="J91" s="239">
        <f t="shared" si="54"/>
        <v>2030</v>
      </c>
      <c r="K91" s="81"/>
      <c r="L91" s="206">
        <f t="shared" ca="1" si="79"/>
        <v>0.89</v>
      </c>
      <c r="M91" s="206"/>
      <c r="N91" s="81"/>
      <c r="O91" s="783">
        <f t="shared" ca="1" si="72"/>
        <v>4.4022727272727264</v>
      </c>
      <c r="P91" s="783">
        <f t="shared" ca="1" si="73"/>
        <v>0.267455</v>
      </c>
      <c r="Q91" s="81">
        <f t="shared" ca="1" si="74"/>
        <v>5.8461805555555557</v>
      </c>
      <c r="R91" s="333"/>
      <c r="S91" s="333"/>
      <c r="T91" s="333"/>
      <c r="U91" s="333"/>
      <c r="V91" s="759">
        <f ca="1">IF(IF(RIGHT(H90,2)="MT",(1-L91)+$W$2,IF(RIGHT(H90,2)="HT",(1-L91)+$W$1,IF(RIGHT(H90,2)="RH",(1-L91)+$W$3,"")))&lt;0,0,IF(RIGHT(H90,2)="MT",(1-L91)+$W$2,IF(RIGHT(H90,2)="HT",(1-L91)+$W$1,IF(RIGHT(H90,2)="RH",(1-L91)+$W$3,""))))</f>
        <v>0.31</v>
      </c>
      <c r="W91" s="331"/>
      <c r="X91" s="758">
        <f t="shared" ca="1" si="58"/>
        <v>11</v>
      </c>
      <c r="Y91" s="81">
        <f t="shared" ca="1" si="75"/>
        <v>49</v>
      </c>
      <c r="Z91" s="81">
        <f t="shared" ca="1" si="76"/>
        <v>8</v>
      </c>
      <c r="AA91" s="81">
        <f t="shared" ca="1" si="77"/>
        <v>3</v>
      </c>
      <c r="AB91" s="81">
        <f t="shared" ca="1" si="78"/>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INDXWH</v>
      </c>
      <c r="J92" s="239">
        <f t="shared" si="54"/>
        <v>2050</v>
      </c>
      <c r="K92" s="81"/>
      <c r="L92" s="206">
        <f t="shared" ca="1" si="79"/>
        <v>0.9</v>
      </c>
      <c r="M92" s="206"/>
      <c r="N92" s="81"/>
      <c r="O92" s="783">
        <f t="shared" ca="1" si="72"/>
        <v>3.9959090909090902</v>
      </c>
      <c r="P92" s="783">
        <f t="shared" ca="1" si="73"/>
        <v>0.25106499999999998</v>
      </c>
      <c r="Q92" s="81">
        <f t="shared" ca="1" si="74"/>
        <v>5.8937777777777782</v>
      </c>
      <c r="R92" s="333"/>
      <c r="S92" s="333"/>
      <c r="T92" s="333"/>
      <c r="U92" s="333"/>
      <c r="V92" s="759">
        <f ca="1">IF(IF(RIGHT(H90,2)="MT",(1-L92)+$W$2,IF(RIGHT(H90,2)="HT",(1-L92)+$W$1,IF(RIGHT(H90,2)="RH",(1-L92)+$W$3,"")))&lt;0,0,IF(RIGHT(H90,2)="MT",(1-L92)+$W$2,IF(RIGHT(H90,2)="HT",(1-L92)+$W$1,IF(RIGHT(H90,2)="RH",(1-L92)+$W$3,""))))</f>
        <v>0.3</v>
      </c>
      <c r="W92" s="331"/>
      <c r="X92" s="758">
        <f t="shared" ca="1" si="58"/>
        <v>11</v>
      </c>
      <c r="Y92" s="81">
        <f t="shared" ca="1" si="75"/>
        <v>41</v>
      </c>
      <c r="Z92" s="81">
        <f t="shared" ca="1" si="76"/>
        <v>4</v>
      </c>
      <c r="AA92" s="81">
        <f t="shared" ca="1" si="77"/>
        <v>1</v>
      </c>
      <c r="AB92" s="81">
        <f t="shared" ca="1" si="78"/>
        <v>10</v>
      </c>
      <c r="AC92" s="239"/>
      <c r="AD92" s="81">
        <v>2050</v>
      </c>
      <c r="AE92" s="766"/>
      <c r="AF92" s="232"/>
    </row>
    <row r="93" spans="1:33" s="241" customFormat="1">
      <c r="A93" s="239"/>
      <c r="B93" s="393" t="s">
        <v>1133</v>
      </c>
      <c r="C93" s="239"/>
      <c r="D93" s="223" t="str">
        <f ca="1">IF(T93=0,"*",IF(T93&gt;0,"IND"&amp;RIGHT(H93,4)&amp;RIGHT(G93,3)&amp;"N"&amp;RIGHT(E93,1),""))</f>
        <v>INDXDRHWCHN1</v>
      </c>
      <c r="E93" s="278" t="str">
        <f>"Industrial heating technology "&amp;$AJ$12&amp;" "&amp;RIGHT(H93,2)&amp;" - Wood chip boiler (Steam) - new 1"</f>
        <v>Industrial heating technology Aluminium RH - Wood chip boiler (Steam) - new 1</v>
      </c>
      <c r="F93" s="239" t="s">
        <v>1274</v>
      </c>
      <c r="G93" s="176" t="s">
        <v>499</v>
      </c>
      <c r="H93" s="177" t="str">
        <f>$AI$15</f>
        <v>IXDRH</v>
      </c>
      <c r="I93" s="177" t="str">
        <f t="shared" si="53"/>
        <v>INDXWH</v>
      </c>
      <c r="J93" s="239">
        <f t="shared" si="54"/>
        <v>2011</v>
      </c>
      <c r="K93" s="332">
        <f>J93</f>
        <v>2011</v>
      </c>
      <c r="L93" s="206">
        <f t="shared" ca="1" si="79"/>
        <v>0.89</v>
      </c>
      <c r="M93" s="206"/>
      <c r="N93" s="81">
        <f ca="1">VLOOKUP($AD93,INDIRECT("'"&amp;$B93&amp;"'!"&amp;"$P$39:$AD$42"),5,FALSE)</f>
        <v>25</v>
      </c>
      <c r="O93" s="783">
        <f t="shared" ca="1" si="72"/>
        <v>4.6054545454545455</v>
      </c>
      <c r="P93" s="783">
        <f t="shared" ca="1" si="73"/>
        <v>0.25106499999999998</v>
      </c>
      <c r="Q93" s="81">
        <f t="shared" ca="1" si="74"/>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8"/>
        <v>11</v>
      </c>
      <c r="Y93" s="81">
        <f t="shared" ca="1" si="75"/>
        <v>63</v>
      </c>
      <c r="Z93" s="81">
        <f t="shared" ca="1" si="76"/>
        <v>11</v>
      </c>
      <c r="AA93" s="81">
        <f t="shared" ca="1" si="77"/>
        <v>3</v>
      </c>
      <c r="AB93" s="81">
        <f t="shared" ca="1" si="78"/>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INDXWH</v>
      </c>
      <c r="J94" s="239">
        <f t="shared" si="54"/>
        <v>2030</v>
      </c>
      <c r="K94" s="81"/>
      <c r="L94" s="206">
        <f t="shared" ca="1" si="79"/>
        <v>0.89</v>
      </c>
      <c r="M94" s="206"/>
      <c r="N94" s="81"/>
      <c r="O94" s="783">
        <f t="shared" ca="1" si="72"/>
        <v>4.4022727272727264</v>
      </c>
      <c r="P94" s="783">
        <f t="shared" ca="1" si="73"/>
        <v>0.267455</v>
      </c>
      <c r="Q94" s="81">
        <f t="shared" ca="1" si="74"/>
        <v>5.8461805555555557</v>
      </c>
      <c r="R94" s="333"/>
      <c r="S94" s="333"/>
      <c r="T94" s="333"/>
      <c r="U94" s="333"/>
      <c r="V94" s="759">
        <f ca="1">IF(IF(RIGHT(H93,2)="MT",(1-L94)+$W$2,IF(RIGHT(H93,2)="HT",(1-L94)+$W$1,IF(RIGHT(H93,2)="RH",(1-L94)+$W$3,"")))&lt;0,0,IF(RIGHT(H93,2)="MT",(1-L94)+$W$2,IF(RIGHT(H93,2)="HT",(1-L94)+$W$1,IF(RIGHT(H93,2)="RH",(1-L94)+$W$3,""))))</f>
        <v>0.10999999999999999</v>
      </c>
      <c r="W94" s="331"/>
      <c r="X94" s="758">
        <f t="shared" ca="1" si="58"/>
        <v>11</v>
      </c>
      <c r="Y94" s="81">
        <f t="shared" ca="1" si="75"/>
        <v>49</v>
      </c>
      <c r="Z94" s="81">
        <f t="shared" ca="1" si="76"/>
        <v>8</v>
      </c>
      <c r="AA94" s="81">
        <f t="shared" ca="1" si="77"/>
        <v>3</v>
      </c>
      <c r="AB94" s="81">
        <f t="shared" ca="1" si="78"/>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INDXWH</v>
      </c>
      <c r="J95" s="239">
        <f t="shared" ref="J95:J126" si="81">IF(AD95=2020,2011,AD95)</f>
        <v>2050</v>
      </c>
      <c r="K95" s="766"/>
      <c r="L95" s="206">
        <f t="shared" ca="1" si="79"/>
        <v>0.9</v>
      </c>
      <c r="M95" s="834"/>
      <c r="N95" s="766"/>
      <c r="O95" s="784">
        <f t="shared" ca="1" si="72"/>
        <v>3.9959090909090902</v>
      </c>
      <c r="P95" s="784">
        <f t="shared" ca="1" si="73"/>
        <v>0.25106499999999998</v>
      </c>
      <c r="Q95" s="766">
        <f t="shared" ca="1" si="74"/>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5"/>
        <v>41</v>
      </c>
      <c r="Z95" s="766">
        <f t="shared" ca="1" si="76"/>
        <v>4</v>
      </c>
      <c r="AA95" s="766">
        <f t="shared" ca="1" si="77"/>
        <v>1</v>
      </c>
      <c r="AB95" s="766">
        <f t="shared" ca="1" si="78"/>
        <v>10</v>
      </c>
      <c r="AC95" s="55"/>
      <c r="AD95" s="766">
        <v>2050</v>
      </c>
      <c r="AE95" s="81"/>
      <c r="AF95" s="760"/>
    </row>
    <row r="96" spans="1:33">
      <c r="B96" s="776" t="s">
        <v>1133</v>
      </c>
      <c r="C96" s="329"/>
      <c r="D96" s="223" t="str">
        <f ca="1">IF(T96=0,"*",IF(T96&gt;0,"IND"&amp;RIGHT(H96,4)&amp;RIGHT(G96,3)&amp;"N"&amp;RIGHT(E96,1),""))</f>
        <v>INDXDMTWCHN2</v>
      </c>
      <c r="E96" s="767" t="str">
        <f>"Industrial heating technology "&amp;$AJ$12&amp;" "&amp;RIGHT(H96,2)&amp;" - Wood chip boiler (Steam - condensing) - new 2"</f>
        <v>Industrial heating technology Aluminium MT - Wood chip boiler (Steam - condensing) - new 2</v>
      </c>
      <c r="F96" s="239" t="s">
        <v>1274</v>
      </c>
      <c r="G96" s="768" t="s">
        <v>499</v>
      </c>
      <c r="H96" s="768" t="str">
        <f>$AI$14</f>
        <v>IXDMT</v>
      </c>
      <c r="I96" s="768" t="str">
        <f t="shared" si="80"/>
        <v>INDXWH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INDXWH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INDXWH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INDXDRHWCHN2</v>
      </c>
      <c r="E99" s="278" t="str">
        <f>"Industrial heating technology "&amp;$AJ$12&amp;" "&amp;RIGHT(H99,2)&amp;" - Wood chip boiler (Steam - condensing) - new 2"</f>
        <v>Industrial heating technology Aluminium RH - Wood chip boiler (Steam - condensing) - new 2</v>
      </c>
      <c r="F99" s="239" t="s">
        <v>1274</v>
      </c>
      <c r="G99" s="177" t="s">
        <v>499</v>
      </c>
      <c r="H99" s="177" t="str">
        <f>$AI$15</f>
        <v>IXDRH</v>
      </c>
      <c r="I99" s="177" t="str">
        <f t="shared" si="80"/>
        <v>INDXWH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INDXWH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INDXWH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INDXDMTWCHN3</v>
      </c>
      <c r="E102" s="767" t="str">
        <f>"Industrial heating technology "&amp;$AJ$12&amp;" "&amp;RIGHT(H102,2)&amp;" - Wood chip boiler (Hot Water) - new 3"</f>
        <v>Industrial heating technology Aluminium MT - Wood chip boiler (Hot Water) - new 3</v>
      </c>
      <c r="F102" s="239" t="s">
        <v>1274</v>
      </c>
      <c r="G102" s="768" t="s">
        <v>499</v>
      </c>
      <c r="H102" s="768" t="str">
        <f>$AI$14</f>
        <v>IXDMT</v>
      </c>
      <c r="I102" s="768" t="str">
        <f t="shared" si="80"/>
        <v>INDXWH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INDXWH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INDXWH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INDXDRHWCHN3</v>
      </c>
      <c r="E105" s="278" t="str">
        <f>"Industrial heating technology "&amp;$AJ$12&amp;" "&amp;RIGHT(H105,2)&amp;" - Wood chip boiler (Hot Water) - new 3"</f>
        <v>Industrial heating technology Aluminium RH - Wood chip boiler (Hot Water) - new 3</v>
      </c>
      <c r="F105" s="239" t="s">
        <v>1274</v>
      </c>
      <c r="G105" s="177" t="s">
        <v>499</v>
      </c>
      <c r="H105" s="177" t="str">
        <f>$AI$15</f>
        <v>IXDRH</v>
      </c>
      <c r="I105" s="177" t="str">
        <f t="shared" si="80"/>
        <v>INDXWH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INDXWH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INDXWH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INDXDMTWCHN4</v>
      </c>
      <c r="E108" s="767" t="str">
        <f>"Industrial heating technology "&amp;$AJ$12&amp;" "&amp;RIGHT(H108,2)&amp;" - Wood chip boiler (Hot Water - condensing) - new 4"</f>
        <v>Industrial heating technology Aluminium MT - Wood chip boiler (Hot Water - condensing) - new 4</v>
      </c>
      <c r="F108" s="239" t="s">
        <v>1274</v>
      </c>
      <c r="G108" s="768" t="s">
        <v>499</v>
      </c>
      <c r="H108" s="768" t="str">
        <f>$AI$14</f>
        <v>IXDMT</v>
      </c>
      <c r="I108" s="768" t="str">
        <f t="shared" si="80"/>
        <v>INDXWH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INDXWH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INDXWH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INDXDRHWCHN4</v>
      </c>
      <c r="E111" s="278" t="str">
        <f>"Industrial heating technology "&amp;$AJ$12&amp;" "&amp;RIGHT(H111,2)&amp;" - Wood chip boiler (Hot Water- condensing) - new 4"</f>
        <v>Industrial heating technology Aluminium RH - Wood chip boiler (Hot Water- condensing) - new 4</v>
      </c>
      <c r="F111" s="239" t="s">
        <v>1274</v>
      </c>
      <c r="G111" s="177" t="s">
        <v>499</v>
      </c>
      <c r="H111" s="177" t="str">
        <f>$AI$15</f>
        <v>IXDRH</v>
      </c>
      <c r="I111" s="177" t="str">
        <f t="shared" si="80"/>
        <v>INDXWH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INDXWH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INDXWH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IF(T114=0,"*",IF(T114&gt;0,"IND"&amp;RIGHT(H114,4)&amp;RIGHT(G114,3)&amp;"N"&amp;RIGHT(E114,1),""))</f>
        <v>INDXDHTELCN0</v>
      </c>
      <c r="E114" s="278" t="str">
        <f>"Industrial heating technology "&amp;$AJ$12&amp;" "&amp;RIGHT(H114,2)&amp;" - Direct electric heating - new 10"</f>
        <v>Industrial heating technology Aluminium HT - Direct electric heating - new 10</v>
      </c>
      <c r="F114" s="239" t="s">
        <v>1274</v>
      </c>
      <c r="G114" s="176" t="s">
        <v>500</v>
      </c>
      <c r="H114" s="177" t="str">
        <f>$AI$13</f>
        <v>IXDHT</v>
      </c>
      <c r="I114" s="177" t="str">
        <f t="shared" si="80"/>
        <v>INDXWH</v>
      </c>
      <c r="J114" s="239">
        <f t="shared" si="81"/>
        <v>2011</v>
      </c>
      <c r="K114" s="332">
        <f>J114</f>
        <v>2011</v>
      </c>
      <c r="L114" s="206">
        <f ca="1">VLOOKUP($AD114,INDIRECT("'"&amp;$B114&amp;"'!"&amp;"$P$39:$AD$42"),3,FALSE)</f>
        <v>1</v>
      </c>
      <c r="M114" s="206"/>
      <c r="N114" s="81">
        <f ca="1">VLOOKUP($AD114,INDIRECT("'"&amp;$B114&amp;"'!"&amp;"$P$39:$AD$42"),5,FALSE)</f>
        <v>12.5</v>
      </c>
      <c r="O114" s="783">
        <f t="shared" ref="O114:O128" ca="1" si="107">VLOOKUP($AD114,INDIRECT("'"&amp;$B114&amp;"'!"&amp;"$P$39:$AD$42"),6,FALSE)/1000</f>
        <v>0.44700000000000001</v>
      </c>
      <c r="P114" s="783">
        <f t="shared" ref="P114:P128" ca="1" si="108">VLOOKUP($AD114,INDIRECT("'"&amp;$B114&amp;"'!"&amp;"$P$39:$AD$42"),7,FALSE)/1000</f>
        <v>0</v>
      </c>
      <c r="Q114" s="81">
        <f t="shared" ref="Q114:Q128" ca="1" si="109">VLOOKUP($AD114,INDIRECT("'"&amp;$B114&amp;"'!"&amp;"$P$39:$AD$42"),8,FALSE)</f>
        <v>0.37767361111111114</v>
      </c>
      <c r="R114" s="81">
        <v>3.1536000000000002E-2</v>
      </c>
      <c r="S114" s="206">
        <v>0.5</v>
      </c>
      <c r="T114" s="206">
        <v>1</v>
      </c>
      <c r="U114" s="832"/>
      <c r="V114" s="759">
        <f ca="1">IF(IF(RIGHT(H114,2)="MT",(1-L114)+$W$2,IF(RIGHT(H114,2)="HT",(1-L114)+$W$1,IF(RIGHT(H114,2)="RH",(1-L114)+$W$3,"")))&lt;0,0,IF(RIGHT(H114,2)="MT",(1-L114)+$W$2,IF(RIGHT(H114,2)="HT",(1-L114)+$W$1,IF(RIGHT(H114,2)="RH",(1-L114)+$W$3,""))))</f>
        <v>0.3</v>
      </c>
      <c r="W114" s="331"/>
      <c r="X114" s="758">
        <f t="shared" ca="1" si="82"/>
        <v>0</v>
      </c>
      <c r="Y114" s="81">
        <f t="shared" ref="Y114:Y128" ca="1" si="110">VLOOKUP($AD114,INDIRECT("'"&amp;$B114&amp;"'!"&amp;"$P$39:$AD$42"),12,FALSE)</f>
        <v>0</v>
      </c>
      <c r="Z114" s="81">
        <f t="shared" ref="Z114:Z128" ca="1" si="111">VLOOKUP($AD114,INDIRECT("'"&amp;$B114&amp;"'!"&amp;"$P$39:$AD$42"),13,FALSE)</f>
        <v>0</v>
      </c>
      <c r="AA114" s="81">
        <f t="shared" ref="AA114:AA128" ca="1" si="112">VLOOKUP($AD114,INDIRECT("'"&amp;$B114&amp;"'!"&amp;"$P$39:$AD$42"),14,FALSE)</f>
        <v>0</v>
      </c>
      <c r="AB114" s="81">
        <f t="shared" ref="AB114:AB128" ca="1" si="113">VLOOKUP($AD114,INDIRECT("'"&amp;$B114&amp;"'!"&amp;"$P$39:$AD$42"),15,FALSE)</f>
        <v>0</v>
      </c>
      <c r="AD114" s="81">
        <v>2020</v>
      </c>
      <c r="AE114" s="81"/>
      <c r="AF114" s="232"/>
    </row>
    <row r="115" spans="2:32">
      <c r="B115" s="778" t="s">
        <v>1139</v>
      </c>
      <c r="C115" s="241"/>
      <c r="D115" s="223" t="str">
        <f>IF(T114=0,"*",IF(T115&gt;0,"IND"&amp;RIGHT(H114,4)&amp;RIGHT(G114,3)&amp;"N"&amp;RIGHT(E114,1),""))</f>
        <v/>
      </c>
      <c r="E115" s="223"/>
      <c r="F115" s="239" t="s">
        <v>1274</v>
      </c>
      <c r="H115" s="177"/>
      <c r="I115" s="177" t="str">
        <f t="shared" si="80"/>
        <v>INDXWH</v>
      </c>
      <c r="J115" s="239">
        <f t="shared" si="81"/>
        <v>2030</v>
      </c>
      <c r="K115" s="81"/>
      <c r="L115" s="206">
        <f t="shared" ref="L115:L128" ca="1" si="114">VLOOKUP($AD115,INDIRECT("'"&amp;$B115&amp;"'!"&amp;"$P$39:$AD$42"),3,FALSE)</f>
        <v>1</v>
      </c>
      <c r="M115" s="206"/>
      <c r="N115" s="81"/>
      <c r="O115" s="783">
        <f t="shared" ca="1" si="107"/>
        <v>0.44700000000000001</v>
      </c>
      <c r="P115" s="783">
        <f t="shared" ca="1" si="108"/>
        <v>0</v>
      </c>
      <c r="Q115" s="81">
        <f t="shared" ca="1" si="109"/>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0"/>
        <v>0</v>
      </c>
      <c r="Z115" s="81">
        <f t="shared" ca="1" si="111"/>
        <v>0</v>
      </c>
      <c r="AA115" s="81">
        <f t="shared" ca="1" si="112"/>
        <v>0</v>
      </c>
      <c r="AB115" s="81">
        <f t="shared" ca="1" si="113"/>
        <v>0</v>
      </c>
      <c r="AD115" s="81">
        <v>2030</v>
      </c>
      <c r="AE115" s="81"/>
      <c r="AF115" s="232"/>
    </row>
    <row r="116" spans="2:32">
      <c r="B116" s="778" t="s">
        <v>1139</v>
      </c>
      <c r="C116" s="241"/>
      <c r="D116" s="223" t="str">
        <f>IF(T114=0,"*",IF(T116&gt;0,"IND"&amp;RIGHT(H114,4)&amp;RIGHT(G114,3)&amp;"N"&amp;RIGHT(E114,1),""))</f>
        <v/>
      </c>
      <c r="E116" s="223"/>
      <c r="F116" s="239" t="s">
        <v>1274</v>
      </c>
      <c r="H116" s="177"/>
      <c r="I116" s="177" t="str">
        <f t="shared" si="80"/>
        <v>INDXWH</v>
      </c>
      <c r="J116" s="239">
        <f t="shared" si="81"/>
        <v>2050</v>
      </c>
      <c r="K116" s="81"/>
      <c r="L116" s="206">
        <f t="shared" ca="1" si="114"/>
        <v>1</v>
      </c>
      <c r="M116" s="206"/>
      <c r="N116" s="81"/>
      <c r="O116" s="783">
        <f t="shared" ca="1" si="107"/>
        <v>0.44700000000000001</v>
      </c>
      <c r="P116" s="783">
        <f t="shared" ca="1" si="108"/>
        <v>0</v>
      </c>
      <c r="Q116" s="81">
        <f t="shared" ca="1" si="109"/>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0"/>
        <v>0</v>
      </c>
      <c r="Z116" s="81">
        <f t="shared" ca="1" si="111"/>
        <v>0</v>
      </c>
      <c r="AA116" s="81">
        <f t="shared" ca="1" si="112"/>
        <v>0</v>
      </c>
      <c r="AB116" s="81">
        <f t="shared" ca="1" si="113"/>
        <v>0</v>
      </c>
      <c r="AC116" s="211"/>
      <c r="AD116" s="81">
        <v>2050</v>
      </c>
      <c r="AE116" s="81"/>
      <c r="AF116" s="765"/>
    </row>
    <row r="117" spans="2:32">
      <c r="B117" s="778" t="s">
        <v>1139</v>
      </c>
      <c r="C117" s="241"/>
      <c r="D117" s="223" t="str">
        <f>IF(T117=0,"*",IF(T117&gt;0,"IND"&amp;RIGHT(H117,4)&amp;RIGHT(G117,3)&amp;"N"&amp;RIGHT(E117,1),""))</f>
        <v>INDXDMTELCN0</v>
      </c>
      <c r="E117" s="278" t="str">
        <f>"Industrial heating technology "&amp;$AJ$12&amp;" "&amp;RIGHT(H117,2)&amp;" - Direct electric heating - new 10"</f>
        <v>Industrial heating technology Aluminium MT - Direct electric heating - new 10</v>
      </c>
      <c r="F117" s="239" t="s">
        <v>1274</v>
      </c>
      <c r="G117" s="176" t="s">
        <v>500</v>
      </c>
      <c r="H117" s="177" t="str">
        <f>$AI$14</f>
        <v>IXDMT</v>
      </c>
      <c r="I117" s="177" t="str">
        <f t="shared" si="80"/>
        <v>INDXWH</v>
      </c>
      <c r="J117" s="239">
        <f t="shared" si="81"/>
        <v>2011</v>
      </c>
      <c r="K117" s="332">
        <f>J117</f>
        <v>2011</v>
      </c>
      <c r="L117" s="206">
        <f t="shared" ca="1" si="114"/>
        <v>1</v>
      </c>
      <c r="M117" s="206"/>
      <c r="N117" s="81">
        <f ca="1">VLOOKUP($AD117,INDIRECT("'"&amp;$B117&amp;"'!"&amp;"$P$39:$AD$42"),5,FALSE)</f>
        <v>12.5</v>
      </c>
      <c r="O117" s="783">
        <f t="shared" ca="1" si="107"/>
        <v>0.44700000000000001</v>
      </c>
      <c r="P117" s="783">
        <f t="shared" ca="1" si="108"/>
        <v>0</v>
      </c>
      <c r="Q117" s="81">
        <f t="shared" ca="1" si="109"/>
        <v>0.37767361111111114</v>
      </c>
      <c r="R117" s="81">
        <v>3.1536000000000002E-2</v>
      </c>
      <c r="S117" s="206">
        <v>0.5</v>
      </c>
      <c r="T117" s="206">
        <v>1</v>
      </c>
      <c r="U117" s="832"/>
      <c r="V117" s="759">
        <f ca="1">IF(IF(RIGHT(H117,2)="MT",(1-L117)+$W$2,IF(RIGHT(H117,2)="HT",(1-L117)+$W$1,IF(RIGHT(H117,2)="RH",(1-L117)+$W$3,"")))&lt;0,0,IF(RIGHT(H117,2)="MT",(1-L117)+$W$2,IF(RIGHT(H117,2)="HT",(1-L117)+$W$1,IF(RIGHT(H117,2)="RH",(1-L117)+$W$3,""))))</f>
        <v>0.2</v>
      </c>
      <c r="W117" s="331"/>
      <c r="X117" s="758">
        <f t="shared" ca="1" si="82"/>
        <v>0</v>
      </c>
      <c r="Y117" s="81">
        <f t="shared" ca="1" si="110"/>
        <v>0</v>
      </c>
      <c r="Z117" s="81">
        <f t="shared" ca="1" si="111"/>
        <v>0</v>
      </c>
      <c r="AA117" s="81">
        <f t="shared" ca="1" si="112"/>
        <v>0</v>
      </c>
      <c r="AB117" s="81">
        <f t="shared" ca="1" si="113"/>
        <v>0</v>
      </c>
      <c r="AD117" s="81">
        <v>2020</v>
      </c>
      <c r="AE117" s="332"/>
      <c r="AF117" s="232"/>
    </row>
    <row r="118" spans="2:32">
      <c r="B118" s="778" t="s">
        <v>1139</v>
      </c>
      <c r="C118" s="241"/>
      <c r="D118" s="223" t="str">
        <f>IF(T117=0,"*",IF(T118&gt;0,"IND"&amp;RIGHT(H117,4)&amp;RIGHT(G117,3)&amp;"N"&amp;RIGHT(E117,1),""))</f>
        <v/>
      </c>
      <c r="E118" s="223"/>
      <c r="F118" s="239" t="s">
        <v>1274</v>
      </c>
      <c r="H118" s="177"/>
      <c r="I118" s="177" t="str">
        <f t="shared" si="80"/>
        <v>INDXWH</v>
      </c>
      <c r="J118" s="239">
        <f t="shared" si="81"/>
        <v>2030</v>
      </c>
      <c r="K118" s="81"/>
      <c r="L118" s="206">
        <f t="shared" ca="1" si="114"/>
        <v>1</v>
      </c>
      <c r="M118" s="206"/>
      <c r="N118" s="81"/>
      <c r="O118" s="783">
        <f t="shared" ca="1" si="107"/>
        <v>0.44700000000000001</v>
      </c>
      <c r="P118" s="783">
        <f t="shared" ca="1" si="108"/>
        <v>0</v>
      </c>
      <c r="Q118" s="81">
        <f t="shared" ca="1" si="109"/>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0"/>
        <v>0</v>
      </c>
      <c r="Z118" s="81">
        <f t="shared" ca="1" si="111"/>
        <v>0</v>
      </c>
      <c r="AA118" s="81">
        <f t="shared" ca="1" si="112"/>
        <v>0</v>
      </c>
      <c r="AB118" s="81">
        <f t="shared" ca="1" si="113"/>
        <v>0</v>
      </c>
      <c r="AD118" s="81">
        <v>2030</v>
      </c>
      <c r="AE118" s="81"/>
      <c r="AF118" s="232"/>
    </row>
    <row r="119" spans="2:32">
      <c r="B119" s="779" t="s">
        <v>1139</v>
      </c>
      <c r="C119" s="773"/>
      <c r="D119" s="223" t="str">
        <f>IF(T117=0,"*",IF(T119&gt;0,"IND"&amp;RIGHT(H117,4)&amp;RIGHT(G117,3)&amp;"N"&amp;RIGHT(E117,1),""))</f>
        <v/>
      </c>
      <c r="E119" s="761"/>
      <c r="F119" s="239" t="s">
        <v>1274</v>
      </c>
      <c r="G119" s="211"/>
      <c r="H119" s="762"/>
      <c r="I119" s="762" t="str">
        <f t="shared" si="80"/>
        <v>INDXWH</v>
      </c>
      <c r="J119" s="239">
        <f t="shared" si="81"/>
        <v>2050</v>
      </c>
      <c r="K119" s="81"/>
      <c r="L119" s="206">
        <f t="shared" ca="1" si="114"/>
        <v>1</v>
      </c>
      <c r="M119" s="206"/>
      <c r="N119" s="81"/>
      <c r="O119" s="783">
        <f t="shared" ca="1" si="107"/>
        <v>0.44700000000000001</v>
      </c>
      <c r="P119" s="783">
        <f t="shared" ca="1" si="108"/>
        <v>0</v>
      </c>
      <c r="Q119" s="81">
        <f t="shared" ca="1" si="109"/>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0"/>
        <v>0</v>
      </c>
      <c r="Z119" s="81">
        <f t="shared" ca="1" si="111"/>
        <v>0</v>
      </c>
      <c r="AA119" s="81">
        <f t="shared" ca="1" si="112"/>
        <v>0</v>
      </c>
      <c r="AB119" s="81">
        <f t="shared" ca="1" si="113"/>
        <v>0</v>
      </c>
      <c r="AD119" s="81">
        <v>2050</v>
      </c>
      <c r="AE119" s="81"/>
      <c r="AF119" s="232"/>
    </row>
    <row r="120" spans="2:32">
      <c r="B120" s="778" t="s">
        <v>1134</v>
      </c>
      <c r="C120" s="241"/>
      <c r="D120" s="223" t="str">
        <f ca="1">IF(T120=0,"*",IF(T120&gt;0,"IND"&amp;RIGHT(H120,4)&amp;RIGHT(G120,3)&amp;"N"&amp;RIGHT(E120,1),""))</f>
        <v>INDXDHTDSEN1</v>
      </c>
      <c r="E120" s="278" t="str">
        <f>"Industrial heating technology "&amp;$AJ$12&amp;" "&amp;RIGHT(H120,2)&amp;" - Oil boiler (Steam) - new 1"</f>
        <v>Industrial heating technology Aluminium HT - Oil boiler (Steam) - new 1</v>
      </c>
      <c r="F120" s="239" t="s">
        <v>1274</v>
      </c>
      <c r="G120" s="176" t="s">
        <v>1437</v>
      </c>
      <c r="H120" s="177" t="str">
        <f>$AI$13</f>
        <v>IXDHT</v>
      </c>
      <c r="I120" s="177" t="str">
        <f t="shared" si="80"/>
        <v>INDXWH</v>
      </c>
      <c r="J120" s="239">
        <f t="shared" si="81"/>
        <v>2011</v>
      </c>
      <c r="K120" s="332">
        <f>J120</f>
        <v>2011</v>
      </c>
      <c r="L120" s="366">
        <f ca="1">VLOOKUP($AD120,INDIRECT("'"&amp;$B120&amp;"'!"&amp;"$P$39:$AD$42"),3,FALSE)*0.5</f>
        <v>0.47</v>
      </c>
      <c r="M120" s="759"/>
      <c r="N120" s="332">
        <f ca="1">VLOOKUP($AD120,INDIRECT("'"&amp;$B120&amp;"'!"&amp;"$P$39:$AD$42"),5,FALSE)</f>
        <v>25</v>
      </c>
      <c r="O120" s="785">
        <f t="shared" ca="1" si="107"/>
        <v>0.40975</v>
      </c>
      <c r="P120" s="785">
        <f t="shared" ca="1" si="108"/>
        <v>1.341E-2</v>
      </c>
      <c r="Q120" s="332">
        <f t="shared" ca="1" si="109"/>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0.83000000000000007</v>
      </c>
      <c r="W120" s="331"/>
      <c r="X120" s="758">
        <f t="shared" ca="1" si="82"/>
        <v>0.5</v>
      </c>
      <c r="Y120" s="332">
        <f t="shared" ca="1" si="110"/>
        <v>25</v>
      </c>
      <c r="Z120" s="332">
        <f t="shared" ca="1" si="111"/>
        <v>0</v>
      </c>
      <c r="AA120" s="332">
        <f t="shared" ca="1" si="112"/>
        <v>0</v>
      </c>
      <c r="AB120" s="332">
        <f t="shared" ca="1" si="113"/>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INDXWH</v>
      </c>
      <c r="J121" s="239">
        <f t="shared" si="81"/>
        <v>2030</v>
      </c>
      <c r="K121" s="81"/>
      <c r="L121" s="366">
        <f ca="1">VLOOKUP($AD121,INDIRECT("'"&amp;$B121&amp;"'!"&amp;"$P$39:$AD$42"),3,FALSE)*0.5</f>
        <v>0.47499999999999998</v>
      </c>
      <c r="M121" s="206"/>
      <c r="N121" s="81"/>
      <c r="O121" s="783">
        <f t="shared" ca="1" si="107"/>
        <v>0.3469940346244772</v>
      </c>
      <c r="P121" s="783">
        <f t="shared" ca="1" si="108"/>
        <v>1.2664999999999999E-2</v>
      </c>
      <c r="Q121" s="81">
        <f t="shared" ca="1" si="109"/>
        <v>1.8625</v>
      </c>
      <c r="R121" s="333"/>
      <c r="S121" s="333"/>
      <c r="T121" s="333"/>
      <c r="U121" s="333"/>
      <c r="V121" s="759">
        <f ca="1">IF(IF(RIGHT(H120,2)="MT",(1-L121)+$W$2,IF(RIGHT(H120,2)="HT",(1-L121)+$W$1,IF(RIGHT(H120,2)="RH",(1-L121)+$W$3,"")))&lt;0,0,IF(RIGHT(H120,2)="MT",(1-L121)+$W$2,IF(RIGHT(H120,2)="HT",(1-L121)+$W$1,IF(RIGHT(H120,2)="RH",(1-L121)+$W$3,""))))</f>
        <v>0.82499999999999996</v>
      </c>
      <c r="W121" s="331"/>
      <c r="X121" s="758">
        <f t="shared" ca="1" si="82"/>
        <v>0.5</v>
      </c>
      <c r="Y121" s="81">
        <f t="shared" ca="1" si="110"/>
        <v>20</v>
      </c>
      <c r="Z121" s="81">
        <f t="shared" ca="1" si="111"/>
        <v>0</v>
      </c>
      <c r="AA121" s="81">
        <f t="shared" ca="1" si="112"/>
        <v>0</v>
      </c>
      <c r="AB121" s="81">
        <f t="shared" ca="1" si="113"/>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INDXWH</v>
      </c>
      <c r="J122" s="239">
        <f t="shared" si="81"/>
        <v>2050</v>
      </c>
      <c r="K122" s="81"/>
      <c r="L122" s="366">
        <f ca="1">VLOOKUP($AD122,INDIRECT("'"&amp;$B122&amp;"'!"&amp;"$P$39:$AD$42"),3,FALSE)*0.5</f>
        <v>0.48</v>
      </c>
      <c r="M122" s="206"/>
      <c r="N122" s="81"/>
      <c r="O122" s="783">
        <f t="shared" ca="1" si="107"/>
        <v>0.32813985758696651</v>
      </c>
      <c r="P122" s="783">
        <f t="shared" ca="1" si="108"/>
        <v>1.1175000000000001E-2</v>
      </c>
      <c r="Q122" s="81">
        <f t="shared" ca="1" si="109"/>
        <v>1.8625</v>
      </c>
      <c r="R122" s="333"/>
      <c r="S122" s="333"/>
      <c r="T122" s="333"/>
      <c r="U122" s="333"/>
      <c r="V122" s="759">
        <f ca="1">IF(IF(RIGHT(H120,2)="MT",(1-L122)+$W$2,IF(RIGHT(H120,2)="HT",(1-L122)+$W$1,IF(RIGHT(H120,2)="RH",(1-L122)+$W$3,"")))&lt;0,0,IF(RIGHT(H120,2)="MT",(1-L122)+$W$2,IF(RIGHT(H120,2)="HT",(1-L122)+$W$1,IF(RIGHT(H120,2)="RH",(1-L122)+$W$3,""))))</f>
        <v>0.82000000000000006</v>
      </c>
      <c r="W122" s="331"/>
      <c r="X122" s="758">
        <f t="shared" ca="1" si="82"/>
        <v>0.5</v>
      </c>
      <c r="Y122" s="81">
        <f t="shared" ca="1" si="110"/>
        <v>15</v>
      </c>
      <c r="Z122" s="81">
        <f t="shared" ca="1" si="111"/>
        <v>0</v>
      </c>
      <c r="AA122" s="81">
        <f t="shared" ca="1" si="112"/>
        <v>0</v>
      </c>
      <c r="AB122" s="81">
        <f t="shared" ca="1" si="113"/>
        <v>0.1</v>
      </c>
      <c r="AD122" s="81">
        <v>2050</v>
      </c>
      <c r="AE122" s="81"/>
      <c r="AF122" s="232"/>
    </row>
    <row r="123" spans="2:32">
      <c r="B123" s="778" t="s">
        <v>1134</v>
      </c>
      <c r="C123" s="241"/>
      <c r="D123" s="223" t="str">
        <f ca="1">IF(T123=0,"*",IF(T123&gt;0,"IND"&amp;RIGHT(H123,4)&amp;RIGHT(G123,3)&amp;"N"&amp;RIGHT(E123,1),""))</f>
        <v>INDXDMTDSEN1</v>
      </c>
      <c r="E123" s="278" t="str">
        <f>"Industrial heating technology "&amp;$AJ$12&amp;" "&amp;RIGHT(H123,2)&amp;" - Oil boiler (Steam) - new 1"</f>
        <v>Industrial heating technology Aluminium MT - Oil boiler (Steam) - new 1</v>
      </c>
      <c r="F123" s="239" t="s">
        <v>1274</v>
      </c>
      <c r="G123" s="176" t="s">
        <v>1437</v>
      </c>
      <c r="H123" s="177" t="str">
        <f>$AI$14</f>
        <v>IXDMT</v>
      </c>
      <c r="I123" s="177" t="str">
        <f t="shared" si="80"/>
        <v>INDXWH</v>
      </c>
      <c r="J123" s="239">
        <f t="shared" si="81"/>
        <v>2011</v>
      </c>
      <c r="K123" s="332">
        <f>J123</f>
        <v>2011</v>
      </c>
      <c r="L123" s="206">
        <f t="shared" ca="1" si="114"/>
        <v>0.94</v>
      </c>
      <c r="M123" s="206"/>
      <c r="N123" s="81">
        <f ca="1">VLOOKUP($AD123,INDIRECT("'"&amp;$B123&amp;"'!"&amp;"$P$39:$AD$42"),5,FALSE)</f>
        <v>25</v>
      </c>
      <c r="O123" s="783">
        <f t="shared" ca="1" si="107"/>
        <v>0.40975</v>
      </c>
      <c r="P123" s="783">
        <f t="shared" ca="1" si="108"/>
        <v>1.341E-2</v>
      </c>
      <c r="Q123" s="81">
        <f t="shared" ca="1" si="109"/>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0"/>
        <v>25</v>
      </c>
      <c r="Z123" s="81">
        <f t="shared" ca="1" si="111"/>
        <v>0</v>
      </c>
      <c r="AA123" s="81">
        <f t="shared" ca="1" si="112"/>
        <v>0</v>
      </c>
      <c r="AB123" s="81">
        <f t="shared" ca="1" si="113"/>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INDXWH</v>
      </c>
      <c r="J124" s="239">
        <f t="shared" si="81"/>
        <v>2030</v>
      </c>
      <c r="K124" s="81"/>
      <c r="L124" s="206">
        <f t="shared" ca="1" si="114"/>
        <v>0.95</v>
      </c>
      <c r="M124" s="206"/>
      <c r="N124" s="81"/>
      <c r="O124" s="783">
        <f t="shared" ca="1" si="107"/>
        <v>0.3469940346244772</v>
      </c>
      <c r="P124" s="783">
        <f t="shared" ca="1" si="108"/>
        <v>1.2664999999999999E-2</v>
      </c>
      <c r="Q124" s="81">
        <f t="shared" ca="1" si="109"/>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0"/>
        <v>20</v>
      </c>
      <c r="Z124" s="81">
        <f t="shared" ca="1" si="111"/>
        <v>0</v>
      </c>
      <c r="AA124" s="81">
        <f t="shared" ca="1" si="112"/>
        <v>0</v>
      </c>
      <c r="AB124" s="81">
        <f t="shared" ca="1" si="113"/>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INDXWH</v>
      </c>
      <c r="J125" s="239">
        <f t="shared" si="81"/>
        <v>2050</v>
      </c>
      <c r="K125" s="81"/>
      <c r="L125" s="206">
        <f t="shared" ca="1" si="114"/>
        <v>0.96</v>
      </c>
      <c r="M125" s="206"/>
      <c r="N125" s="81"/>
      <c r="O125" s="783">
        <f t="shared" ca="1" si="107"/>
        <v>0.32813985758696651</v>
      </c>
      <c r="P125" s="783">
        <f t="shared" ca="1" si="108"/>
        <v>1.1175000000000001E-2</v>
      </c>
      <c r="Q125" s="81">
        <f t="shared" ca="1" si="109"/>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0"/>
        <v>15</v>
      </c>
      <c r="Z125" s="81">
        <f t="shared" ca="1" si="111"/>
        <v>0</v>
      </c>
      <c r="AA125" s="81">
        <f t="shared" ca="1" si="112"/>
        <v>0</v>
      </c>
      <c r="AB125" s="81">
        <f t="shared" ca="1" si="113"/>
        <v>0.1</v>
      </c>
      <c r="AC125" s="211"/>
      <c r="AD125" s="81">
        <v>2050</v>
      </c>
      <c r="AE125" s="81"/>
      <c r="AF125" s="765"/>
    </row>
    <row r="126" spans="2:32">
      <c r="B126" s="778" t="s">
        <v>1134</v>
      </c>
      <c r="C126" s="241"/>
      <c r="D126" s="223" t="str">
        <f ca="1">IF(T126=0,"*",IF(T126&gt;0,"IND"&amp;RIGHT(H126,4)&amp;RIGHT(G126,3)&amp;"N"&amp;RIGHT(E126,1),""))</f>
        <v>INDXDRHDSEN1</v>
      </c>
      <c r="E126" s="278" t="str">
        <f>"Industrial heating technology "&amp;$AJ$12&amp;" "&amp;RIGHT(H126,2)&amp;" - Oil boiler (Steam) - new 1"</f>
        <v>Industrial heating technology Aluminium RH - Oil boiler (Steam) - new 1</v>
      </c>
      <c r="F126" s="239" t="s">
        <v>1274</v>
      </c>
      <c r="G126" s="176" t="s">
        <v>1437</v>
      </c>
      <c r="H126" s="177" t="str">
        <f>$AI$15</f>
        <v>IXDRH</v>
      </c>
      <c r="I126" s="177" t="str">
        <f t="shared" si="80"/>
        <v>INDXWH</v>
      </c>
      <c r="J126" s="239">
        <f t="shared" si="81"/>
        <v>2011</v>
      </c>
      <c r="K126" s="332">
        <f>J126</f>
        <v>2011</v>
      </c>
      <c r="L126" s="206">
        <f t="shared" ca="1" si="114"/>
        <v>0.94</v>
      </c>
      <c r="M126" s="206"/>
      <c r="N126" s="81">
        <f ca="1">VLOOKUP($AD126,INDIRECT("'"&amp;$B126&amp;"'!"&amp;"$P$39:$AD$42"),5,FALSE)</f>
        <v>25</v>
      </c>
      <c r="O126" s="783">
        <f t="shared" ca="1" si="107"/>
        <v>0.40975</v>
      </c>
      <c r="P126" s="783">
        <f t="shared" ca="1" si="108"/>
        <v>1.341E-2</v>
      </c>
      <c r="Q126" s="81">
        <f t="shared" ca="1" si="109"/>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0"/>
        <v>25</v>
      </c>
      <c r="Z126" s="81">
        <f t="shared" ca="1" si="111"/>
        <v>0</v>
      </c>
      <c r="AA126" s="81">
        <f t="shared" ca="1" si="112"/>
        <v>0</v>
      </c>
      <c r="AB126" s="81">
        <f t="shared" ca="1" si="113"/>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INDXWH</v>
      </c>
      <c r="J127" s="239">
        <f t="shared" ref="J127:J158" si="116">IF(AD127=2020,2011,AD127)</f>
        <v>2030</v>
      </c>
      <c r="K127" s="81"/>
      <c r="L127" s="206">
        <f t="shared" ca="1" si="114"/>
        <v>0.95</v>
      </c>
      <c r="M127" s="206"/>
      <c r="N127" s="81"/>
      <c r="O127" s="783">
        <f t="shared" ca="1" si="107"/>
        <v>0.3469940346244772</v>
      </c>
      <c r="P127" s="783">
        <f t="shared" ca="1" si="108"/>
        <v>1.2664999999999999E-2</v>
      </c>
      <c r="Q127" s="81">
        <f t="shared" ca="1" si="109"/>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0"/>
        <v>20</v>
      </c>
      <c r="Z127" s="81">
        <f t="shared" ca="1" si="111"/>
        <v>0</v>
      </c>
      <c r="AA127" s="81">
        <f t="shared" ca="1" si="112"/>
        <v>0</v>
      </c>
      <c r="AB127" s="81">
        <f t="shared" ca="1" si="113"/>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INDXWH</v>
      </c>
      <c r="J128" s="239">
        <f t="shared" si="116"/>
        <v>2050</v>
      </c>
      <c r="K128" s="81"/>
      <c r="L128" s="206">
        <f t="shared" ca="1" si="114"/>
        <v>0.96</v>
      </c>
      <c r="M128" s="206"/>
      <c r="N128" s="81"/>
      <c r="O128" s="783">
        <f t="shared" ca="1" si="107"/>
        <v>0.32813985758696651</v>
      </c>
      <c r="P128" s="783">
        <f t="shared" ca="1" si="108"/>
        <v>1.1175000000000001E-2</v>
      </c>
      <c r="Q128" s="81">
        <f t="shared" ca="1" si="109"/>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0"/>
        <v>15</v>
      </c>
      <c r="Z128" s="81">
        <f t="shared" ca="1" si="111"/>
        <v>0</v>
      </c>
      <c r="AA128" s="81">
        <f t="shared" ca="1" si="112"/>
        <v>0</v>
      </c>
      <c r="AB128" s="81">
        <f t="shared" ca="1" si="113"/>
        <v>0.1</v>
      </c>
      <c r="AC128" s="55"/>
      <c r="AD128" s="81">
        <v>2050</v>
      </c>
      <c r="AE128" s="81"/>
      <c r="AF128" s="760"/>
    </row>
    <row r="129" spans="2:32">
      <c r="B129" s="778" t="s">
        <v>1134</v>
      </c>
      <c r="C129" s="241"/>
      <c r="D129" s="223" t="str">
        <f ca="1">IF(T129=0,"*",IF(T129&gt;0,"IND"&amp;RIGHT(H129,4)&amp;RIGHT(G129,3)&amp;"N"&amp;RIGHT(E129,1),""))</f>
        <v>INDXDMTDSEN2</v>
      </c>
      <c r="E129" s="767" t="str">
        <f>"Industrial heating technology "&amp;$AJ$12&amp;" "&amp;RIGHT(H129,2)&amp;" - Oil boiler (Steam - condensing) - new 2"</f>
        <v>Industrial heating technology Aluminium MT - Oil boiler (Steam - condensing) - new 2</v>
      </c>
      <c r="F129" s="239" t="s">
        <v>1274</v>
      </c>
      <c r="G129" s="176" t="s">
        <v>1437</v>
      </c>
      <c r="H129" s="768" t="str">
        <f>$AI$14</f>
        <v>IXDMT</v>
      </c>
      <c r="I129" s="768" t="str">
        <f t="shared" si="115"/>
        <v>INDXWH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INDXWH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INDXWH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INDXDRHDSEN2</v>
      </c>
      <c r="E132" s="278" t="str">
        <f>"Industrial heating technology "&amp;$AJ$12&amp;" "&amp;RIGHT(H132,2)&amp;" - Oil boiler (Steam - condensing) - new 2"</f>
        <v>Industrial heating technology Aluminium RH - Oil boiler (Steam - condensing) - new 2</v>
      </c>
      <c r="F132" s="239" t="s">
        <v>1274</v>
      </c>
      <c r="G132" s="176" t="s">
        <v>1437</v>
      </c>
      <c r="H132" s="177" t="str">
        <f>$AI$15</f>
        <v>IXDRH</v>
      </c>
      <c r="I132" s="177" t="str">
        <f t="shared" si="115"/>
        <v>INDXWH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INDXWH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INDXWH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INDXDHTDH2N1</v>
      </c>
      <c r="E135" s="278" t="str">
        <f>"Industrial heating technology "&amp;$AJ$12&amp;" "&amp;RIGHT(H135,2)&amp;" - Gas boiler (Steam) - new 1"</f>
        <v>Industrial heating technology Aluminium HT - Gas boiler (Steam) - new 1</v>
      </c>
      <c r="F135" s="239" t="s">
        <v>1274</v>
      </c>
      <c r="G135" s="176" t="s">
        <v>1438</v>
      </c>
      <c r="H135" s="177" t="str">
        <f>$AI$13</f>
        <v>IXDHT</v>
      </c>
      <c r="I135" s="177" t="str">
        <f t="shared" si="115"/>
        <v>INDXWH</v>
      </c>
      <c r="J135" s="239">
        <f t="shared" si="116"/>
        <v>2011</v>
      </c>
      <c r="K135" s="332">
        <f>J135</f>
        <v>2011</v>
      </c>
      <c r="L135" s="206">
        <f ca="1">VLOOKUP($AD135,INDIRECT("'"&amp;$B135&amp;"'!"&amp;"$P$39:$AD$42"),3,FALSE)*0.5</f>
        <v>0.46</v>
      </c>
      <c r="M135" s="759"/>
      <c r="N135" s="332">
        <f ca="1">VLOOKUP($AD135,INDIRECT("'"&amp;$B135&amp;"'!"&amp;"$P$39:$AD$42"),5,FALSE)</f>
        <v>25</v>
      </c>
      <c r="O135" s="785">
        <f t="shared" ref="O135:O143" ca="1" si="126">VLOOKUP($AD135,INDIRECT("'"&amp;$B135&amp;"'!"&amp;"$P$39:$AD$42"),6,FALSE)/1000</f>
        <v>0.40636363636363632</v>
      </c>
      <c r="P135" s="785">
        <f t="shared" ref="P135:P143" ca="1" si="127">VLOOKUP($AD135,INDIRECT("'"&amp;$B135&amp;"'!"&amp;"$P$39:$AD$42"),7,FALSE)/1000</f>
        <v>1.49E-2</v>
      </c>
      <c r="Q135" s="332">
        <f t="shared" ref="Q135:Q143" ca="1" si="128">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0.84000000000000008</v>
      </c>
      <c r="W135" s="331"/>
      <c r="X135" s="758">
        <f t="shared" ca="1" si="117"/>
        <v>0.3</v>
      </c>
      <c r="Y135" s="332">
        <f t="shared" ref="Y135:Y143" ca="1" si="129">VLOOKUP($AD135,INDIRECT("'"&amp;$B135&amp;"'!"&amp;"$P$39:$AD$42"),12,FALSE)</f>
        <v>9</v>
      </c>
      <c r="Z135" s="332">
        <f t="shared" ref="Z135:Z143" ca="1" si="130">VLOOKUP($AD135,INDIRECT("'"&amp;$B135&amp;"'!"&amp;"$P$39:$AD$42"),13,FALSE)</f>
        <v>3</v>
      </c>
      <c r="AA135" s="332">
        <f t="shared" ref="AA135:AA143" ca="1" si="131">VLOOKUP($AD135,INDIRECT("'"&amp;$B135&amp;"'!"&amp;"$P$39:$AD$42"),14,FALSE)</f>
        <v>1</v>
      </c>
      <c r="AB135" s="332">
        <f t="shared" ref="AB135:AB143" ca="1" si="132">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INDXWH</v>
      </c>
      <c r="J136" s="239">
        <f t="shared" si="116"/>
        <v>2030</v>
      </c>
      <c r="K136" s="81"/>
      <c r="L136" s="206">
        <f ca="1">VLOOKUP($AD136,INDIRECT("'"&amp;$B136&amp;"'!"&amp;"$P$39:$AD$42"),3,FALSE)*0.5</f>
        <v>0.46500000000000002</v>
      </c>
      <c r="M136" s="206"/>
      <c r="N136" s="81"/>
      <c r="O136" s="783">
        <f t="shared" ca="1" si="126"/>
        <v>0.33863636363636368</v>
      </c>
      <c r="P136" s="783">
        <f t="shared" ca="1" si="127"/>
        <v>1.4154999999999999E-2</v>
      </c>
      <c r="Q136" s="81">
        <f t="shared" ca="1" si="128"/>
        <v>2.0694444444444446</v>
      </c>
      <c r="R136" s="333"/>
      <c r="S136" s="333"/>
      <c r="T136" s="333"/>
      <c r="U136" s="333"/>
      <c r="V136" s="759">
        <f ca="1">IF(IF(RIGHT(H135,2)="MT",(1-L136)+$W$2,IF(RIGHT(H135,2)="HT",(1-L136)+$W$1,IF(RIGHT(H135,2)="RH",(1-L136)+$W$3,"")))&lt;0,0,IF(RIGHT(H135,2)="MT",(1-L136)+$W$2,IF(RIGHT(H135,2)="HT",(1-L136)+$W$1,IF(RIGHT(H135,2)="RH",(1-L136)+$W$3,""))))</f>
        <v>0.83499999999999996</v>
      </c>
      <c r="W136" s="331"/>
      <c r="X136" s="758">
        <f t="shared" ca="1" si="117"/>
        <v>0.3</v>
      </c>
      <c r="Y136" s="81">
        <f t="shared" ca="1" si="129"/>
        <v>7</v>
      </c>
      <c r="Z136" s="81">
        <f t="shared" ca="1" si="130"/>
        <v>2</v>
      </c>
      <c r="AA136" s="81">
        <f t="shared" ca="1" si="131"/>
        <v>1</v>
      </c>
      <c r="AB136" s="81">
        <f t="shared" ca="1" si="132"/>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INDXWH</v>
      </c>
      <c r="J137" s="239">
        <f t="shared" si="116"/>
        <v>2050</v>
      </c>
      <c r="K137" s="81"/>
      <c r="L137" s="206">
        <f ca="1">VLOOKUP($AD137,INDIRECT("'"&amp;$B137&amp;"'!"&amp;"$P$39:$AD$42"),3,FALSE)*0.5</f>
        <v>0.47</v>
      </c>
      <c r="M137" s="206"/>
      <c r="N137" s="81"/>
      <c r="O137" s="783">
        <f t="shared" ca="1" si="126"/>
        <v>0.33863636363636368</v>
      </c>
      <c r="P137" s="783">
        <f t="shared" ca="1" si="127"/>
        <v>1.2664999999999999E-2</v>
      </c>
      <c r="Q137" s="81">
        <f t="shared" ca="1" si="128"/>
        <v>2.0694444444444446</v>
      </c>
      <c r="R137" s="333"/>
      <c r="S137" s="333"/>
      <c r="T137" s="333"/>
      <c r="U137" s="333"/>
      <c r="V137" s="759">
        <f ca="1">IF(IF(RIGHT(H135,2)="MT",(1-L137)+$W$2,IF(RIGHT(H135,2)="HT",(1-L137)+$W$1,IF(RIGHT(H135,2)="RH",(1-L137)+$W$3,"")))&lt;0,0,IF(RIGHT(H135,2)="MT",(1-L137)+$W$2,IF(RIGHT(H135,2)="HT",(1-L137)+$W$1,IF(RIGHT(H135,2)="RH",(1-L137)+$W$3,""))))</f>
        <v>0.83000000000000007</v>
      </c>
      <c r="W137" s="331"/>
      <c r="X137" s="758">
        <f t="shared" ca="1" si="117"/>
        <v>0.3</v>
      </c>
      <c r="Y137" s="81">
        <f t="shared" ca="1" si="129"/>
        <v>6</v>
      </c>
      <c r="Z137" s="81">
        <f t="shared" ca="1" si="130"/>
        <v>2</v>
      </c>
      <c r="AA137" s="81">
        <f t="shared" ca="1" si="131"/>
        <v>1</v>
      </c>
      <c r="AB137" s="81">
        <f t="shared" ca="1" si="132"/>
        <v>0.1</v>
      </c>
      <c r="AD137" s="81">
        <v>2050</v>
      </c>
      <c r="AE137" s="81"/>
      <c r="AF137" s="232"/>
    </row>
    <row r="138" spans="2:32">
      <c r="B138" s="778" t="s">
        <v>1135</v>
      </c>
      <c r="C138" s="241"/>
      <c r="D138" s="223" t="str">
        <f ca="1">IF(T138=0,"*",IF(T138&gt;0,"IND"&amp;RIGHT(H138,4)&amp;RIGHT(G138,3)&amp;"N"&amp;RIGHT(E138,1),""))</f>
        <v>INDXDMTDH2N1</v>
      </c>
      <c r="E138" s="278" t="str">
        <f>"Industrial heating technology "&amp;$AJ$12&amp;" "&amp;RIGHT(H138,2)&amp;" - Gas boiler (Steam) - new 1"</f>
        <v>Industrial heating technology Aluminium MT - Gas boiler (Steam) - new 1</v>
      </c>
      <c r="F138" s="239" t="s">
        <v>1274</v>
      </c>
      <c r="G138" s="176" t="s">
        <v>1438</v>
      </c>
      <c r="H138" s="177" t="str">
        <f>$AI$14</f>
        <v>IXDMT</v>
      </c>
      <c r="I138" s="177" t="str">
        <f t="shared" si="115"/>
        <v>INDXWH</v>
      </c>
      <c r="J138" s="239">
        <f t="shared" si="116"/>
        <v>2011</v>
      </c>
      <c r="K138" s="332">
        <f>J138</f>
        <v>2011</v>
      </c>
      <c r="L138" s="206">
        <f t="shared" ref="L138:L143" ca="1" si="133">VLOOKUP($AD138,INDIRECT("'"&amp;$B138&amp;"'!"&amp;"$P$39:$AD$42"),3,FALSE)</f>
        <v>0.92</v>
      </c>
      <c r="M138" s="206"/>
      <c r="N138" s="81">
        <f ca="1">VLOOKUP($AD138,INDIRECT("'"&amp;$B138&amp;"'!"&amp;"$P$39:$AD$42"),5,FALSE)</f>
        <v>25</v>
      </c>
      <c r="O138" s="783">
        <f t="shared" ca="1" si="126"/>
        <v>0.40636363636363632</v>
      </c>
      <c r="P138" s="783">
        <f t="shared" ca="1" si="127"/>
        <v>1.49E-2</v>
      </c>
      <c r="Q138" s="81">
        <f t="shared" ca="1" si="128"/>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29"/>
        <v>9</v>
      </c>
      <c r="Z138" s="81">
        <f t="shared" ca="1" si="130"/>
        <v>3</v>
      </c>
      <c r="AA138" s="81">
        <f t="shared" ca="1" si="131"/>
        <v>1</v>
      </c>
      <c r="AB138" s="81">
        <f t="shared" ca="1" si="132"/>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INDXWH</v>
      </c>
      <c r="J139" s="239">
        <f t="shared" si="116"/>
        <v>2030</v>
      </c>
      <c r="K139" s="81"/>
      <c r="L139" s="206">
        <f t="shared" ca="1" si="133"/>
        <v>0.93</v>
      </c>
      <c r="M139" s="206"/>
      <c r="N139" s="81"/>
      <c r="O139" s="783">
        <f t="shared" ca="1" si="126"/>
        <v>0.33863636363636368</v>
      </c>
      <c r="P139" s="783">
        <f t="shared" ca="1" si="127"/>
        <v>1.4154999999999999E-2</v>
      </c>
      <c r="Q139" s="81">
        <f t="shared" ca="1" si="128"/>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29"/>
        <v>7</v>
      </c>
      <c r="Z139" s="81">
        <f t="shared" ca="1" si="130"/>
        <v>2</v>
      </c>
      <c r="AA139" s="81">
        <f t="shared" ca="1" si="131"/>
        <v>1</v>
      </c>
      <c r="AB139" s="81">
        <f t="shared" ca="1" si="132"/>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INDXWH</v>
      </c>
      <c r="J140" s="239">
        <f t="shared" si="116"/>
        <v>2050</v>
      </c>
      <c r="K140" s="81"/>
      <c r="L140" s="206">
        <f t="shared" ca="1" si="133"/>
        <v>0.94</v>
      </c>
      <c r="M140" s="206"/>
      <c r="N140" s="81"/>
      <c r="O140" s="783">
        <f t="shared" ca="1" si="126"/>
        <v>0.33863636363636368</v>
      </c>
      <c r="P140" s="783">
        <f t="shared" ca="1" si="127"/>
        <v>1.2664999999999999E-2</v>
      </c>
      <c r="Q140" s="81">
        <f t="shared" ca="1" si="128"/>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29"/>
        <v>6</v>
      </c>
      <c r="Z140" s="81">
        <f t="shared" ca="1" si="130"/>
        <v>2</v>
      </c>
      <c r="AA140" s="81">
        <f t="shared" ca="1" si="131"/>
        <v>1</v>
      </c>
      <c r="AB140" s="81">
        <f t="shared" ca="1" si="132"/>
        <v>0.1</v>
      </c>
      <c r="AC140" s="211"/>
      <c r="AD140" s="81">
        <v>2050</v>
      </c>
      <c r="AE140" s="81"/>
      <c r="AF140" s="765"/>
    </row>
    <row r="141" spans="2:32">
      <c r="B141" s="778" t="s">
        <v>1135</v>
      </c>
      <c r="C141" s="241"/>
      <c r="D141" s="223" t="str">
        <f ca="1">IF(T141=0,"*",IF(T141&gt;0,"IND"&amp;RIGHT(H141,4)&amp;RIGHT(G141,3)&amp;"N"&amp;RIGHT(E141,1),""))</f>
        <v>INDXDRHDH2N1</v>
      </c>
      <c r="E141" s="278" t="str">
        <f>"Industrial heating technology "&amp;$AJ$12&amp;" "&amp;RIGHT(H141,2)&amp;" - Gas boiler (Steam) - new 1"</f>
        <v>Industrial heating technology Aluminium RH - Gas boiler (Steam) - new 1</v>
      </c>
      <c r="F141" s="239" t="s">
        <v>1274</v>
      </c>
      <c r="G141" s="176" t="s">
        <v>1438</v>
      </c>
      <c r="H141" s="177" t="str">
        <f>$AI$15</f>
        <v>IXDRH</v>
      </c>
      <c r="I141" s="177" t="str">
        <f t="shared" si="115"/>
        <v>INDXWH</v>
      </c>
      <c r="J141" s="239">
        <f t="shared" si="116"/>
        <v>2011</v>
      </c>
      <c r="K141" s="332">
        <f>J141</f>
        <v>2011</v>
      </c>
      <c r="L141" s="206">
        <f t="shared" ca="1" si="133"/>
        <v>0.92</v>
      </c>
      <c r="M141" s="206"/>
      <c r="N141" s="81">
        <f ca="1">VLOOKUP($AD141,INDIRECT("'"&amp;$B141&amp;"'!"&amp;"$P$39:$AD$42"),5,FALSE)</f>
        <v>25</v>
      </c>
      <c r="O141" s="783">
        <f t="shared" ca="1" si="126"/>
        <v>0.40636363636363632</v>
      </c>
      <c r="P141" s="783">
        <f t="shared" ca="1" si="127"/>
        <v>1.49E-2</v>
      </c>
      <c r="Q141" s="81">
        <f t="shared" ca="1" si="128"/>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29"/>
        <v>9</v>
      </c>
      <c r="Z141" s="81">
        <f t="shared" ca="1" si="130"/>
        <v>3</v>
      </c>
      <c r="AA141" s="81">
        <f t="shared" ca="1" si="131"/>
        <v>1</v>
      </c>
      <c r="AB141" s="81">
        <f t="shared" ca="1" si="132"/>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INDXWH</v>
      </c>
      <c r="J142" s="239">
        <f t="shared" si="116"/>
        <v>2030</v>
      </c>
      <c r="K142" s="81"/>
      <c r="L142" s="206">
        <f t="shared" ca="1" si="133"/>
        <v>0.93</v>
      </c>
      <c r="M142" s="206"/>
      <c r="N142" s="81"/>
      <c r="O142" s="783">
        <f t="shared" ca="1" si="126"/>
        <v>0.33863636363636368</v>
      </c>
      <c r="P142" s="783">
        <f t="shared" ca="1" si="127"/>
        <v>1.4154999999999999E-2</v>
      </c>
      <c r="Q142" s="81">
        <f t="shared" ca="1" si="128"/>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29"/>
        <v>7</v>
      </c>
      <c r="Z142" s="81">
        <f t="shared" ca="1" si="130"/>
        <v>2</v>
      </c>
      <c r="AA142" s="81">
        <f t="shared" ca="1" si="131"/>
        <v>1</v>
      </c>
      <c r="AB142" s="81">
        <f t="shared" ca="1" si="132"/>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INDXWH</v>
      </c>
      <c r="J143" s="239">
        <f t="shared" si="116"/>
        <v>2050</v>
      </c>
      <c r="K143" s="81"/>
      <c r="L143" s="206">
        <f t="shared" ca="1" si="133"/>
        <v>0.94</v>
      </c>
      <c r="M143" s="206"/>
      <c r="N143" s="81"/>
      <c r="O143" s="783">
        <f t="shared" ca="1" si="126"/>
        <v>0.33863636363636368</v>
      </c>
      <c r="P143" s="783">
        <f t="shared" ca="1" si="127"/>
        <v>1.2664999999999999E-2</v>
      </c>
      <c r="Q143" s="81">
        <f t="shared" ca="1" si="128"/>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29"/>
        <v>6</v>
      </c>
      <c r="Z143" s="81">
        <f t="shared" ca="1" si="130"/>
        <v>2</v>
      </c>
      <c r="AA143" s="81">
        <f t="shared" ca="1" si="131"/>
        <v>1</v>
      </c>
      <c r="AB143" s="81">
        <f t="shared" ca="1" si="132"/>
        <v>0.1</v>
      </c>
      <c r="AC143" s="55"/>
      <c r="AD143" s="81">
        <v>2050</v>
      </c>
      <c r="AE143" s="81"/>
      <c r="AF143" s="760"/>
    </row>
    <row r="144" spans="2:32">
      <c r="B144" s="778" t="s">
        <v>1135</v>
      </c>
      <c r="C144" s="241"/>
      <c r="D144" s="223" t="str">
        <f ca="1">IF(T144=0,"*",IF(T144&gt;0,"IND"&amp;RIGHT(H144,4)&amp;RIGHT(G144,3)&amp;"N"&amp;RIGHT(E144,1),""))</f>
        <v>INDXDMTDH2N2</v>
      </c>
      <c r="E144" s="767" t="str">
        <f>"Industrial heating technology "&amp;$AJ$12&amp;" "&amp;RIGHT(H144,2)&amp;" - Gas boiler (Steam - condensing) - new 2"</f>
        <v>Industrial heating technology Aluminium MT - Gas boiler (Steam - condensing) - new 2</v>
      </c>
      <c r="F144" s="239" t="s">
        <v>1274</v>
      </c>
      <c r="G144" s="176" t="s">
        <v>1438</v>
      </c>
      <c r="H144" s="768" t="str">
        <f>$AI$14</f>
        <v>IXDMT</v>
      </c>
      <c r="I144" s="768" t="str">
        <f t="shared" si="115"/>
        <v>INDXWH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INDXWH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INDXWH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INDXDRHDH2N2</v>
      </c>
      <c r="E147" s="278" t="str">
        <f>"Industrial heating technology "&amp;$AJ$12&amp;" "&amp;RIGHT(H147,2)&amp;" - Gas boiler (Steam - condensing) - new 2"</f>
        <v>Industrial heating technology Aluminium RH - Gas boiler (Steam - condensing) - new 2</v>
      </c>
      <c r="F147" s="239" t="s">
        <v>1274</v>
      </c>
      <c r="G147" s="176" t="s">
        <v>1438</v>
      </c>
      <c r="H147" s="177" t="str">
        <f>$AI$15</f>
        <v>IXDRH</v>
      </c>
      <c r="I147" s="177" t="str">
        <f t="shared" si="115"/>
        <v>INDXWH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INDXWH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INDXWH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INDXDMTDH2N3</v>
      </c>
      <c r="E150" s="767" t="str">
        <f>"Industrial heating technology "&amp;$AJ$12&amp;" "&amp;RIGHT(H150,2)&amp;" - Gas boiler (Hot Water) - new 3"</f>
        <v>Industrial heating technology Aluminium MT - Gas boiler (Hot Water) - new 3</v>
      </c>
      <c r="F150" s="239" t="s">
        <v>1274</v>
      </c>
      <c r="G150" s="176" t="s">
        <v>1438</v>
      </c>
      <c r="H150" s="768" t="str">
        <f>$AI$14</f>
        <v>IXDMT</v>
      </c>
      <c r="I150" s="768" t="str">
        <f t="shared" si="115"/>
        <v>INDXWH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INDXWH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INDXWH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INDXDRHDH2N3</v>
      </c>
      <c r="E153" s="278" t="str">
        <f>"Industrial heating technology "&amp;$AJ$12&amp;" "&amp;RIGHT(H153,2)&amp;" - Gas boiler (Hot Water) - new 3"</f>
        <v>Industrial heating technology Aluminium RH - Gas boiler (Hot Water) - new 3</v>
      </c>
      <c r="F153" s="239" t="s">
        <v>1274</v>
      </c>
      <c r="G153" s="176" t="s">
        <v>1438</v>
      </c>
      <c r="H153" s="177" t="str">
        <f>$AI$15</f>
        <v>IXDRH</v>
      </c>
      <c r="I153" s="177" t="str">
        <f t="shared" si="115"/>
        <v>INDXWH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INDXWH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INDXWH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INDXDMTDH2N4</v>
      </c>
      <c r="E156" s="767" t="str">
        <f>"Industrial heating technology "&amp;$AJ$12&amp;" "&amp;RIGHT(H156,2)&amp;" - Gas boiler (Hot Water - condensing) - new 4"</f>
        <v>Industrial heating technology Aluminium MT - Gas boiler (Hot Water - condensing) - new 4</v>
      </c>
      <c r="F156" s="239" t="s">
        <v>1274</v>
      </c>
      <c r="G156" s="176" t="s">
        <v>1438</v>
      </c>
      <c r="H156" s="768" t="str">
        <f>$AI$14</f>
        <v>IXDMT</v>
      </c>
      <c r="I156" s="768" t="str">
        <f t="shared" si="115"/>
        <v>INDXWH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INDXWH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INDXWH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INDXDRHDH2N4</v>
      </c>
      <c r="E159" s="278" t="str">
        <f>"Industrial heating technology "&amp;$AJ$12&amp;" "&amp;RIGHT(H159,2)&amp;" - Gas boiler (Hot Water- condensing) - new 4"</f>
        <v>Industrial heating technology Aluminium RH - Gas boiler (Hot Water- condensing) - new 4</v>
      </c>
      <c r="F159" s="239" t="s">
        <v>1274</v>
      </c>
      <c r="G159" s="176" t="s">
        <v>1438</v>
      </c>
      <c r="H159" s="177" t="str">
        <f>$AI$15</f>
        <v>IXDRH</v>
      </c>
      <c r="I159" s="177" t="str">
        <f t="shared" ref="I159:I182" si="158">$AI$20</f>
        <v>INDXWH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INDXWH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INDXWH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INDXDHTDH2N5</v>
      </c>
      <c r="E162" s="767" t="str">
        <f>"Industrial heating technology "&amp;$AJ$12&amp;" "&amp;RIGHT(H162,2)&amp;" - Gas boiler (Direct firing) - new 5"</f>
        <v>Industrial heating technology Aluminium HT - Gas boiler (Direct firing) - new 5</v>
      </c>
      <c r="F162" s="239" t="s">
        <v>1274</v>
      </c>
      <c r="G162" s="176" t="s">
        <v>1438</v>
      </c>
      <c r="H162" s="177" t="str">
        <f>$AI$13</f>
        <v>IXDHT</v>
      </c>
      <c r="I162" s="177" t="str">
        <f t="shared" si="158"/>
        <v>INDXWH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INDXWH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INDXWH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INDXDMTDH2N5</v>
      </c>
      <c r="E165" s="278" t="str">
        <f>"Industrial heating technology "&amp;$AJ$12&amp;" "&amp;RIGHT(H165,2)&amp;" - Gas boiler (Direct firing) - new 5"</f>
        <v>Industrial heating technology Aluminium MT - Gas boiler (Direct firing) - new 5</v>
      </c>
      <c r="F165" s="239" t="s">
        <v>1274</v>
      </c>
      <c r="G165" s="176" t="s">
        <v>1438</v>
      </c>
      <c r="H165" s="177" t="str">
        <f>$AI$14</f>
        <v>IXDMT</v>
      </c>
      <c r="I165" s="781" t="str">
        <f t="shared" si="158"/>
        <v>INDXWH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INDXWH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INDXWH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INDXDHTCOAN1</v>
      </c>
      <c r="E168" s="278" t="str">
        <f>"Industrial heating technology "&amp;$AJ$12&amp;" "&amp;RIGHT(H168,2)&amp;" - Coal boiler (Steam) - new 1"</f>
        <v>Industrial heating technology Aluminium HT - Coal boiler (Steam) - new 1</v>
      </c>
      <c r="F168" s="239" t="s">
        <v>1274</v>
      </c>
      <c r="G168" s="55" t="s">
        <v>662</v>
      </c>
      <c r="H168" s="177" t="str">
        <f>$AI$13</f>
        <v>IXDHT</v>
      </c>
      <c r="I168" s="177" t="str">
        <f t="shared" si="158"/>
        <v>INDXWH</v>
      </c>
      <c r="J168" s="239">
        <f t="shared" si="159"/>
        <v>2011</v>
      </c>
      <c r="K168" s="332">
        <f>J168</f>
        <v>2011</v>
      </c>
      <c r="L168" s="206">
        <f ca="1">VLOOKUP($AD168,INDIRECT("'"&amp;$B168&amp;"'!"&amp;"$P$39:$AD$42"),3,FALSE)*0.5</f>
        <v>0.44500000000000001</v>
      </c>
      <c r="M168" s="759"/>
      <c r="N168" s="332">
        <f ca="1">VLOOKUP($AD168,INDIRECT("'"&amp;$B168&amp;"'!"&amp;"$P$39:$AD$42"),5,FALSE)</f>
        <v>25</v>
      </c>
      <c r="O168" s="785">
        <f t="shared" ref="O168:O176" ca="1" si="169">VLOOKUP($AD168,INDIRECT("'"&amp;$B168&amp;"'!"&amp;"$P$39:$AD$42"),6,FALSE)/1000</f>
        <v>3.7250000000000001</v>
      </c>
      <c r="P168" s="785">
        <f t="shared" ref="P168:P176" ca="1" si="170">VLOOKUP($AD168,INDIRECT("'"&amp;$B168&amp;"'!"&amp;"$P$39:$AD$42"),7,FALSE)/1000</f>
        <v>0.25106499999999998</v>
      </c>
      <c r="Q168" s="332">
        <f t="shared" ref="Q168:Q176" ca="1" si="171">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0.85499999999999998</v>
      </c>
      <c r="W168" s="331"/>
      <c r="X168" s="758">
        <f t="shared" ca="1" si="160"/>
        <v>8</v>
      </c>
      <c r="Y168" s="332">
        <f t="shared" ref="Y168:Y176" ca="1" si="172">VLOOKUP($AD168,INDIRECT("'"&amp;$B168&amp;"'!"&amp;"$P$39:$AD$42"),12,FALSE)</f>
        <v>35</v>
      </c>
      <c r="Z168" s="332">
        <f t="shared" ref="Z168:Z176" ca="1" si="173">VLOOKUP($AD168,INDIRECT("'"&amp;$B168&amp;"'!"&amp;"$P$39:$AD$42"),13,FALSE)</f>
        <v>1.5</v>
      </c>
      <c r="AA168" s="332">
        <f t="shared" ref="AA168:AA176" ca="1" si="174">VLOOKUP($AD168,INDIRECT("'"&amp;$B168&amp;"'!"&amp;"$P$39:$AD$42"),14,FALSE)</f>
        <v>0.8</v>
      </c>
      <c r="AB168" s="332">
        <f t="shared" ref="AB168:AB176" ca="1" si="175">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INDXWH</v>
      </c>
      <c r="J169" s="239">
        <f t="shared" si="159"/>
        <v>2030</v>
      </c>
      <c r="K169" s="81"/>
      <c r="L169" s="206">
        <f ca="1">VLOOKUP($AD169,INDIRECT("'"&amp;$B169&amp;"'!"&amp;"$P$39:$AD$42"),3,FALSE)*0.5</f>
        <v>0.44500000000000001</v>
      </c>
      <c r="M169" s="832"/>
      <c r="N169" s="208"/>
      <c r="O169" s="785">
        <f t="shared" ca="1" si="169"/>
        <v>3.4699403462447704</v>
      </c>
      <c r="P169" s="785">
        <f t="shared" ca="1" si="170"/>
        <v>0.24287</v>
      </c>
      <c r="Q169" s="332">
        <f t="shared" ca="1" si="171"/>
        <v>3.9836805555555559</v>
      </c>
      <c r="R169" s="883"/>
      <c r="S169" s="333"/>
      <c r="T169" s="333"/>
      <c r="U169" s="333"/>
      <c r="V169" s="759">
        <f ca="1">IF(IF(RIGHT(H168,2)="MT",(1-L169)+$W$2,IF(RIGHT(H168,2)="HT",(1-L169)+$W$1,IF(RIGHT(H168,2)="RH",(1-L169)+$W$3,"")))&lt;0,0,IF(RIGHT(H168,2)="MT",(1-L169)+$W$2,IF(RIGHT(H168,2)="HT",(1-L169)+$W$1,IF(RIGHT(H168,2)="RH",(1-L169)+$W$3,""))))</f>
        <v>0.85499999999999998</v>
      </c>
      <c r="W169" s="331"/>
      <c r="X169" s="758">
        <f t="shared" ca="1" si="160"/>
        <v>8</v>
      </c>
      <c r="Y169" s="332">
        <f t="shared" ca="1" si="172"/>
        <v>35</v>
      </c>
      <c r="Z169" s="332">
        <f t="shared" ca="1" si="173"/>
        <v>1.5</v>
      </c>
      <c r="AA169" s="332">
        <f t="shared" ca="1" si="174"/>
        <v>0.8</v>
      </c>
      <c r="AB169" s="332">
        <f t="shared" ca="1" si="175"/>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INDXWH</v>
      </c>
      <c r="J170" s="239">
        <f t="shared" si="159"/>
        <v>2050</v>
      </c>
      <c r="K170" s="81"/>
      <c r="L170" s="206">
        <f ca="1">VLOOKUP($AD170,INDIRECT("'"&amp;$B170&amp;"'!"&amp;"$P$39:$AD$42"),3,FALSE)*0.5</f>
        <v>0.45500000000000002</v>
      </c>
      <c r="M170" s="832"/>
      <c r="N170" s="208"/>
      <c r="O170" s="785">
        <f t="shared" ca="1" si="169"/>
        <v>3.2813985758696647</v>
      </c>
      <c r="P170" s="785">
        <f t="shared" ca="1" si="170"/>
        <v>0.22797000000000001</v>
      </c>
      <c r="Q170" s="332">
        <f t="shared" ca="1" si="171"/>
        <v>4.0064444444444449</v>
      </c>
      <c r="R170" s="883"/>
      <c r="S170" s="333"/>
      <c r="T170" s="333"/>
      <c r="U170" s="333"/>
      <c r="V170" s="759">
        <f ca="1">IF(IF(RIGHT(H168,2)="MT",(1-L170)+$W$2,IF(RIGHT(H168,2)="HT",(1-L170)+$W$1,IF(RIGHT(H168,2)="RH",(1-L170)+$W$3,"")))&lt;0,0,IF(RIGHT(H168,2)="MT",(1-L170)+$W$2,IF(RIGHT(H168,2)="HT",(1-L170)+$W$1,IF(RIGHT(H168,2)="RH",(1-L170)+$W$3,""))))</f>
        <v>0.84499999999999997</v>
      </c>
      <c r="W170" s="331"/>
      <c r="X170" s="758">
        <f t="shared" ca="1" si="160"/>
        <v>8</v>
      </c>
      <c r="Y170" s="332">
        <f t="shared" ca="1" si="172"/>
        <v>35</v>
      </c>
      <c r="Z170" s="332">
        <f t="shared" ca="1" si="173"/>
        <v>1.5</v>
      </c>
      <c r="AA170" s="332">
        <f t="shared" ca="1" si="174"/>
        <v>0.8</v>
      </c>
      <c r="AB170" s="332">
        <f t="shared" ca="1" si="175"/>
        <v>2.1</v>
      </c>
      <c r="AD170" s="81">
        <v>2050</v>
      </c>
      <c r="AE170" s="290"/>
      <c r="AF170" s="888"/>
    </row>
    <row r="171" spans="1:32">
      <c r="A171" s="172"/>
      <c r="B171" s="778" t="s">
        <v>1224</v>
      </c>
      <c r="C171" s="241"/>
      <c r="D171" s="223" t="str">
        <f ca="1">IF(T171=0,"*",IF(T171&gt;0,"IND"&amp;RIGHT(H171,4)&amp;RIGHT(G171,3)&amp;"N"&amp;RIGHT(E171,1),""))</f>
        <v>INDXDMTCOAN1</v>
      </c>
      <c r="E171" s="278" t="str">
        <f>"Industrial heating technology "&amp;$AJ$12&amp;" "&amp;RIGHT(H171,2)&amp;" - Coal boiler (Steam) - new 1"</f>
        <v>Industrial heating technology Aluminium MT - Coal boiler (Steam) - new 1</v>
      </c>
      <c r="F171" s="239" t="s">
        <v>1274</v>
      </c>
      <c r="G171" s="55" t="s">
        <v>662</v>
      </c>
      <c r="H171" s="177" t="str">
        <f>$AI$14</f>
        <v>IXDMT</v>
      </c>
      <c r="I171" s="177" t="str">
        <f t="shared" si="158"/>
        <v>INDXWH</v>
      </c>
      <c r="J171" s="239">
        <f t="shared" si="159"/>
        <v>2011</v>
      </c>
      <c r="K171" s="332">
        <f>J171</f>
        <v>2011</v>
      </c>
      <c r="L171" s="206">
        <f t="shared" ref="L171:L176" ca="1" si="176">VLOOKUP($AD171,INDIRECT("'"&amp;$B171&amp;"'!"&amp;"$P$39:$AD$42"),3,FALSE)</f>
        <v>0.89</v>
      </c>
      <c r="M171" s="206"/>
      <c r="N171" s="81">
        <f ca="1">VLOOKUP($AD171,INDIRECT("'"&amp;$B171&amp;"'!"&amp;"$P$39:$AD$42"),5,FALSE)</f>
        <v>25</v>
      </c>
      <c r="O171" s="785">
        <f t="shared" ca="1" si="169"/>
        <v>3.7250000000000001</v>
      </c>
      <c r="P171" s="785">
        <f t="shared" ca="1" si="170"/>
        <v>0.25106499999999998</v>
      </c>
      <c r="Q171" s="332">
        <f t="shared" ca="1" si="171"/>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2"/>
        <v>35</v>
      </c>
      <c r="Z171" s="332">
        <f t="shared" ca="1" si="173"/>
        <v>1.5</v>
      </c>
      <c r="AA171" s="332">
        <f t="shared" ca="1" si="174"/>
        <v>0.8</v>
      </c>
      <c r="AB171" s="332">
        <f t="shared" ca="1" si="175"/>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INDXWH</v>
      </c>
      <c r="J172" s="239">
        <f t="shared" si="159"/>
        <v>2030</v>
      </c>
      <c r="K172" s="81"/>
      <c r="L172" s="206">
        <f t="shared" ca="1" si="176"/>
        <v>0.89</v>
      </c>
      <c r="M172" s="832"/>
      <c r="N172" s="208"/>
      <c r="O172" s="785">
        <f t="shared" ca="1" si="169"/>
        <v>3.4699403462447704</v>
      </c>
      <c r="P172" s="785">
        <f t="shared" ca="1" si="170"/>
        <v>0.24287</v>
      </c>
      <c r="Q172" s="332">
        <f t="shared" ca="1" si="171"/>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2"/>
        <v>35</v>
      </c>
      <c r="Z172" s="332">
        <f t="shared" ca="1" si="173"/>
        <v>1.5</v>
      </c>
      <c r="AA172" s="332">
        <f t="shared" ca="1" si="174"/>
        <v>0.8</v>
      </c>
      <c r="AB172" s="332">
        <f t="shared" ca="1" si="175"/>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INDXWH</v>
      </c>
      <c r="J173" s="239">
        <f t="shared" si="159"/>
        <v>2050</v>
      </c>
      <c r="K173" s="81"/>
      <c r="L173" s="206">
        <f t="shared" ca="1" si="176"/>
        <v>0.91</v>
      </c>
      <c r="M173" s="832"/>
      <c r="N173" s="208"/>
      <c r="O173" s="785">
        <f t="shared" ca="1" si="169"/>
        <v>3.2813985758696647</v>
      </c>
      <c r="P173" s="785">
        <f t="shared" ca="1" si="170"/>
        <v>0.22797000000000001</v>
      </c>
      <c r="Q173" s="332">
        <f t="shared" ca="1" si="171"/>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2"/>
        <v>35</v>
      </c>
      <c r="Z173" s="332">
        <f t="shared" ca="1" si="173"/>
        <v>1.5</v>
      </c>
      <c r="AA173" s="332">
        <f t="shared" ca="1" si="174"/>
        <v>0.8</v>
      </c>
      <c r="AB173" s="332">
        <f t="shared" ca="1" si="175"/>
        <v>2.1</v>
      </c>
      <c r="AD173" s="81">
        <v>2050</v>
      </c>
      <c r="AE173" s="290"/>
      <c r="AF173" s="888"/>
    </row>
    <row r="174" spans="1:32">
      <c r="A174" s="172"/>
      <c r="B174" s="778" t="s">
        <v>1224</v>
      </c>
      <c r="C174" s="241"/>
      <c r="D174" s="223" t="str">
        <f ca="1">IF(T174=0,"*",IF(T174&gt;0,"IND"&amp;RIGHT(H174,4)&amp;RIGHT(G174,3)&amp;"N"&amp;RIGHT(E174,1),""))</f>
        <v>INDXDRHCOAN1</v>
      </c>
      <c r="E174" s="278" t="str">
        <f>"Industrial heating technology "&amp;$AJ$12&amp;" "&amp;RIGHT(H174,2)&amp;" - Coal boiler (Steam) - new 1"</f>
        <v>Industrial heating technology Aluminium RH - Coal boiler (Steam) - new 1</v>
      </c>
      <c r="F174" s="239" t="s">
        <v>1274</v>
      </c>
      <c r="G174" s="55" t="s">
        <v>662</v>
      </c>
      <c r="H174" s="177" t="str">
        <f>$AI$15</f>
        <v>IXDRH</v>
      </c>
      <c r="I174" s="177" t="str">
        <f t="shared" si="158"/>
        <v>INDXWH</v>
      </c>
      <c r="J174" s="239">
        <f t="shared" si="159"/>
        <v>2011</v>
      </c>
      <c r="K174" s="332">
        <f>J174</f>
        <v>2011</v>
      </c>
      <c r="L174" s="206">
        <f t="shared" ca="1" si="176"/>
        <v>0.89</v>
      </c>
      <c r="M174" s="206"/>
      <c r="N174" s="81">
        <f ca="1">VLOOKUP($AD174,INDIRECT("'"&amp;$B174&amp;"'!"&amp;"$P$39:$AD$42"),5,FALSE)</f>
        <v>25</v>
      </c>
      <c r="O174" s="785">
        <f t="shared" ca="1" si="169"/>
        <v>3.7250000000000001</v>
      </c>
      <c r="P174" s="785">
        <f t="shared" ca="1" si="170"/>
        <v>0.25106499999999998</v>
      </c>
      <c r="Q174" s="332">
        <f t="shared" ca="1" si="171"/>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2"/>
        <v>35</v>
      </c>
      <c r="Z174" s="332">
        <f t="shared" ca="1" si="173"/>
        <v>1.5</v>
      </c>
      <c r="AA174" s="332">
        <f t="shared" ca="1" si="174"/>
        <v>0.8</v>
      </c>
      <c r="AB174" s="332">
        <f t="shared" ca="1" si="175"/>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INDXWH</v>
      </c>
      <c r="J175" s="239">
        <f t="shared" si="159"/>
        <v>2030</v>
      </c>
      <c r="K175" s="81"/>
      <c r="L175" s="206">
        <f t="shared" ca="1" si="176"/>
        <v>0.89</v>
      </c>
      <c r="M175" s="832"/>
      <c r="N175" s="208"/>
      <c r="O175" s="785">
        <f t="shared" ca="1" si="169"/>
        <v>3.4699403462447704</v>
      </c>
      <c r="P175" s="785">
        <f t="shared" ca="1" si="170"/>
        <v>0.24287</v>
      </c>
      <c r="Q175" s="332">
        <f t="shared" ca="1" si="171"/>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2"/>
        <v>35</v>
      </c>
      <c r="Z175" s="332">
        <f t="shared" ca="1" si="173"/>
        <v>1.5</v>
      </c>
      <c r="AA175" s="332">
        <f t="shared" ca="1" si="174"/>
        <v>0.8</v>
      </c>
      <c r="AB175" s="332">
        <f t="shared" ca="1" si="175"/>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INDXWH</v>
      </c>
      <c r="J176" s="239">
        <f t="shared" si="159"/>
        <v>2050</v>
      </c>
      <c r="K176" s="81"/>
      <c r="L176" s="206">
        <f t="shared" ca="1" si="176"/>
        <v>0.91</v>
      </c>
      <c r="M176" s="886"/>
      <c r="N176" s="885"/>
      <c r="O176" s="785">
        <f t="shared" ca="1" si="169"/>
        <v>3.2813985758696647</v>
      </c>
      <c r="P176" s="785">
        <f t="shared" ca="1" si="170"/>
        <v>0.22797000000000001</v>
      </c>
      <c r="Q176" s="332">
        <f t="shared" ca="1" si="171"/>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2"/>
        <v>35</v>
      </c>
      <c r="Z176" s="332">
        <f t="shared" ca="1" si="173"/>
        <v>1.5</v>
      </c>
      <c r="AA176" s="332">
        <f t="shared" ca="1" si="174"/>
        <v>0.8</v>
      </c>
      <c r="AB176" s="332">
        <f t="shared" ca="1" si="175"/>
        <v>2.1</v>
      </c>
      <c r="AC176" s="211"/>
      <c r="AD176" s="81">
        <v>2050</v>
      </c>
      <c r="AE176" s="290"/>
      <c r="AF176" s="889"/>
    </row>
    <row r="177" spans="1:32">
      <c r="A177" s="172"/>
      <c r="B177" s="778" t="s">
        <v>1224</v>
      </c>
      <c r="C177" s="241"/>
      <c r="D177" s="223" t="str">
        <f ca="1">IF(T177=0,"*",IF(T177&gt;0,"IND"&amp;RIGHT(H177,4)&amp;RIGHT(G177,3)&amp;"N"&amp;RIGHT(E177,1),""))</f>
        <v>INDXDMTCOAN2</v>
      </c>
      <c r="E177" s="278" t="str">
        <f>"Industrial heating technology "&amp;$AJ$12&amp;" "&amp;RIGHT(H177,2)&amp;" - Coal boiler (Hot Water) - new 2"</f>
        <v>Industrial heating technology Aluminium MT - Coal boiler (Hot Water) - new 2</v>
      </c>
      <c r="F177" s="239" t="s">
        <v>1274</v>
      </c>
      <c r="G177" s="55" t="s">
        <v>662</v>
      </c>
      <c r="H177" s="177" t="str">
        <f>$AI$14</f>
        <v>IXDMT</v>
      </c>
      <c r="I177" s="177" t="str">
        <f t="shared" si="158"/>
        <v>INDXWH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INDXWH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INDXWH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INDXDRHCOAN2</v>
      </c>
      <c r="E180" s="278" t="str">
        <f>"Industrial heating technology "&amp;$AJ$12&amp;" "&amp;RIGHT(H180,2)&amp;" - Coal boiler (Hot Water) - new 2"</f>
        <v>Industrial heating technology Aluminium RH - Coal boiler (Hot Water) - new 2</v>
      </c>
      <c r="F180" s="239" t="s">
        <v>1274</v>
      </c>
      <c r="G180" s="55" t="s">
        <v>662</v>
      </c>
      <c r="H180" s="177" t="str">
        <f>$AI$15</f>
        <v>IXDRH</v>
      </c>
      <c r="I180" s="177" t="str">
        <f t="shared" si="158"/>
        <v>INDXWH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INDXWH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INDXWH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INDXDRHSOLN1</v>
      </c>
      <c r="E183" s="278" t="str">
        <f>"Industrial heating technology "&amp;$AJ$12&amp;" "&amp;RIGHT(H183,2)&amp;" - Solar - new 1"</f>
        <v>Industrial heating technology Aluminium RH - Solar - new 1</v>
      </c>
      <c r="F183" s="239" t="s">
        <v>1274</v>
      </c>
      <c r="G183" s="55" t="s">
        <v>501</v>
      </c>
      <c r="H183" s="177" t="str">
        <f>$AI$15</f>
        <v>IXDRH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
        <v>451</v>
      </c>
      <c r="E187" s="239" t="str">
        <f>"Industrial heating technology "&amp;$AJ$12&amp;" "&amp;RIGHT(H187,2)&amp;" - central district heating - within DH area - new 1"</f>
        <v>Industrial heating technology Aluminium RH - central district heating - within DH area - new 1</v>
      </c>
      <c r="F187" s="239" t="s">
        <v>1274</v>
      </c>
      <c r="G187" s="240" t="s">
        <v>502</v>
      </c>
      <c r="H187" s="240" t="str">
        <f>AI15</f>
        <v>IXDRH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
        <v>451</v>
      </c>
      <c r="E188" s="239" t="str">
        <f>"Industrial heating technology "&amp;$AJ$12&amp;" "&amp;RIGHT(H188,2)&amp;" - decentral district heating - within DH area - new 1"</f>
        <v>Industrial heating technology Aluminium RH - decentral district heating - within DH area - new 1</v>
      </c>
      <c r="F188" s="239" t="s">
        <v>1274</v>
      </c>
      <c r="G188" s="276" t="s">
        <v>503</v>
      </c>
      <c r="H188" s="282" t="str">
        <f>AI15</f>
        <v>IXDRH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INDXDLAELCN1</v>
      </c>
      <c r="E190" s="239" t="str">
        <f>"Industry "&amp;$AJ$12&amp;" "&amp;RIGHT(H190,2)&amp;" Electricity Light Appliance - New 1"</f>
        <v>Industry Aluminium LA Electricity Light Appliance - New 1</v>
      </c>
      <c r="F190" s="239" t="s">
        <v>1274</v>
      </c>
      <c r="G190" s="240" t="s">
        <v>500</v>
      </c>
      <c r="H190" s="240" t="str">
        <f>AI16</f>
        <v>IXDLA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INDXDEMELCN1</v>
      </c>
      <c r="E194" s="239" t="str">
        <f>"Industry "&amp;$AJ$12&amp;" "&amp;RIGHT(H194,2)&amp;" Electricity Motors - New 1"</f>
        <v>Industry Aluminium EM Electricity Motors - New 1</v>
      </c>
      <c r="F194" s="239" t="s">
        <v>1274</v>
      </c>
      <c r="G194" s="240" t="s">
        <v>500</v>
      </c>
      <c r="H194" s="240" t="str">
        <f>AI17</f>
        <v>IXDEM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INDXDTFDSLN1</v>
      </c>
      <c r="E198" s="239" t="str">
        <f>"Industry "&amp;$AJ$12&amp;" "&amp;RIGHT(H198,2)&amp;" Tractors, Trucks, Fishing boats - New 1"</f>
        <v>Industry Aluminium TF Tractors, Trucks, Fishing boats - New 1</v>
      </c>
      <c r="F198" s="239" t="s">
        <v>1274</v>
      </c>
      <c r="G198" s="176" t="s">
        <v>1437</v>
      </c>
      <c r="H198" s="177" t="str">
        <f>AI18</f>
        <v>IXDTF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INDXDFLDH2N1</v>
      </c>
      <c r="E202" s="239" t="str">
        <f>"Industry "&amp;$AJ$12&amp;" "&amp;RIGHT(H198,2)&amp;" Forklifts - New 1"</f>
        <v>Industry Aluminium TF Forklifts - New 1</v>
      </c>
      <c r="F202" s="239" t="s">
        <v>1274</v>
      </c>
      <c r="G202" s="176" t="s">
        <v>1438</v>
      </c>
      <c r="H202" s="239" t="str">
        <f>AI19</f>
        <v>IXDFL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v>
      </c>
      <c r="D213" s="223" t="str">
        <f ca="1">D9</f>
        <v>*</v>
      </c>
      <c r="E213" s="223" t="str">
        <f t="shared" ref="E213:E244" ca="1" si="181">VLOOKUP(D213,$D$9:$E$206,2,FALSE)</f>
        <v>Industrial heating technology Aluminium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INDXDRHELCN1</v>
      </c>
      <c r="E214" s="223" t="str">
        <f t="shared" ca="1" si="181"/>
        <v>Industrial heating technology Aluminium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Aluminium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INDXDRHELCN2</v>
      </c>
      <c r="E216" s="223" t="str">
        <f t="shared" ca="1" si="181"/>
        <v>Industrial heating technology Aluminium RH - Heat driven heat pump utilizing waste heat - new 2</v>
      </c>
      <c r="F216" s="279" t="s">
        <v>450</v>
      </c>
      <c r="G216" s="279" t="s">
        <v>449</v>
      </c>
      <c r="H216" s="334" t="s">
        <v>665</v>
      </c>
      <c r="I216" s="281"/>
      <c r="J216" s="281" t="s">
        <v>469</v>
      </c>
    </row>
    <row r="217" spans="1:11">
      <c r="A217" s="172"/>
      <c r="B217" s="222"/>
      <c r="C217" s="222" t="str">
        <f t="shared" ca="1" si="182"/>
        <v>*</v>
      </c>
      <c r="D217" s="223" t="str">
        <f t="shared" ca="1" si="183"/>
        <v>*</v>
      </c>
      <c r="E217" s="223" t="str">
        <f t="shared" ca="1" si="181"/>
        <v>Industrial heating technology Aluminium MT - Heat pump utilizing waste heat - new 1</v>
      </c>
      <c r="F217" s="279" t="s">
        <v>450</v>
      </c>
      <c r="G217" s="279" t="s">
        <v>449</v>
      </c>
      <c r="H217" s="334" t="s">
        <v>665</v>
      </c>
      <c r="I217" s="281"/>
      <c r="J217" s="281" t="s">
        <v>469</v>
      </c>
    </row>
    <row r="218" spans="1:11">
      <c r="A218" s="172"/>
      <c r="B218" s="222"/>
      <c r="C218" s="222" t="str">
        <f t="shared" ca="1" si="182"/>
        <v>DMD</v>
      </c>
      <c r="D218" s="223" t="str">
        <f t="shared" ca="1" si="183"/>
        <v>INDXDRHELCN3</v>
      </c>
      <c r="E218" s="223" t="str">
        <f t="shared" ca="1" si="181"/>
        <v>Industrial heating technology Aluminium RH - High Temp abs. Heat pump utilizing waste heat - new 3</v>
      </c>
      <c r="F218" s="279" t="s">
        <v>450</v>
      </c>
      <c r="G218" s="279" t="s">
        <v>449</v>
      </c>
      <c r="H218" s="334" t="s">
        <v>665</v>
      </c>
      <c r="I218" s="281"/>
      <c r="J218" s="281" t="s">
        <v>469</v>
      </c>
    </row>
    <row r="219" spans="1:11">
      <c r="A219" s="172"/>
      <c r="B219" s="222"/>
      <c r="C219" s="222" t="str">
        <f t="shared" ca="1" si="182"/>
        <v>*</v>
      </c>
      <c r="D219" s="223" t="str">
        <f t="shared" ca="1" si="183"/>
        <v>*</v>
      </c>
      <c r="E219" s="223" t="str">
        <f t="shared" ca="1" si="181"/>
        <v>Industrial heating technology Aluminium MT - Heat pump utilizing waste heat - new 1</v>
      </c>
      <c r="F219" s="279" t="s">
        <v>450</v>
      </c>
      <c r="G219" s="279" t="s">
        <v>449</v>
      </c>
      <c r="H219" s="334" t="s">
        <v>665</v>
      </c>
      <c r="I219" s="281"/>
      <c r="J219" s="281" t="s">
        <v>469</v>
      </c>
    </row>
    <row r="220" spans="1:11">
      <c r="A220" s="172"/>
      <c r="B220" s="222"/>
      <c r="C220" s="222" t="str">
        <f t="shared" ca="1" si="182"/>
        <v>DMD</v>
      </c>
      <c r="D220" s="223" t="str">
        <f t="shared" ca="1" si="183"/>
        <v>INDXDRHELCN4</v>
      </c>
      <c r="E220" s="223" t="str">
        <f t="shared" ca="1" si="181"/>
        <v>Industrial heating technology Aluminium RH - Booster Heat pump utilizing waste heat - new 4</v>
      </c>
      <c r="F220" s="279" t="s">
        <v>450</v>
      </c>
      <c r="G220" s="279" t="s">
        <v>449</v>
      </c>
      <c r="H220" s="334" t="s">
        <v>665</v>
      </c>
      <c r="I220" s="281"/>
      <c r="J220" s="281" t="s">
        <v>469</v>
      </c>
    </row>
    <row r="221" spans="1:11">
      <c r="A221" s="172"/>
      <c r="B221" s="222"/>
      <c r="C221" s="222" t="str">
        <f t="shared" ca="1" si="182"/>
        <v>*</v>
      </c>
      <c r="D221" s="223" t="str">
        <f t="shared" ca="1" si="183"/>
        <v>*</v>
      </c>
      <c r="E221" s="223" t="str">
        <f t="shared" ca="1" si="181"/>
        <v>Industrial heating technology Aluminium MT - Heat pump utilizing waste heat - new 1</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Aluminium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Aluminium MT - Heat pump utilizing waste heat - new 1</v>
      </c>
      <c r="F223" s="279" t="s">
        <v>450</v>
      </c>
      <c r="G223" s="279" t="s">
        <v>449</v>
      </c>
      <c r="H223" s="334" t="s">
        <v>665</v>
      </c>
      <c r="I223" s="281"/>
      <c r="J223" s="281" t="s">
        <v>469</v>
      </c>
    </row>
    <row r="224" spans="1:11">
      <c r="A224" s="172"/>
      <c r="B224" s="222"/>
      <c r="C224" s="222" t="str">
        <f t="shared" ca="1" si="182"/>
        <v>*</v>
      </c>
      <c r="D224" s="223" t="str">
        <f t="shared" ca="1" si="184"/>
        <v>*</v>
      </c>
      <c r="E224" s="223" t="str">
        <f t="shared" ca="1" si="181"/>
        <v>Industrial heating technology Aluminium MT - Heat pump utilizing waste heat - new 1</v>
      </c>
      <c r="F224" s="279" t="s">
        <v>450</v>
      </c>
      <c r="G224" s="279" t="s">
        <v>449</v>
      </c>
      <c r="H224" s="334" t="s">
        <v>665</v>
      </c>
      <c r="I224" s="281"/>
      <c r="J224" s="281" t="s">
        <v>469</v>
      </c>
    </row>
    <row r="225" spans="1:16">
      <c r="A225" s="172"/>
      <c r="B225" s="222"/>
      <c r="C225" s="222" t="str">
        <f t="shared" ca="1" si="182"/>
        <v>DMD</v>
      </c>
      <c r="D225" s="223" t="str">
        <f t="shared" ca="1" si="184"/>
        <v>INDXDHTELCN8</v>
      </c>
      <c r="E225" s="223" t="str">
        <f t="shared" ca="1" si="181"/>
        <v>Industrial heating technology Aluminium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INDXDMTELCN8</v>
      </c>
      <c r="E226" s="223" t="str">
        <f t="shared" ca="1" si="181"/>
        <v>Industrial heating technology Aluminium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INDXDRHELCN8</v>
      </c>
      <c r="E227" s="223" t="str">
        <f t="shared" ca="1" si="181"/>
        <v>Industrial heating technology Aluminium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INDXDMTELCN9</v>
      </c>
      <c r="E228" s="223" t="str">
        <f t="shared" ca="1" si="181"/>
        <v>Industrial heating technology Aluminium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INDXDRHELCN9</v>
      </c>
      <c r="E229" s="223" t="str">
        <f t="shared" ca="1" si="181"/>
        <v>Industrial heating technology Aluminium RH - Electric boiler (Hot Water) - new 9</v>
      </c>
      <c r="F229" s="279" t="s">
        <v>450</v>
      </c>
      <c r="G229" s="279" t="s">
        <v>449</v>
      </c>
      <c r="H229" s="334" t="s">
        <v>665</v>
      </c>
      <c r="I229" s="281"/>
      <c r="J229" s="281" t="s">
        <v>469</v>
      </c>
      <c r="P229" s="176"/>
    </row>
    <row r="230" spans="1:16">
      <c r="A230" s="172"/>
      <c r="B230" s="222"/>
      <c r="C230" s="222" t="str">
        <f t="shared" ca="1" si="182"/>
        <v>*</v>
      </c>
      <c r="D230" s="223" t="str">
        <f t="shared" ca="1" si="184"/>
        <v>*</v>
      </c>
      <c r="E230" s="223" t="str">
        <f t="shared" ca="1" si="181"/>
        <v>Industrial heating technology Aluminium MT - Heat pump utilizing waste heat - new 1</v>
      </c>
      <c r="F230" s="279" t="s">
        <v>450</v>
      </c>
      <c r="G230" s="279" t="s">
        <v>449</v>
      </c>
      <c r="H230" s="280"/>
      <c r="I230" s="281"/>
      <c r="J230" s="281" t="s">
        <v>469</v>
      </c>
      <c r="P230" s="176"/>
    </row>
    <row r="231" spans="1:16">
      <c r="A231" s="172"/>
      <c r="B231" s="222"/>
      <c r="C231" s="222" t="str">
        <f t="shared" ca="1" si="182"/>
        <v>DMD</v>
      </c>
      <c r="D231" s="223" t="str">
        <f t="shared" ca="1" si="184"/>
        <v>INDXDMTWCHN1</v>
      </c>
      <c r="E231" s="223" t="str">
        <f t="shared" ca="1" si="181"/>
        <v>Industrial heating technology Aluminium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INDXDRHWCHN1</v>
      </c>
      <c r="E232" s="223" t="str">
        <f t="shared" ca="1" si="181"/>
        <v>Industrial heating technology Aluminium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INDXDMTWCHN2</v>
      </c>
      <c r="E233" s="223" t="str">
        <f t="shared" ca="1" si="181"/>
        <v>Industrial heating technology Aluminium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INDXDRHWCHN2</v>
      </c>
      <c r="E234" s="223" t="str">
        <f t="shared" ca="1" si="181"/>
        <v>Industrial heating technology Aluminium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INDXDMTWCHN3</v>
      </c>
      <c r="E235" s="223" t="str">
        <f t="shared" ca="1" si="181"/>
        <v>Industrial heating technology Aluminium MT - Wood chip boiler (Hot Water) - new 3</v>
      </c>
      <c r="F235" s="279" t="s">
        <v>450</v>
      </c>
      <c r="G235" s="279" t="s">
        <v>449</v>
      </c>
      <c r="H235" s="278"/>
      <c r="I235" s="278"/>
      <c r="J235" s="281" t="s">
        <v>469</v>
      </c>
    </row>
    <row r="236" spans="1:16">
      <c r="A236" s="172"/>
      <c r="B236" s="223"/>
      <c r="C236" s="222" t="str">
        <f t="shared" ca="1" si="182"/>
        <v>DMD</v>
      </c>
      <c r="D236" s="223" t="str">
        <f t="shared" ca="1" si="184"/>
        <v>INDXDRHWCHN3</v>
      </c>
      <c r="E236" s="223" t="str">
        <f t="shared" ca="1" si="181"/>
        <v>Industrial heating technology Aluminium RH - Wood chip boiler (Hot Water) - new 3</v>
      </c>
      <c r="F236" s="279" t="s">
        <v>450</v>
      </c>
      <c r="G236" s="279" t="s">
        <v>449</v>
      </c>
      <c r="H236" s="278"/>
      <c r="I236" s="278"/>
      <c r="J236" s="281" t="s">
        <v>469</v>
      </c>
    </row>
    <row r="237" spans="1:16">
      <c r="A237" s="172"/>
      <c r="B237" s="223"/>
      <c r="C237" s="222" t="str">
        <f t="shared" ca="1" si="182"/>
        <v>DMD</v>
      </c>
      <c r="D237" s="223" t="str">
        <f t="shared" ca="1" si="184"/>
        <v>INDXDMTWCHN4</v>
      </c>
      <c r="E237" s="223" t="str">
        <f t="shared" ca="1" si="181"/>
        <v>Industrial heating technology Aluminium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INDXDRHWCHN4</v>
      </c>
      <c r="E238" s="223" t="str">
        <f t="shared" ca="1" si="181"/>
        <v>Industrial heating technology Aluminium RH - Wood chip boiler (Hot Water- condensing) - new 4</v>
      </c>
      <c r="F238" s="279" t="s">
        <v>450</v>
      </c>
      <c r="G238" s="279" t="s">
        <v>449</v>
      </c>
      <c r="H238" s="278"/>
      <c r="I238" s="278"/>
      <c r="J238" s="281" t="s">
        <v>469</v>
      </c>
    </row>
    <row r="239" spans="1:16">
      <c r="B239" s="223"/>
      <c r="C239" s="222" t="str">
        <f t="shared" ca="1" si="182"/>
        <v>DMD</v>
      </c>
      <c r="D239" s="223" t="str">
        <f t="shared" ca="1" si="184"/>
        <v>INDXDHTELCN0</v>
      </c>
      <c r="E239" s="223" t="str">
        <f t="shared" ca="1" si="181"/>
        <v>Industrial heating technology Aluminium HT - Direct electric heating - new 10</v>
      </c>
      <c r="F239" s="279" t="s">
        <v>450</v>
      </c>
      <c r="G239" s="279" t="s">
        <v>449</v>
      </c>
      <c r="H239" s="334" t="s">
        <v>665</v>
      </c>
      <c r="I239" s="278"/>
      <c r="J239" s="281" t="s">
        <v>469</v>
      </c>
    </row>
    <row r="240" spans="1:16">
      <c r="B240" s="223"/>
      <c r="C240" s="222" t="str">
        <f t="shared" ca="1" si="182"/>
        <v>DMD</v>
      </c>
      <c r="D240" s="223" t="str">
        <f t="shared" ca="1" si="184"/>
        <v>INDXDMTELCN0</v>
      </c>
      <c r="E240" s="223" t="str">
        <f t="shared" ca="1" si="181"/>
        <v>Industrial heating technology Aluminium MT - Direct electric heating - new 10</v>
      </c>
      <c r="F240" s="279" t="s">
        <v>450</v>
      </c>
      <c r="G240" s="279" t="s">
        <v>449</v>
      </c>
      <c r="H240" s="334" t="s">
        <v>665</v>
      </c>
      <c r="I240" s="278"/>
      <c r="J240" s="281" t="s">
        <v>469</v>
      </c>
    </row>
    <row r="241" spans="1:10">
      <c r="B241" s="223"/>
      <c r="C241" s="222" t="str">
        <f t="shared" ca="1" si="182"/>
        <v>DMD</v>
      </c>
      <c r="D241" s="223" t="str">
        <f t="shared" ca="1" si="184"/>
        <v>INDXDHTDSEN1</v>
      </c>
      <c r="E241" s="223" t="str">
        <f t="shared" ca="1" si="181"/>
        <v>Industrial heating technology Aluminium HT - Oil boiler (Steam) - new 1</v>
      </c>
      <c r="F241" s="279" t="s">
        <v>450</v>
      </c>
      <c r="G241" s="279" t="s">
        <v>449</v>
      </c>
      <c r="H241" s="278"/>
      <c r="I241" s="278"/>
      <c r="J241" s="281" t="s">
        <v>469</v>
      </c>
    </row>
    <row r="242" spans="1:10">
      <c r="B242" s="223"/>
      <c r="C242" s="222" t="str">
        <f t="shared" ca="1" si="182"/>
        <v>DMD</v>
      </c>
      <c r="D242" s="223" t="str">
        <f t="shared" ca="1" si="184"/>
        <v>INDXDMTDSEN1</v>
      </c>
      <c r="E242" s="223" t="str">
        <f t="shared" ca="1" si="181"/>
        <v>Industrial heating technology Aluminium MT - Oil boiler (Steam) - new 1</v>
      </c>
      <c r="F242" s="279" t="s">
        <v>450</v>
      </c>
      <c r="G242" s="279" t="s">
        <v>449</v>
      </c>
      <c r="H242" s="278"/>
      <c r="I242" s="278"/>
      <c r="J242" s="281" t="s">
        <v>469</v>
      </c>
    </row>
    <row r="243" spans="1:10">
      <c r="B243" s="223"/>
      <c r="C243" s="222" t="str">
        <f t="shared" ca="1" si="182"/>
        <v>DMD</v>
      </c>
      <c r="D243" s="223" t="str">
        <f t="shared" ca="1" si="184"/>
        <v>INDXDRHDSEN1</v>
      </c>
      <c r="E243" s="223" t="str">
        <f t="shared" ca="1" si="181"/>
        <v>Industrial heating technology Aluminium RH - Oil boiler (Steam) - new 1</v>
      </c>
      <c r="F243" s="279" t="s">
        <v>450</v>
      </c>
      <c r="G243" s="279" t="s">
        <v>449</v>
      </c>
      <c r="H243" s="278"/>
      <c r="I243" s="278"/>
      <c r="J243" s="281" t="s">
        <v>469</v>
      </c>
    </row>
    <row r="244" spans="1:10">
      <c r="A244" s="226"/>
      <c r="B244" s="223"/>
      <c r="C244" s="222" t="str">
        <f t="shared" ca="1" si="182"/>
        <v>DMD</v>
      </c>
      <c r="D244" s="223" t="str">
        <f t="shared" ca="1" si="184"/>
        <v>INDXDMTDSEN2</v>
      </c>
      <c r="E244" s="223" t="str">
        <f t="shared" ca="1" si="181"/>
        <v>Industrial heating technology Aluminium MT - Oil boiler (Steam - condensing) - new 2</v>
      </c>
      <c r="F244" s="279" t="s">
        <v>450</v>
      </c>
      <c r="G244" s="279" t="s">
        <v>449</v>
      </c>
      <c r="H244" s="278"/>
      <c r="I244" s="278"/>
      <c r="J244" s="281" t="s">
        <v>469</v>
      </c>
    </row>
    <row r="245" spans="1:10">
      <c r="A245" s="226"/>
      <c r="B245" s="223"/>
      <c r="C245" s="222" t="str">
        <f t="shared" ca="1" si="182"/>
        <v>DMD</v>
      </c>
      <c r="D245" s="223" t="str">
        <f t="shared" ca="1" si="184"/>
        <v>INDXDRHDSEN2</v>
      </c>
      <c r="E245" s="223" t="str">
        <f t="shared" ref="E245:E268" ca="1" si="185">VLOOKUP(D245,$D$9:$E$206,2,FALSE)</f>
        <v>Industrial heating technology Aluminium RH - Oil boiler (Steam - condensing) - new 2</v>
      </c>
      <c r="F245" s="279" t="s">
        <v>450</v>
      </c>
      <c r="G245" s="279" t="s">
        <v>449</v>
      </c>
      <c r="H245" s="278"/>
      <c r="I245" s="278"/>
      <c r="J245" s="281" t="s">
        <v>469</v>
      </c>
    </row>
    <row r="246" spans="1:10">
      <c r="A246" s="226"/>
      <c r="B246" s="223"/>
      <c r="C246" s="222" t="str">
        <f t="shared" ca="1" si="182"/>
        <v>DMD</v>
      </c>
      <c r="D246" s="223" t="str">
        <f t="shared" ca="1" si="184"/>
        <v>INDXDHTDH2N1</v>
      </c>
      <c r="E246" s="223" t="str">
        <f t="shared" ca="1" si="185"/>
        <v>Industrial heating technology Aluminium HT - Gas boiler (Steam) - new 1</v>
      </c>
      <c r="F246" s="279" t="s">
        <v>450</v>
      </c>
      <c r="G246" s="279" t="s">
        <v>449</v>
      </c>
      <c r="H246" s="278"/>
      <c r="I246" s="278"/>
      <c r="J246" s="281" t="s">
        <v>469</v>
      </c>
    </row>
    <row r="247" spans="1:10">
      <c r="A247" s="226"/>
      <c r="B247" s="223"/>
      <c r="C247" s="222" t="str">
        <f t="shared" ca="1" si="182"/>
        <v>DMD</v>
      </c>
      <c r="D247" s="223" t="str">
        <f t="shared" ca="1" si="184"/>
        <v>INDXDMTDH2N1</v>
      </c>
      <c r="E247" s="223" t="str">
        <f t="shared" ca="1" si="185"/>
        <v>Industrial heating technology Aluminium MT - Gas boiler (Steam) - new 1</v>
      </c>
      <c r="F247" s="279" t="s">
        <v>450</v>
      </c>
      <c r="G247" s="279" t="s">
        <v>449</v>
      </c>
      <c r="H247" s="278"/>
      <c r="I247" s="278"/>
      <c r="J247" s="281" t="s">
        <v>469</v>
      </c>
    </row>
    <row r="248" spans="1:10">
      <c r="B248" s="223"/>
      <c r="C248" s="222" t="str">
        <f t="shared" ca="1" si="182"/>
        <v>DMD</v>
      </c>
      <c r="D248" s="223" t="str">
        <f t="shared" ca="1" si="184"/>
        <v>INDXDRHDH2N1</v>
      </c>
      <c r="E248" s="223" t="str">
        <f t="shared" ca="1" si="185"/>
        <v>Industrial heating technology Aluminium RH - Gas boiler (Steam) - new 1</v>
      </c>
      <c r="F248" s="279" t="s">
        <v>450</v>
      </c>
      <c r="G248" s="279" t="s">
        <v>449</v>
      </c>
      <c r="H248" s="278"/>
      <c r="I248" s="278"/>
      <c r="J248" s="281" t="s">
        <v>469</v>
      </c>
    </row>
    <row r="249" spans="1:10">
      <c r="B249" s="223"/>
      <c r="C249" s="222" t="str">
        <f t="shared" ca="1" si="182"/>
        <v>DMD</v>
      </c>
      <c r="D249" s="223" t="str">
        <f t="shared" ca="1" si="184"/>
        <v>INDXDMTDH2N2</v>
      </c>
      <c r="E249" s="223" t="str">
        <f t="shared" ca="1" si="185"/>
        <v>Industrial heating technology Aluminium MT - Gas boiler (Steam - condensing) - new 2</v>
      </c>
      <c r="F249" s="279" t="s">
        <v>450</v>
      </c>
      <c r="G249" s="279" t="s">
        <v>449</v>
      </c>
      <c r="H249" s="278"/>
      <c r="I249" s="278"/>
      <c r="J249" s="281" t="s">
        <v>469</v>
      </c>
    </row>
    <row r="250" spans="1:10">
      <c r="B250" s="223"/>
      <c r="C250" s="222" t="str">
        <f t="shared" ca="1" si="182"/>
        <v>DMD</v>
      </c>
      <c r="D250" s="223" t="str">
        <f t="shared" ca="1" si="184"/>
        <v>INDXDRHDH2N2</v>
      </c>
      <c r="E250" s="223" t="str">
        <f t="shared" ca="1" si="185"/>
        <v>Industrial heating technology Aluminium RH - Gas boiler (Steam - condensing) - new 2</v>
      </c>
      <c r="F250" s="279" t="s">
        <v>450</v>
      </c>
      <c r="G250" s="279" t="s">
        <v>449</v>
      </c>
      <c r="H250" s="278"/>
      <c r="I250" s="278"/>
      <c r="J250" s="281" t="s">
        <v>469</v>
      </c>
    </row>
    <row r="251" spans="1:10">
      <c r="B251" s="223"/>
      <c r="C251" s="222" t="str">
        <f t="shared" ca="1" si="182"/>
        <v>DMD</v>
      </c>
      <c r="D251" s="223" t="str">
        <f t="shared" ca="1" si="184"/>
        <v>INDXDMTDH2N3</v>
      </c>
      <c r="E251" s="223" t="str">
        <f t="shared" ca="1" si="185"/>
        <v>Industrial heating technology Aluminium MT - Gas boiler (Hot Water) - new 3</v>
      </c>
      <c r="F251" s="279" t="s">
        <v>450</v>
      </c>
      <c r="G251" s="279" t="s">
        <v>449</v>
      </c>
      <c r="H251" s="278"/>
      <c r="I251" s="278"/>
      <c r="J251" s="281" t="s">
        <v>469</v>
      </c>
    </row>
    <row r="252" spans="1:10">
      <c r="B252" s="223"/>
      <c r="C252" s="222" t="str">
        <f t="shared" ca="1" si="182"/>
        <v>DMD</v>
      </c>
      <c r="D252" s="223" t="str">
        <f t="shared" ca="1" si="184"/>
        <v>INDXDRHDH2N3</v>
      </c>
      <c r="E252" s="223" t="str">
        <f t="shared" ca="1" si="185"/>
        <v>Industrial heating technology Aluminium RH - Gas boiler (Hot Water) - new 3</v>
      </c>
      <c r="F252" s="279" t="s">
        <v>450</v>
      </c>
      <c r="G252" s="279" t="s">
        <v>449</v>
      </c>
      <c r="H252" s="278"/>
      <c r="I252" s="278"/>
      <c r="J252" s="281" t="s">
        <v>469</v>
      </c>
    </row>
    <row r="253" spans="1:10">
      <c r="B253" s="223"/>
      <c r="C253" s="222" t="str">
        <f t="shared" ca="1" si="182"/>
        <v>DMD</v>
      </c>
      <c r="D253" s="223" t="str">
        <f t="shared" ca="1" si="184"/>
        <v>INDXDMTDH2N4</v>
      </c>
      <c r="E253" s="223" t="str">
        <f t="shared" ca="1" si="185"/>
        <v>Industrial heating technology Aluminium MT - Gas boiler (Hot Water - condensing) - new 4</v>
      </c>
      <c r="F253" s="279" t="s">
        <v>450</v>
      </c>
      <c r="G253" s="279" t="s">
        <v>449</v>
      </c>
      <c r="H253" s="278"/>
      <c r="I253" s="278"/>
      <c r="J253" s="281" t="s">
        <v>469</v>
      </c>
    </row>
    <row r="254" spans="1:10">
      <c r="B254" s="223"/>
      <c r="C254" s="222" t="str">
        <f t="shared" ca="1" si="182"/>
        <v>DMD</v>
      </c>
      <c r="D254" s="223" t="str">
        <f t="shared" ca="1" si="184"/>
        <v>INDXDRHDH2N4</v>
      </c>
      <c r="E254" s="223" t="str">
        <f t="shared" ca="1" si="185"/>
        <v>Industrial heating technology Aluminium RH - Gas boiler (Hot Water- condensing) - new 4</v>
      </c>
      <c r="F254" s="279" t="s">
        <v>450</v>
      </c>
      <c r="G254" s="279" t="s">
        <v>449</v>
      </c>
      <c r="H254" s="278"/>
      <c r="I254" s="278"/>
      <c r="J254" s="281" t="s">
        <v>469</v>
      </c>
    </row>
    <row r="255" spans="1:10">
      <c r="B255" s="223"/>
      <c r="C255" s="222" t="str">
        <f t="shared" ca="1" si="182"/>
        <v>DMD</v>
      </c>
      <c r="D255" s="223" t="str">
        <f t="shared" ca="1" si="184"/>
        <v>INDXDHTDH2N5</v>
      </c>
      <c r="E255" s="223" t="str">
        <f t="shared" ca="1" si="185"/>
        <v>Industrial heating technology Aluminium HT - Gas boiler (Direct firing) - new 5</v>
      </c>
      <c r="F255" s="279" t="s">
        <v>450</v>
      </c>
      <c r="G255" s="279" t="s">
        <v>449</v>
      </c>
      <c r="H255" s="278"/>
      <c r="I255" s="278"/>
      <c r="J255" s="281" t="s">
        <v>469</v>
      </c>
    </row>
    <row r="256" spans="1:10">
      <c r="B256" s="223"/>
      <c r="C256" s="222" t="str">
        <f t="shared" ca="1" si="182"/>
        <v>DMD</v>
      </c>
      <c r="D256" s="223" t="str">
        <f t="shared" ca="1" si="184"/>
        <v>INDXDMTDH2N5</v>
      </c>
      <c r="E256" s="223" t="str">
        <f t="shared" ca="1" si="185"/>
        <v>Industrial heating technology Aluminium MT - Gas boiler (Direct firing) - new 5</v>
      </c>
      <c r="F256" s="279" t="s">
        <v>450</v>
      </c>
      <c r="G256" s="279" t="s">
        <v>449</v>
      </c>
      <c r="H256" s="278"/>
      <c r="I256" s="278"/>
      <c r="J256" s="281" t="s">
        <v>469</v>
      </c>
    </row>
    <row r="257" spans="2:10">
      <c r="B257" s="223"/>
      <c r="C257" s="222" t="str">
        <f t="shared" ca="1" si="182"/>
        <v>DMD</v>
      </c>
      <c r="D257" s="223" t="str">
        <f t="shared" ca="1" si="184"/>
        <v>INDXDHTCOAN1</v>
      </c>
      <c r="E257" s="223" t="str">
        <f t="shared" ca="1" si="185"/>
        <v>Industrial heating technology Aluminium HT - Coal boiler (Steam) - new 1</v>
      </c>
      <c r="F257" s="279" t="s">
        <v>450</v>
      </c>
      <c r="G257" s="279" t="s">
        <v>449</v>
      </c>
      <c r="H257" s="278"/>
      <c r="I257" s="278"/>
      <c r="J257" s="281" t="s">
        <v>469</v>
      </c>
    </row>
    <row r="258" spans="2:10">
      <c r="B258" s="223"/>
      <c r="C258" s="222" t="str">
        <f t="shared" ca="1" si="182"/>
        <v>DMD</v>
      </c>
      <c r="D258" s="223" t="str">
        <f t="shared" ca="1" si="184"/>
        <v>INDXDMTCOAN1</v>
      </c>
      <c r="E258" s="223" t="str">
        <f t="shared" ca="1" si="185"/>
        <v>Industrial heating technology Aluminium MT - Coal boiler (Steam) - new 1</v>
      </c>
      <c r="F258" s="279" t="s">
        <v>450</v>
      </c>
      <c r="G258" s="279" t="s">
        <v>449</v>
      </c>
      <c r="H258" s="278"/>
      <c r="I258" s="278"/>
      <c r="J258" s="281" t="s">
        <v>469</v>
      </c>
    </row>
    <row r="259" spans="2:10">
      <c r="B259" s="223"/>
      <c r="C259" s="222" t="str">
        <f t="shared" ca="1" si="182"/>
        <v>DMD</v>
      </c>
      <c r="D259" s="223" t="str">
        <f t="shared" ca="1" si="184"/>
        <v>INDXDRHCOAN1</v>
      </c>
      <c r="E259" s="223" t="str">
        <f t="shared" ca="1" si="185"/>
        <v>Industrial heating technology Aluminium RH - Coal boiler (Steam) - new 1</v>
      </c>
      <c r="F259" s="279" t="s">
        <v>450</v>
      </c>
      <c r="G259" s="279" t="s">
        <v>449</v>
      </c>
      <c r="H259" s="278"/>
      <c r="I259" s="278"/>
      <c r="J259" s="281" t="s">
        <v>469</v>
      </c>
    </row>
    <row r="260" spans="2:10">
      <c r="B260" s="223"/>
      <c r="C260" s="222" t="str">
        <f t="shared" ca="1" si="182"/>
        <v>DMD</v>
      </c>
      <c r="D260" s="223" t="str">
        <f t="shared" ca="1" si="184"/>
        <v>INDXDMTCOAN2</v>
      </c>
      <c r="E260" s="223" t="str">
        <f t="shared" ca="1" si="185"/>
        <v>Industrial heating technology Aluminium MT - Coal boiler (Hot Water) - new 2</v>
      </c>
      <c r="F260" s="279" t="s">
        <v>450</v>
      </c>
      <c r="G260" s="279" t="s">
        <v>449</v>
      </c>
      <c r="H260" s="278"/>
      <c r="I260" s="278"/>
      <c r="J260" s="281" t="s">
        <v>469</v>
      </c>
    </row>
    <row r="261" spans="2:10">
      <c r="B261" s="223"/>
      <c r="C261" s="222" t="str">
        <f t="shared" ca="1" si="182"/>
        <v>DMD</v>
      </c>
      <c r="D261" s="223" t="str">
        <f t="shared" ca="1" si="184"/>
        <v>INDXDRHCOAN2</v>
      </c>
      <c r="E261" s="223" t="str">
        <f t="shared" ca="1" si="185"/>
        <v>Industrial heating technology Aluminium RH - Coal boiler (Hot Water) - new 2</v>
      </c>
      <c r="F261" s="279" t="s">
        <v>450</v>
      </c>
      <c r="G261" s="279" t="s">
        <v>449</v>
      </c>
      <c r="H261" s="278"/>
      <c r="I261" s="278"/>
      <c r="J261" s="281" t="s">
        <v>469</v>
      </c>
    </row>
    <row r="262" spans="2:10">
      <c r="B262" s="223"/>
      <c r="C262" s="222" t="str">
        <f t="shared" ca="1" si="182"/>
        <v>DMD</v>
      </c>
      <c r="D262" s="223" t="str">
        <f t="shared" ca="1" si="184"/>
        <v>INDXDRHSOLN1</v>
      </c>
      <c r="E262" s="223" t="str">
        <f t="shared" ca="1" si="185"/>
        <v>Industrial heating technology Aluminium RH - Solar - new 1</v>
      </c>
      <c r="F262" s="279" t="s">
        <v>450</v>
      </c>
      <c r="G262" s="279" t="s">
        <v>449</v>
      </c>
      <c r="H262" s="334" t="s">
        <v>665</v>
      </c>
      <c r="I262" s="278"/>
      <c r="J262" s="281" t="s">
        <v>469</v>
      </c>
    </row>
    <row r="263" spans="2:10">
      <c r="B263" s="223"/>
      <c r="C263" s="222" t="str">
        <f t="shared" si="182"/>
        <v>*</v>
      </c>
      <c r="D263" s="949" t="str">
        <f>D187</f>
        <v>*</v>
      </c>
      <c r="E263" s="949" t="str">
        <f t="shared" ca="1" si="185"/>
        <v>Industrial heating technology Aluminium MT - Heat pump utilizing waste heat - new 1</v>
      </c>
      <c r="F263" s="279" t="s">
        <v>450</v>
      </c>
      <c r="G263" s="279" t="s">
        <v>449</v>
      </c>
      <c r="H263" s="334" t="s">
        <v>665</v>
      </c>
      <c r="I263" s="950"/>
      <c r="J263" s="280" t="s">
        <v>469</v>
      </c>
    </row>
    <row r="264" spans="2:10">
      <c r="B264" s="223"/>
      <c r="C264" s="222" t="str">
        <f t="shared" si="182"/>
        <v>*</v>
      </c>
      <c r="D264" s="223" t="str">
        <f t="shared" ref="D264" si="186">D188</f>
        <v>*</v>
      </c>
      <c r="E264" s="223" t="str">
        <f t="shared" ca="1" si="185"/>
        <v>Industrial heating technology Aluminium MT - Heat pump utilizing waste heat - new 1</v>
      </c>
      <c r="F264" s="279" t="s">
        <v>450</v>
      </c>
      <c r="G264" s="279" t="s">
        <v>449</v>
      </c>
      <c r="H264" s="334" t="s">
        <v>665</v>
      </c>
      <c r="I264" s="278"/>
      <c r="J264" s="281" t="s">
        <v>469</v>
      </c>
    </row>
    <row r="265" spans="2:10">
      <c r="B265" s="223"/>
      <c r="C265" s="222" t="str">
        <f t="shared" si="182"/>
        <v>DMD</v>
      </c>
      <c r="D265" s="223" t="str">
        <f>D190</f>
        <v>INDXDLAELCN1</v>
      </c>
      <c r="E265" s="223" t="str">
        <f t="shared" ca="1" si="185"/>
        <v>Industry Aluminium LA Electricity Light Appliance - New 1</v>
      </c>
      <c r="F265" s="279" t="s">
        <v>450</v>
      </c>
      <c r="G265" s="279" t="s">
        <v>449</v>
      </c>
      <c r="H265" s="334" t="s">
        <v>665</v>
      </c>
      <c r="I265" s="278"/>
      <c r="J265" s="281" t="s">
        <v>469</v>
      </c>
    </row>
    <row r="266" spans="2:10">
      <c r="B266" s="223"/>
      <c r="C266" s="222" t="str">
        <f t="shared" si="182"/>
        <v>DMD</v>
      </c>
      <c r="D266" s="223" t="str">
        <f>D194</f>
        <v>INDXDEMELCN1</v>
      </c>
      <c r="E266" s="223" t="str">
        <f t="shared" ca="1" si="185"/>
        <v>Industry Aluminium EM Electricity Motors - New 1</v>
      </c>
      <c r="F266" s="279" t="s">
        <v>450</v>
      </c>
      <c r="G266" s="279" t="s">
        <v>449</v>
      </c>
      <c r="H266" s="334" t="s">
        <v>665</v>
      </c>
      <c r="I266" s="278"/>
      <c r="J266" s="281" t="s">
        <v>469</v>
      </c>
    </row>
    <row r="267" spans="2:10">
      <c r="B267" s="223"/>
      <c r="C267" s="222" t="str">
        <f t="shared" si="182"/>
        <v>DMD</v>
      </c>
      <c r="D267" s="223" t="str">
        <f>D198</f>
        <v>INDXDTFDSLN1</v>
      </c>
      <c r="E267" s="223" t="str">
        <f t="shared" ca="1" si="185"/>
        <v>Industry Aluminium TF Tractors, Trucks, Fishing boats - New 1</v>
      </c>
      <c r="F267" s="279" t="s">
        <v>450</v>
      </c>
      <c r="G267" s="279" t="s">
        <v>449</v>
      </c>
      <c r="H267" s="278"/>
      <c r="I267" s="278"/>
      <c r="J267" s="281" t="s">
        <v>469</v>
      </c>
    </row>
    <row r="268" spans="2:10">
      <c r="B268" s="223"/>
      <c r="C268" s="222" t="str">
        <f t="shared" si="182"/>
        <v>DMD</v>
      </c>
      <c r="D268" s="223" t="str">
        <f>D202</f>
        <v>INDXDFLDH2N1</v>
      </c>
      <c r="E268" s="223" t="str">
        <f t="shared" ca="1" si="185"/>
        <v>Industry Aluminium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IADSOx</v>
      </c>
      <c r="E273" s="287" t="str">
        <f>"Industrial heating  heating technology "&amp;$AJ$12&amp;" - SOx emission"</f>
        <v>Industrial heating  heating technology Aluminium - SOx emission</v>
      </c>
      <c r="F273" s="231" t="s">
        <v>352</v>
      </c>
      <c r="G273" s="222"/>
      <c r="H273" s="222"/>
      <c r="I273" s="222"/>
      <c r="J273" s="222"/>
    </row>
    <row r="274" spans="2:10">
      <c r="B274" s="226"/>
      <c r="C274" s="226"/>
      <c r="D274" s="277" t="str">
        <f>"I"&amp;LEFT($AJ$12,1)&amp;"DNOx"</f>
        <v>IADNOx</v>
      </c>
      <c r="E274" s="287" t="str">
        <f>"Industrial heating  heating technology "&amp;$AJ$12&amp;" - NOx emission"</f>
        <v>Industrial heating  heating technology Aluminium - NOx emission</v>
      </c>
      <c r="F274" s="231" t="s">
        <v>352</v>
      </c>
      <c r="G274" s="222"/>
      <c r="H274" s="226"/>
      <c r="I274" s="226"/>
      <c r="J274" s="226"/>
    </row>
    <row r="275" spans="2:10">
      <c r="B275" s="226"/>
      <c r="C275" s="226"/>
      <c r="D275" s="277" t="str">
        <f>"I"&amp;LEFT($AJ$12,1)&amp;"DCH4"</f>
        <v>IADCH4</v>
      </c>
      <c r="E275" s="287" t="str">
        <f>"Industrial heating  heating technology "&amp;$AJ$12&amp;" - CH4 emission"</f>
        <v>Industrial heating  heating technology Aluminium - CH4 emission</v>
      </c>
      <c r="F275" s="231" t="s">
        <v>352</v>
      </c>
      <c r="G275" s="222"/>
      <c r="H275" s="226"/>
      <c r="I275" s="226"/>
      <c r="J275" s="226"/>
    </row>
    <row r="276" spans="2:10">
      <c r="B276" s="226"/>
      <c r="C276" s="226"/>
      <c r="D276" s="277" t="str">
        <f>"I"&amp;LEFT($AJ$12,1)&amp;"DNO2"</f>
        <v>IADNO2</v>
      </c>
      <c r="E276" s="287" t="str">
        <f>"Industrial heating  heating technology "&amp;$AJ$12&amp;" - NO2 emission"</f>
        <v>Industrial heating  heating technology Aluminium - NO2 emission</v>
      </c>
      <c r="F276" s="231" t="s">
        <v>352</v>
      </c>
      <c r="G276" s="222"/>
      <c r="H276" s="226"/>
      <c r="I276" s="226"/>
      <c r="J276" s="226"/>
    </row>
    <row r="277" spans="2:10">
      <c r="B277" s="226"/>
      <c r="C277" s="226"/>
      <c r="D277" s="277" t="str">
        <f>"I"&amp;LEFT($AJ$12,1)&amp;"DPM"</f>
        <v>IADPM</v>
      </c>
      <c r="E277" s="287" t="str">
        <f>"Industrial heating  heating technology "&amp;$AJ$12&amp;" - Particle emission"</f>
        <v>Industrial heating  heating technology Aluminium - Particle emission</v>
      </c>
      <c r="F277" s="231" t="s">
        <v>352</v>
      </c>
      <c r="G277" s="222"/>
      <c r="H277" s="226"/>
      <c r="I277" s="226"/>
      <c r="J277" s="226"/>
    </row>
    <row r="278" spans="2:10">
      <c r="B278" s="239" t="s">
        <v>1182</v>
      </c>
      <c r="D278" s="239" t="str">
        <f>AI20</f>
        <v>INDXWH</v>
      </c>
      <c r="E278" s="287" t="str">
        <f>"Industrial heating technology "&amp;$AJ$12&amp;" - Waste heat"</f>
        <v>Industrial heating technology Aluminium - Waste heat</v>
      </c>
      <c r="F278" s="280" t="s">
        <v>450</v>
      </c>
      <c r="H278" s="239" t="s">
        <v>665</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5F0DC57-769B-470B-9594-2E310EA1E857}">
          <x14:formula1>
            <xm:f>'Oil-fired boiler_NEW'!$T$4:$X$4</xm:f>
          </x14:formula1>
          <xm:sqref>E1</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9964A-C6A7-452B-99B4-BC45F6511F3E}">
  <sheetPr>
    <tabColor rgb="FF00B050"/>
  </sheetPr>
  <dimension ref="A1:AP278"/>
  <sheetViews>
    <sheetView topLeftCell="D1"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844</v>
      </c>
      <c r="N1" s="64"/>
      <c r="O1" s="64"/>
      <c r="P1" s="64"/>
      <c r="S1" s="787" t="s">
        <v>1129</v>
      </c>
      <c r="T1" s="836" t="s">
        <v>1128</v>
      </c>
      <c r="U1" s="835" t="s">
        <v>1178</v>
      </c>
      <c r="V1" s="836" t="s">
        <v>1179</v>
      </c>
      <c r="W1" s="840">
        <v>0.3</v>
      </c>
    </row>
    <row r="2" spans="2:42" ht="15" thickBot="1">
      <c r="E2" s="790" t="s">
        <v>731</v>
      </c>
      <c r="N2" s="791"/>
      <c r="O2" s="791"/>
      <c r="P2" s="791"/>
      <c r="S2" s="786">
        <f>MATCH($E$1,$AJ$22:$AJ$35)</f>
        <v>13</v>
      </c>
      <c r="T2" s="838">
        <f>MATCH($E$1,$AJ$22:$AJ$35)+1</f>
        <v>14</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FEMIS~IMDSOx</v>
      </c>
      <c r="Y6" s="299" t="str">
        <f>"FEMIS~"&amp;D274</f>
        <v>FEMIS~IMDNOx</v>
      </c>
      <c r="Z6" s="299" t="str">
        <f>"FEMIS~"&amp;D275</f>
        <v>FEMIS~IMDCH4</v>
      </c>
      <c r="AA6" s="299" t="str">
        <f>"FEMIS~"&amp;D276</f>
        <v>FEMIS~IMDNO2</v>
      </c>
      <c r="AB6" s="299" t="str">
        <f>"FEMIS~"&amp;D277</f>
        <v>FEMIS~IMDPM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INDMDMTELCN1</v>
      </c>
      <c r="E9" s="278" t="str">
        <f>"Industrial heating technology "&amp;$AJ$12&amp;" "&amp;RIGHT(H9,2)&amp;" - Heat pump utilizing waste heat - new 1"</f>
        <v>Industrial heating technology Machinery MT - Heat pump utilizing waste heat - new 1</v>
      </c>
      <c r="F9" s="239" t="s">
        <v>1274</v>
      </c>
      <c r="G9" s="176" t="s">
        <v>500</v>
      </c>
      <c r="H9" s="177" t="str">
        <f>$AI$14</f>
        <v>IMDMT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0.14000000000000001</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
      </c>
      <c r="E10" s="278"/>
      <c r="F10" s="239" t="s">
        <v>1274</v>
      </c>
      <c r="G10" s="176" t="str">
        <f>$AI$20</f>
        <v>INDMWH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
      </c>
      <c r="E11" s="223"/>
      <c r="F11" s="239" t="s">
        <v>1274</v>
      </c>
      <c r="G11" s="176" t="s">
        <v>500</v>
      </c>
      <c r="H11" s="177" t="str">
        <f>$AI$14</f>
        <v>IMDMT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
      </c>
      <c r="E12" s="223"/>
      <c r="F12" s="239" t="s">
        <v>1274</v>
      </c>
      <c r="G12" s="176" t="str">
        <f>$AI$20</f>
        <v>INDMWH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Machinery</v>
      </c>
    </row>
    <row r="13" spans="2:42">
      <c r="B13" s="393" t="s">
        <v>1123</v>
      </c>
      <c r="D13" s="223" t="str">
        <f ca="1">IF(T9=0,"*",IF(T13&gt;0,"IND"&amp;RIGHT(H9,4)&amp;RIGHT(G9,3)&amp;"N"&amp;RIGHT(E9,1),""))</f>
        <v/>
      </c>
      <c r="E13" s="223"/>
      <c r="F13" s="239" t="s">
        <v>1274</v>
      </c>
      <c r="G13" s="176" t="s">
        <v>500</v>
      </c>
      <c r="H13" s="177" t="str">
        <f>$AI$14</f>
        <v>IMDMT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IMDHT</v>
      </c>
      <c r="AJ13" s="239" t="str">
        <f>AP14</f>
        <v>Machinery industry Demand Heat High Temp. over 150C</v>
      </c>
      <c r="AO13" s="239" t="s">
        <v>1316</v>
      </c>
      <c r="AP13" s="239" t="s">
        <v>1317</v>
      </c>
    </row>
    <row r="14" spans="2:42">
      <c r="B14" s="393" t="s">
        <v>1123</v>
      </c>
      <c r="D14" s="223" t="str">
        <f ca="1">IF(T9=0,"*",IF(T14&gt;0,"IND"&amp;RIGHT(H9,4)&amp;RIGHT(G9,3)&amp;"N"&amp;RIGHT(E9,1),""))</f>
        <v/>
      </c>
      <c r="E14" s="223"/>
      <c r="F14" s="239" t="s">
        <v>1274</v>
      </c>
      <c r="G14" s="176" t="str">
        <f>$AI$20</f>
        <v>INDMWH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IMDMT</v>
      </c>
      <c r="AJ14" s="239" t="str">
        <f>AP13</f>
        <v>Machinery industry Demand Heat Medium Temp. up to 150C</v>
      </c>
      <c r="AO14" s="239" t="s">
        <v>1318</v>
      </c>
      <c r="AP14" s="239" t="s">
        <v>1319</v>
      </c>
    </row>
    <row r="15" spans="2:42">
      <c r="B15" s="393" t="s">
        <v>1123</v>
      </c>
      <c r="D15" s="223" t="str">
        <f ca="1">IF(T15=0,"*",IF(T15&gt;0,"IND"&amp;RIGHT(H15,4)&amp;RIGHT(G15,3)&amp;"N"&amp;RIGHT(E15,1),""))</f>
        <v>INDMDRHELCN1</v>
      </c>
      <c r="E15" s="278" t="str">
        <f>"Industrial heating technology "&amp;$AJ$12&amp;" "&amp;RIGHT(H15,2)&amp;" - Heat pump utilizing waste heat - new 1"</f>
        <v>Industrial heating technology Machinery RH - Heat pump utilizing waste heat - new 1</v>
      </c>
      <c r="F15" s="239" t="s">
        <v>1274</v>
      </c>
      <c r="G15" s="176" t="s">
        <v>500</v>
      </c>
      <c r="H15" s="177" t="str">
        <f>$AI$15</f>
        <v>IMDRH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IMDRH</v>
      </c>
      <c r="AJ15" s="239" t="str">
        <f>AP15</f>
        <v>Machinery industry Demand Heat Room Heat</v>
      </c>
      <c r="AO15" s="239" t="s">
        <v>1320</v>
      </c>
      <c r="AP15" s="239" t="s">
        <v>1321</v>
      </c>
    </row>
    <row r="16" spans="2:42">
      <c r="B16" s="393" t="s">
        <v>1123</v>
      </c>
      <c r="D16" s="223" t="str">
        <f ca="1">IF(T15=0,"*",IF(T16&gt;0,"IND"&amp;RIGHT(H15,4)&amp;RIGHT(G15,3)&amp;"N"&amp;RIGHT(E15,1),""))</f>
        <v/>
      </c>
      <c r="E16" s="278"/>
      <c r="F16" s="239" t="s">
        <v>1274</v>
      </c>
      <c r="G16" s="176" t="str">
        <f>$AI$20</f>
        <v>INDMWH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IMDLA</v>
      </c>
      <c r="AJ16" s="239" t="str">
        <f t="shared" si="6"/>
        <v>Machinery industry Demand Light</v>
      </c>
      <c r="AO16" s="239" t="s">
        <v>1322</v>
      </c>
      <c r="AP16" s="239" t="s">
        <v>1323</v>
      </c>
    </row>
    <row r="17" spans="2:42">
      <c r="B17" s="393" t="s">
        <v>1123</v>
      </c>
      <c r="D17" s="223" t="str">
        <f ca="1">IF(T15=0,"*",IF(T17&gt;0,"IND"&amp;RIGHT(H15,4)&amp;RIGHT(G15,3)&amp;"N"&amp;RIGHT(E15,1),""))</f>
        <v/>
      </c>
      <c r="E17" s="223"/>
      <c r="F17" s="239" t="s">
        <v>1274</v>
      </c>
      <c r="G17" s="176" t="s">
        <v>500</v>
      </c>
      <c r="H17" s="177" t="str">
        <f>$AI$15</f>
        <v>IMDRH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IMDEM</v>
      </c>
      <c r="AJ17" s="239" t="str">
        <f t="shared" si="6"/>
        <v>Machinery industry Demand Electric Motors</v>
      </c>
      <c r="AO17" s="239" t="s">
        <v>1324</v>
      </c>
      <c r="AP17" s="239" t="s">
        <v>1325</v>
      </c>
    </row>
    <row r="18" spans="2:42">
      <c r="B18" s="393" t="s">
        <v>1123</v>
      </c>
      <c r="D18" s="223" t="str">
        <f ca="1">IF(T15=0,"*",IF(T18&gt;0,"IND"&amp;RIGHT(H15,4)&amp;RIGHT(G15,3)&amp;"N"&amp;RIGHT(E15,1),""))</f>
        <v/>
      </c>
      <c r="E18" s="223"/>
      <c r="F18" s="239" t="s">
        <v>1274</v>
      </c>
      <c r="G18" s="176" t="str">
        <f>$AI$20</f>
        <v>INDMWH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IMDTF</v>
      </c>
      <c r="AJ18" s="239" t="str">
        <f t="shared" si="6"/>
        <v>Machinery industry Demand Haulage Tractors, Trucks, Fishing boats, Forest machines</v>
      </c>
      <c r="AO18" s="239" t="s">
        <v>1326</v>
      </c>
      <c r="AP18" s="239" t="s">
        <v>1327</v>
      </c>
    </row>
    <row r="19" spans="2:42">
      <c r="B19" s="393" t="s">
        <v>1123</v>
      </c>
      <c r="D19" s="223" t="str">
        <f ca="1">IF(T15=0,"*",IF(T19&gt;0,"IND"&amp;RIGHT(H15,4)&amp;RIGHT(G15,3)&amp;"N"&amp;RIGHT(E15,1),""))</f>
        <v/>
      </c>
      <c r="E19" s="223"/>
      <c r="F19" s="239" t="s">
        <v>1274</v>
      </c>
      <c r="G19" s="176" t="s">
        <v>500</v>
      </c>
      <c r="H19" s="177" t="str">
        <f>$AI$15</f>
        <v>IMDRH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IMDFL</v>
      </c>
      <c r="AJ19" s="239" t="str">
        <f t="shared" si="6"/>
        <v>Machinery industry Demand Haulage Forklifts</v>
      </c>
      <c r="AO19" s="239" t="s">
        <v>1328</v>
      </c>
      <c r="AP19" s="239" t="s">
        <v>1329</v>
      </c>
    </row>
    <row r="20" spans="2:42">
      <c r="B20" s="393" t="s">
        <v>1123</v>
      </c>
      <c r="D20" s="223" t="str">
        <f ca="1">IF(T15=0,"*",IF(T20&gt;0,"IND"&amp;RIGHT(H15,4)&amp;RIGHT(G15,3)&amp;"N"&amp;RIGHT(E15,1),""))</f>
        <v/>
      </c>
      <c r="E20" s="223"/>
      <c r="F20" s="239" t="s">
        <v>1274</v>
      </c>
      <c r="G20" s="176" t="str">
        <f>$AI$20</f>
        <v>INDMWH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INDMWH</v>
      </c>
      <c r="AJ20" s="239" t="str">
        <f>$AJ$12&amp;" Industrial Waste Heat"</f>
        <v>Machinery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Machinery MT - Heat driven heat pump utilizing waste heat - new 2</v>
      </c>
      <c r="F21" s="239" t="s">
        <v>1274</v>
      </c>
      <c r="G21" s="176" t="s">
        <v>500</v>
      </c>
      <c r="H21" s="177" t="str">
        <f>$AI$14</f>
        <v>IMDMT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INDMWH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IMDMT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INDMWH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IMDMT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INDMWH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INDMDRHELCN2</v>
      </c>
      <c r="E27" s="278" t="str">
        <f>"Industrial heating technology "&amp;$AJ$12&amp;" "&amp;RIGHT(H27,2)&amp;" - Heat driven heat pump utilizing waste heat - new 2"</f>
        <v>Industrial heating technology Machinery RH - Heat driven heat pump utilizing waste heat - new 2</v>
      </c>
      <c r="F27" s="239" t="s">
        <v>1274</v>
      </c>
      <c r="G27" s="176" t="s">
        <v>500</v>
      </c>
      <c r="H27" s="177" t="str">
        <f>$AI$15</f>
        <v>IMDRH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INDMWH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IMDRH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INDMWH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IMDRH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INDMWH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INDMDMTELCN3</v>
      </c>
      <c r="E33" s="278" t="str">
        <f>"Industrial heating technology "&amp;$AJ$12&amp;" "&amp;RIGHT(H33,2)&amp;" - High Temp abs. Heat pump utilizing waste heat - new 3"</f>
        <v>Industrial heating technology Machinery MT - High Temp abs. Heat pump utilizing waste heat - new 3</v>
      </c>
      <c r="F33" s="239" t="s">
        <v>1274</v>
      </c>
      <c r="G33" s="176" t="s">
        <v>500</v>
      </c>
      <c r="H33" s="177" t="str">
        <f>$AI$14</f>
        <v>IMDMT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0.16</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INDMWH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IMDMT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INDMWH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IMDMT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INDMWH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INDMDRHELCN3</v>
      </c>
      <c r="E39" s="278" t="str">
        <f>"Industrial heating technology "&amp;$AJ$12&amp;" "&amp;RIGHT(H39,2)&amp;" - High Temp abs. Heat pump utilizing waste heat - new 3"</f>
        <v>Industrial heating technology Machinery RH - High Temp abs. Heat pump utilizing waste heat - new 3</v>
      </c>
      <c r="F39" s="239" t="s">
        <v>1274</v>
      </c>
      <c r="G39" s="176" t="s">
        <v>500</v>
      </c>
      <c r="H39" s="177" t="str">
        <f>$AI$15</f>
        <v>IMDRH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INDMWH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IMDRH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INDMWH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IMDRH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INDMWH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INDMDMTELCN4</v>
      </c>
      <c r="E45" s="278" t="str">
        <f>"Industrial heating technology "&amp;$AJ$12&amp;" "&amp;RIGHT(H45,2)&amp;" - Booster Heat pump utilizing waste heat - new 4"</f>
        <v>Industrial heating technology Machinery MT - Booster Heat pump utilizing waste heat - new 4</v>
      </c>
      <c r="F45" s="239" t="s">
        <v>1274</v>
      </c>
      <c r="G45" s="176" t="s">
        <v>500</v>
      </c>
      <c r="H45" s="177" t="str">
        <f>$AI$14</f>
        <v>IMDMT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0.47</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INDMWH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IMDMT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INDMWH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IMDMT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INDMWH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INDMDRHELCN4</v>
      </c>
      <c r="E51" s="278" t="str">
        <f>"Industrial heating technology "&amp;$AJ$12&amp;" "&amp;RIGHT(H51,2)&amp;" - Booster Heat pump utilizing waste heat - new 4"</f>
        <v>Industrial heating technology Machinery RH - Booster Heat pump utilizing waste heat - new 4</v>
      </c>
      <c r="F51" s="239" t="s">
        <v>1274</v>
      </c>
      <c r="G51" s="176" t="s">
        <v>500</v>
      </c>
      <c r="H51" s="177" t="str">
        <f>$AI$15</f>
        <v>IMDRH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INDMWH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IMDRH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INDMWH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IMDRH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INDMWH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INDMDMTELCN5</v>
      </c>
      <c r="E57" s="278" t="str">
        <f>"Industrial heating technology "&amp;$AJ$12&amp;" "&amp;RIGHT(H57,2)&amp;" - MVR utilizing waste heat - new 5"</f>
        <v>Industrial heating technology Machinery MT - MVR utilizing waste heat - new 5</v>
      </c>
      <c r="F57" s="239" t="s">
        <v>1274</v>
      </c>
      <c r="G57" s="176" t="s">
        <v>500</v>
      </c>
      <c r="H57" s="177" t="str">
        <f>$AI$14</f>
        <v>IMDMT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0.06</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INDMWH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IMDMT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INDMWH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IMDMT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INDMWH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Machinery HT - Hotdisc - new 1</v>
      </c>
      <c r="F63" s="239" t="s">
        <v>1274</v>
      </c>
      <c r="G63" s="892" t="s">
        <v>1130</v>
      </c>
      <c r="H63" s="177" t="str">
        <f>$AI$13</f>
        <v>IMDHT</v>
      </c>
      <c r="I63" s="176" t="str">
        <f t="shared" ref="I63:I94" si="53">$AI$20</f>
        <v>INDMWH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INDMWH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INDMWH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Machinery MT - Dielectric heating - new 6</v>
      </c>
      <c r="F66" s="239" t="s">
        <v>1274</v>
      </c>
      <c r="G66" s="176" t="s">
        <v>500</v>
      </c>
      <c r="H66" s="177" t="str">
        <f>$AI$14</f>
        <v>IMDMT</v>
      </c>
      <c r="I66" s="176" t="str">
        <f t="shared" si="53"/>
        <v>INDMWH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INDMWH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INDMWH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INDMDMTELCN7</v>
      </c>
      <c r="E69" s="278" t="str">
        <f>"Industrial heating technology "&amp;$AJ$12&amp;" "&amp;RIGHT(H69,2)&amp;" - Infrared heating - new 7"</f>
        <v>Industrial heating technology Machinery MT - Infrared heating - new 7</v>
      </c>
      <c r="F69" s="239" t="s">
        <v>1274</v>
      </c>
      <c r="G69" s="176" t="s">
        <v>500</v>
      </c>
      <c r="H69" s="177" t="str">
        <f>$AI$14</f>
        <v>IMDMT</v>
      </c>
      <c r="I69" s="176" t="str">
        <f t="shared" si="53"/>
        <v>INDMWH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0.05</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
      </c>
      <c r="E70" s="223"/>
      <c r="F70" s="239" t="s">
        <v>1274</v>
      </c>
      <c r="H70" s="177"/>
      <c r="I70" s="176" t="str">
        <f t="shared" si="53"/>
        <v>INDMWH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
      </c>
      <c r="E71" s="223"/>
      <c r="F71" s="239" t="s">
        <v>1274</v>
      </c>
      <c r="H71" s="177"/>
      <c r="I71" s="177" t="str">
        <f t="shared" si="53"/>
        <v>INDMWH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INDMDHTELCN8</v>
      </c>
      <c r="E72" s="278" t="str">
        <f>"Industrial heating technology "&amp;$AJ$12&amp;" "&amp;RIGHT(H72,2)&amp;" - Electric boiler (Steam) - new 8"</f>
        <v>Industrial heating technology Machinery HT - Electric boiler (Steam) - new 8</v>
      </c>
      <c r="F72" s="239" t="s">
        <v>1274</v>
      </c>
      <c r="G72" s="176" t="s">
        <v>500</v>
      </c>
      <c r="H72" s="177" t="str">
        <f>$AI$13</f>
        <v>IMDHT</v>
      </c>
      <c r="I72" s="177" t="str">
        <f t="shared" si="53"/>
        <v>INDMWH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INDMWH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INDMWH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INDMDMTELCN8</v>
      </c>
      <c r="E75" s="278" t="str">
        <f>"Industrial heating technology "&amp;$AJ$12&amp;" "&amp;RIGHT(H75,2)&amp;" - Electric boiler (Steam) - new 8"</f>
        <v>Industrial heating technology Machinery MT - Electric boiler (Steam) - new 8</v>
      </c>
      <c r="F75" s="239" t="s">
        <v>1274</v>
      </c>
      <c r="G75" s="176" t="s">
        <v>500</v>
      </c>
      <c r="H75" s="177" t="str">
        <f>$AI$14</f>
        <v>IMDMT</v>
      </c>
      <c r="I75" s="177" t="str">
        <f t="shared" si="53"/>
        <v>INDMWH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INDMWH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INDMWH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INDMDRHELCN8</v>
      </c>
      <c r="E78" s="278" t="str">
        <f>"Industrial heating technology "&amp;$AJ$12&amp;" "&amp;RIGHT(H78,2)&amp;" - Electric boiler (Steam) - new 8"</f>
        <v>Industrial heating technology Machinery RH - Electric boiler (Steam) - new 8</v>
      </c>
      <c r="F78" s="239" t="s">
        <v>1274</v>
      </c>
      <c r="G78" s="176" t="s">
        <v>500</v>
      </c>
      <c r="H78" s="177" t="str">
        <f>$AI$15</f>
        <v>IMDRH</v>
      </c>
      <c r="I78" s="177" t="str">
        <f t="shared" si="53"/>
        <v>INDMWH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
      </c>
      <c r="E79" s="223"/>
      <c r="F79" s="239" t="s">
        <v>1274</v>
      </c>
      <c r="H79" s="177"/>
      <c r="I79" s="177" t="str">
        <f t="shared" si="53"/>
        <v>INDMWH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
      </c>
      <c r="E80" s="223"/>
      <c r="F80" s="239" t="s">
        <v>1274</v>
      </c>
      <c r="H80" s="177"/>
      <c r="I80" s="177" t="str">
        <f t="shared" si="53"/>
        <v>INDMWH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INDMDMTELCN9</v>
      </c>
      <c r="E81" s="767" t="str">
        <f>"Industrial heating technology "&amp;$AJ$12&amp;" "&amp;RIGHT(H81,2)&amp;" - Electric boiler (Hot Water) - new 9"</f>
        <v>Industrial heating technology Machinery MT - Electric boiler (Hot Water) - new 9</v>
      </c>
      <c r="F81" s="239" t="s">
        <v>1274</v>
      </c>
      <c r="G81" s="768" t="s">
        <v>500</v>
      </c>
      <c r="H81" s="768" t="str">
        <f>$AI$14</f>
        <v>IMDMT</v>
      </c>
      <c r="I81" s="768" t="str">
        <f t="shared" si="53"/>
        <v>INDMWH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INDMWH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INDMWH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INDMDRHELCN9</v>
      </c>
      <c r="E84" s="278" t="str">
        <f>"Industrial heating technology "&amp;$AJ$12&amp;" "&amp;RIGHT(H84,2)&amp;" - Electric boiler (Hot Water) - new 9"</f>
        <v>Industrial heating technology Machinery RH - Electric boiler (Hot Water) - new 9</v>
      </c>
      <c r="F84" s="239" t="s">
        <v>1274</v>
      </c>
      <c r="G84" s="177" t="s">
        <v>500</v>
      </c>
      <c r="H84" s="177" t="str">
        <f>$AI$15</f>
        <v>IMDRH</v>
      </c>
      <c r="I84" s="177" t="str">
        <f t="shared" si="53"/>
        <v>INDMWH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3"/>
        <v>INDMWH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3"/>
        <v>INDMWH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INDMDHTWCHN1</v>
      </c>
      <c r="E87" s="278" t="str">
        <f>"Industrial heating technology "&amp;$AJ$12&amp;" "&amp;RIGHT(H87,2)&amp;" - Wood chip boiler (Steam) - new 1"</f>
        <v>Industrial heating technology Machinery HT - Wood chip boiler (Steam) - new 1</v>
      </c>
      <c r="F87" s="239" t="s">
        <v>1274</v>
      </c>
      <c r="G87" s="176" t="s">
        <v>499</v>
      </c>
      <c r="H87" s="177" t="str">
        <f>$AI$13</f>
        <v>IMDHT</v>
      </c>
      <c r="I87" s="177" t="str">
        <f t="shared" si="53"/>
        <v>INDMWH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3"/>
        <v>INDMWH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
      </c>
      <c r="E89" s="223"/>
      <c r="F89" s="239" t="s">
        <v>1274</v>
      </c>
      <c r="H89" s="177"/>
      <c r="I89" s="177" t="str">
        <f t="shared" si="53"/>
        <v>INDMWH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INDMDMTWCHN1</v>
      </c>
      <c r="E90" s="278" t="str">
        <f>"Industrial heating technology "&amp;$AJ$12&amp;" "&amp;RIGHT(H90,2)&amp;" - Wood chip boiler (Steam) - new 1"</f>
        <v>Industrial heating technology Machinery MT - Wood chip boiler (Steam) - new 1</v>
      </c>
      <c r="F90" s="239" t="s">
        <v>1274</v>
      </c>
      <c r="G90" s="176" t="s">
        <v>499</v>
      </c>
      <c r="H90" s="177" t="str">
        <f>$AI$14</f>
        <v>IMDMT</v>
      </c>
      <c r="I90" s="177" t="str">
        <f t="shared" si="53"/>
        <v>INDMWH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INDMWH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INDMWH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INDMDRHWCHN1</v>
      </c>
      <c r="E93" s="278" t="str">
        <f>"Industrial heating technology "&amp;$AJ$12&amp;" "&amp;RIGHT(H93,2)&amp;" - Wood chip boiler (Steam) - new 1"</f>
        <v>Industrial heating technology Machinery RH - Wood chip boiler (Steam) - new 1</v>
      </c>
      <c r="F93" s="239" t="s">
        <v>1274</v>
      </c>
      <c r="G93" s="176" t="s">
        <v>499</v>
      </c>
      <c r="H93" s="177" t="str">
        <f>$AI$15</f>
        <v>IMDRH</v>
      </c>
      <c r="I93" s="177" t="str">
        <f t="shared" si="53"/>
        <v>INDMWH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INDMWH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INDMWH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INDMDMTWCHN2</v>
      </c>
      <c r="E96" s="767" t="str">
        <f>"Industrial heating technology "&amp;$AJ$12&amp;" "&amp;RIGHT(H96,2)&amp;" - Wood chip boiler (Steam - condensing) - new 2"</f>
        <v>Industrial heating technology Machinery MT - Wood chip boiler (Steam - condensing) - new 2</v>
      </c>
      <c r="F96" s="239" t="s">
        <v>1274</v>
      </c>
      <c r="G96" s="768" t="s">
        <v>499</v>
      </c>
      <c r="H96" s="768" t="str">
        <f>$AI$14</f>
        <v>IMDMT</v>
      </c>
      <c r="I96" s="768" t="str">
        <f t="shared" si="80"/>
        <v>INDMWH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INDMWH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INDMWH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INDMDRHWCHN2</v>
      </c>
      <c r="E99" s="278" t="str">
        <f>"Industrial heating technology "&amp;$AJ$12&amp;" "&amp;RIGHT(H99,2)&amp;" - Wood chip boiler (Steam - condensing) - new 2"</f>
        <v>Industrial heating technology Machinery RH - Wood chip boiler (Steam - condensing) - new 2</v>
      </c>
      <c r="F99" s="239" t="s">
        <v>1274</v>
      </c>
      <c r="G99" s="177" t="s">
        <v>499</v>
      </c>
      <c r="H99" s="177" t="str">
        <f>$AI$15</f>
        <v>IMDRH</v>
      </c>
      <c r="I99" s="177" t="str">
        <f t="shared" si="80"/>
        <v>INDMWH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INDMWH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INDMWH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INDMDMTWCHN3</v>
      </c>
      <c r="E102" s="767" t="str">
        <f>"Industrial heating technology "&amp;$AJ$12&amp;" "&amp;RIGHT(H102,2)&amp;" - Wood chip boiler (Hot Water) - new 3"</f>
        <v>Industrial heating technology Machinery MT - Wood chip boiler (Hot Water) - new 3</v>
      </c>
      <c r="F102" s="239" t="s">
        <v>1274</v>
      </c>
      <c r="G102" s="768" t="s">
        <v>499</v>
      </c>
      <c r="H102" s="768" t="str">
        <f>$AI$14</f>
        <v>IMDMT</v>
      </c>
      <c r="I102" s="768" t="str">
        <f t="shared" si="80"/>
        <v>INDMWH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INDMWH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INDMWH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INDMDRHWCHN3</v>
      </c>
      <c r="E105" s="278" t="str">
        <f>"Industrial heating technology "&amp;$AJ$12&amp;" "&amp;RIGHT(H105,2)&amp;" - Wood chip boiler (Hot Water) - new 3"</f>
        <v>Industrial heating technology Machinery RH - Wood chip boiler (Hot Water) - new 3</v>
      </c>
      <c r="F105" s="239" t="s">
        <v>1274</v>
      </c>
      <c r="G105" s="177" t="s">
        <v>499</v>
      </c>
      <c r="H105" s="177" t="str">
        <f>$AI$15</f>
        <v>IMDRH</v>
      </c>
      <c r="I105" s="177" t="str">
        <f t="shared" si="80"/>
        <v>INDMWH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INDMWH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INDMWH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INDMDMTWCHN4</v>
      </c>
      <c r="E108" s="767" t="str">
        <f>"Industrial heating technology "&amp;$AJ$12&amp;" "&amp;RIGHT(H108,2)&amp;" - Wood chip boiler (Hot Water - condensing) - new 4"</f>
        <v>Industrial heating technology Machinery MT - Wood chip boiler (Hot Water - condensing) - new 4</v>
      </c>
      <c r="F108" s="239" t="s">
        <v>1274</v>
      </c>
      <c r="G108" s="768" t="s">
        <v>499</v>
      </c>
      <c r="H108" s="768" t="str">
        <f>$AI$14</f>
        <v>IMDMT</v>
      </c>
      <c r="I108" s="768" t="str">
        <f t="shared" si="80"/>
        <v>INDMWH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INDMWH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INDMWH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INDMDRHWCHN4</v>
      </c>
      <c r="E111" s="278" t="str">
        <f>"Industrial heating technology "&amp;$AJ$12&amp;" "&amp;RIGHT(H111,2)&amp;" - Wood chip boiler (Hot Water- condensing) - new 4"</f>
        <v>Industrial heating technology Machinery RH - Wood chip boiler (Hot Water- condensing) - new 4</v>
      </c>
      <c r="F111" s="239" t="s">
        <v>1274</v>
      </c>
      <c r="G111" s="177" t="s">
        <v>499</v>
      </c>
      <c r="H111" s="177" t="str">
        <f>$AI$15</f>
        <v>IMDRH</v>
      </c>
      <c r="I111" s="177" t="str">
        <f t="shared" si="80"/>
        <v>INDMWH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INDMWH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INDMWH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Machinery HT - Direct electric heating - new 10</v>
      </c>
      <c r="F114" s="239" t="s">
        <v>1274</v>
      </c>
      <c r="G114" s="176" t="s">
        <v>500</v>
      </c>
      <c r="H114" s="177" t="str">
        <f>$AI$13</f>
        <v>IMDHT</v>
      </c>
      <c r="I114" s="177" t="str">
        <f t="shared" si="80"/>
        <v>INDMWH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80"/>
        <v>INDMWH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80"/>
        <v>INDMWH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Machinery MT - Direct electric heating - new 10</v>
      </c>
      <c r="F117" s="239" t="s">
        <v>1274</v>
      </c>
      <c r="G117" s="176" t="s">
        <v>500</v>
      </c>
      <c r="H117" s="177" t="str">
        <f>$AI$14</f>
        <v>IMDMT</v>
      </c>
      <c r="I117" s="177" t="str">
        <f t="shared" si="80"/>
        <v>INDMWH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INDMWH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INDMWH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INDMDHTDSEN1</v>
      </c>
      <c r="E120" s="278" t="str">
        <f>"Industrial heating technology "&amp;$AJ$12&amp;" "&amp;RIGHT(H120,2)&amp;" - Oil boiler (Steam) - new 1"</f>
        <v>Industrial heating technology Machinery HT - Oil boiler (Steam) - new 1</v>
      </c>
      <c r="F120" s="239" t="s">
        <v>1274</v>
      </c>
      <c r="G120" s="176" t="s">
        <v>1437</v>
      </c>
      <c r="H120" s="177" t="str">
        <f>$AI$13</f>
        <v>IMDHT</v>
      </c>
      <c r="I120" s="177" t="str">
        <f t="shared" si="80"/>
        <v>INDMWH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INDMWH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INDMWH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INDMDMTDSEN1</v>
      </c>
      <c r="E123" s="278" t="str">
        <f>"Industrial heating technology "&amp;$AJ$12&amp;" "&amp;RIGHT(H123,2)&amp;" - Oil boiler (Steam) - new 1"</f>
        <v>Industrial heating technology Machinery MT - Oil boiler (Steam) - new 1</v>
      </c>
      <c r="F123" s="239" t="s">
        <v>1274</v>
      </c>
      <c r="G123" s="176" t="s">
        <v>1437</v>
      </c>
      <c r="H123" s="177" t="str">
        <f>$AI$14</f>
        <v>IMDMT</v>
      </c>
      <c r="I123" s="177" t="str">
        <f t="shared" si="80"/>
        <v>INDMWH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INDMWH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INDMWH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INDMDRHDSEN1</v>
      </c>
      <c r="E126" s="278" t="str">
        <f>"Industrial heating technology "&amp;$AJ$12&amp;" "&amp;RIGHT(H126,2)&amp;" - Oil boiler (Steam) - new 1"</f>
        <v>Industrial heating technology Machinery RH - Oil boiler (Steam) - new 1</v>
      </c>
      <c r="F126" s="239" t="s">
        <v>1274</v>
      </c>
      <c r="G126" s="176" t="s">
        <v>1437</v>
      </c>
      <c r="H126" s="177" t="str">
        <f>$AI$15</f>
        <v>IMDRH</v>
      </c>
      <c r="I126" s="177" t="str">
        <f t="shared" si="80"/>
        <v>INDMWH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INDMWH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INDMWH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INDMDMTDSEN2</v>
      </c>
      <c r="E129" s="767" t="str">
        <f>"Industrial heating technology "&amp;$AJ$12&amp;" "&amp;RIGHT(H129,2)&amp;" - Oil boiler (Steam - condensing) - new 2"</f>
        <v>Industrial heating technology Machinery MT - Oil boiler (Steam - condensing) - new 2</v>
      </c>
      <c r="F129" s="239" t="s">
        <v>1274</v>
      </c>
      <c r="G129" s="176" t="s">
        <v>1437</v>
      </c>
      <c r="H129" s="768" t="str">
        <f>$AI$14</f>
        <v>IMDMT</v>
      </c>
      <c r="I129" s="768" t="str">
        <f t="shared" si="115"/>
        <v>INDMWH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INDMWH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INDMWH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INDMDRHDSEN2</v>
      </c>
      <c r="E132" s="278" t="str">
        <f>"Industrial heating technology "&amp;$AJ$12&amp;" "&amp;RIGHT(H132,2)&amp;" - Oil boiler (Steam - condensing) - new 2"</f>
        <v>Industrial heating technology Machinery RH - Oil boiler (Steam - condensing) - new 2</v>
      </c>
      <c r="F132" s="239" t="s">
        <v>1274</v>
      </c>
      <c r="G132" s="176" t="s">
        <v>1437</v>
      </c>
      <c r="H132" s="177" t="str">
        <f>$AI$15</f>
        <v>IMDRH</v>
      </c>
      <c r="I132" s="177" t="str">
        <f t="shared" si="115"/>
        <v>INDMWH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INDMWH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INDMWH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INDMDHTDH2N1</v>
      </c>
      <c r="E135" s="278" t="str">
        <f>"Industrial heating technology "&amp;$AJ$12&amp;" "&amp;RIGHT(H135,2)&amp;" - Gas boiler (Steam) - new 1"</f>
        <v>Industrial heating technology Machinery HT - Gas boiler (Steam) - new 1</v>
      </c>
      <c r="F135" s="239" t="s">
        <v>1274</v>
      </c>
      <c r="G135" s="176" t="s">
        <v>1438</v>
      </c>
      <c r="H135" s="177" t="str">
        <f>$AI$13</f>
        <v>IMDHT</v>
      </c>
      <c r="I135" s="177" t="str">
        <f t="shared" si="115"/>
        <v>INDMWH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INDMWH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INDMWH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INDMDMTDH2N1</v>
      </c>
      <c r="E138" s="278" t="str">
        <f>"Industrial heating technology "&amp;$AJ$12&amp;" "&amp;RIGHT(H138,2)&amp;" - Gas boiler (Steam) - new 1"</f>
        <v>Industrial heating technology Machinery MT - Gas boiler (Steam) - new 1</v>
      </c>
      <c r="F138" s="239" t="s">
        <v>1274</v>
      </c>
      <c r="G138" s="176" t="s">
        <v>1438</v>
      </c>
      <c r="H138" s="177" t="str">
        <f>$AI$14</f>
        <v>IMDMT</v>
      </c>
      <c r="I138" s="177" t="str">
        <f t="shared" si="115"/>
        <v>INDMWH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INDMWH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INDMWH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INDMDRHDH2N1</v>
      </c>
      <c r="E141" s="278" t="str">
        <f>"Industrial heating technology "&amp;$AJ$12&amp;" "&amp;RIGHT(H141,2)&amp;" - Gas boiler (Steam) - new 1"</f>
        <v>Industrial heating technology Machinery RH - Gas boiler (Steam) - new 1</v>
      </c>
      <c r="F141" s="239" t="s">
        <v>1274</v>
      </c>
      <c r="G141" s="176" t="s">
        <v>1438</v>
      </c>
      <c r="H141" s="177" t="str">
        <f>$AI$15</f>
        <v>IMDRH</v>
      </c>
      <c r="I141" s="177" t="str">
        <f t="shared" si="115"/>
        <v>INDMWH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INDMWH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INDMWH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INDMDMTDH2N2</v>
      </c>
      <c r="E144" s="767" t="str">
        <f>"Industrial heating technology "&amp;$AJ$12&amp;" "&amp;RIGHT(H144,2)&amp;" - Gas boiler (Steam - condensing) - new 2"</f>
        <v>Industrial heating technology Machinery MT - Gas boiler (Steam - condensing) - new 2</v>
      </c>
      <c r="F144" s="239" t="s">
        <v>1274</v>
      </c>
      <c r="G144" s="176" t="s">
        <v>1438</v>
      </c>
      <c r="H144" s="768" t="str">
        <f>$AI$14</f>
        <v>IMDMT</v>
      </c>
      <c r="I144" s="768" t="str">
        <f t="shared" si="115"/>
        <v>INDMWH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INDMWH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INDMWH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INDMDRHDH2N2</v>
      </c>
      <c r="E147" s="278" t="str">
        <f>"Industrial heating technology "&amp;$AJ$12&amp;" "&amp;RIGHT(H147,2)&amp;" - Gas boiler (Steam - condensing) - new 2"</f>
        <v>Industrial heating technology Machinery RH - Gas boiler (Steam - condensing) - new 2</v>
      </c>
      <c r="F147" s="239" t="s">
        <v>1274</v>
      </c>
      <c r="G147" s="176" t="s">
        <v>1438</v>
      </c>
      <c r="H147" s="177" t="str">
        <f>$AI$15</f>
        <v>IMDRH</v>
      </c>
      <c r="I147" s="177" t="str">
        <f t="shared" si="115"/>
        <v>INDMWH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INDMWH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INDMWH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INDMDMTDH2N3</v>
      </c>
      <c r="E150" s="767" t="str">
        <f>"Industrial heating technology "&amp;$AJ$12&amp;" "&amp;RIGHT(H150,2)&amp;" - Gas boiler (Hot Water) - new 3"</f>
        <v>Industrial heating technology Machinery MT - Gas boiler (Hot Water) - new 3</v>
      </c>
      <c r="F150" s="239" t="s">
        <v>1274</v>
      </c>
      <c r="G150" s="176" t="s">
        <v>1438</v>
      </c>
      <c r="H150" s="768" t="str">
        <f>$AI$14</f>
        <v>IMDMT</v>
      </c>
      <c r="I150" s="768" t="str">
        <f t="shared" si="115"/>
        <v>INDMWH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INDMWH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INDMWH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INDMDRHDH2N3</v>
      </c>
      <c r="E153" s="278" t="str">
        <f>"Industrial heating technology "&amp;$AJ$12&amp;" "&amp;RIGHT(H153,2)&amp;" - Gas boiler (Hot Water) - new 3"</f>
        <v>Industrial heating technology Machinery RH - Gas boiler (Hot Water) - new 3</v>
      </c>
      <c r="F153" s="239" t="s">
        <v>1274</v>
      </c>
      <c r="G153" s="176" t="s">
        <v>1438</v>
      </c>
      <c r="H153" s="177" t="str">
        <f>$AI$15</f>
        <v>IMDRH</v>
      </c>
      <c r="I153" s="177" t="str">
        <f t="shared" si="115"/>
        <v>INDMWH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INDMWH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INDMWH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INDMDMTDH2N4</v>
      </c>
      <c r="E156" s="767" t="str">
        <f>"Industrial heating technology "&amp;$AJ$12&amp;" "&amp;RIGHT(H156,2)&amp;" - Gas boiler (Hot Water - condensing) - new 4"</f>
        <v>Industrial heating technology Machinery MT - Gas boiler (Hot Water - condensing) - new 4</v>
      </c>
      <c r="F156" s="239" t="s">
        <v>1274</v>
      </c>
      <c r="G156" s="176" t="s">
        <v>1438</v>
      </c>
      <c r="H156" s="768" t="str">
        <f>$AI$14</f>
        <v>IMDMT</v>
      </c>
      <c r="I156" s="768" t="str">
        <f t="shared" si="115"/>
        <v>INDMWH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INDMWH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INDMWH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INDMDRHDH2N4</v>
      </c>
      <c r="E159" s="278" t="str">
        <f>"Industrial heating technology "&amp;$AJ$12&amp;" "&amp;RIGHT(H159,2)&amp;" - Gas boiler (Hot Water- condensing) - new 4"</f>
        <v>Industrial heating technology Machinery RH - Gas boiler (Hot Water- condensing) - new 4</v>
      </c>
      <c r="F159" s="239" t="s">
        <v>1274</v>
      </c>
      <c r="G159" s="176" t="s">
        <v>1438</v>
      </c>
      <c r="H159" s="177" t="str">
        <f>$AI$15</f>
        <v>IMDRH</v>
      </c>
      <c r="I159" s="177" t="str">
        <f t="shared" ref="I159:I182" si="158">$AI$20</f>
        <v>INDMWH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INDMWH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INDMWH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INDMDHTDH2N5</v>
      </c>
      <c r="E162" s="767" t="str">
        <f>"Industrial heating technology "&amp;$AJ$12&amp;" "&amp;RIGHT(H162,2)&amp;" - Gas boiler (Direct firing) - new 5"</f>
        <v>Industrial heating technology Machinery HT - Gas boiler (Direct firing) - new 5</v>
      </c>
      <c r="F162" s="239" t="s">
        <v>1274</v>
      </c>
      <c r="G162" s="176" t="s">
        <v>1438</v>
      </c>
      <c r="H162" s="177" t="str">
        <f>$AI$13</f>
        <v>IMDHT</v>
      </c>
      <c r="I162" s="177" t="str">
        <f t="shared" si="158"/>
        <v>INDMWH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INDMWH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INDMWH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INDMDMTDH2N5</v>
      </c>
      <c r="E165" s="278" t="str">
        <f>"Industrial heating technology "&amp;$AJ$12&amp;" "&amp;RIGHT(H165,2)&amp;" - Gas boiler (Direct firing) - new 5"</f>
        <v>Industrial heating technology Machinery MT - Gas boiler (Direct firing) - new 5</v>
      </c>
      <c r="F165" s="239" t="s">
        <v>1274</v>
      </c>
      <c r="G165" s="176" t="s">
        <v>1438</v>
      </c>
      <c r="H165" s="177" t="str">
        <f>$AI$14</f>
        <v>IMDMT</v>
      </c>
      <c r="I165" s="781" t="str">
        <f t="shared" si="158"/>
        <v>INDMWH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INDMWH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INDMWH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INDMDHTCOAN1</v>
      </c>
      <c r="E168" s="278" t="str">
        <f>"Industrial heating technology "&amp;$AJ$12&amp;" "&amp;RIGHT(H168,2)&amp;" - Coal boiler (Steam) - new 1"</f>
        <v>Industrial heating technology Machinery HT - Coal boiler (Steam) - new 1</v>
      </c>
      <c r="F168" s="239" t="s">
        <v>1274</v>
      </c>
      <c r="G168" s="55" t="s">
        <v>662</v>
      </c>
      <c r="H168" s="177" t="str">
        <f>$AI$13</f>
        <v>IMDHT</v>
      </c>
      <c r="I168" s="177" t="str">
        <f t="shared" si="158"/>
        <v>INDMWH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INDMWH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INDMWH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INDMDMTCOAN1</v>
      </c>
      <c r="E171" s="278" t="str">
        <f>"Industrial heating technology "&amp;$AJ$12&amp;" "&amp;RIGHT(H171,2)&amp;" - Coal boiler (Steam) - new 1"</f>
        <v>Industrial heating technology Machinery MT - Coal boiler (Steam) - new 1</v>
      </c>
      <c r="F171" s="239" t="s">
        <v>1274</v>
      </c>
      <c r="G171" s="55" t="s">
        <v>662</v>
      </c>
      <c r="H171" s="177" t="str">
        <f>$AI$14</f>
        <v>IMDMT</v>
      </c>
      <c r="I171" s="177" t="str">
        <f t="shared" si="158"/>
        <v>INDMWH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INDMWH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INDMWH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INDMDRHCOAN1</v>
      </c>
      <c r="E174" s="278" t="str">
        <f>"Industrial heating technology "&amp;$AJ$12&amp;" "&amp;RIGHT(H174,2)&amp;" - Coal boiler (Steam) - new 1"</f>
        <v>Industrial heating technology Machinery RH - Coal boiler (Steam) - new 1</v>
      </c>
      <c r="F174" s="239" t="s">
        <v>1274</v>
      </c>
      <c r="G174" s="55" t="s">
        <v>662</v>
      </c>
      <c r="H174" s="177" t="str">
        <f>$AI$15</f>
        <v>IMDRH</v>
      </c>
      <c r="I174" s="177" t="str">
        <f t="shared" si="158"/>
        <v>INDMWH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INDMWH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INDMWH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INDMDMTCOAN2</v>
      </c>
      <c r="E177" s="278" t="str">
        <f>"Industrial heating technology "&amp;$AJ$12&amp;" "&amp;RIGHT(H177,2)&amp;" - Coal boiler (Hot Water) - new 2"</f>
        <v>Industrial heating technology Machinery MT - Coal boiler (Hot Water) - new 2</v>
      </c>
      <c r="F177" s="239" t="s">
        <v>1274</v>
      </c>
      <c r="G177" s="55" t="s">
        <v>662</v>
      </c>
      <c r="H177" s="177" t="str">
        <f>$AI$14</f>
        <v>IMDMT</v>
      </c>
      <c r="I177" s="177" t="str">
        <f t="shared" si="158"/>
        <v>INDMWH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INDMWH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INDMWH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INDMDRHCOAN2</v>
      </c>
      <c r="E180" s="278" t="str">
        <f>"Industrial heating technology "&amp;$AJ$12&amp;" "&amp;RIGHT(H180,2)&amp;" - Coal boiler (Hot Water) - new 2"</f>
        <v>Industrial heating technology Machinery RH - Coal boiler (Hot Water) - new 2</v>
      </c>
      <c r="F180" s="239" t="s">
        <v>1274</v>
      </c>
      <c r="G180" s="55" t="s">
        <v>662</v>
      </c>
      <c r="H180" s="177" t="str">
        <f>$AI$15</f>
        <v>IMDRH</v>
      </c>
      <c r="I180" s="177" t="str">
        <f t="shared" si="158"/>
        <v>INDMWH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INDMWH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INDMWH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INDMDRHSOLN1</v>
      </c>
      <c r="E183" s="278" t="str">
        <f>"Industrial heating technology "&amp;$AJ$12&amp;" "&amp;RIGHT(H183,2)&amp;" - Solar - new 1"</f>
        <v>Industrial heating technology Machinery RH - Solar - new 1</v>
      </c>
      <c r="F183" s="239" t="s">
        <v>1274</v>
      </c>
      <c r="G183" s="55" t="s">
        <v>501</v>
      </c>
      <c r="H183" s="177" t="str">
        <f>$AI$15</f>
        <v>IMDRH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INDMDRHHCEN1</v>
      </c>
      <c r="E187" s="239" t="str">
        <f>"Industrial heating technology "&amp;$AJ$12&amp;" "&amp;RIGHT(H187,2)&amp;" - central district heating - within DH area - new 1"</f>
        <v>Industrial heating technology Machinery RH - central district heating - within DH area - new 1</v>
      </c>
      <c r="F187" s="239" t="s">
        <v>1274</v>
      </c>
      <c r="G187" s="240" t="s">
        <v>502</v>
      </c>
      <c r="H187" s="240" t="str">
        <f>AI15</f>
        <v>IMDRH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INDMDRHHDEN1</v>
      </c>
      <c r="E188" s="239" t="str">
        <f>"Industrial heating technology "&amp;$AJ$12&amp;" "&amp;RIGHT(H188,2)&amp;" - decentral district heating - within DH area - new 1"</f>
        <v>Industrial heating technology Machinery RH - decentral district heating - within DH area - new 1</v>
      </c>
      <c r="F188" s="239" t="s">
        <v>1274</v>
      </c>
      <c r="G188" s="276" t="s">
        <v>503</v>
      </c>
      <c r="H188" s="282" t="str">
        <f>AI15</f>
        <v>IMDRH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INDMDLAELCN1</v>
      </c>
      <c r="E190" s="239" t="str">
        <f>"Industry "&amp;$AJ$12&amp;" "&amp;RIGHT(H190,2)&amp;" Electricity Light Appliance - New 1"</f>
        <v>Industry Machinery LA Electricity Light Appliance - New 1</v>
      </c>
      <c r="F190" s="239" t="s">
        <v>1274</v>
      </c>
      <c r="G190" s="240" t="s">
        <v>500</v>
      </c>
      <c r="H190" s="240" t="str">
        <f>AI16</f>
        <v>IMDLA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INDMDEMELCN1</v>
      </c>
      <c r="E194" s="239" t="str">
        <f>"Industry "&amp;$AJ$12&amp;" "&amp;RIGHT(H194,2)&amp;" Electricity Motors - New 1"</f>
        <v>Industry Machinery EM Electricity Motors - New 1</v>
      </c>
      <c r="F194" s="239" t="s">
        <v>1274</v>
      </c>
      <c r="G194" s="240" t="s">
        <v>500</v>
      </c>
      <c r="H194" s="240" t="str">
        <f>AI17</f>
        <v>IMDEM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INDMDTFDSLN1</v>
      </c>
      <c r="E198" s="239" t="str">
        <f>"Industry "&amp;$AJ$12&amp;" "&amp;RIGHT(H198,2)&amp;" Tractors, Trucks, Fishing boats - New 1"</f>
        <v>Industry Machinery TF Tractors, Trucks, Fishing boats - New 1</v>
      </c>
      <c r="F198" s="239" t="s">
        <v>1274</v>
      </c>
      <c r="G198" s="176" t="s">
        <v>1437</v>
      </c>
      <c r="H198" s="177" t="str">
        <f>AI18</f>
        <v>IMDTF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INDMDFLDH2N1</v>
      </c>
      <c r="E202" s="239" t="str">
        <f>"Industry "&amp;$AJ$12&amp;" "&amp;RIGHT(H198,2)&amp;" Forklifts - New 1"</f>
        <v>Industry Machinery TF Forklifts - New 1</v>
      </c>
      <c r="F202" s="239" t="s">
        <v>1274</v>
      </c>
      <c r="G202" s="176" t="s">
        <v>1438</v>
      </c>
      <c r="H202" s="239" t="str">
        <f>AI19</f>
        <v>IMDFL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INDMDMTELCN1</v>
      </c>
      <c r="E213" s="223" t="str">
        <f t="shared" ref="E213:E244" ca="1" si="181">VLOOKUP(D213,$D$9:$E$206,2,FALSE)</f>
        <v>Industrial heating technology Machinery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INDMDRHELCN1</v>
      </c>
      <c r="E214" s="223" t="str">
        <f t="shared" ca="1" si="181"/>
        <v>Industrial heating technology Machinery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Machinery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INDMDRHELCN2</v>
      </c>
      <c r="E216" s="223" t="str">
        <f t="shared" ca="1" si="181"/>
        <v>Industrial heating technology Machinery RH - Heat driven heat pump utilizing waste heat - new 2</v>
      </c>
      <c r="F216" s="279" t="s">
        <v>450</v>
      </c>
      <c r="G216" s="279" t="s">
        <v>449</v>
      </c>
      <c r="H216" s="334" t="s">
        <v>665</v>
      </c>
      <c r="I216" s="281"/>
      <c r="J216" s="281" t="s">
        <v>469</v>
      </c>
    </row>
    <row r="217" spans="1:11">
      <c r="A217" s="172"/>
      <c r="B217" s="222"/>
      <c r="C217" s="222" t="str">
        <f t="shared" ca="1" si="182"/>
        <v>DMD</v>
      </c>
      <c r="D217" s="223" t="str">
        <f t="shared" ca="1" si="183"/>
        <v>INDMDMTELCN3</v>
      </c>
      <c r="E217" s="223" t="str">
        <f t="shared" ca="1" si="181"/>
        <v>Industrial heating technology Machinery MT - High Temp abs. Heat pump utilizing waste heat - new 3</v>
      </c>
      <c r="F217" s="279" t="s">
        <v>450</v>
      </c>
      <c r="G217" s="279" t="s">
        <v>449</v>
      </c>
      <c r="H217" s="334" t="s">
        <v>665</v>
      </c>
      <c r="I217" s="281"/>
      <c r="J217" s="281" t="s">
        <v>469</v>
      </c>
    </row>
    <row r="218" spans="1:11">
      <c r="A218" s="172"/>
      <c r="B218" s="222"/>
      <c r="C218" s="222" t="str">
        <f t="shared" ca="1" si="182"/>
        <v>DMD</v>
      </c>
      <c r="D218" s="223" t="str">
        <f t="shared" ca="1" si="183"/>
        <v>INDMDRHELCN3</v>
      </c>
      <c r="E218" s="223" t="str">
        <f t="shared" ca="1" si="181"/>
        <v>Industrial heating technology Machinery RH - High Temp abs. Heat pump utilizing waste heat - new 3</v>
      </c>
      <c r="F218" s="279" t="s">
        <v>450</v>
      </c>
      <c r="G218" s="279" t="s">
        <v>449</v>
      </c>
      <c r="H218" s="334" t="s">
        <v>665</v>
      </c>
      <c r="I218" s="281"/>
      <c r="J218" s="281" t="s">
        <v>469</v>
      </c>
    </row>
    <row r="219" spans="1:11">
      <c r="A219" s="172"/>
      <c r="B219" s="222"/>
      <c r="C219" s="222" t="str">
        <f t="shared" ca="1" si="182"/>
        <v>DMD</v>
      </c>
      <c r="D219" s="223" t="str">
        <f t="shared" ca="1" si="183"/>
        <v>INDMDMTELCN4</v>
      </c>
      <c r="E219" s="223" t="str">
        <f t="shared" ca="1" si="181"/>
        <v>Industrial heating technology Machinery MT - Booster Heat pump utilizing waste heat - new 4</v>
      </c>
      <c r="F219" s="279" t="s">
        <v>450</v>
      </c>
      <c r="G219" s="279" t="s">
        <v>449</v>
      </c>
      <c r="H219" s="334" t="s">
        <v>665</v>
      </c>
      <c r="I219" s="281"/>
      <c r="J219" s="281" t="s">
        <v>469</v>
      </c>
    </row>
    <row r="220" spans="1:11">
      <c r="A220" s="172"/>
      <c r="B220" s="222"/>
      <c r="C220" s="222" t="str">
        <f t="shared" ca="1" si="182"/>
        <v>DMD</v>
      </c>
      <c r="D220" s="223" t="str">
        <f t="shared" ca="1" si="183"/>
        <v>INDMDRHELCN4</v>
      </c>
      <c r="E220" s="223" t="str">
        <f t="shared" ca="1" si="181"/>
        <v>Industrial heating technology Machinery RH - Booster Heat pump utilizing waste heat - new 4</v>
      </c>
      <c r="F220" s="279" t="s">
        <v>450</v>
      </c>
      <c r="G220" s="279" t="s">
        <v>449</v>
      </c>
      <c r="H220" s="334" t="s">
        <v>665</v>
      </c>
      <c r="I220" s="281"/>
      <c r="J220" s="281" t="s">
        <v>469</v>
      </c>
    </row>
    <row r="221" spans="1:11">
      <c r="A221" s="172"/>
      <c r="B221" s="222"/>
      <c r="C221" s="222" t="str">
        <f t="shared" ca="1" si="182"/>
        <v>DMD</v>
      </c>
      <c r="D221" s="223" t="str">
        <f t="shared" ca="1" si="183"/>
        <v>INDMDMTELCN5</v>
      </c>
      <c r="E221" s="223" t="str">
        <f t="shared" ca="1" si="181"/>
        <v>Industrial heating technology Machinery MT - MVR utilizing waste heat - new 5</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Machinery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Machinery MT - Heat pump utilizing waste heat - new 1</v>
      </c>
      <c r="F223" s="279" t="s">
        <v>450</v>
      </c>
      <c r="G223" s="279" t="s">
        <v>449</v>
      </c>
      <c r="H223" s="334" t="s">
        <v>665</v>
      </c>
      <c r="I223" s="281"/>
      <c r="J223" s="281" t="s">
        <v>469</v>
      </c>
    </row>
    <row r="224" spans="1:11">
      <c r="A224" s="172"/>
      <c r="B224" s="222"/>
      <c r="C224" s="222" t="str">
        <f t="shared" ca="1" si="182"/>
        <v>DMD</v>
      </c>
      <c r="D224" s="223" t="str">
        <f t="shared" ca="1" si="184"/>
        <v>INDMDMTELCN7</v>
      </c>
      <c r="E224" s="223" t="str">
        <f t="shared" ca="1" si="181"/>
        <v>Industrial heating technology Machinery MT - Infrared heating - new 7</v>
      </c>
      <c r="F224" s="279" t="s">
        <v>450</v>
      </c>
      <c r="G224" s="279" t="s">
        <v>449</v>
      </c>
      <c r="H224" s="334" t="s">
        <v>665</v>
      </c>
      <c r="I224" s="281"/>
      <c r="J224" s="281" t="s">
        <v>469</v>
      </c>
    </row>
    <row r="225" spans="1:16">
      <c r="A225" s="172"/>
      <c r="B225" s="222"/>
      <c r="C225" s="222" t="str">
        <f t="shared" ca="1" si="182"/>
        <v>DMD</v>
      </c>
      <c r="D225" s="223" t="str">
        <f t="shared" ca="1" si="184"/>
        <v>INDMDHTELCN8</v>
      </c>
      <c r="E225" s="223" t="str">
        <f t="shared" ca="1" si="181"/>
        <v>Industrial heating technology Machinery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INDMDMTELCN8</v>
      </c>
      <c r="E226" s="223" t="str">
        <f t="shared" ca="1" si="181"/>
        <v>Industrial heating technology Machinery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INDMDRHELCN8</v>
      </c>
      <c r="E227" s="223" t="str">
        <f t="shared" ca="1" si="181"/>
        <v>Industrial heating technology Machinery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INDMDMTELCN9</v>
      </c>
      <c r="E228" s="223" t="str">
        <f t="shared" ca="1" si="181"/>
        <v>Industrial heating technology Machinery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INDMDRHELCN9</v>
      </c>
      <c r="E229" s="223" t="str">
        <f t="shared" ca="1" si="181"/>
        <v>Industrial heating technology Machinery RH - Electric boiler (Hot Water) - new 9</v>
      </c>
      <c r="F229" s="279" t="s">
        <v>450</v>
      </c>
      <c r="G229" s="279" t="s">
        <v>449</v>
      </c>
      <c r="H229" s="334" t="s">
        <v>665</v>
      </c>
      <c r="I229" s="281"/>
      <c r="J229" s="281" t="s">
        <v>469</v>
      </c>
      <c r="P229" s="176"/>
    </row>
    <row r="230" spans="1:16">
      <c r="A230" s="172"/>
      <c r="B230" s="222"/>
      <c r="C230" s="222" t="str">
        <f t="shared" ca="1" si="182"/>
        <v>DMD</v>
      </c>
      <c r="D230" s="223" t="str">
        <f t="shared" ca="1" si="184"/>
        <v>INDMDHTWCHN1</v>
      </c>
      <c r="E230" s="223" t="str">
        <f t="shared" ca="1" si="181"/>
        <v>Industrial heating technology Machinery HT - Wood chip boiler (Steam) - new 1</v>
      </c>
      <c r="F230" s="279" t="s">
        <v>450</v>
      </c>
      <c r="G230" s="279" t="s">
        <v>449</v>
      </c>
      <c r="H230" s="280"/>
      <c r="I230" s="281"/>
      <c r="J230" s="281" t="s">
        <v>469</v>
      </c>
      <c r="P230" s="176"/>
    </row>
    <row r="231" spans="1:16">
      <c r="A231" s="172"/>
      <c r="B231" s="222"/>
      <c r="C231" s="222" t="str">
        <f t="shared" ca="1" si="182"/>
        <v>DMD</v>
      </c>
      <c r="D231" s="223" t="str">
        <f t="shared" ca="1" si="184"/>
        <v>INDMDMTWCHN1</v>
      </c>
      <c r="E231" s="223" t="str">
        <f t="shared" ca="1" si="181"/>
        <v>Industrial heating technology Machinery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INDMDRHWCHN1</v>
      </c>
      <c r="E232" s="223" t="str">
        <f t="shared" ca="1" si="181"/>
        <v>Industrial heating technology Machinery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INDMDMTWCHN2</v>
      </c>
      <c r="E233" s="223" t="str">
        <f t="shared" ca="1" si="181"/>
        <v>Industrial heating technology Machinery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INDMDRHWCHN2</v>
      </c>
      <c r="E234" s="223" t="str">
        <f t="shared" ca="1" si="181"/>
        <v>Industrial heating technology Machinery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INDMDMTWCHN3</v>
      </c>
      <c r="E235" s="223" t="str">
        <f t="shared" ca="1" si="181"/>
        <v>Industrial heating technology Machinery MT - Wood chip boiler (Hot Water) - new 3</v>
      </c>
      <c r="F235" s="279" t="s">
        <v>450</v>
      </c>
      <c r="G235" s="279" t="s">
        <v>449</v>
      </c>
      <c r="H235" s="278"/>
      <c r="I235" s="278"/>
      <c r="J235" s="281" t="s">
        <v>469</v>
      </c>
    </row>
    <row r="236" spans="1:16">
      <c r="A236" s="172"/>
      <c r="B236" s="223"/>
      <c r="C236" s="222" t="str">
        <f t="shared" ca="1" si="182"/>
        <v>DMD</v>
      </c>
      <c r="D236" s="223" t="str">
        <f t="shared" ca="1" si="184"/>
        <v>INDMDRHWCHN3</v>
      </c>
      <c r="E236" s="223" t="str">
        <f t="shared" ca="1" si="181"/>
        <v>Industrial heating technology Machinery RH - Wood chip boiler (Hot Water) - new 3</v>
      </c>
      <c r="F236" s="279" t="s">
        <v>450</v>
      </c>
      <c r="G236" s="279" t="s">
        <v>449</v>
      </c>
      <c r="H236" s="278"/>
      <c r="I236" s="278"/>
      <c r="J236" s="281" t="s">
        <v>469</v>
      </c>
    </row>
    <row r="237" spans="1:16">
      <c r="A237" s="172"/>
      <c r="B237" s="223"/>
      <c r="C237" s="222" t="str">
        <f t="shared" ca="1" si="182"/>
        <v>DMD</v>
      </c>
      <c r="D237" s="223" t="str">
        <f t="shared" ca="1" si="184"/>
        <v>INDMDMTWCHN4</v>
      </c>
      <c r="E237" s="223" t="str">
        <f t="shared" ca="1" si="181"/>
        <v>Industrial heating technology Machinery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INDMDRHWCHN4</v>
      </c>
      <c r="E238" s="223" t="str">
        <f t="shared" ca="1" si="181"/>
        <v>Industrial heating technology Machinery RH - Wood chip boiler (Hot Water- condensing) - new 4</v>
      </c>
      <c r="F238" s="279" t="s">
        <v>450</v>
      </c>
      <c r="G238" s="279" t="s">
        <v>449</v>
      </c>
      <c r="H238" s="278"/>
      <c r="I238" s="278"/>
      <c r="J238" s="281" t="s">
        <v>469</v>
      </c>
    </row>
    <row r="239" spans="1:16">
      <c r="B239" s="223"/>
      <c r="C239" s="222" t="str">
        <f t="shared" ca="1" si="182"/>
        <v>*</v>
      </c>
      <c r="D239" s="223" t="str">
        <f t="shared" ca="1" si="184"/>
        <v>*</v>
      </c>
      <c r="E239" s="223" t="str">
        <f t="shared" ca="1" si="181"/>
        <v>Industrial heating technology Machinery MT - Heat pump utilizing waste heat - new 1</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Machinery MT - Heat pump utilizing waste heat - new 1</v>
      </c>
      <c r="F240" s="279" t="s">
        <v>450</v>
      </c>
      <c r="G240" s="279" t="s">
        <v>449</v>
      </c>
      <c r="H240" s="334" t="s">
        <v>665</v>
      </c>
      <c r="I240" s="278"/>
      <c r="J240" s="281" t="s">
        <v>469</v>
      </c>
    </row>
    <row r="241" spans="1:10">
      <c r="B241" s="223"/>
      <c r="C241" s="222" t="str">
        <f t="shared" ca="1" si="182"/>
        <v>DMD</v>
      </c>
      <c r="D241" s="223" t="str">
        <f t="shared" ca="1" si="184"/>
        <v>INDMDHTDSEN1</v>
      </c>
      <c r="E241" s="223" t="str">
        <f t="shared" ca="1" si="181"/>
        <v>Industrial heating technology Machinery HT - Oil boiler (Steam) - new 1</v>
      </c>
      <c r="F241" s="279" t="s">
        <v>450</v>
      </c>
      <c r="G241" s="279" t="s">
        <v>449</v>
      </c>
      <c r="H241" s="278"/>
      <c r="I241" s="278"/>
      <c r="J241" s="281" t="s">
        <v>469</v>
      </c>
    </row>
    <row r="242" spans="1:10">
      <c r="B242" s="223"/>
      <c r="C242" s="222" t="str">
        <f t="shared" ca="1" si="182"/>
        <v>DMD</v>
      </c>
      <c r="D242" s="223" t="str">
        <f t="shared" ca="1" si="184"/>
        <v>INDMDMTDSEN1</v>
      </c>
      <c r="E242" s="223" t="str">
        <f t="shared" ca="1" si="181"/>
        <v>Industrial heating technology Machinery MT - Oil boiler (Steam) - new 1</v>
      </c>
      <c r="F242" s="279" t="s">
        <v>450</v>
      </c>
      <c r="G242" s="279" t="s">
        <v>449</v>
      </c>
      <c r="H242" s="278"/>
      <c r="I242" s="278"/>
      <c r="J242" s="281" t="s">
        <v>469</v>
      </c>
    </row>
    <row r="243" spans="1:10">
      <c r="B243" s="223"/>
      <c r="C243" s="222" t="str">
        <f t="shared" ca="1" si="182"/>
        <v>DMD</v>
      </c>
      <c r="D243" s="223" t="str">
        <f t="shared" ca="1" si="184"/>
        <v>INDMDRHDSEN1</v>
      </c>
      <c r="E243" s="223" t="str">
        <f t="shared" ca="1" si="181"/>
        <v>Industrial heating technology Machinery RH - Oil boiler (Steam) - new 1</v>
      </c>
      <c r="F243" s="279" t="s">
        <v>450</v>
      </c>
      <c r="G243" s="279" t="s">
        <v>449</v>
      </c>
      <c r="H243" s="278"/>
      <c r="I243" s="278"/>
      <c r="J243" s="281" t="s">
        <v>469</v>
      </c>
    </row>
    <row r="244" spans="1:10">
      <c r="A244" s="226"/>
      <c r="B244" s="223"/>
      <c r="C244" s="222" t="str">
        <f t="shared" ca="1" si="182"/>
        <v>DMD</v>
      </c>
      <c r="D244" s="223" t="str">
        <f t="shared" ca="1" si="184"/>
        <v>INDMDMTDSEN2</v>
      </c>
      <c r="E244" s="223" t="str">
        <f t="shared" ca="1" si="181"/>
        <v>Industrial heating technology Machinery MT - Oil boiler (Steam - condensing) - new 2</v>
      </c>
      <c r="F244" s="279" t="s">
        <v>450</v>
      </c>
      <c r="G244" s="279" t="s">
        <v>449</v>
      </c>
      <c r="H244" s="278"/>
      <c r="I244" s="278"/>
      <c r="J244" s="281" t="s">
        <v>469</v>
      </c>
    </row>
    <row r="245" spans="1:10">
      <c r="A245" s="226"/>
      <c r="B245" s="223"/>
      <c r="C245" s="222" t="str">
        <f t="shared" ca="1" si="182"/>
        <v>DMD</v>
      </c>
      <c r="D245" s="223" t="str">
        <f t="shared" ca="1" si="184"/>
        <v>INDMDRHDSEN2</v>
      </c>
      <c r="E245" s="223" t="str">
        <f t="shared" ref="E245:E268" ca="1" si="185">VLOOKUP(D245,$D$9:$E$206,2,FALSE)</f>
        <v>Industrial heating technology Machinery RH - Oil boiler (Steam - condensing) - new 2</v>
      </c>
      <c r="F245" s="279" t="s">
        <v>450</v>
      </c>
      <c r="G245" s="279" t="s">
        <v>449</v>
      </c>
      <c r="H245" s="278"/>
      <c r="I245" s="278"/>
      <c r="J245" s="281" t="s">
        <v>469</v>
      </c>
    </row>
    <row r="246" spans="1:10">
      <c r="A246" s="226"/>
      <c r="B246" s="223"/>
      <c r="C246" s="222" t="str">
        <f t="shared" ca="1" si="182"/>
        <v>DMD</v>
      </c>
      <c r="D246" s="223" t="str">
        <f t="shared" ca="1" si="184"/>
        <v>INDMDHTDH2N1</v>
      </c>
      <c r="E246" s="223" t="str">
        <f t="shared" ca="1" si="185"/>
        <v>Industrial heating technology Machinery HT - Gas boiler (Steam) - new 1</v>
      </c>
      <c r="F246" s="279" t="s">
        <v>450</v>
      </c>
      <c r="G246" s="279" t="s">
        <v>449</v>
      </c>
      <c r="H246" s="278"/>
      <c r="I246" s="278"/>
      <c r="J246" s="281" t="s">
        <v>469</v>
      </c>
    </row>
    <row r="247" spans="1:10">
      <c r="A247" s="226"/>
      <c r="B247" s="223"/>
      <c r="C247" s="222" t="str">
        <f t="shared" ca="1" si="182"/>
        <v>DMD</v>
      </c>
      <c r="D247" s="223" t="str">
        <f t="shared" ca="1" si="184"/>
        <v>INDMDMTDH2N1</v>
      </c>
      <c r="E247" s="223" t="str">
        <f t="shared" ca="1" si="185"/>
        <v>Industrial heating technology Machinery MT - Gas boiler (Steam) - new 1</v>
      </c>
      <c r="F247" s="279" t="s">
        <v>450</v>
      </c>
      <c r="G247" s="279" t="s">
        <v>449</v>
      </c>
      <c r="H247" s="278"/>
      <c r="I247" s="278"/>
      <c r="J247" s="281" t="s">
        <v>469</v>
      </c>
    </row>
    <row r="248" spans="1:10">
      <c r="B248" s="223"/>
      <c r="C248" s="222" t="str">
        <f t="shared" ca="1" si="182"/>
        <v>DMD</v>
      </c>
      <c r="D248" s="223" t="str">
        <f t="shared" ca="1" si="184"/>
        <v>INDMDRHDH2N1</v>
      </c>
      <c r="E248" s="223" t="str">
        <f t="shared" ca="1" si="185"/>
        <v>Industrial heating technology Machinery RH - Gas boiler (Steam) - new 1</v>
      </c>
      <c r="F248" s="279" t="s">
        <v>450</v>
      </c>
      <c r="G248" s="279" t="s">
        <v>449</v>
      </c>
      <c r="H248" s="278"/>
      <c r="I248" s="278"/>
      <c r="J248" s="281" t="s">
        <v>469</v>
      </c>
    </row>
    <row r="249" spans="1:10">
      <c r="B249" s="223"/>
      <c r="C249" s="222" t="str">
        <f t="shared" ca="1" si="182"/>
        <v>DMD</v>
      </c>
      <c r="D249" s="223" t="str">
        <f t="shared" ca="1" si="184"/>
        <v>INDMDMTDH2N2</v>
      </c>
      <c r="E249" s="223" t="str">
        <f t="shared" ca="1" si="185"/>
        <v>Industrial heating technology Machinery MT - Gas boiler (Steam - condensing) - new 2</v>
      </c>
      <c r="F249" s="279" t="s">
        <v>450</v>
      </c>
      <c r="G249" s="279" t="s">
        <v>449</v>
      </c>
      <c r="H249" s="278"/>
      <c r="I249" s="278"/>
      <c r="J249" s="281" t="s">
        <v>469</v>
      </c>
    </row>
    <row r="250" spans="1:10">
      <c r="B250" s="223"/>
      <c r="C250" s="222" t="str">
        <f t="shared" ca="1" si="182"/>
        <v>DMD</v>
      </c>
      <c r="D250" s="223" t="str">
        <f t="shared" ca="1" si="184"/>
        <v>INDMDRHDH2N2</v>
      </c>
      <c r="E250" s="223" t="str">
        <f t="shared" ca="1" si="185"/>
        <v>Industrial heating technology Machinery RH - Gas boiler (Steam - condensing) - new 2</v>
      </c>
      <c r="F250" s="279" t="s">
        <v>450</v>
      </c>
      <c r="G250" s="279" t="s">
        <v>449</v>
      </c>
      <c r="H250" s="278"/>
      <c r="I250" s="278"/>
      <c r="J250" s="281" t="s">
        <v>469</v>
      </c>
    </row>
    <row r="251" spans="1:10">
      <c r="B251" s="223"/>
      <c r="C251" s="222" t="str">
        <f t="shared" ca="1" si="182"/>
        <v>DMD</v>
      </c>
      <c r="D251" s="223" t="str">
        <f t="shared" ca="1" si="184"/>
        <v>INDMDMTDH2N3</v>
      </c>
      <c r="E251" s="223" t="str">
        <f t="shared" ca="1" si="185"/>
        <v>Industrial heating technology Machinery MT - Gas boiler (Hot Water) - new 3</v>
      </c>
      <c r="F251" s="279" t="s">
        <v>450</v>
      </c>
      <c r="G251" s="279" t="s">
        <v>449</v>
      </c>
      <c r="H251" s="278"/>
      <c r="I251" s="278"/>
      <c r="J251" s="281" t="s">
        <v>469</v>
      </c>
    </row>
    <row r="252" spans="1:10">
      <c r="B252" s="223"/>
      <c r="C252" s="222" t="str">
        <f t="shared" ca="1" si="182"/>
        <v>DMD</v>
      </c>
      <c r="D252" s="223" t="str">
        <f t="shared" ca="1" si="184"/>
        <v>INDMDRHDH2N3</v>
      </c>
      <c r="E252" s="223" t="str">
        <f t="shared" ca="1" si="185"/>
        <v>Industrial heating technology Machinery RH - Gas boiler (Hot Water) - new 3</v>
      </c>
      <c r="F252" s="279" t="s">
        <v>450</v>
      </c>
      <c r="G252" s="279" t="s">
        <v>449</v>
      </c>
      <c r="H252" s="278"/>
      <c r="I252" s="278"/>
      <c r="J252" s="281" t="s">
        <v>469</v>
      </c>
    </row>
    <row r="253" spans="1:10">
      <c r="B253" s="223"/>
      <c r="C253" s="222" t="str">
        <f t="shared" ca="1" si="182"/>
        <v>DMD</v>
      </c>
      <c r="D253" s="223" t="str">
        <f t="shared" ca="1" si="184"/>
        <v>INDMDMTDH2N4</v>
      </c>
      <c r="E253" s="223" t="str">
        <f t="shared" ca="1" si="185"/>
        <v>Industrial heating technology Machinery MT - Gas boiler (Hot Water - condensing) - new 4</v>
      </c>
      <c r="F253" s="279" t="s">
        <v>450</v>
      </c>
      <c r="G253" s="279" t="s">
        <v>449</v>
      </c>
      <c r="H253" s="278"/>
      <c r="I253" s="278"/>
      <c r="J253" s="281" t="s">
        <v>469</v>
      </c>
    </row>
    <row r="254" spans="1:10">
      <c r="B254" s="223"/>
      <c r="C254" s="222" t="str">
        <f t="shared" ca="1" si="182"/>
        <v>DMD</v>
      </c>
      <c r="D254" s="223" t="str">
        <f t="shared" ca="1" si="184"/>
        <v>INDMDRHDH2N4</v>
      </c>
      <c r="E254" s="223" t="str">
        <f t="shared" ca="1" si="185"/>
        <v>Industrial heating technology Machinery RH - Gas boiler (Hot Water- condensing) - new 4</v>
      </c>
      <c r="F254" s="279" t="s">
        <v>450</v>
      </c>
      <c r="G254" s="279" t="s">
        <v>449</v>
      </c>
      <c r="H254" s="278"/>
      <c r="I254" s="278"/>
      <c r="J254" s="281" t="s">
        <v>469</v>
      </c>
    </row>
    <row r="255" spans="1:10">
      <c r="B255" s="223"/>
      <c r="C255" s="222" t="str">
        <f t="shared" ca="1" si="182"/>
        <v>DMD</v>
      </c>
      <c r="D255" s="223" t="str">
        <f t="shared" ca="1" si="184"/>
        <v>INDMDHTDH2N5</v>
      </c>
      <c r="E255" s="223" t="str">
        <f t="shared" ca="1" si="185"/>
        <v>Industrial heating technology Machinery HT - Gas boiler (Direct firing) - new 5</v>
      </c>
      <c r="F255" s="279" t="s">
        <v>450</v>
      </c>
      <c r="G255" s="279" t="s">
        <v>449</v>
      </c>
      <c r="H255" s="278"/>
      <c r="I255" s="278"/>
      <c r="J255" s="281" t="s">
        <v>469</v>
      </c>
    </row>
    <row r="256" spans="1:10">
      <c r="B256" s="223"/>
      <c r="C256" s="222" t="str">
        <f t="shared" ca="1" si="182"/>
        <v>DMD</v>
      </c>
      <c r="D256" s="223" t="str">
        <f t="shared" ca="1" si="184"/>
        <v>INDMDMTDH2N5</v>
      </c>
      <c r="E256" s="223" t="str">
        <f t="shared" ca="1" si="185"/>
        <v>Industrial heating technology Machinery MT - Gas boiler (Direct firing) - new 5</v>
      </c>
      <c r="F256" s="279" t="s">
        <v>450</v>
      </c>
      <c r="G256" s="279" t="s">
        <v>449</v>
      </c>
      <c r="H256" s="278"/>
      <c r="I256" s="278"/>
      <c r="J256" s="281" t="s">
        <v>469</v>
      </c>
    </row>
    <row r="257" spans="2:10">
      <c r="B257" s="223"/>
      <c r="C257" s="222" t="str">
        <f t="shared" ca="1" si="182"/>
        <v>DMD</v>
      </c>
      <c r="D257" s="223" t="str">
        <f t="shared" ca="1" si="184"/>
        <v>INDMDHTCOAN1</v>
      </c>
      <c r="E257" s="223" t="str">
        <f t="shared" ca="1" si="185"/>
        <v>Industrial heating technology Machinery HT - Coal boiler (Steam) - new 1</v>
      </c>
      <c r="F257" s="279" t="s">
        <v>450</v>
      </c>
      <c r="G257" s="279" t="s">
        <v>449</v>
      </c>
      <c r="H257" s="278"/>
      <c r="I257" s="278"/>
      <c r="J257" s="281" t="s">
        <v>469</v>
      </c>
    </row>
    <row r="258" spans="2:10">
      <c r="B258" s="223"/>
      <c r="C258" s="222" t="str">
        <f t="shared" ca="1" si="182"/>
        <v>DMD</v>
      </c>
      <c r="D258" s="223" t="str">
        <f t="shared" ca="1" si="184"/>
        <v>INDMDMTCOAN1</v>
      </c>
      <c r="E258" s="223" t="str">
        <f t="shared" ca="1" si="185"/>
        <v>Industrial heating technology Machinery MT - Coal boiler (Steam) - new 1</v>
      </c>
      <c r="F258" s="279" t="s">
        <v>450</v>
      </c>
      <c r="G258" s="279" t="s">
        <v>449</v>
      </c>
      <c r="H258" s="278"/>
      <c r="I258" s="278"/>
      <c r="J258" s="281" t="s">
        <v>469</v>
      </c>
    </row>
    <row r="259" spans="2:10">
      <c r="B259" s="223"/>
      <c r="C259" s="222" t="str">
        <f t="shared" ca="1" si="182"/>
        <v>DMD</v>
      </c>
      <c r="D259" s="223" t="str">
        <f t="shared" ca="1" si="184"/>
        <v>INDMDRHCOAN1</v>
      </c>
      <c r="E259" s="223" t="str">
        <f t="shared" ca="1" si="185"/>
        <v>Industrial heating technology Machinery RH - Coal boiler (Steam) - new 1</v>
      </c>
      <c r="F259" s="279" t="s">
        <v>450</v>
      </c>
      <c r="G259" s="279" t="s">
        <v>449</v>
      </c>
      <c r="H259" s="278"/>
      <c r="I259" s="278"/>
      <c r="J259" s="281" t="s">
        <v>469</v>
      </c>
    </row>
    <row r="260" spans="2:10">
      <c r="B260" s="223"/>
      <c r="C260" s="222" t="str">
        <f t="shared" ca="1" si="182"/>
        <v>DMD</v>
      </c>
      <c r="D260" s="223" t="str">
        <f t="shared" ca="1" si="184"/>
        <v>INDMDMTCOAN2</v>
      </c>
      <c r="E260" s="223" t="str">
        <f t="shared" ca="1" si="185"/>
        <v>Industrial heating technology Machinery MT - Coal boiler (Hot Water) - new 2</v>
      </c>
      <c r="F260" s="279" t="s">
        <v>450</v>
      </c>
      <c r="G260" s="279" t="s">
        <v>449</v>
      </c>
      <c r="H260" s="278"/>
      <c r="I260" s="278"/>
      <c r="J260" s="281" t="s">
        <v>469</v>
      </c>
    </row>
    <row r="261" spans="2:10">
      <c r="B261" s="223"/>
      <c r="C261" s="222" t="str">
        <f t="shared" ca="1" si="182"/>
        <v>DMD</v>
      </c>
      <c r="D261" s="223" t="str">
        <f t="shared" ca="1" si="184"/>
        <v>INDMDRHCOAN2</v>
      </c>
      <c r="E261" s="223" t="str">
        <f t="shared" ca="1" si="185"/>
        <v>Industrial heating technology Machinery RH - Coal boiler (Hot Water) - new 2</v>
      </c>
      <c r="F261" s="279" t="s">
        <v>450</v>
      </c>
      <c r="G261" s="279" t="s">
        <v>449</v>
      </c>
      <c r="H261" s="278"/>
      <c r="I261" s="278"/>
      <c r="J261" s="281" t="s">
        <v>469</v>
      </c>
    </row>
    <row r="262" spans="2:10">
      <c r="B262" s="223"/>
      <c r="C262" s="222" t="str">
        <f t="shared" ca="1" si="182"/>
        <v>DMD</v>
      </c>
      <c r="D262" s="223" t="str">
        <f t="shared" ca="1" si="184"/>
        <v>INDMDRHSOLN1</v>
      </c>
      <c r="E262" s="223" t="str">
        <f t="shared" ca="1" si="185"/>
        <v>Industrial heating technology Machinery RH - Solar - new 1</v>
      </c>
      <c r="F262" s="279" t="s">
        <v>450</v>
      </c>
      <c r="G262" s="279" t="s">
        <v>449</v>
      </c>
      <c r="H262" s="334" t="s">
        <v>665</v>
      </c>
      <c r="I262" s="278"/>
      <c r="J262" s="281" t="s">
        <v>469</v>
      </c>
    </row>
    <row r="263" spans="2:10">
      <c r="B263" s="223"/>
      <c r="C263" s="222" t="str">
        <f t="shared" si="182"/>
        <v>DMD</v>
      </c>
      <c r="D263" s="949" t="str">
        <f>D187</f>
        <v>INDMDRHHCEN1</v>
      </c>
      <c r="E263" s="949" t="str">
        <f t="shared" ca="1" si="185"/>
        <v>Industrial heating technology Machinery RH - central district heating - within DH area - new 1</v>
      </c>
      <c r="F263" s="279" t="s">
        <v>450</v>
      </c>
      <c r="G263" s="279" t="s">
        <v>449</v>
      </c>
      <c r="H263" s="334" t="s">
        <v>665</v>
      </c>
      <c r="I263" s="950"/>
      <c r="J263" s="280" t="s">
        <v>469</v>
      </c>
    </row>
    <row r="264" spans="2:10">
      <c r="B264" s="223"/>
      <c r="C264" s="222" t="str">
        <f t="shared" si="182"/>
        <v>DMD</v>
      </c>
      <c r="D264" s="223" t="str">
        <f t="shared" ref="D264" si="186">D188</f>
        <v>INDMDRHHDEN1</v>
      </c>
      <c r="E264" s="223" t="str">
        <f t="shared" ca="1" si="185"/>
        <v>Industrial heating technology Machinery RH - decentral district heating - within DH area - new 1</v>
      </c>
      <c r="F264" s="279" t="s">
        <v>450</v>
      </c>
      <c r="G264" s="279" t="s">
        <v>449</v>
      </c>
      <c r="H264" s="334" t="s">
        <v>665</v>
      </c>
      <c r="I264" s="278"/>
      <c r="J264" s="281" t="s">
        <v>469</v>
      </c>
    </row>
    <row r="265" spans="2:10">
      <c r="B265" s="223"/>
      <c r="C265" s="222" t="str">
        <f t="shared" si="182"/>
        <v>DMD</v>
      </c>
      <c r="D265" s="223" t="str">
        <f>D190</f>
        <v>INDMDLAELCN1</v>
      </c>
      <c r="E265" s="223" t="str">
        <f t="shared" ca="1" si="185"/>
        <v>Industry Machinery LA Electricity Light Appliance - New 1</v>
      </c>
      <c r="F265" s="279" t="s">
        <v>450</v>
      </c>
      <c r="G265" s="279" t="s">
        <v>449</v>
      </c>
      <c r="H265" s="334" t="s">
        <v>665</v>
      </c>
      <c r="I265" s="278"/>
      <c r="J265" s="281" t="s">
        <v>469</v>
      </c>
    </row>
    <row r="266" spans="2:10">
      <c r="B266" s="223"/>
      <c r="C266" s="222" t="str">
        <f t="shared" si="182"/>
        <v>DMD</v>
      </c>
      <c r="D266" s="223" t="str">
        <f>D194</f>
        <v>INDMDEMELCN1</v>
      </c>
      <c r="E266" s="223" t="str">
        <f t="shared" ca="1" si="185"/>
        <v>Industry Machinery EM Electricity Motors - New 1</v>
      </c>
      <c r="F266" s="279" t="s">
        <v>450</v>
      </c>
      <c r="G266" s="279" t="s">
        <v>449</v>
      </c>
      <c r="H266" s="334" t="s">
        <v>665</v>
      </c>
      <c r="I266" s="278"/>
      <c r="J266" s="281" t="s">
        <v>469</v>
      </c>
    </row>
    <row r="267" spans="2:10">
      <c r="B267" s="223"/>
      <c r="C267" s="222" t="str">
        <f t="shared" si="182"/>
        <v>DMD</v>
      </c>
      <c r="D267" s="223" t="str">
        <f>D198</f>
        <v>INDMDTFDSLN1</v>
      </c>
      <c r="E267" s="223" t="str">
        <f t="shared" ca="1" si="185"/>
        <v>Industry Machinery TF Tractors, Trucks, Fishing boats - New 1</v>
      </c>
      <c r="F267" s="279" t="s">
        <v>450</v>
      </c>
      <c r="G267" s="279" t="s">
        <v>449</v>
      </c>
      <c r="H267" s="278"/>
      <c r="I267" s="278"/>
      <c r="J267" s="281" t="s">
        <v>469</v>
      </c>
    </row>
    <row r="268" spans="2:10">
      <c r="B268" s="223"/>
      <c r="C268" s="222" t="str">
        <f t="shared" si="182"/>
        <v>DMD</v>
      </c>
      <c r="D268" s="223" t="str">
        <f>D202</f>
        <v>INDMDFLDH2N1</v>
      </c>
      <c r="E268" s="223" t="str">
        <f t="shared" ca="1" si="185"/>
        <v>Industry Machinery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IMDSOx</v>
      </c>
      <c r="E273" s="287" t="str">
        <f>"Industrial heating  heating technology "&amp;$AJ$12&amp;" - SOx emission"</f>
        <v>Industrial heating  heating technology Machinery - SOx emission</v>
      </c>
      <c r="F273" s="231" t="s">
        <v>352</v>
      </c>
      <c r="G273" s="222"/>
      <c r="H273" s="222"/>
      <c r="I273" s="222"/>
      <c r="J273" s="222"/>
    </row>
    <row r="274" spans="2:10">
      <c r="B274" s="226"/>
      <c r="C274" s="226"/>
      <c r="D274" s="277" t="str">
        <f>"I"&amp;LEFT($AJ$12,1)&amp;"DNOx"</f>
        <v>IMDNOx</v>
      </c>
      <c r="E274" s="287" t="str">
        <f>"Industrial heating  heating technology "&amp;$AJ$12&amp;" - NOx emission"</f>
        <v>Industrial heating  heating technology Machinery - NOx emission</v>
      </c>
      <c r="F274" s="231" t="s">
        <v>352</v>
      </c>
      <c r="G274" s="222"/>
      <c r="H274" s="226"/>
      <c r="I274" s="226"/>
      <c r="J274" s="226"/>
    </row>
    <row r="275" spans="2:10">
      <c r="B275" s="226"/>
      <c r="C275" s="226"/>
      <c r="D275" s="277" t="str">
        <f>"I"&amp;LEFT($AJ$12,1)&amp;"DCH4"</f>
        <v>IMDCH4</v>
      </c>
      <c r="E275" s="287" t="str">
        <f>"Industrial heating  heating technology "&amp;$AJ$12&amp;" - CH4 emission"</f>
        <v>Industrial heating  heating technology Machinery - CH4 emission</v>
      </c>
      <c r="F275" s="231" t="s">
        <v>352</v>
      </c>
      <c r="G275" s="222"/>
      <c r="H275" s="226"/>
      <c r="I275" s="226"/>
      <c r="J275" s="226"/>
    </row>
    <row r="276" spans="2:10">
      <c r="B276" s="226"/>
      <c r="C276" s="226"/>
      <c r="D276" s="277" t="str">
        <f>"I"&amp;LEFT($AJ$12,1)&amp;"DNO2"</f>
        <v>IMDNO2</v>
      </c>
      <c r="E276" s="287" t="str">
        <f>"Industrial heating  heating technology "&amp;$AJ$12&amp;" - NO2 emission"</f>
        <v>Industrial heating  heating technology Machinery - NO2 emission</v>
      </c>
      <c r="F276" s="231" t="s">
        <v>352</v>
      </c>
      <c r="G276" s="222"/>
      <c r="H276" s="226"/>
      <c r="I276" s="226"/>
      <c r="J276" s="226"/>
    </row>
    <row r="277" spans="2:10">
      <c r="B277" s="226"/>
      <c r="C277" s="226"/>
      <c r="D277" s="277" t="str">
        <f>"I"&amp;LEFT($AJ$12,1)&amp;"DPM"</f>
        <v>IMDPM</v>
      </c>
      <c r="E277" s="287" t="str">
        <f>"Industrial heating  heating technology "&amp;$AJ$12&amp;" - Particle emission"</f>
        <v>Industrial heating  heating technology Machinery - Particle emission</v>
      </c>
      <c r="F277" s="231" t="s">
        <v>352</v>
      </c>
      <c r="G277" s="222"/>
      <c r="H277" s="226"/>
      <c r="I277" s="226"/>
      <c r="J277" s="226"/>
    </row>
    <row r="278" spans="2:10">
      <c r="B278" s="239" t="s">
        <v>1182</v>
      </c>
      <c r="D278" s="239" t="str">
        <f>AI20</f>
        <v>INDMWH</v>
      </c>
      <c r="E278" s="287" t="str">
        <f>"Industrial heating technology "&amp;$AJ$12&amp;" - Waste heat"</f>
        <v>Industrial heating technology Machinery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0859E54-0563-4E37-886A-6319AC65F3B6}">
          <x14:formula1>
            <xm:f>'Oil-fired boiler_NEW'!$T$4:$X$4</xm:f>
          </x14:formula1>
          <xm:sqref>E1</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F10D-F584-49C6-9D74-727A80A83398}">
  <sheetPr>
    <tabColor rgb="FF00B050"/>
  </sheetPr>
  <dimension ref="A1:AP278"/>
  <sheetViews>
    <sheetView topLeftCell="F33"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840</v>
      </c>
      <c r="N1" s="64"/>
      <c r="O1" s="64"/>
      <c r="P1" s="64"/>
      <c r="S1" s="787" t="s">
        <v>1129</v>
      </c>
      <c r="T1" s="836" t="s">
        <v>1128</v>
      </c>
      <c r="U1" s="835" t="s">
        <v>1178</v>
      </c>
      <c r="V1" s="836" t="s">
        <v>1179</v>
      </c>
      <c r="W1" s="840">
        <v>0.3</v>
      </c>
    </row>
    <row r="2" spans="2:42" ht="15" thickBot="1">
      <c r="E2" s="790" t="s">
        <v>520</v>
      </c>
      <c r="N2" s="791"/>
      <c r="O2" s="791"/>
      <c r="P2" s="791"/>
      <c r="S2" s="786">
        <f>MATCH($E$1,$AJ$22:$AJ$35)</f>
        <v>5</v>
      </c>
      <c r="T2" s="838">
        <f>MATCH($E$1,$AJ$22:$AJ$35)+1</f>
        <v>6</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FEMIS~IFDSOx</v>
      </c>
      <c r="Y6" s="299" t="str">
        <f>"FEMIS~"&amp;D274</f>
        <v>FEMIS~IFDNOx</v>
      </c>
      <c r="Z6" s="299" t="str">
        <f>"FEMIS~"&amp;D275</f>
        <v>FEMIS~IFDCH4</v>
      </c>
      <c r="AA6" s="299" t="str">
        <f>"FEMIS~"&amp;D276</f>
        <v>FEMIS~IFDNO2</v>
      </c>
      <c r="AB6" s="299" t="str">
        <f>"FEMIS~"&amp;D277</f>
        <v>FEMIS~IFDPM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INDFDMTELCN1</v>
      </c>
      <c r="E9" s="278" t="str">
        <f>"Industrial heating technology "&amp;$AJ$12&amp;" "&amp;RIGHT(H9,2)&amp;" - Heat pump utilizing waste heat - new 1"</f>
        <v>Industrial heating technology Food MT - Heat pump utilizing waste heat - new 1</v>
      </c>
      <c r="F9" s="239" t="s">
        <v>1274</v>
      </c>
      <c r="G9" s="176" t="s">
        <v>500</v>
      </c>
      <c r="H9" s="177" t="str">
        <f>$AI$14</f>
        <v>IFDMT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0.21</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
      </c>
      <c r="E10" s="278"/>
      <c r="F10" s="239" t="s">
        <v>1274</v>
      </c>
      <c r="G10" s="176" t="str">
        <f>$AI$20</f>
        <v>INDFWH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
      </c>
      <c r="E11" s="223"/>
      <c r="F11" s="239" t="s">
        <v>1274</v>
      </c>
      <c r="G11" s="176" t="s">
        <v>500</v>
      </c>
      <c r="H11" s="177" t="str">
        <f>$AI$14</f>
        <v>IFDMT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
      </c>
      <c r="E12" s="223"/>
      <c r="F12" s="239" t="s">
        <v>1274</v>
      </c>
      <c r="G12" s="176" t="str">
        <f>$AI$20</f>
        <v>INDFWH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Food</v>
      </c>
    </row>
    <row r="13" spans="2:42">
      <c r="B13" s="393" t="s">
        <v>1123</v>
      </c>
      <c r="D13" s="223" t="str">
        <f ca="1">IF(T9=0,"*",IF(T13&gt;0,"IND"&amp;RIGHT(H9,4)&amp;RIGHT(G9,3)&amp;"N"&amp;RIGHT(E9,1),""))</f>
        <v/>
      </c>
      <c r="E13" s="223"/>
      <c r="F13" s="239" t="s">
        <v>1274</v>
      </c>
      <c r="G13" s="176" t="s">
        <v>500</v>
      </c>
      <c r="H13" s="177" t="str">
        <f>$AI$14</f>
        <v>IFDMT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IFDHT</v>
      </c>
      <c r="AJ13" s="239" t="str">
        <f>AP14</f>
        <v>Food industry Demand Heat High Temp. over 150C</v>
      </c>
      <c r="AO13" s="239" t="s">
        <v>1302</v>
      </c>
      <c r="AP13" s="239" t="s">
        <v>1303</v>
      </c>
    </row>
    <row r="14" spans="2:42">
      <c r="B14" s="393" t="s">
        <v>1123</v>
      </c>
      <c r="D14" s="223" t="str">
        <f ca="1">IF(T9=0,"*",IF(T14&gt;0,"IND"&amp;RIGHT(H9,4)&amp;RIGHT(G9,3)&amp;"N"&amp;RIGHT(E9,1),""))</f>
        <v/>
      </c>
      <c r="E14" s="223"/>
      <c r="F14" s="239" t="s">
        <v>1274</v>
      </c>
      <c r="G14" s="176" t="str">
        <f>$AI$20</f>
        <v>INDFWH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IFDMT</v>
      </c>
      <c r="AJ14" s="239" t="str">
        <f>AP13</f>
        <v>Food industry Demand Heat Medium Temp. up to 150C</v>
      </c>
      <c r="AO14" s="239" t="s">
        <v>1304</v>
      </c>
      <c r="AP14" s="239" t="s">
        <v>1305</v>
      </c>
    </row>
    <row r="15" spans="2:42">
      <c r="B15" s="393" t="s">
        <v>1123</v>
      </c>
      <c r="D15" s="223" t="str">
        <f ca="1">IF(T15=0,"*",IF(T15&gt;0,"IND"&amp;RIGHT(H15,4)&amp;RIGHT(G15,3)&amp;"N"&amp;RIGHT(E15,1),""))</f>
        <v>INDFDRHELCN1</v>
      </c>
      <c r="E15" s="278" t="str">
        <f>"Industrial heating technology "&amp;$AJ$12&amp;" "&amp;RIGHT(H15,2)&amp;" - Heat pump utilizing waste heat - new 1"</f>
        <v>Industrial heating technology Food RH - Heat pump utilizing waste heat - new 1</v>
      </c>
      <c r="F15" s="239" t="s">
        <v>1274</v>
      </c>
      <c r="G15" s="176" t="s">
        <v>500</v>
      </c>
      <c r="H15" s="177" t="str">
        <f>$AI$15</f>
        <v>IFDRH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IFDRH</v>
      </c>
      <c r="AJ15" s="239" t="str">
        <f>AP15</f>
        <v>Food industry Demand Heat Room Heat</v>
      </c>
      <c r="AO15" s="239" t="s">
        <v>1306</v>
      </c>
      <c r="AP15" s="239" t="s">
        <v>1307</v>
      </c>
    </row>
    <row r="16" spans="2:42">
      <c r="B16" s="393" t="s">
        <v>1123</v>
      </c>
      <c r="D16" s="223" t="str">
        <f ca="1">IF(T15=0,"*",IF(T16&gt;0,"IND"&amp;RIGHT(H15,4)&amp;RIGHT(G15,3)&amp;"N"&amp;RIGHT(E15,1),""))</f>
        <v/>
      </c>
      <c r="E16" s="278"/>
      <c r="F16" s="239" t="s">
        <v>1274</v>
      </c>
      <c r="G16" s="176" t="str">
        <f>$AI$20</f>
        <v>INDFWH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IFDLA</v>
      </c>
      <c r="AJ16" s="239" t="str">
        <f t="shared" si="6"/>
        <v>Food industry Demand Light</v>
      </c>
      <c r="AO16" s="239" t="s">
        <v>1308</v>
      </c>
      <c r="AP16" s="239" t="s">
        <v>1309</v>
      </c>
    </row>
    <row r="17" spans="2:42">
      <c r="B17" s="393" t="s">
        <v>1123</v>
      </c>
      <c r="D17" s="223" t="str">
        <f ca="1">IF(T15=0,"*",IF(T17&gt;0,"IND"&amp;RIGHT(H15,4)&amp;RIGHT(G15,3)&amp;"N"&amp;RIGHT(E15,1),""))</f>
        <v/>
      </c>
      <c r="E17" s="223"/>
      <c r="F17" s="239" t="s">
        <v>1274</v>
      </c>
      <c r="G17" s="176" t="s">
        <v>500</v>
      </c>
      <c r="H17" s="177" t="str">
        <f>$AI$15</f>
        <v>IFDRH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IFDEM</v>
      </c>
      <c r="AJ17" s="239" t="str">
        <f t="shared" si="6"/>
        <v>Food industry Demand Electric Motors</v>
      </c>
      <c r="AO17" s="239" t="s">
        <v>1310</v>
      </c>
      <c r="AP17" s="239" t="s">
        <v>1311</v>
      </c>
    </row>
    <row r="18" spans="2:42">
      <c r="B18" s="393" t="s">
        <v>1123</v>
      </c>
      <c r="D18" s="223" t="str">
        <f ca="1">IF(T15=0,"*",IF(T18&gt;0,"IND"&amp;RIGHT(H15,4)&amp;RIGHT(G15,3)&amp;"N"&amp;RIGHT(E15,1),""))</f>
        <v/>
      </c>
      <c r="E18" s="223"/>
      <c r="F18" s="239" t="s">
        <v>1274</v>
      </c>
      <c r="G18" s="176" t="str">
        <f>$AI$20</f>
        <v>INDFWH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IFDTF</v>
      </c>
      <c r="AJ18" s="239" t="str">
        <f t="shared" si="6"/>
        <v>Food industry Demand Haulage Tractors, Trucks, Fishing boats, Forest machines</v>
      </c>
      <c r="AO18" s="239" t="s">
        <v>1312</v>
      </c>
      <c r="AP18" s="239" t="s">
        <v>1313</v>
      </c>
    </row>
    <row r="19" spans="2:42">
      <c r="B19" s="393" t="s">
        <v>1123</v>
      </c>
      <c r="D19" s="223" t="str">
        <f ca="1">IF(T15=0,"*",IF(T19&gt;0,"IND"&amp;RIGHT(H15,4)&amp;RIGHT(G15,3)&amp;"N"&amp;RIGHT(E15,1),""))</f>
        <v/>
      </c>
      <c r="E19" s="223"/>
      <c r="F19" s="239" t="s">
        <v>1274</v>
      </c>
      <c r="G19" s="176" t="s">
        <v>500</v>
      </c>
      <c r="H19" s="177" t="str">
        <f>$AI$15</f>
        <v>IFDRH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IFDFL</v>
      </c>
      <c r="AJ19" s="239" t="str">
        <f t="shared" si="6"/>
        <v>Food industry Demand Haulage Forklifts</v>
      </c>
      <c r="AO19" s="239" t="s">
        <v>1314</v>
      </c>
      <c r="AP19" s="239" t="s">
        <v>1315</v>
      </c>
    </row>
    <row r="20" spans="2:42">
      <c r="B20" s="393" t="s">
        <v>1123</v>
      </c>
      <c r="D20" s="223" t="str">
        <f ca="1">IF(T15=0,"*",IF(T20&gt;0,"IND"&amp;RIGHT(H15,4)&amp;RIGHT(G15,3)&amp;"N"&amp;RIGHT(E15,1),""))</f>
        <v/>
      </c>
      <c r="E20" s="223"/>
      <c r="F20" s="239" t="s">
        <v>1274</v>
      </c>
      <c r="G20" s="176" t="str">
        <f>$AI$20</f>
        <v>INDFWH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INDFWH</v>
      </c>
      <c r="AJ20" s="239" t="str">
        <f>$AJ$12&amp;" Industrial Waste Heat"</f>
        <v>Food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Food MT - Heat driven heat pump utilizing waste heat - new 2</v>
      </c>
      <c r="F21" s="239" t="s">
        <v>1274</v>
      </c>
      <c r="G21" s="176" t="s">
        <v>500</v>
      </c>
      <c r="H21" s="177" t="str">
        <f>$AI$14</f>
        <v>IFDMT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INDFWH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IFDMT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INDFWH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IFDMT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INDFWH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INDFDRHELCN2</v>
      </c>
      <c r="E27" s="278" t="str">
        <f>"Industrial heating technology "&amp;$AJ$12&amp;" "&amp;RIGHT(H27,2)&amp;" - Heat driven heat pump utilizing waste heat - new 2"</f>
        <v>Industrial heating technology Food RH - Heat driven heat pump utilizing waste heat - new 2</v>
      </c>
      <c r="F27" s="239" t="s">
        <v>1274</v>
      </c>
      <c r="G27" s="176" t="s">
        <v>500</v>
      </c>
      <c r="H27" s="177" t="str">
        <f>$AI$15</f>
        <v>IFDRH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INDFWH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IFDRH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INDFWH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IFDRH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INDFWH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INDFDMTELCN3</v>
      </c>
      <c r="E33" s="278" t="str">
        <f>"Industrial heating technology "&amp;$AJ$12&amp;" "&amp;RIGHT(H33,2)&amp;" - High Temp abs. Heat pump utilizing waste heat - new 3"</f>
        <v>Industrial heating technology Food MT - High Temp abs. Heat pump utilizing waste heat - new 3</v>
      </c>
      <c r="F33" s="239" t="s">
        <v>1274</v>
      </c>
      <c r="G33" s="176" t="s">
        <v>500</v>
      </c>
      <c r="H33" s="177" t="str">
        <f>$AI$14</f>
        <v>IFDMT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0.23</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INDFWH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IFDMT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INDFWH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IFDMT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INDFWH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INDFDRHELCN3</v>
      </c>
      <c r="E39" s="278" t="str">
        <f>"Industrial heating technology "&amp;$AJ$12&amp;" "&amp;RIGHT(H39,2)&amp;" - High Temp abs. Heat pump utilizing waste heat - new 3"</f>
        <v>Industrial heating technology Food RH - High Temp abs. Heat pump utilizing waste heat - new 3</v>
      </c>
      <c r="F39" s="239" t="s">
        <v>1274</v>
      </c>
      <c r="G39" s="176" t="s">
        <v>500</v>
      </c>
      <c r="H39" s="177" t="str">
        <f>$AI$15</f>
        <v>IFDRH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INDFWH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IFDRH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INDFWH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IFDRH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INDFWH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INDFDMTELCN4</v>
      </c>
      <c r="E45" s="278" t="str">
        <f>"Industrial heating technology "&amp;$AJ$12&amp;" "&amp;RIGHT(H45,2)&amp;" - Booster Heat pump utilizing waste heat - new 4"</f>
        <v>Industrial heating technology Food MT - Booster Heat pump utilizing waste heat - new 4</v>
      </c>
      <c r="F45" s="239" t="s">
        <v>1274</v>
      </c>
      <c r="G45" s="176" t="s">
        <v>500</v>
      </c>
      <c r="H45" s="177" t="str">
        <f>$AI$14</f>
        <v>IFDMT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0.63</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INDFWH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IFDMT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INDFWH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IFDMT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INDFWH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INDFDRHELCN4</v>
      </c>
      <c r="E51" s="278" t="str">
        <f>"Industrial heating technology "&amp;$AJ$12&amp;" "&amp;RIGHT(H51,2)&amp;" - Booster Heat pump utilizing waste heat - new 4"</f>
        <v>Industrial heating technology Food RH - Booster Heat pump utilizing waste heat - new 4</v>
      </c>
      <c r="F51" s="239" t="s">
        <v>1274</v>
      </c>
      <c r="G51" s="176" t="s">
        <v>500</v>
      </c>
      <c r="H51" s="177" t="str">
        <f>$AI$15</f>
        <v>IFDRH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INDFWH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IFDRH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INDFWH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IFDRH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INDFWH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INDFDMTELCN5</v>
      </c>
      <c r="E57" s="278" t="str">
        <f>"Industrial heating technology "&amp;$AJ$12&amp;" "&amp;RIGHT(H57,2)&amp;" - MVR utilizing waste heat - new 5"</f>
        <v>Industrial heating technology Food MT - MVR utilizing waste heat - new 5</v>
      </c>
      <c r="F57" s="239" t="s">
        <v>1274</v>
      </c>
      <c r="G57" s="176" t="s">
        <v>500</v>
      </c>
      <c r="H57" s="177" t="str">
        <f>$AI$14</f>
        <v>IFDMT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0.31</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INDFWH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IFDMT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INDFWH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IFDMT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INDFWH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Food HT - Hotdisc - new 1</v>
      </c>
      <c r="F63" s="239" t="s">
        <v>1274</v>
      </c>
      <c r="G63" s="892" t="s">
        <v>1130</v>
      </c>
      <c r="H63" s="177" t="str">
        <f>$AI$13</f>
        <v>IFDHT</v>
      </c>
      <c r="I63" s="176" t="str">
        <f t="shared" ref="I63:I94" si="53">$AI$20</f>
        <v>INDFWH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INDFWH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INDFWH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INDFDMTELCN6</v>
      </c>
      <c r="E66" s="278" t="str">
        <f>"Industrial heating technology "&amp;$AJ$12&amp;" "&amp;RIGHT(H66,2)&amp;" - Dielectric heating - new 6"</f>
        <v>Industrial heating technology Food MT - Dielectric heating - new 6</v>
      </c>
      <c r="F66" s="239" t="s">
        <v>1274</v>
      </c>
      <c r="G66" s="176" t="s">
        <v>500</v>
      </c>
      <c r="H66" s="177" t="str">
        <f>$AI$14</f>
        <v>IFDMT</v>
      </c>
      <c r="I66" s="176" t="str">
        <f t="shared" si="53"/>
        <v>INDFWH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0.04</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
      </c>
      <c r="E67" s="223"/>
      <c r="F67" s="239" t="s">
        <v>1274</v>
      </c>
      <c r="H67" s="177"/>
      <c r="I67" s="176" t="str">
        <f t="shared" si="53"/>
        <v>INDFWH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
      </c>
      <c r="E68" s="223"/>
      <c r="F68" s="239" t="s">
        <v>1274</v>
      </c>
      <c r="H68" s="177"/>
      <c r="I68" s="176" t="str">
        <f t="shared" si="53"/>
        <v>INDFWH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INDFDMTELCN7</v>
      </c>
      <c r="E69" s="278" t="str">
        <f>"Industrial heating technology "&amp;$AJ$12&amp;" "&amp;RIGHT(H69,2)&amp;" - Infrared heating - new 7"</f>
        <v>Industrial heating technology Food MT - Infrared heating - new 7</v>
      </c>
      <c r="F69" s="239" t="s">
        <v>1274</v>
      </c>
      <c r="G69" s="176" t="s">
        <v>500</v>
      </c>
      <c r="H69" s="177" t="str">
        <f>$AI$14</f>
        <v>IFDMT</v>
      </c>
      <c r="I69" s="176" t="str">
        <f t="shared" si="53"/>
        <v>INDFWH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0.04</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
      </c>
      <c r="E70" s="223"/>
      <c r="F70" s="239" t="s">
        <v>1274</v>
      </c>
      <c r="H70" s="177"/>
      <c r="I70" s="176" t="str">
        <f t="shared" si="53"/>
        <v>INDFWH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
      </c>
      <c r="E71" s="223"/>
      <c r="F71" s="239" t="s">
        <v>1274</v>
      </c>
      <c r="H71" s="177"/>
      <c r="I71" s="177" t="str">
        <f t="shared" si="53"/>
        <v>INDFWH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INDFDHTELCN8</v>
      </c>
      <c r="E72" s="278" t="str">
        <f>"Industrial heating technology "&amp;$AJ$12&amp;" "&amp;RIGHT(H72,2)&amp;" - Electric boiler (Steam) - new 8"</f>
        <v>Industrial heating technology Food HT - Electric boiler (Steam) - new 8</v>
      </c>
      <c r="F72" s="239" t="s">
        <v>1274</v>
      </c>
      <c r="G72" s="176" t="s">
        <v>500</v>
      </c>
      <c r="H72" s="177" t="str">
        <f>$AI$13</f>
        <v>IFDHT</v>
      </c>
      <c r="I72" s="177" t="str">
        <f t="shared" si="53"/>
        <v>INDFWH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INDFWH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INDFWH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INDFDMTELCN8</v>
      </c>
      <c r="E75" s="278" t="str">
        <f>"Industrial heating technology "&amp;$AJ$12&amp;" "&amp;RIGHT(H75,2)&amp;" - Electric boiler (Steam) - new 8"</f>
        <v>Industrial heating technology Food MT - Electric boiler (Steam) - new 8</v>
      </c>
      <c r="F75" s="239" t="s">
        <v>1274</v>
      </c>
      <c r="G75" s="176" t="s">
        <v>500</v>
      </c>
      <c r="H75" s="177" t="str">
        <f>$AI$14</f>
        <v>IFDMT</v>
      </c>
      <c r="I75" s="177" t="str">
        <f t="shared" si="53"/>
        <v>INDFWH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INDFWH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INDFWH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INDFDRHELCN8</v>
      </c>
      <c r="E78" s="278" t="str">
        <f>"Industrial heating technology "&amp;$AJ$12&amp;" "&amp;RIGHT(H78,2)&amp;" - Electric boiler (Steam) - new 8"</f>
        <v>Industrial heating technology Food RH - Electric boiler (Steam) - new 8</v>
      </c>
      <c r="F78" s="239" t="s">
        <v>1274</v>
      </c>
      <c r="G78" s="176" t="s">
        <v>500</v>
      </c>
      <c r="H78" s="177" t="str">
        <f>$AI$15</f>
        <v>IFDRH</v>
      </c>
      <c r="I78" s="177" t="str">
        <f t="shared" si="53"/>
        <v>INDFWH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
      </c>
      <c r="E79" s="223"/>
      <c r="F79" s="239" t="s">
        <v>1274</v>
      </c>
      <c r="H79" s="177"/>
      <c r="I79" s="177" t="str">
        <f t="shared" si="53"/>
        <v>INDFWH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
      </c>
      <c r="E80" s="223"/>
      <c r="F80" s="239" t="s">
        <v>1274</v>
      </c>
      <c r="H80" s="177"/>
      <c r="I80" s="177" t="str">
        <f t="shared" si="53"/>
        <v>INDFWH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INDFDMTELCN9</v>
      </c>
      <c r="E81" s="767" t="str">
        <f>"Industrial heating technology "&amp;$AJ$12&amp;" "&amp;RIGHT(H81,2)&amp;" - Electric boiler (Hot Water) - new 9"</f>
        <v>Industrial heating technology Food MT - Electric boiler (Hot Water) - new 9</v>
      </c>
      <c r="F81" s="239" t="s">
        <v>1274</v>
      </c>
      <c r="G81" s="768" t="s">
        <v>500</v>
      </c>
      <c r="H81" s="768" t="str">
        <f>$AI$14</f>
        <v>IFDMT</v>
      </c>
      <c r="I81" s="768" t="str">
        <f t="shared" si="53"/>
        <v>INDFWH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INDFWH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INDFWH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INDFDRHELCN9</v>
      </c>
      <c r="E84" s="278" t="str">
        <f>"Industrial heating technology "&amp;$AJ$12&amp;" "&amp;RIGHT(H84,2)&amp;" - Electric boiler (Hot Water) - new 9"</f>
        <v>Industrial heating technology Food RH - Electric boiler (Hot Water) - new 9</v>
      </c>
      <c r="F84" s="239" t="s">
        <v>1274</v>
      </c>
      <c r="G84" s="177" t="s">
        <v>500</v>
      </c>
      <c r="H84" s="177" t="str">
        <f>$AI$15</f>
        <v>IFDRH</v>
      </c>
      <c r="I84" s="177" t="str">
        <f t="shared" si="53"/>
        <v>INDFWH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3"/>
        <v>INDFWH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3"/>
        <v>INDFWH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INDFDHTWCHN1</v>
      </c>
      <c r="E87" s="278" t="str">
        <f>"Industrial heating technology "&amp;$AJ$12&amp;" "&amp;RIGHT(H87,2)&amp;" - Wood chip boiler (Steam) - new 1"</f>
        <v>Industrial heating technology Food HT - Wood chip boiler (Steam) - new 1</v>
      </c>
      <c r="F87" s="239" t="s">
        <v>1274</v>
      </c>
      <c r="G87" s="176" t="s">
        <v>499</v>
      </c>
      <c r="H87" s="177" t="str">
        <f>$AI$13</f>
        <v>IFDHT</v>
      </c>
      <c r="I87" s="177" t="str">
        <f t="shared" si="53"/>
        <v>INDFWH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3"/>
        <v>INDFWH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
      </c>
      <c r="E89" s="223"/>
      <c r="F89" s="239" t="s">
        <v>1274</v>
      </c>
      <c r="H89" s="177"/>
      <c r="I89" s="177" t="str">
        <f t="shared" si="53"/>
        <v>INDFWH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INDFDMTWCHN1</v>
      </c>
      <c r="E90" s="278" t="str">
        <f>"Industrial heating technology "&amp;$AJ$12&amp;" "&amp;RIGHT(H90,2)&amp;" - Wood chip boiler (Steam) - new 1"</f>
        <v>Industrial heating technology Food MT - Wood chip boiler (Steam) - new 1</v>
      </c>
      <c r="F90" s="239" t="s">
        <v>1274</v>
      </c>
      <c r="G90" s="176" t="s">
        <v>499</v>
      </c>
      <c r="H90" s="177" t="str">
        <f>$AI$14</f>
        <v>IFDMT</v>
      </c>
      <c r="I90" s="177" t="str">
        <f t="shared" si="53"/>
        <v>INDFWH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INDFWH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INDFWH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INDFDRHWCHN1</v>
      </c>
      <c r="E93" s="278" t="str">
        <f>"Industrial heating technology "&amp;$AJ$12&amp;" "&amp;RIGHT(H93,2)&amp;" - Wood chip boiler (Steam) - new 1"</f>
        <v>Industrial heating technology Food RH - Wood chip boiler (Steam) - new 1</v>
      </c>
      <c r="F93" s="239" t="s">
        <v>1274</v>
      </c>
      <c r="G93" s="176" t="s">
        <v>499</v>
      </c>
      <c r="H93" s="177" t="str">
        <f>$AI$15</f>
        <v>IFDRH</v>
      </c>
      <c r="I93" s="177" t="str">
        <f t="shared" si="53"/>
        <v>INDFWH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INDFWH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INDFWH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INDFDMTWCHN2</v>
      </c>
      <c r="E96" s="767" t="str">
        <f>"Industrial heating technology "&amp;$AJ$12&amp;" "&amp;RIGHT(H96,2)&amp;" - Wood chip boiler (Steam - condensing) - new 2"</f>
        <v>Industrial heating technology Food MT - Wood chip boiler (Steam - condensing) - new 2</v>
      </c>
      <c r="F96" s="239" t="s">
        <v>1274</v>
      </c>
      <c r="G96" s="768" t="s">
        <v>499</v>
      </c>
      <c r="H96" s="768" t="str">
        <f>$AI$14</f>
        <v>IFDMT</v>
      </c>
      <c r="I96" s="768" t="str">
        <f t="shared" si="80"/>
        <v>INDFWH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INDFWH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INDFWH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INDFDRHWCHN2</v>
      </c>
      <c r="E99" s="278" t="str">
        <f>"Industrial heating technology "&amp;$AJ$12&amp;" "&amp;RIGHT(H99,2)&amp;" - Wood chip boiler (Steam - condensing) - new 2"</f>
        <v>Industrial heating technology Food RH - Wood chip boiler (Steam - condensing) - new 2</v>
      </c>
      <c r="F99" s="239" t="s">
        <v>1274</v>
      </c>
      <c r="G99" s="177" t="s">
        <v>499</v>
      </c>
      <c r="H99" s="177" t="str">
        <f>$AI$15</f>
        <v>IFDRH</v>
      </c>
      <c r="I99" s="177" t="str">
        <f t="shared" si="80"/>
        <v>INDFWH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INDFWH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INDFWH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INDFDMTWCHN3</v>
      </c>
      <c r="E102" s="767" t="str">
        <f>"Industrial heating technology "&amp;$AJ$12&amp;" "&amp;RIGHT(H102,2)&amp;" - Wood chip boiler (Hot Water) - new 3"</f>
        <v>Industrial heating technology Food MT - Wood chip boiler (Hot Water) - new 3</v>
      </c>
      <c r="F102" s="239" t="s">
        <v>1274</v>
      </c>
      <c r="G102" s="768" t="s">
        <v>499</v>
      </c>
      <c r="H102" s="768" t="str">
        <f>$AI$14</f>
        <v>IFDMT</v>
      </c>
      <c r="I102" s="768" t="str">
        <f t="shared" si="80"/>
        <v>INDFWH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INDFWH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INDFWH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INDFDRHWCHN3</v>
      </c>
      <c r="E105" s="278" t="str">
        <f>"Industrial heating technology "&amp;$AJ$12&amp;" "&amp;RIGHT(H105,2)&amp;" - Wood chip boiler (Hot Water) - new 3"</f>
        <v>Industrial heating technology Food RH - Wood chip boiler (Hot Water) - new 3</v>
      </c>
      <c r="F105" s="239" t="s">
        <v>1274</v>
      </c>
      <c r="G105" s="177" t="s">
        <v>499</v>
      </c>
      <c r="H105" s="177" t="str">
        <f>$AI$15</f>
        <v>IFDRH</v>
      </c>
      <c r="I105" s="177" t="str">
        <f t="shared" si="80"/>
        <v>INDFWH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INDFWH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INDFWH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INDFDMTWCHN4</v>
      </c>
      <c r="E108" s="767" t="str">
        <f>"Industrial heating technology "&amp;$AJ$12&amp;" "&amp;RIGHT(H108,2)&amp;" - Wood chip boiler (Hot Water - condensing) - new 4"</f>
        <v>Industrial heating technology Food MT - Wood chip boiler (Hot Water - condensing) - new 4</v>
      </c>
      <c r="F108" s="239" t="s">
        <v>1274</v>
      </c>
      <c r="G108" s="768" t="s">
        <v>499</v>
      </c>
      <c r="H108" s="768" t="str">
        <f>$AI$14</f>
        <v>IFDMT</v>
      </c>
      <c r="I108" s="768" t="str">
        <f t="shared" si="80"/>
        <v>INDFWH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INDFWH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INDFWH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INDFDRHWCHN4</v>
      </c>
      <c r="E111" s="278" t="str">
        <f>"Industrial heating technology "&amp;$AJ$12&amp;" "&amp;RIGHT(H111,2)&amp;" - Wood chip boiler (Hot Water- condensing) - new 4"</f>
        <v>Industrial heating technology Food RH - Wood chip boiler (Hot Water- condensing) - new 4</v>
      </c>
      <c r="F111" s="239" t="s">
        <v>1274</v>
      </c>
      <c r="G111" s="177" t="s">
        <v>499</v>
      </c>
      <c r="H111" s="177" t="str">
        <f>$AI$15</f>
        <v>IFDRH</v>
      </c>
      <c r="I111" s="177" t="str">
        <f t="shared" si="80"/>
        <v>INDFWH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INDFWH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INDFWH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Food HT - Direct electric heating - new 10</v>
      </c>
      <c r="F114" s="239" t="s">
        <v>1274</v>
      </c>
      <c r="G114" s="176" t="s">
        <v>500</v>
      </c>
      <c r="H114" s="177" t="str">
        <f>$AI$13</f>
        <v>IFDHT</v>
      </c>
      <c r="I114" s="177" t="str">
        <f t="shared" si="80"/>
        <v>INDFWH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80"/>
        <v>INDFWH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80"/>
        <v>INDFWH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Food MT - Direct electric heating - new 10</v>
      </c>
      <c r="F117" s="239" t="s">
        <v>1274</v>
      </c>
      <c r="G117" s="176" t="s">
        <v>500</v>
      </c>
      <c r="H117" s="177" t="str">
        <f>$AI$14</f>
        <v>IFDMT</v>
      </c>
      <c r="I117" s="177" t="str">
        <f t="shared" si="80"/>
        <v>INDFWH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INDFWH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INDFWH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INDFDHTDSEN1</v>
      </c>
      <c r="E120" s="278" t="str">
        <f>"Industrial heating technology "&amp;$AJ$12&amp;" "&amp;RIGHT(H120,2)&amp;" - Oil boiler (Steam) - new 1"</f>
        <v>Industrial heating technology Food HT - Oil boiler (Steam) - new 1</v>
      </c>
      <c r="F120" s="239" t="s">
        <v>1274</v>
      </c>
      <c r="G120" s="176" t="s">
        <v>1437</v>
      </c>
      <c r="H120" s="177" t="str">
        <f>$AI$13</f>
        <v>IFDHT</v>
      </c>
      <c r="I120" s="177" t="str">
        <f t="shared" si="80"/>
        <v>INDFWH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INDFWH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INDFWH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INDFDMTDSEN1</v>
      </c>
      <c r="E123" s="278" t="str">
        <f>"Industrial heating technology "&amp;$AJ$12&amp;" "&amp;RIGHT(H123,2)&amp;" - Oil boiler (Steam) - new 1"</f>
        <v>Industrial heating technology Food MT - Oil boiler (Steam) - new 1</v>
      </c>
      <c r="F123" s="239" t="s">
        <v>1274</v>
      </c>
      <c r="G123" s="176" t="s">
        <v>1437</v>
      </c>
      <c r="H123" s="177" t="str">
        <f>$AI$14</f>
        <v>IFDMT</v>
      </c>
      <c r="I123" s="177" t="str">
        <f t="shared" si="80"/>
        <v>INDFWH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INDFWH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INDFWH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INDFDRHDSEN1</v>
      </c>
      <c r="E126" s="278" t="str">
        <f>"Industrial heating technology "&amp;$AJ$12&amp;" "&amp;RIGHT(H126,2)&amp;" - Oil boiler (Steam) - new 1"</f>
        <v>Industrial heating technology Food RH - Oil boiler (Steam) - new 1</v>
      </c>
      <c r="F126" s="239" t="s">
        <v>1274</v>
      </c>
      <c r="G126" s="176" t="s">
        <v>1437</v>
      </c>
      <c r="H126" s="177" t="str">
        <f>$AI$15</f>
        <v>IFDRH</v>
      </c>
      <c r="I126" s="177" t="str">
        <f t="shared" si="80"/>
        <v>INDFWH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INDFWH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INDFWH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INDFDMTDSEN2</v>
      </c>
      <c r="E129" s="767" t="str">
        <f>"Industrial heating technology "&amp;$AJ$12&amp;" "&amp;RIGHT(H129,2)&amp;" - Oil boiler (Steam - condensing) - new 2"</f>
        <v>Industrial heating technology Food MT - Oil boiler (Steam - condensing) - new 2</v>
      </c>
      <c r="F129" s="239" t="s">
        <v>1274</v>
      </c>
      <c r="G129" s="176" t="s">
        <v>1437</v>
      </c>
      <c r="H129" s="768" t="str">
        <f>$AI$14</f>
        <v>IFDMT</v>
      </c>
      <c r="I129" s="768" t="str">
        <f t="shared" si="115"/>
        <v>INDFWH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INDFWH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INDFWH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INDFDRHDSEN2</v>
      </c>
      <c r="E132" s="278" t="str">
        <f>"Industrial heating technology "&amp;$AJ$12&amp;" "&amp;RIGHT(H132,2)&amp;" - Oil boiler (Steam - condensing) - new 2"</f>
        <v>Industrial heating technology Food RH - Oil boiler (Steam - condensing) - new 2</v>
      </c>
      <c r="F132" s="239" t="s">
        <v>1274</v>
      </c>
      <c r="G132" s="176" t="s">
        <v>1437</v>
      </c>
      <c r="H132" s="177" t="str">
        <f>$AI$15</f>
        <v>IFDRH</v>
      </c>
      <c r="I132" s="177" t="str">
        <f t="shared" si="115"/>
        <v>INDFWH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INDFWH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INDFWH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INDFDHTDH2N1</v>
      </c>
      <c r="E135" s="278" t="str">
        <f>"Industrial heating technology "&amp;$AJ$12&amp;" "&amp;RIGHT(H135,2)&amp;" - Gas boiler (Steam) - new 1"</f>
        <v>Industrial heating technology Food HT - Gas boiler (Steam) - new 1</v>
      </c>
      <c r="F135" s="239" t="s">
        <v>1274</v>
      </c>
      <c r="G135" s="176" t="s">
        <v>1438</v>
      </c>
      <c r="H135" s="177" t="str">
        <f>$AI$13</f>
        <v>IFDHT</v>
      </c>
      <c r="I135" s="177" t="str">
        <f t="shared" si="115"/>
        <v>INDFWH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INDFWH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INDFWH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INDFDMTDH2N1</v>
      </c>
      <c r="E138" s="278" t="str">
        <f>"Industrial heating technology "&amp;$AJ$12&amp;" "&amp;RIGHT(H138,2)&amp;" - Gas boiler (Steam) - new 1"</f>
        <v>Industrial heating technology Food MT - Gas boiler (Steam) - new 1</v>
      </c>
      <c r="F138" s="239" t="s">
        <v>1274</v>
      </c>
      <c r="G138" s="176" t="s">
        <v>1438</v>
      </c>
      <c r="H138" s="177" t="str">
        <f>$AI$14</f>
        <v>IFDMT</v>
      </c>
      <c r="I138" s="177" t="str">
        <f t="shared" si="115"/>
        <v>INDFWH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INDFWH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INDFWH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INDFDRHDH2N1</v>
      </c>
      <c r="E141" s="278" t="str">
        <f>"Industrial heating technology "&amp;$AJ$12&amp;" "&amp;RIGHT(H141,2)&amp;" - Gas boiler (Steam) - new 1"</f>
        <v>Industrial heating technology Food RH - Gas boiler (Steam) - new 1</v>
      </c>
      <c r="F141" s="239" t="s">
        <v>1274</v>
      </c>
      <c r="G141" s="176" t="s">
        <v>1438</v>
      </c>
      <c r="H141" s="177" t="str">
        <f>$AI$15</f>
        <v>IFDRH</v>
      </c>
      <c r="I141" s="177" t="str">
        <f t="shared" si="115"/>
        <v>INDFWH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INDFWH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INDFWH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INDFDMTDH2N2</v>
      </c>
      <c r="E144" s="767" t="str">
        <f>"Industrial heating technology "&amp;$AJ$12&amp;" "&amp;RIGHT(H144,2)&amp;" - Gas boiler (Steam - condensing) - new 2"</f>
        <v>Industrial heating technology Food MT - Gas boiler (Steam - condensing) - new 2</v>
      </c>
      <c r="F144" s="239" t="s">
        <v>1274</v>
      </c>
      <c r="G144" s="176" t="s">
        <v>1438</v>
      </c>
      <c r="H144" s="768" t="str">
        <f>$AI$14</f>
        <v>IFDMT</v>
      </c>
      <c r="I144" s="768" t="str">
        <f t="shared" si="115"/>
        <v>INDFWH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INDFWH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INDFWH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INDFDRHDH2N2</v>
      </c>
      <c r="E147" s="278" t="str">
        <f>"Industrial heating technology "&amp;$AJ$12&amp;" "&amp;RIGHT(H147,2)&amp;" - Gas boiler (Steam - condensing) - new 2"</f>
        <v>Industrial heating technology Food RH - Gas boiler (Steam - condensing) - new 2</v>
      </c>
      <c r="F147" s="239" t="s">
        <v>1274</v>
      </c>
      <c r="G147" s="176" t="s">
        <v>1438</v>
      </c>
      <c r="H147" s="177" t="str">
        <f>$AI$15</f>
        <v>IFDRH</v>
      </c>
      <c r="I147" s="177" t="str">
        <f t="shared" si="115"/>
        <v>INDFWH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INDFWH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INDFWH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INDFDMTDH2N3</v>
      </c>
      <c r="E150" s="767" t="str">
        <f>"Industrial heating technology "&amp;$AJ$12&amp;" "&amp;RIGHT(H150,2)&amp;" - Gas boiler (Hot Water) - new 3"</f>
        <v>Industrial heating technology Food MT - Gas boiler (Hot Water) - new 3</v>
      </c>
      <c r="F150" s="239" t="s">
        <v>1274</v>
      </c>
      <c r="G150" s="176" t="s">
        <v>1438</v>
      </c>
      <c r="H150" s="768" t="str">
        <f>$AI$14</f>
        <v>IFDMT</v>
      </c>
      <c r="I150" s="768" t="str">
        <f t="shared" si="115"/>
        <v>INDFWH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INDFWH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INDFWH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INDFDRHDH2N3</v>
      </c>
      <c r="E153" s="278" t="str">
        <f>"Industrial heating technology "&amp;$AJ$12&amp;" "&amp;RIGHT(H153,2)&amp;" - Gas boiler (Hot Water) - new 3"</f>
        <v>Industrial heating technology Food RH - Gas boiler (Hot Water) - new 3</v>
      </c>
      <c r="F153" s="239" t="s">
        <v>1274</v>
      </c>
      <c r="G153" s="176" t="s">
        <v>1438</v>
      </c>
      <c r="H153" s="177" t="str">
        <f>$AI$15</f>
        <v>IFDRH</v>
      </c>
      <c r="I153" s="177" t="str">
        <f t="shared" si="115"/>
        <v>INDFWH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INDFWH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INDFWH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INDFDMTDH2N4</v>
      </c>
      <c r="E156" s="767" t="str">
        <f>"Industrial heating technology "&amp;$AJ$12&amp;" "&amp;RIGHT(H156,2)&amp;" - Gas boiler (Hot Water - condensing) - new 4"</f>
        <v>Industrial heating technology Food MT - Gas boiler (Hot Water - condensing) - new 4</v>
      </c>
      <c r="F156" s="239" t="s">
        <v>1274</v>
      </c>
      <c r="G156" s="176" t="s">
        <v>1438</v>
      </c>
      <c r="H156" s="768" t="str">
        <f>$AI$14</f>
        <v>IFDMT</v>
      </c>
      <c r="I156" s="768" t="str">
        <f t="shared" si="115"/>
        <v>INDFWH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INDFWH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INDFWH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INDFDRHDH2N4</v>
      </c>
      <c r="E159" s="278" t="str">
        <f>"Industrial heating technology "&amp;$AJ$12&amp;" "&amp;RIGHT(H159,2)&amp;" - Gas boiler (Hot Water- condensing) - new 4"</f>
        <v>Industrial heating technology Food RH - Gas boiler (Hot Water- condensing) - new 4</v>
      </c>
      <c r="F159" s="239" t="s">
        <v>1274</v>
      </c>
      <c r="G159" s="176" t="s">
        <v>1438</v>
      </c>
      <c r="H159" s="177" t="str">
        <f>$AI$15</f>
        <v>IFDRH</v>
      </c>
      <c r="I159" s="177" t="str">
        <f t="shared" ref="I159:I182" si="158">$AI$20</f>
        <v>INDFWH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INDFWH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INDFWH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INDFDHTDH2N5</v>
      </c>
      <c r="E162" s="767" t="str">
        <f>"Industrial heating technology "&amp;$AJ$12&amp;" "&amp;RIGHT(H162,2)&amp;" - Gas boiler (Direct firing) - new 5"</f>
        <v>Industrial heating technology Food HT - Gas boiler (Direct firing) - new 5</v>
      </c>
      <c r="F162" s="239" t="s">
        <v>1274</v>
      </c>
      <c r="G162" s="176" t="s">
        <v>1438</v>
      </c>
      <c r="H162" s="177" t="str">
        <f>$AI$13</f>
        <v>IFDHT</v>
      </c>
      <c r="I162" s="177" t="str">
        <f t="shared" si="158"/>
        <v>INDFWH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INDFWH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INDFWH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INDFDMTDH2N5</v>
      </c>
      <c r="E165" s="278" t="str">
        <f>"Industrial heating technology "&amp;$AJ$12&amp;" "&amp;RIGHT(H165,2)&amp;" - Gas boiler (Direct firing) - new 5"</f>
        <v>Industrial heating technology Food MT - Gas boiler (Direct firing) - new 5</v>
      </c>
      <c r="F165" s="239" t="s">
        <v>1274</v>
      </c>
      <c r="G165" s="176" t="s">
        <v>1438</v>
      </c>
      <c r="H165" s="177" t="str">
        <f>$AI$14</f>
        <v>IFDMT</v>
      </c>
      <c r="I165" s="781" t="str">
        <f t="shared" si="158"/>
        <v>INDFWH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INDFWH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INDFWH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INDFDHTCOAN1</v>
      </c>
      <c r="E168" s="278" t="str">
        <f>"Industrial heating technology "&amp;$AJ$12&amp;" "&amp;RIGHT(H168,2)&amp;" - Coal boiler (Steam) - new 1"</f>
        <v>Industrial heating technology Food HT - Coal boiler (Steam) - new 1</v>
      </c>
      <c r="F168" s="239" t="s">
        <v>1274</v>
      </c>
      <c r="G168" s="55" t="s">
        <v>662</v>
      </c>
      <c r="H168" s="177" t="str">
        <f>$AI$13</f>
        <v>IFDHT</v>
      </c>
      <c r="I168" s="177" t="str">
        <f t="shared" si="158"/>
        <v>INDFWH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INDFWH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INDFWH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INDFDMTCOAN1</v>
      </c>
      <c r="E171" s="278" t="str">
        <f>"Industrial heating technology "&amp;$AJ$12&amp;" "&amp;RIGHT(H171,2)&amp;" - Coal boiler (Steam) - new 1"</f>
        <v>Industrial heating technology Food MT - Coal boiler (Steam) - new 1</v>
      </c>
      <c r="F171" s="239" t="s">
        <v>1274</v>
      </c>
      <c r="G171" s="55" t="s">
        <v>662</v>
      </c>
      <c r="H171" s="177" t="str">
        <f>$AI$14</f>
        <v>IFDMT</v>
      </c>
      <c r="I171" s="177" t="str">
        <f t="shared" si="158"/>
        <v>INDFWH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INDFWH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INDFWH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INDFDRHCOAN1</v>
      </c>
      <c r="E174" s="278" t="str">
        <f>"Industrial heating technology "&amp;$AJ$12&amp;" "&amp;RIGHT(H174,2)&amp;" - Coal boiler (Steam) - new 1"</f>
        <v>Industrial heating technology Food RH - Coal boiler (Steam) - new 1</v>
      </c>
      <c r="F174" s="239" t="s">
        <v>1274</v>
      </c>
      <c r="G174" s="55" t="s">
        <v>662</v>
      </c>
      <c r="H174" s="177" t="str">
        <f>$AI$15</f>
        <v>IFDRH</v>
      </c>
      <c r="I174" s="177" t="str">
        <f t="shared" si="158"/>
        <v>INDFWH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INDFWH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INDFWH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INDFDMTCOAN2</v>
      </c>
      <c r="E177" s="278" t="str">
        <f>"Industrial heating technology "&amp;$AJ$12&amp;" "&amp;RIGHT(H177,2)&amp;" - Coal boiler (Hot Water) - new 2"</f>
        <v>Industrial heating technology Food MT - Coal boiler (Hot Water) - new 2</v>
      </c>
      <c r="F177" s="239" t="s">
        <v>1274</v>
      </c>
      <c r="G177" s="55" t="s">
        <v>662</v>
      </c>
      <c r="H177" s="177" t="str">
        <f>$AI$14</f>
        <v>IFDMT</v>
      </c>
      <c r="I177" s="177" t="str">
        <f t="shared" si="158"/>
        <v>INDFWH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INDFWH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INDFWH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INDFDRHCOAN2</v>
      </c>
      <c r="E180" s="278" t="str">
        <f>"Industrial heating technology "&amp;$AJ$12&amp;" "&amp;RIGHT(H180,2)&amp;" - Coal boiler (Hot Water) - new 2"</f>
        <v>Industrial heating technology Food RH - Coal boiler (Hot Water) - new 2</v>
      </c>
      <c r="F180" s="239" t="s">
        <v>1274</v>
      </c>
      <c r="G180" s="55" t="s">
        <v>662</v>
      </c>
      <c r="H180" s="177" t="str">
        <f>$AI$15</f>
        <v>IFDRH</v>
      </c>
      <c r="I180" s="177" t="str">
        <f t="shared" si="158"/>
        <v>INDFWH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INDFWH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INDFWH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INDFDRHSOLN1</v>
      </c>
      <c r="E183" s="278" t="str">
        <f>"Industrial heating technology "&amp;$AJ$12&amp;" "&amp;RIGHT(H183,2)&amp;" - Solar - new 1"</f>
        <v>Industrial heating technology Food RH - Solar - new 1</v>
      </c>
      <c r="F183" s="239" t="s">
        <v>1274</v>
      </c>
      <c r="G183" s="55" t="s">
        <v>501</v>
      </c>
      <c r="H183" s="177" t="str">
        <f>$AI$15</f>
        <v>IFDRH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INDFDRHHCEN1</v>
      </c>
      <c r="E187" s="239" t="str">
        <f>"Industrial heating technology "&amp;$AJ$12&amp;" "&amp;RIGHT(H187,2)&amp;" - central district heating - within DH area - new 1"</f>
        <v>Industrial heating technology Food RH - central district heating - within DH area - new 1</v>
      </c>
      <c r="F187" s="239" t="s">
        <v>1274</v>
      </c>
      <c r="G187" s="240" t="s">
        <v>502</v>
      </c>
      <c r="H187" s="240" t="str">
        <f>AI15</f>
        <v>IFDRH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INDFDRHHDEN1</v>
      </c>
      <c r="E188" s="239" t="str">
        <f>"Industrial heating technology "&amp;$AJ$12&amp;" "&amp;RIGHT(H188,2)&amp;" - decentral district heating - within DH area - new 1"</f>
        <v>Industrial heating technology Food RH - decentral district heating - within DH area - new 1</v>
      </c>
      <c r="F188" s="239" t="s">
        <v>1274</v>
      </c>
      <c r="G188" s="276" t="s">
        <v>503</v>
      </c>
      <c r="H188" s="282" t="str">
        <f>AI15</f>
        <v>IFDRH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INDFDLAELCN1</v>
      </c>
      <c r="E190" s="239" t="str">
        <f>"Industry "&amp;$AJ$12&amp;" "&amp;RIGHT(H190,2)&amp;" Electricity Light Appliance - New 1"</f>
        <v>Industry Food LA Electricity Light Appliance - New 1</v>
      </c>
      <c r="F190" s="239" t="s">
        <v>1274</v>
      </c>
      <c r="G190" s="240" t="s">
        <v>500</v>
      </c>
      <c r="H190" s="240" t="str">
        <f>AI16</f>
        <v>IFDLA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INDFDEMELCN1</v>
      </c>
      <c r="E194" s="239" t="str">
        <f>"Industry "&amp;$AJ$12&amp;" "&amp;RIGHT(H194,2)&amp;" Electricity Motors - New 1"</f>
        <v>Industry Food EM Electricity Motors - New 1</v>
      </c>
      <c r="F194" s="239" t="s">
        <v>1274</v>
      </c>
      <c r="G194" s="240" t="s">
        <v>500</v>
      </c>
      <c r="H194" s="240" t="str">
        <f>AI17</f>
        <v>IFDEM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INDFDTFDSLN1</v>
      </c>
      <c r="E198" s="239" t="str">
        <f>"Industry "&amp;$AJ$12&amp;" "&amp;RIGHT(H198,2)&amp;" Tractors, Trucks, Fishing boats - New 1"</f>
        <v>Industry Food TF Tractors, Trucks, Fishing boats - New 1</v>
      </c>
      <c r="F198" s="239" t="s">
        <v>1274</v>
      </c>
      <c r="G198" s="176" t="s">
        <v>1437</v>
      </c>
      <c r="H198" s="177" t="str">
        <f>AI18</f>
        <v>IFDTF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INDFDFLDH2N1</v>
      </c>
      <c r="E202" s="239" t="str">
        <f>"Industry "&amp;$AJ$12&amp;" "&amp;RIGHT(H198,2)&amp;" Forklifts - New 1"</f>
        <v>Industry Food TF Forklifts - New 1</v>
      </c>
      <c r="F202" s="239" t="s">
        <v>1274</v>
      </c>
      <c r="G202" s="176" t="s">
        <v>1438</v>
      </c>
      <c r="H202" s="239" t="str">
        <f>AI19</f>
        <v>IFDFL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INDFDMTELCN1</v>
      </c>
      <c r="E213" s="223" t="str">
        <f t="shared" ref="E213:E244" ca="1" si="181">VLOOKUP(D213,$D$9:$E$206,2,FALSE)</f>
        <v>Industrial heating technology Food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INDFDRHELCN1</v>
      </c>
      <c r="E214" s="223" t="str">
        <f t="shared" ca="1" si="181"/>
        <v>Industrial heating technology Food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Food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INDFDRHELCN2</v>
      </c>
      <c r="E216" s="223" t="str">
        <f t="shared" ca="1" si="181"/>
        <v>Industrial heating technology Food RH - Heat driven heat pump utilizing waste heat - new 2</v>
      </c>
      <c r="F216" s="279" t="s">
        <v>450</v>
      </c>
      <c r="G216" s="279" t="s">
        <v>449</v>
      </c>
      <c r="H216" s="334" t="s">
        <v>665</v>
      </c>
      <c r="I216" s="281"/>
      <c r="J216" s="281" t="s">
        <v>469</v>
      </c>
    </row>
    <row r="217" spans="1:11">
      <c r="A217" s="172"/>
      <c r="B217" s="222"/>
      <c r="C217" s="222" t="str">
        <f t="shared" ca="1" si="182"/>
        <v>DMD</v>
      </c>
      <c r="D217" s="223" t="str">
        <f t="shared" ca="1" si="183"/>
        <v>INDFDMTELCN3</v>
      </c>
      <c r="E217" s="223" t="str">
        <f t="shared" ca="1" si="181"/>
        <v>Industrial heating technology Food MT - High Temp abs. Heat pump utilizing waste heat - new 3</v>
      </c>
      <c r="F217" s="279" t="s">
        <v>450</v>
      </c>
      <c r="G217" s="279" t="s">
        <v>449</v>
      </c>
      <c r="H217" s="334" t="s">
        <v>665</v>
      </c>
      <c r="I217" s="281"/>
      <c r="J217" s="281" t="s">
        <v>469</v>
      </c>
    </row>
    <row r="218" spans="1:11">
      <c r="A218" s="172"/>
      <c r="B218" s="222"/>
      <c r="C218" s="222" t="str">
        <f t="shared" ca="1" si="182"/>
        <v>DMD</v>
      </c>
      <c r="D218" s="223" t="str">
        <f t="shared" ca="1" si="183"/>
        <v>INDFDRHELCN3</v>
      </c>
      <c r="E218" s="223" t="str">
        <f t="shared" ca="1" si="181"/>
        <v>Industrial heating technology Food RH - High Temp abs. Heat pump utilizing waste heat - new 3</v>
      </c>
      <c r="F218" s="279" t="s">
        <v>450</v>
      </c>
      <c r="G218" s="279" t="s">
        <v>449</v>
      </c>
      <c r="H218" s="334" t="s">
        <v>665</v>
      </c>
      <c r="I218" s="281"/>
      <c r="J218" s="281" t="s">
        <v>469</v>
      </c>
    </row>
    <row r="219" spans="1:11">
      <c r="A219" s="172"/>
      <c r="B219" s="222"/>
      <c r="C219" s="222" t="str">
        <f t="shared" ca="1" si="182"/>
        <v>DMD</v>
      </c>
      <c r="D219" s="223" t="str">
        <f t="shared" ca="1" si="183"/>
        <v>INDFDMTELCN4</v>
      </c>
      <c r="E219" s="223" t="str">
        <f t="shared" ca="1" si="181"/>
        <v>Industrial heating technology Food MT - Booster Heat pump utilizing waste heat - new 4</v>
      </c>
      <c r="F219" s="279" t="s">
        <v>450</v>
      </c>
      <c r="G219" s="279" t="s">
        <v>449</v>
      </c>
      <c r="H219" s="334" t="s">
        <v>665</v>
      </c>
      <c r="I219" s="281"/>
      <c r="J219" s="281" t="s">
        <v>469</v>
      </c>
    </row>
    <row r="220" spans="1:11">
      <c r="A220" s="172"/>
      <c r="B220" s="222"/>
      <c r="C220" s="222" t="str">
        <f t="shared" ca="1" si="182"/>
        <v>DMD</v>
      </c>
      <c r="D220" s="223" t="str">
        <f t="shared" ca="1" si="183"/>
        <v>INDFDRHELCN4</v>
      </c>
      <c r="E220" s="223" t="str">
        <f t="shared" ca="1" si="181"/>
        <v>Industrial heating technology Food RH - Booster Heat pump utilizing waste heat - new 4</v>
      </c>
      <c r="F220" s="279" t="s">
        <v>450</v>
      </c>
      <c r="G220" s="279" t="s">
        <v>449</v>
      </c>
      <c r="H220" s="334" t="s">
        <v>665</v>
      </c>
      <c r="I220" s="281"/>
      <c r="J220" s="281" t="s">
        <v>469</v>
      </c>
    </row>
    <row r="221" spans="1:11">
      <c r="A221" s="172"/>
      <c r="B221" s="222"/>
      <c r="C221" s="222" t="str">
        <f t="shared" ca="1" si="182"/>
        <v>DMD</v>
      </c>
      <c r="D221" s="223" t="str">
        <f t="shared" ca="1" si="183"/>
        <v>INDFDMTELCN5</v>
      </c>
      <c r="E221" s="223" t="str">
        <f t="shared" ca="1" si="181"/>
        <v>Industrial heating technology Food MT - MVR utilizing waste heat - new 5</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Food MT - Heat pump utilizing waste heat - new 1</v>
      </c>
      <c r="F222" s="279" t="s">
        <v>450</v>
      </c>
      <c r="G222" s="279" t="s">
        <v>449</v>
      </c>
      <c r="H222" s="334" t="s">
        <v>665</v>
      </c>
      <c r="I222" s="281"/>
      <c r="J222" s="281" t="s">
        <v>469</v>
      </c>
    </row>
    <row r="223" spans="1:11">
      <c r="A223" s="172"/>
      <c r="B223" s="222"/>
      <c r="C223" s="222" t="str">
        <f t="shared" ca="1" si="182"/>
        <v>DMD</v>
      </c>
      <c r="D223" s="223" t="str">
        <f t="shared" ref="D223:D262" ca="1" si="184">OFFSET($D$9,(ROW(D19)*3),0)</f>
        <v>INDFDMTELCN6</v>
      </c>
      <c r="E223" s="223" t="str">
        <f t="shared" ca="1" si="181"/>
        <v>Industrial heating technology Food MT - Dielectric heating - new 6</v>
      </c>
      <c r="F223" s="279" t="s">
        <v>450</v>
      </c>
      <c r="G223" s="279" t="s">
        <v>449</v>
      </c>
      <c r="H223" s="334" t="s">
        <v>665</v>
      </c>
      <c r="I223" s="281"/>
      <c r="J223" s="281" t="s">
        <v>469</v>
      </c>
    </row>
    <row r="224" spans="1:11">
      <c r="A224" s="172"/>
      <c r="B224" s="222"/>
      <c r="C224" s="222" t="str">
        <f t="shared" ca="1" si="182"/>
        <v>DMD</v>
      </c>
      <c r="D224" s="223" t="str">
        <f t="shared" ca="1" si="184"/>
        <v>INDFDMTELCN7</v>
      </c>
      <c r="E224" s="223" t="str">
        <f t="shared" ca="1" si="181"/>
        <v>Industrial heating technology Food MT - Infrared heating - new 7</v>
      </c>
      <c r="F224" s="279" t="s">
        <v>450</v>
      </c>
      <c r="G224" s="279" t="s">
        <v>449</v>
      </c>
      <c r="H224" s="334" t="s">
        <v>665</v>
      </c>
      <c r="I224" s="281"/>
      <c r="J224" s="281" t="s">
        <v>469</v>
      </c>
    </row>
    <row r="225" spans="1:16">
      <c r="A225" s="172"/>
      <c r="B225" s="222"/>
      <c r="C225" s="222" t="str">
        <f t="shared" ca="1" si="182"/>
        <v>DMD</v>
      </c>
      <c r="D225" s="223" t="str">
        <f t="shared" ca="1" si="184"/>
        <v>INDFDHTELCN8</v>
      </c>
      <c r="E225" s="223" t="str">
        <f t="shared" ca="1" si="181"/>
        <v>Industrial heating technology Food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INDFDMTELCN8</v>
      </c>
      <c r="E226" s="223" t="str">
        <f t="shared" ca="1" si="181"/>
        <v>Industrial heating technology Food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INDFDRHELCN8</v>
      </c>
      <c r="E227" s="223" t="str">
        <f t="shared" ca="1" si="181"/>
        <v>Industrial heating technology Food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INDFDMTELCN9</v>
      </c>
      <c r="E228" s="223" t="str">
        <f t="shared" ca="1" si="181"/>
        <v>Industrial heating technology Food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INDFDRHELCN9</v>
      </c>
      <c r="E229" s="223" t="str">
        <f t="shared" ca="1" si="181"/>
        <v>Industrial heating technology Food RH - Electric boiler (Hot Water) - new 9</v>
      </c>
      <c r="F229" s="279" t="s">
        <v>450</v>
      </c>
      <c r="G229" s="279" t="s">
        <v>449</v>
      </c>
      <c r="H229" s="334" t="s">
        <v>665</v>
      </c>
      <c r="I229" s="281"/>
      <c r="J229" s="281" t="s">
        <v>469</v>
      </c>
      <c r="P229" s="176"/>
    </row>
    <row r="230" spans="1:16">
      <c r="A230" s="172"/>
      <c r="B230" s="222"/>
      <c r="C230" s="222" t="str">
        <f t="shared" ca="1" si="182"/>
        <v>DMD</v>
      </c>
      <c r="D230" s="223" t="str">
        <f t="shared" ca="1" si="184"/>
        <v>INDFDHTWCHN1</v>
      </c>
      <c r="E230" s="223" t="str">
        <f t="shared" ca="1" si="181"/>
        <v>Industrial heating technology Food HT - Wood chip boiler (Steam) - new 1</v>
      </c>
      <c r="F230" s="279" t="s">
        <v>450</v>
      </c>
      <c r="G230" s="279" t="s">
        <v>449</v>
      </c>
      <c r="H230" s="280"/>
      <c r="I230" s="281"/>
      <c r="J230" s="281" t="s">
        <v>469</v>
      </c>
      <c r="P230" s="176"/>
    </row>
    <row r="231" spans="1:16">
      <c r="A231" s="172"/>
      <c r="B231" s="222"/>
      <c r="C231" s="222" t="str">
        <f t="shared" ca="1" si="182"/>
        <v>DMD</v>
      </c>
      <c r="D231" s="223" t="str">
        <f t="shared" ca="1" si="184"/>
        <v>INDFDMTWCHN1</v>
      </c>
      <c r="E231" s="223" t="str">
        <f t="shared" ca="1" si="181"/>
        <v>Industrial heating technology Food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INDFDRHWCHN1</v>
      </c>
      <c r="E232" s="223" t="str">
        <f t="shared" ca="1" si="181"/>
        <v>Industrial heating technology Food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INDFDMTWCHN2</v>
      </c>
      <c r="E233" s="223" t="str">
        <f t="shared" ca="1" si="181"/>
        <v>Industrial heating technology Food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INDFDRHWCHN2</v>
      </c>
      <c r="E234" s="223" t="str">
        <f t="shared" ca="1" si="181"/>
        <v>Industrial heating technology Food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INDFDMTWCHN3</v>
      </c>
      <c r="E235" s="223" t="str">
        <f t="shared" ca="1" si="181"/>
        <v>Industrial heating technology Food MT - Wood chip boiler (Hot Water) - new 3</v>
      </c>
      <c r="F235" s="279" t="s">
        <v>450</v>
      </c>
      <c r="G235" s="279" t="s">
        <v>449</v>
      </c>
      <c r="H235" s="278"/>
      <c r="I235" s="278"/>
      <c r="J235" s="281" t="s">
        <v>469</v>
      </c>
    </row>
    <row r="236" spans="1:16">
      <c r="A236" s="172"/>
      <c r="B236" s="223"/>
      <c r="C236" s="222" t="str">
        <f t="shared" ca="1" si="182"/>
        <v>DMD</v>
      </c>
      <c r="D236" s="223" t="str">
        <f t="shared" ca="1" si="184"/>
        <v>INDFDRHWCHN3</v>
      </c>
      <c r="E236" s="223" t="str">
        <f t="shared" ca="1" si="181"/>
        <v>Industrial heating technology Food RH - Wood chip boiler (Hot Water) - new 3</v>
      </c>
      <c r="F236" s="279" t="s">
        <v>450</v>
      </c>
      <c r="G236" s="279" t="s">
        <v>449</v>
      </c>
      <c r="H236" s="278"/>
      <c r="I236" s="278"/>
      <c r="J236" s="281" t="s">
        <v>469</v>
      </c>
    </row>
    <row r="237" spans="1:16">
      <c r="A237" s="172"/>
      <c r="B237" s="223"/>
      <c r="C237" s="222" t="str">
        <f t="shared" ca="1" si="182"/>
        <v>DMD</v>
      </c>
      <c r="D237" s="223" t="str">
        <f t="shared" ca="1" si="184"/>
        <v>INDFDMTWCHN4</v>
      </c>
      <c r="E237" s="223" t="str">
        <f t="shared" ca="1" si="181"/>
        <v>Industrial heating technology Food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INDFDRHWCHN4</v>
      </c>
      <c r="E238" s="223" t="str">
        <f t="shared" ca="1" si="181"/>
        <v>Industrial heating technology Food RH - Wood chip boiler (Hot Water- condensing) - new 4</v>
      </c>
      <c r="F238" s="279" t="s">
        <v>450</v>
      </c>
      <c r="G238" s="279" t="s">
        <v>449</v>
      </c>
      <c r="H238" s="278"/>
      <c r="I238" s="278"/>
      <c r="J238" s="281" t="s">
        <v>469</v>
      </c>
    </row>
    <row r="239" spans="1:16">
      <c r="B239" s="223"/>
      <c r="C239" s="222" t="str">
        <f t="shared" ca="1" si="182"/>
        <v>*</v>
      </c>
      <c r="D239" s="223" t="str">
        <f t="shared" ca="1" si="184"/>
        <v>*</v>
      </c>
      <c r="E239" s="223" t="str">
        <f t="shared" ca="1" si="181"/>
        <v>Industrial heating technology Food MT - Heat pump utilizing waste heat - new 1</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Food MT - Heat pump utilizing waste heat - new 1</v>
      </c>
      <c r="F240" s="279" t="s">
        <v>450</v>
      </c>
      <c r="G240" s="279" t="s">
        <v>449</v>
      </c>
      <c r="H240" s="334" t="s">
        <v>665</v>
      </c>
      <c r="I240" s="278"/>
      <c r="J240" s="281" t="s">
        <v>469</v>
      </c>
    </row>
    <row r="241" spans="1:10">
      <c r="B241" s="223"/>
      <c r="C241" s="222" t="str">
        <f t="shared" ca="1" si="182"/>
        <v>DMD</v>
      </c>
      <c r="D241" s="223" t="str">
        <f t="shared" ca="1" si="184"/>
        <v>INDFDHTDSEN1</v>
      </c>
      <c r="E241" s="223" t="str">
        <f t="shared" ca="1" si="181"/>
        <v>Industrial heating technology Food HT - Oil boiler (Steam) - new 1</v>
      </c>
      <c r="F241" s="279" t="s">
        <v>450</v>
      </c>
      <c r="G241" s="279" t="s">
        <v>449</v>
      </c>
      <c r="H241" s="278"/>
      <c r="I241" s="278"/>
      <c r="J241" s="281" t="s">
        <v>469</v>
      </c>
    </row>
    <row r="242" spans="1:10">
      <c r="B242" s="223"/>
      <c r="C242" s="222" t="str">
        <f t="shared" ca="1" si="182"/>
        <v>DMD</v>
      </c>
      <c r="D242" s="223" t="str">
        <f t="shared" ca="1" si="184"/>
        <v>INDFDMTDSEN1</v>
      </c>
      <c r="E242" s="223" t="str">
        <f t="shared" ca="1" si="181"/>
        <v>Industrial heating technology Food MT - Oil boiler (Steam) - new 1</v>
      </c>
      <c r="F242" s="279" t="s">
        <v>450</v>
      </c>
      <c r="G242" s="279" t="s">
        <v>449</v>
      </c>
      <c r="H242" s="278"/>
      <c r="I242" s="278"/>
      <c r="J242" s="281" t="s">
        <v>469</v>
      </c>
    </row>
    <row r="243" spans="1:10">
      <c r="B243" s="223"/>
      <c r="C243" s="222" t="str">
        <f t="shared" ca="1" si="182"/>
        <v>DMD</v>
      </c>
      <c r="D243" s="223" t="str">
        <f t="shared" ca="1" si="184"/>
        <v>INDFDRHDSEN1</v>
      </c>
      <c r="E243" s="223" t="str">
        <f t="shared" ca="1" si="181"/>
        <v>Industrial heating technology Food RH - Oil boiler (Steam) - new 1</v>
      </c>
      <c r="F243" s="279" t="s">
        <v>450</v>
      </c>
      <c r="G243" s="279" t="s">
        <v>449</v>
      </c>
      <c r="H243" s="278"/>
      <c r="I243" s="278"/>
      <c r="J243" s="281" t="s">
        <v>469</v>
      </c>
    </row>
    <row r="244" spans="1:10">
      <c r="A244" s="226"/>
      <c r="B244" s="223"/>
      <c r="C244" s="222" t="str">
        <f t="shared" ca="1" si="182"/>
        <v>DMD</v>
      </c>
      <c r="D244" s="223" t="str">
        <f t="shared" ca="1" si="184"/>
        <v>INDFDMTDSEN2</v>
      </c>
      <c r="E244" s="223" t="str">
        <f t="shared" ca="1" si="181"/>
        <v>Industrial heating technology Food MT - Oil boiler (Steam - condensing) - new 2</v>
      </c>
      <c r="F244" s="279" t="s">
        <v>450</v>
      </c>
      <c r="G244" s="279" t="s">
        <v>449</v>
      </c>
      <c r="H244" s="278"/>
      <c r="I244" s="278"/>
      <c r="J244" s="281" t="s">
        <v>469</v>
      </c>
    </row>
    <row r="245" spans="1:10">
      <c r="A245" s="226"/>
      <c r="B245" s="223"/>
      <c r="C245" s="222" t="str">
        <f t="shared" ca="1" si="182"/>
        <v>DMD</v>
      </c>
      <c r="D245" s="223" t="str">
        <f t="shared" ca="1" si="184"/>
        <v>INDFDRHDSEN2</v>
      </c>
      <c r="E245" s="223" t="str">
        <f t="shared" ref="E245:E268" ca="1" si="185">VLOOKUP(D245,$D$9:$E$206,2,FALSE)</f>
        <v>Industrial heating technology Food RH - Oil boiler (Steam - condensing) - new 2</v>
      </c>
      <c r="F245" s="279" t="s">
        <v>450</v>
      </c>
      <c r="G245" s="279" t="s">
        <v>449</v>
      </c>
      <c r="H245" s="278"/>
      <c r="I245" s="278"/>
      <c r="J245" s="281" t="s">
        <v>469</v>
      </c>
    </row>
    <row r="246" spans="1:10">
      <c r="A246" s="226"/>
      <c r="B246" s="223"/>
      <c r="C246" s="222" t="str">
        <f t="shared" ca="1" si="182"/>
        <v>DMD</v>
      </c>
      <c r="D246" s="223" t="str">
        <f t="shared" ca="1" si="184"/>
        <v>INDFDHTDH2N1</v>
      </c>
      <c r="E246" s="223" t="str">
        <f t="shared" ca="1" si="185"/>
        <v>Industrial heating technology Food HT - Gas boiler (Steam) - new 1</v>
      </c>
      <c r="F246" s="279" t="s">
        <v>450</v>
      </c>
      <c r="G246" s="279" t="s">
        <v>449</v>
      </c>
      <c r="H246" s="278"/>
      <c r="I246" s="278"/>
      <c r="J246" s="281" t="s">
        <v>469</v>
      </c>
    </row>
    <row r="247" spans="1:10">
      <c r="A247" s="226"/>
      <c r="B247" s="223"/>
      <c r="C247" s="222" t="str">
        <f t="shared" ca="1" si="182"/>
        <v>DMD</v>
      </c>
      <c r="D247" s="223" t="str">
        <f t="shared" ca="1" si="184"/>
        <v>INDFDMTDH2N1</v>
      </c>
      <c r="E247" s="223" t="str">
        <f t="shared" ca="1" si="185"/>
        <v>Industrial heating technology Food MT - Gas boiler (Steam) - new 1</v>
      </c>
      <c r="F247" s="279" t="s">
        <v>450</v>
      </c>
      <c r="G247" s="279" t="s">
        <v>449</v>
      </c>
      <c r="H247" s="278"/>
      <c r="I247" s="278"/>
      <c r="J247" s="281" t="s">
        <v>469</v>
      </c>
    </row>
    <row r="248" spans="1:10">
      <c r="B248" s="223"/>
      <c r="C248" s="222" t="str">
        <f t="shared" ca="1" si="182"/>
        <v>DMD</v>
      </c>
      <c r="D248" s="223" t="str">
        <f t="shared" ca="1" si="184"/>
        <v>INDFDRHDH2N1</v>
      </c>
      <c r="E248" s="223" t="str">
        <f t="shared" ca="1" si="185"/>
        <v>Industrial heating technology Food RH - Gas boiler (Steam) - new 1</v>
      </c>
      <c r="F248" s="279" t="s">
        <v>450</v>
      </c>
      <c r="G248" s="279" t="s">
        <v>449</v>
      </c>
      <c r="H248" s="278"/>
      <c r="I248" s="278"/>
      <c r="J248" s="281" t="s">
        <v>469</v>
      </c>
    </row>
    <row r="249" spans="1:10">
      <c r="B249" s="223"/>
      <c r="C249" s="222" t="str">
        <f t="shared" ca="1" si="182"/>
        <v>DMD</v>
      </c>
      <c r="D249" s="223" t="str">
        <f t="shared" ca="1" si="184"/>
        <v>INDFDMTDH2N2</v>
      </c>
      <c r="E249" s="223" t="str">
        <f t="shared" ca="1" si="185"/>
        <v>Industrial heating technology Food MT - Gas boiler (Steam - condensing) - new 2</v>
      </c>
      <c r="F249" s="279" t="s">
        <v>450</v>
      </c>
      <c r="G249" s="279" t="s">
        <v>449</v>
      </c>
      <c r="H249" s="278"/>
      <c r="I249" s="278"/>
      <c r="J249" s="281" t="s">
        <v>469</v>
      </c>
    </row>
    <row r="250" spans="1:10">
      <c r="B250" s="223"/>
      <c r="C250" s="222" t="str">
        <f t="shared" ca="1" si="182"/>
        <v>DMD</v>
      </c>
      <c r="D250" s="223" t="str">
        <f t="shared" ca="1" si="184"/>
        <v>INDFDRHDH2N2</v>
      </c>
      <c r="E250" s="223" t="str">
        <f t="shared" ca="1" si="185"/>
        <v>Industrial heating technology Food RH - Gas boiler (Steam - condensing) - new 2</v>
      </c>
      <c r="F250" s="279" t="s">
        <v>450</v>
      </c>
      <c r="G250" s="279" t="s">
        <v>449</v>
      </c>
      <c r="H250" s="278"/>
      <c r="I250" s="278"/>
      <c r="J250" s="281" t="s">
        <v>469</v>
      </c>
    </row>
    <row r="251" spans="1:10">
      <c r="B251" s="223"/>
      <c r="C251" s="222" t="str">
        <f t="shared" ca="1" si="182"/>
        <v>DMD</v>
      </c>
      <c r="D251" s="223" t="str">
        <f t="shared" ca="1" si="184"/>
        <v>INDFDMTDH2N3</v>
      </c>
      <c r="E251" s="223" t="str">
        <f t="shared" ca="1" si="185"/>
        <v>Industrial heating technology Food MT - Gas boiler (Hot Water) - new 3</v>
      </c>
      <c r="F251" s="279" t="s">
        <v>450</v>
      </c>
      <c r="G251" s="279" t="s">
        <v>449</v>
      </c>
      <c r="H251" s="278"/>
      <c r="I251" s="278"/>
      <c r="J251" s="281" t="s">
        <v>469</v>
      </c>
    </row>
    <row r="252" spans="1:10">
      <c r="B252" s="223"/>
      <c r="C252" s="222" t="str">
        <f t="shared" ca="1" si="182"/>
        <v>DMD</v>
      </c>
      <c r="D252" s="223" t="str">
        <f t="shared" ca="1" si="184"/>
        <v>INDFDRHDH2N3</v>
      </c>
      <c r="E252" s="223" t="str">
        <f t="shared" ca="1" si="185"/>
        <v>Industrial heating technology Food RH - Gas boiler (Hot Water) - new 3</v>
      </c>
      <c r="F252" s="279" t="s">
        <v>450</v>
      </c>
      <c r="G252" s="279" t="s">
        <v>449</v>
      </c>
      <c r="H252" s="278"/>
      <c r="I252" s="278"/>
      <c r="J252" s="281" t="s">
        <v>469</v>
      </c>
    </row>
    <row r="253" spans="1:10">
      <c r="B253" s="223"/>
      <c r="C253" s="222" t="str">
        <f t="shared" ca="1" si="182"/>
        <v>DMD</v>
      </c>
      <c r="D253" s="223" t="str">
        <f t="shared" ca="1" si="184"/>
        <v>INDFDMTDH2N4</v>
      </c>
      <c r="E253" s="223" t="str">
        <f t="shared" ca="1" si="185"/>
        <v>Industrial heating technology Food MT - Gas boiler (Hot Water - condensing) - new 4</v>
      </c>
      <c r="F253" s="279" t="s">
        <v>450</v>
      </c>
      <c r="G253" s="279" t="s">
        <v>449</v>
      </c>
      <c r="H253" s="278"/>
      <c r="I253" s="278"/>
      <c r="J253" s="281" t="s">
        <v>469</v>
      </c>
    </row>
    <row r="254" spans="1:10">
      <c r="B254" s="223"/>
      <c r="C254" s="222" t="str">
        <f t="shared" ca="1" si="182"/>
        <v>DMD</v>
      </c>
      <c r="D254" s="223" t="str">
        <f t="shared" ca="1" si="184"/>
        <v>INDFDRHDH2N4</v>
      </c>
      <c r="E254" s="223" t="str">
        <f t="shared" ca="1" si="185"/>
        <v>Industrial heating technology Food RH - Gas boiler (Hot Water- condensing) - new 4</v>
      </c>
      <c r="F254" s="279" t="s">
        <v>450</v>
      </c>
      <c r="G254" s="279" t="s">
        <v>449</v>
      </c>
      <c r="H254" s="278"/>
      <c r="I254" s="278"/>
      <c r="J254" s="281" t="s">
        <v>469</v>
      </c>
    </row>
    <row r="255" spans="1:10">
      <c r="B255" s="223"/>
      <c r="C255" s="222" t="str">
        <f t="shared" ca="1" si="182"/>
        <v>DMD</v>
      </c>
      <c r="D255" s="223" t="str">
        <f t="shared" ca="1" si="184"/>
        <v>INDFDHTDH2N5</v>
      </c>
      <c r="E255" s="223" t="str">
        <f t="shared" ca="1" si="185"/>
        <v>Industrial heating technology Food HT - Gas boiler (Direct firing) - new 5</v>
      </c>
      <c r="F255" s="279" t="s">
        <v>450</v>
      </c>
      <c r="G255" s="279" t="s">
        <v>449</v>
      </c>
      <c r="H255" s="278"/>
      <c r="I255" s="278"/>
      <c r="J255" s="281" t="s">
        <v>469</v>
      </c>
    </row>
    <row r="256" spans="1:10">
      <c r="B256" s="223"/>
      <c r="C256" s="222" t="str">
        <f t="shared" ca="1" si="182"/>
        <v>DMD</v>
      </c>
      <c r="D256" s="223" t="str">
        <f t="shared" ca="1" si="184"/>
        <v>INDFDMTDH2N5</v>
      </c>
      <c r="E256" s="223" t="str">
        <f t="shared" ca="1" si="185"/>
        <v>Industrial heating technology Food MT - Gas boiler (Direct firing) - new 5</v>
      </c>
      <c r="F256" s="279" t="s">
        <v>450</v>
      </c>
      <c r="G256" s="279" t="s">
        <v>449</v>
      </c>
      <c r="H256" s="278"/>
      <c r="I256" s="278"/>
      <c r="J256" s="281" t="s">
        <v>469</v>
      </c>
    </row>
    <row r="257" spans="2:10">
      <c r="B257" s="223"/>
      <c r="C257" s="222" t="str">
        <f t="shared" ca="1" si="182"/>
        <v>DMD</v>
      </c>
      <c r="D257" s="223" t="str">
        <f t="shared" ca="1" si="184"/>
        <v>INDFDHTCOAN1</v>
      </c>
      <c r="E257" s="223" t="str">
        <f t="shared" ca="1" si="185"/>
        <v>Industrial heating technology Food HT - Coal boiler (Steam) - new 1</v>
      </c>
      <c r="F257" s="279" t="s">
        <v>450</v>
      </c>
      <c r="G257" s="279" t="s">
        <v>449</v>
      </c>
      <c r="H257" s="278"/>
      <c r="I257" s="278"/>
      <c r="J257" s="281" t="s">
        <v>469</v>
      </c>
    </row>
    <row r="258" spans="2:10">
      <c r="B258" s="223"/>
      <c r="C258" s="222" t="str">
        <f t="shared" ca="1" si="182"/>
        <v>DMD</v>
      </c>
      <c r="D258" s="223" t="str">
        <f t="shared" ca="1" si="184"/>
        <v>INDFDMTCOAN1</v>
      </c>
      <c r="E258" s="223" t="str">
        <f t="shared" ca="1" si="185"/>
        <v>Industrial heating technology Food MT - Coal boiler (Steam) - new 1</v>
      </c>
      <c r="F258" s="279" t="s">
        <v>450</v>
      </c>
      <c r="G258" s="279" t="s">
        <v>449</v>
      </c>
      <c r="H258" s="278"/>
      <c r="I258" s="278"/>
      <c r="J258" s="281" t="s">
        <v>469</v>
      </c>
    </row>
    <row r="259" spans="2:10">
      <c r="B259" s="223"/>
      <c r="C259" s="222" t="str">
        <f t="shared" ca="1" si="182"/>
        <v>DMD</v>
      </c>
      <c r="D259" s="223" t="str">
        <f t="shared" ca="1" si="184"/>
        <v>INDFDRHCOAN1</v>
      </c>
      <c r="E259" s="223" t="str">
        <f t="shared" ca="1" si="185"/>
        <v>Industrial heating technology Food RH - Coal boiler (Steam) - new 1</v>
      </c>
      <c r="F259" s="279" t="s">
        <v>450</v>
      </c>
      <c r="G259" s="279" t="s">
        <v>449</v>
      </c>
      <c r="H259" s="278"/>
      <c r="I259" s="278"/>
      <c r="J259" s="281" t="s">
        <v>469</v>
      </c>
    </row>
    <row r="260" spans="2:10">
      <c r="B260" s="223"/>
      <c r="C260" s="222" t="str">
        <f t="shared" ca="1" si="182"/>
        <v>DMD</v>
      </c>
      <c r="D260" s="223" t="str">
        <f t="shared" ca="1" si="184"/>
        <v>INDFDMTCOAN2</v>
      </c>
      <c r="E260" s="223" t="str">
        <f t="shared" ca="1" si="185"/>
        <v>Industrial heating technology Food MT - Coal boiler (Hot Water) - new 2</v>
      </c>
      <c r="F260" s="279" t="s">
        <v>450</v>
      </c>
      <c r="G260" s="279" t="s">
        <v>449</v>
      </c>
      <c r="H260" s="278"/>
      <c r="I260" s="278"/>
      <c r="J260" s="281" t="s">
        <v>469</v>
      </c>
    </row>
    <row r="261" spans="2:10">
      <c r="B261" s="223"/>
      <c r="C261" s="222" t="str">
        <f t="shared" ca="1" si="182"/>
        <v>DMD</v>
      </c>
      <c r="D261" s="223" t="str">
        <f t="shared" ca="1" si="184"/>
        <v>INDFDRHCOAN2</v>
      </c>
      <c r="E261" s="223" t="str">
        <f t="shared" ca="1" si="185"/>
        <v>Industrial heating technology Food RH - Coal boiler (Hot Water) - new 2</v>
      </c>
      <c r="F261" s="279" t="s">
        <v>450</v>
      </c>
      <c r="G261" s="279" t="s">
        <v>449</v>
      </c>
      <c r="H261" s="278"/>
      <c r="I261" s="278"/>
      <c r="J261" s="281" t="s">
        <v>469</v>
      </c>
    </row>
    <row r="262" spans="2:10">
      <c r="B262" s="223"/>
      <c r="C262" s="222" t="str">
        <f t="shared" ca="1" si="182"/>
        <v>DMD</v>
      </c>
      <c r="D262" s="223" t="str">
        <f t="shared" ca="1" si="184"/>
        <v>INDFDRHSOLN1</v>
      </c>
      <c r="E262" s="223" t="str">
        <f t="shared" ca="1" si="185"/>
        <v>Industrial heating technology Food RH - Solar - new 1</v>
      </c>
      <c r="F262" s="279" t="s">
        <v>450</v>
      </c>
      <c r="G262" s="279" t="s">
        <v>449</v>
      </c>
      <c r="H262" s="334" t="s">
        <v>665</v>
      </c>
      <c r="I262" s="278"/>
      <c r="J262" s="281" t="s">
        <v>469</v>
      </c>
    </row>
    <row r="263" spans="2:10">
      <c r="B263" s="223"/>
      <c r="C263" s="222" t="str">
        <f t="shared" si="182"/>
        <v>DMD</v>
      </c>
      <c r="D263" s="949" t="str">
        <f>D187</f>
        <v>INDFDRHHCEN1</v>
      </c>
      <c r="E263" s="949" t="str">
        <f t="shared" ca="1" si="185"/>
        <v>Industrial heating technology Food RH - central district heating - within DH area - new 1</v>
      </c>
      <c r="F263" s="279" t="s">
        <v>450</v>
      </c>
      <c r="G263" s="279" t="s">
        <v>449</v>
      </c>
      <c r="H263" s="334" t="s">
        <v>665</v>
      </c>
      <c r="I263" s="950"/>
      <c r="J263" s="280" t="s">
        <v>469</v>
      </c>
    </row>
    <row r="264" spans="2:10">
      <c r="B264" s="223"/>
      <c r="C264" s="222" t="str">
        <f t="shared" si="182"/>
        <v>DMD</v>
      </c>
      <c r="D264" s="223" t="str">
        <f t="shared" ref="D264" si="186">D188</f>
        <v>INDFDRHHDEN1</v>
      </c>
      <c r="E264" s="223" t="str">
        <f t="shared" ca="1" si="185"/>
        <v>Industrial heating technology Food RH - decentral district heating - within DH area - new 1</v>
      </c>
      <c r="F264" s="279" t="s">
        <v>450</v>
      </c>
      <c r="G264" s="279" t="s">
        <v>449</v>
      </c>
      <c r="H264" s="334" t="s">
        <v>665</v>
      </c>
      <c r="I264" s="278"/>
      <c r="J264" s="281" t="s">
        <v>469</v>
      </c>
    </row>
    <row r="265" spans="2:10">
      <c r="B265" s="223"/>
      <c r="C265" s="222" t="str">
        <f t="shared" si="182"/>
        <v>DMD</v>
      </c>
      <c r="D265" s="223" t="str">
        <f>D190</f>
        <v>INDFDLAELCN1</v>
      </c>
      <c r="E265" s="223" t="str">
        <f t="shared" ca="1" si="185"/>
        <v>Industry Food LA Electricity Light Appliance - New 1</v>
      </c>
      <c r="F265" s="279" t="s">
        <v>450</v>
      </c>
      <c r="G265" s="279" t="s">
        <v>449</v>
      </c>
      <c r="H265" s="334" t="s">
        <v>665</v>
      </c>
      <c r="I265" s="278"/>
      <c r="J265" s="281" t="s">
        <v>469</v>
      </c>
    </row>
    <row r="266" spans="2:10">
      <c r="B266" s="223"/>
      <c r="C266" s="222" t="str">
        <f t="shared" si="182"/>
        <v>DMD</v>
      </c>
      <c r="D266" s="223" t="str">
        <f>D194</f>
        <v>INDFDEMELCN1</v>
      </c>
      <c r="E266" s="223" t="str">
        <f t="shared" ca="1" si="185"/>
        <v>Industry Food EM Electricity Motors - New 1</v>
      </c>
      <c r="F266" s="279" t="s">
        <v>450</v>
      </c>
      <c r="G266" s="279" t="s">
        <v>449</v>
      </c>
      <c r="H266" s="334" t="s">
        <v>665</v>
      </c>
      <c r="I266" s="278"/>
      <c r="J266" s="281" t="s">
        <v>469</v>
      </c>
    </row>
    <row r="267" spans="2:10">
      <c r="B267" s="223"/>
      <c r="C267" s="222" t="str">
        <f t="shared" si="182"/>
        <v>DMD</v>
      </c>
      <c r="D267" s="223" t="str">
        <f>D198</f>
        <v>INDFDTFDSLN1</v>
      </c>
      <c r="E267" s="223" t="str">
        <f t="shared" ca="1" si="185"/>
        <v>Industry Food TF Tractors, Trucks, Fishing boats - New 1</v>
      </c>
      <c r="F267" s="279" t="s">
        <v>450</v>
      </c>
      <c r="G267" s="279" t="s">
        <v>449</v>
      </c>
      <c r="H267" s="278"/>
      <c r="I267" s="278"/>
      <c r="J267" s="281" t="s">
        <v>469</v>
      </c>
    </row>
    <row r="268" spans="2:10">
      <c r="B268" s="223"/>
      <c r="C268" s="222" t="str">
        <f t="shared" si="182"/>
        <v>DMD</v>
      </c>
      <c r="D268" s="223" t="str">
        <f>D202</f>
        <v>INDFDFLDH2N1</v>
      </c>
      <c r="E268" s="223" t="str">
        <f t="shared" ca="1" si="185"/>
        <v>Industry Food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IFDSOx</v>
      </c>
      <c r="E273" s="287" t="str">
        <f>"Industrial heating  heating technology "&amp;$AJ$12&amp;" - SOx emission"</f>
        <v>Industrial heating  heating technology Food - SOx emission</v>
      </c>
      <c r="F273" s="231" t="s">
        <v>352</v>
      </c>
      <c r="G273" s="222"/>
      <c r="H273" s="222"/>
      <c r="I273" s="222"/>
      <c r="J273" s="222"/>
    </row>
    <row r="274" spans="2:10">
      <c r="B274" s="226"/>
      <c r="C274" s="226"/>
      <c r="D274" s="277" t="str">
        <f>"I"&amp;LEFT($AJ$12,1)&amp;"DNOx"</f>
        <v>IFDNOx</v>
      </c>
      <c r="E274" s="287" t="str">
        <f>"Industrial heating  heating technology "&amp;$AJ$12&amp;" - NOx emission"</f>
        <v>Industrial heating  heating technology Food - NOx emission</v>
      </c>
      <c r="F274" s="231" t="s">
        <v>352</v>
      </c>
      <c r="G274" s="222"/>
      <c r="H274" s="226"/>
      <c r="I274" s="226"/>
      <c r="J274" s="226"/>
    </row>
    <row r="275" spans="2:10">
      <c r="B275" s="226"/>
      <c r="C275" s="226"/>
      <c r="D275" s="277" t="str">
        <f>"I"&amp;LEFT($AJ$12,1)&amp;"DCH4"</f>
        <v>IFDCH4</v>
      </c>
      <c r="E275" s="287" t="str">
        <f>"Industrial heating  heating technology "&amp;$AJ$12&amp;" - CH4 emission"</f>
        <v>Industrial heating  heating technology Food - CH4 emission</v>
      </c>
      <c r="F275" s="231" t="s">
        <v>352</v>
      </c>
      <c r="G275" s="222"/>
      <c r="H275" s="226"/>
      <c r="I275" s="226"/>
      <c r="J275" s="226"/>
    </row>
    <row r="276" spans="2:10">
      <c r="B276" s="226"/>
      <c r="C276" s="226"/>
      <c r="D276" s="277" t="str">
        <f>"I"&amp;LEFT($AJ$12,1)&amp;"DNO2"</f>
        <v>IFDNO2</v>
      </c>
      <c r="E276" s="287" t="str">
        <f>"Industrial heating  heating technology "&amp;$AJ$12&amp;" - NO2 emission"</f>
        <v>Industrial heating  heating technology Food - NO2 emission</v>
      </c>
      <c r="F276" s="231" t="s">
        <v>352</v>
      </c>
      <c r="G276" s="222"/>
      <c r="H276" s="226"/>
      <c r="I276" s="226"/>
      <c r="J276" s="226"/>
    </row>
    <row r="277" spans="2:10">
      <c r="B277" s="226"/>
      <c r="C277" s="226"/>
      <c r="D277" s="277" t="str">
        <f>"I"&amp;LEFT($AJ$12,1)&amp;"DPM"</f>
        <v>IFDPM</v>
      </c>
      <c r="E277" s="287" t="str">
        <f>"Industrial heating  heating technology "&amp;$AJ$12&amp;" - Particle emission"</f>
        <v>Industrial heating  heating technology Food - Particle emission</v>
      </c>
      <c r="F277" s="231" t="s">
        <v>352</v>
      </c>
      <c r="G277" s="222"/>
      <c r="H277" s="226"/>
      <c r="I277" s="226"/>
      <c r="J277" s="226"/>
    </row>
    <row r="278" spans="2:10">
      <c r="B278" s="239" t="s">
        <v>1182</v>
      </c>
      <c r="D278" s="239" t="str">
        <f>AI20</f>
        <v>INDFWH</v>
      </c>
      <c r="E278" s="287" t="str">
        <f>"Industrial heating technology "&amp;$AJ$12&amp;" - Waste heat"</f>
        <v>Industrial heating technology Food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1F428BB-C9C7-4014-A67F-DC479BE993B0}">
          <x14:formula1>
            <xm:f>'Oil-fired boiler_NEW'!$T$4:$X$4</xm:f>
          </x14:formula1>
          <xm:sqref>E1</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619A-1E28-4505-A75F-CB24B93BF7C1}">
  <sheetPr>
    <tabColor rgb="FF00B050"/>
  </sheetPr>
  <dimension ref="A1:AP278"/>
  <sheetViews>
    <sheetView topLeftCell="F5" zoomScale="70" zoomScaleNormal="70" workbookViewId="0">
      <selection activeCell="G108" sqref="G108"/>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843</v>
      </c>
      <c r="N1" s="64"/>
      <c r="O1" s="64"/>
      <c r="P1" s="64"/>
      <c r="S1" s="787" t="s">
        <v>1129</v>
      </c>
      <c r="T1" s="836" t="s">
        <v>1128</v>
      </c>
      <c r="U1" s="835" t="s">
        <v>1178</v>
      </c>
      <c r="V1" s="836" t="s">
        <v>1179</v>
      </c>
      <c r="W1" s="840">
        <v>0.3</v>
      </c>
    </row>
    <row r="2" spans="2:42" ht="15" thickBot="1">
      <c r="E2" s="790" t="s">
        <v>522</v>
      </c>
      <c r="N2" s="791"/>
      <c r="O2" s="791"/>
      <c r="P2" s="791"/>
      <c r="S2" s="786">
        <f>MATCH($E$1,$AJ$22:$AJ$35)</f>
        <v>11</v>
      </c>
      <c r="T2" s="838">
        <f>MATCH($E$1,$AJ$22:$AJ$35)+1</f>
        <v>12</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FEMIS~ICDSOx</v>
      </c>
      <c r="Y6" s="299" t="str">
        <f>"FEMIS~"&amp;D274</f>
        <v>FEMIS~ICDNOx</v>
      </c>
      <c r="Z6" s="299" t="str">
        <f>"FEMIS~"&amp;D275</f>
        <v>FEMIS~ICDCH4</v>
      </c>
      <c r="AA6" s="299" t="str">
        <f>"FEMIS~"&amp;D276</f>
        <v>FEMIS~ICDNO2</v>
      </c>
      <c r="AB6" s="299" t="str">
        <f>"FEMIS~"&amp;D277</f>
        <v>FEMIS~ICDPM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INDCDMTELCN1</v>
      </c>
      <c r="E9" s="278" t="str">
        <f>"Industrial heating technology "&amp;$AJ$12&amp;" "&amp;RIGHT(H9,2)&amp;" - Heat pump utilizing waste heat - new 1"</f>
        <v>Industrial heating technology Chemical MT - Heat pump utilizing waste heat - new 1</v>
      </c>
      <c r="F9" s="239" t="s">
        <v>1274</v>
      </c>
      <c r="G9" s="176" t="s">
        <v>500</v>
      </c>
      <c r="H9" s="177" t="str">
        <f>$AI$14</f>
        <v>ICDMT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0.14000000000000001</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
      </c>
      <c r="E10" s="278"/>
      <c r="F10" s="239" t="s">
        <v>1274</v>
      </c>
      <c r="G10" s="176" t="str">
        <f>$AI$20</f>
        <v>INDCWH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
      </c>
      <c r="E11" s="223"/>
      <c r="F11" s="239" t="s">
        <v>1274</v>
      </c>
      <c r="G11" s="176" t="s">
        <v>500</v>
      </c>
      <c r="H11" s="177" t="str">
        <f>$AI$14</f>
        <v>ICDMT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
      </c>
      <c r="E12" s="223"/>
      <c r="F12" s="239" t="s">
        <v>1274</v>
      </c>
      <c r="G12" s="176" t="str">
        <f>$AI$20</f>
        <v>INDCWH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Chemical</v>
      </c>
    </row>
    <row r="13" spans="2:42">
      <c r="B13" s="393" t="s">
        <v>1123</v>
      </c>
      <c r="D13" s="223" t="str">
        <f ca="1">IF(T9=0,"*",IF(T13&gt;0,"IND"&amp;RIGHT(H9,4)&amp;RIGHT(G9,3)&amp;"N"&amp;RIGHT(E9,1),""))</f>
        <v/>
      </c>
      <c r="E13" s="223"/>
      <c r="F13" s="239" t="s">
        <v>1274</v>
      </c>
      <c r="G13" s="176" t="s">
        <v>500</v>
      </c>
      <c r="H13" s="177" t="str">
        <f>$AI$14</f>
        <v>ICDMT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ICDHT</v>
      </c>
      <c r="AJ13" s="239" t="str">
        <f>AP14</f>
        <v>Chemical industry Demand Heat High Temp. over 150C</v>
      </c>
      <c r="AO13" s="239" t="s">
        <v>1288</v>
      </c>
      <c r="AP13" s="239" t="s">
        <v>1289</v>
      </c>
    </row>
    <row r="14" spans="2:42">
      <c r="B14" s="393" t="s">
        <v>1123</v>
      </c>
      <c r="D14" s="223" t="str">
        <f ca="1">IF(T9=0,"*",IF(T14&gt;0,"IND"&amp;RIGHT(H9,4)&amp;RIGHT(G9,3)&amp;"N"&amp;RIGHT(E9,1),""))</f>
        <v/>
      </c>
      <c r="E14" s="223"/>
      <c r="F14" s="239" t="s">
        <v>1274</v>
      </c>
      <c r="G14" s="176" t="str">
        <f>$AI$20</f>
        <v>INDCWH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ICDMT</v>
      </c>
      <c r="AJ14" s="239" t="str">
        <f>AP13</f>
        <v>Chemical industry Demand Heat Medium Temp. up to 150C</v>
      </c>
      <c r="AO14" s="239" t="s">
        <v>1290</v>
      </c>
      <c r="AP14" s="239" t="s">
        <v>1291</v>
      </c>
    </row>
    <row r="15" spans="2:42">
      <c r="B15" s="393" t="s">
        <v>1123</v>
      </c>
      <c r="D15" s="223" t="str">
        <f ca="1">IF(T15=0,"*",IF(T15&gt;0,"IND"&amp;RIGHT(H15,4)&amp;RIGHT(G15,3)&amp;"N"&amp;RIGHT(E15,1),""))</f>
        <v>INDCDRHELCN1</v>
      </c>
      <c r="E15" s="278" t="str">
        <f>"Industrial heating technology "&amp;$AJ$12&amp;" "&amp;RIGHT(H15,2)&amp;" - Heat pump utilizing waste heat - new 1"</f>
        <v>Industrial heating technology Chemical RH - Heat pump utilizing waste heat - new 1</v>
      </c>
      <c r="F15" s="239" t="s">
        <v>1274</v>
      </c>
      <c r="G15" s="176" t="s">
        <v>500</v>
      </c>
      <c r="H15" s="177" t="str">
        <f>$AI$15</f>
        <v>ICDRH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ICDRH</v>
      </c>
      <c r="AJ15" s="239" t="str">
        <f>AP15</f>
        <v>Chemical industry Demand Heat Room Heat</v>
      </c>
      <c r="AO15" s="239" t="s">
        <v>1292</v>
      </c>
      <c r="AP15" s="239" t="s">
        <v>1293</v>
      </c>
    </row>
    <row r="16" spans="2:42">
      <c r="B16" s="393" t="s">
        <v>1123</v>
      </c>
      <c r="D16" s="223" t="str">
        <f ca="1">IF(T15=0,"*",IF(T16&gt;0,"IND"&amp;RIGHT(H15,4)&amp;RIGHT(G15,3)&amp;"N"&amp;RIGHT(E15,1),""))</f>
        <v/>
      </c>
      <c r="E16" s="278"/>
      <c r="F16" s="239" t="s">
        <v>1274</v>
      </c>
      <c r="G16" s="176" t="str">
        <f>$AI$20</f>
        <v>INDCWH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ICDLA</v>
      </c>
      <c r="AJ16" s="239" t="str">
        <f t="shared" si="6"/>
        <v>Chemical industry Demand Light</v>
      </c>
      <c r="AO16" s="239" t="s">
        <v>1294</v>
      </c>
      <c r="AP16" s="239" t="s">
        <v>1295</v>
      </c>
    </row>
    <row r="17" spans="2:42">
      <c r="B17" s="393" t="s">
        <v>1123</v>
      </c>
      <c r="D17" s="223" t="str">
        <f ca="1">IF(T15=0,"*",IF(T17&gt;0,"IND"&amp;RIGHT(H15,4)&amp;RIGHT(G15,3)&amp;"N"&amp;RIGHT(E15,1),""))</f>
        <v/>
      </c>
      <c r="E17" s="223"/>
      <c r="F17" s="239" t="s">
        <v>1274</v>
      </c>
      <c r="G17" s="176" t="s">
        <v>500</v>
      </c>
      <c r="H17" s="177" t="str">
        <f>$AI$15</f>
        <v>ICDRH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ICDEM</v>
      </c>
      <c r="AJ17" s="239" t="str">
        <f t="shared" si="6"/>
        <v>Chemical industry Demand Electric Motors</v>
      </c>
      <c r="AO17" s="239" t="s">
        <v>1296</v>
      </c>
      <c r="AP17" s="239" t="s">
        <v>1297</v>
      </c>
    </row>
    <row r="18" spans="2:42">
      <c r="B18" s="393" t="s">
        <v>1123</v>
      </c>
      <c r="D18" s="223" t="str">
        <f ca="1">IF(T15=0,"*",IF(T18&gt;0,"IND"&amp;RIGHT(H15,4)&amp;RIGHT(G15,3)&amp;"N"&amp;RIGHT(E15,1),""))</f>
        <v/>
      </c>
      <c r="E18" s="223"/>
      <c r="F18" s="239" t="s">
        <v>1274</v>
      </c>
      <c r="G18" s="176" t="str">
        <f>$AI$20</f>
        <v>INDCWH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ICDTF</v>
      </c>
      <c r="AJ18" s="239" t="str">
        <f t="shared" si="6"/>
        <v>Chemical industry Demand Haulage Tractors, Trucks, Fishing boats, Forest machines</v>
      </c>
      <c r="AO18" s="239" t="s">
        <v>1298</v>
      </c>
      <c r="AP18" s="239" t="s">
        <v>1299</v>
      </c>
    </row>
    <row r="19" spans="2:42">
      <c r="B19" s="393" t="s">
        <v>1123</v>
      </c>
      <c r="D19" s="223" t="str">
        <f ca="1">IF(T15=0,"*",IF(T19&gt;0,"IND"&amp;RIGHT(H15,4)&amp;RIGHT(G15,3)&amp;"N"&amp;RIGHT(E15,1),""))</f>
        <v/>
      </c>
      <c r="E19" s="223"/>
      <c r="F19" s="239" t="s">
        <v>1274</v>
      </c>
      <c r="G19" s="176" t="s">
        <v>500</v>
      </c>
      <c r="H19" s="177" t="str">
        <f>$AI$15</f>
        <v>ICDRH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ICDFL</v>
      </c>
      <c r="AJ19" s="239" t="str">
        <f t="shared" si="6"/>
        <v>Chemical industry Demand Haulage Forklifts</v>
      </c>
      <c r="AO19" s="239" t="s">
        <v>1300</v>
      </c>
      <c r="AP19" s="239" t="s">
        <v>1301</v>
      </c>
    </row>
    <row r="20" spans="2:42">
      <c r="B20" s="393" t="s">
        <v>1123</v>
      </c>
      <c r="D20" s="223" t="str">
        <f ca="1">IF(T15=0,"*",IF(T20&gt;0,"IND"&amp;RIGHT(H15,4)&amp;RIGHT(G15,3)&amp;"N"&amp;RIGHT(E15,1),""))</f>
        <v/>
      </c>
      <c r="E20" s="223"/>
      <c r="F20" s="239" t="s">
        <v>1274</v>
      </c>
      <c r="G20" s="176" t="str">
        <f>$AI$20</f>
        <v>INDCWH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c r="AB20" s="81"/>
      <c r="AC20" s="241"/>
      <c r="AD20" s="81"/>
      <c r="AE20" s="81"/>
      <c r="AF20" s="232"/>
      <c r="AI20" s="36" t="str">
        <f>"IND"&amp;MID(AI19,2,1)&amp;"WH"</f>
        <v>INDCWH</v>
      </c>
      <c r="AJ20" s="239" t="str">
        <f>$AJ$12&amp;" Industrial Waste Heat"</f>
        <v>Chemical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Chemical MT - Heat driven heat pump utilizing waste heat - new 2</v>
      </c>
      <c r="F21" s="239" t="s">
        <v>1274</v>
      </c>
      <c r="G21" s="176" t="s">
        <v>500</v>
      </c>
      <c r="H21" s="177" t="str">
        <f>$AI$14</f>
        <v>ICDMT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INDCWH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ICDMT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INDCWH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ICDMT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INDCWH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INDCDRHELCN2</v>
      </c>
      <c r="E27" s="278" t="str">
        <f>"Industrial heating technology "&amp;$AJ$12&amp;" "&amp;RIGHT(H27,2)&amp;" - Heat driven heat pump utilizing waste heat - new 2"</f>
        <v>Industrial heating technology Chemical RH - Heat driven heat pump utilizing waste heat - new 2</v>
      </c>
      <c r="F27" s="239" t="s">
        <v>1274</v>
      </c>
      <c r="G27" s="176" t="s">
        <v>500</v>
      </c>
      <c r="H27" s="177" t="str">
        <f>$AI$15</f>
        <v>ICDRH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INDCWH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ICDRH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INDCWH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ICDRH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INDCWH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INDCDMTELCN3</v>
      </c>
      <c r="E33" s="278" t="str">
        <f>"Industrial heating technology "&amp;$AJ$12&amp;" "&amp;RIGHT(H33,2)&amp;" - High Temp abs. Heat pump utilizing waste heat - new 3"</f>
        <v>Industrial heating technology Chemical MT - High Temp abs. Heat pump utilizing waste heat - new 3</v>
      </c>
      <c r="F33" s="239" t="s">
        <v>1274</v>
      </c>
      <c r="G33" s="176" t="s">
        <v>500</v>
      </c>
      <c r="H33" s="177" t="str">
        <f>$AI$14</f>
        <v>ICDMT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0.17</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INDCWH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ICDMT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INDCWH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ICDMT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INDCWH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INDCDRHELCN3</v>
      </c>
      <c r="E39" s="278" t="str">
        <f>"Industrial heating technology "&amp;$AJ$12&amp;" "&amp;RIGHT(H39,2)&amp;" - High Temp abs. Heat pump utilizing waste heat - new 3"</f>
        <v>Industrial heating technology Chemical RH - High Temp abs. Heat pump utilizing waste heat - new 3</v>
      </c>
      <c r="F39" s="239" t="s">
        <v>1274</v>
      </c>
      <c r="G39" s="176" t="s">
        <v>500</v>
      </c>
      <c r="H39" s="177" t="str">
        <f>$AI$15</f>
        <v>ICDRH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INDCWH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ICDRH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INDCWH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ICDRH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INDCWH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INDCDMTELCN4</v>
      </c>
      <c r="E45" s="278" t="str">
        <f>"Industrial heating technology "&amp;$AJ$12&amp;" "&amp;RIGHT(H45,2)&amp;" - Booster Heat pump utilizing waste heat - new 4"</f>
        <v>Industrial heating technology Chemical MT - Booster Heat pump utilizing waste heat - new 4</v>
      </c>
      <c r="F45" s="239" t="s">
        <v>1274</v>
      </c>
      <c r="G45" s="176" t="s">
        <v>500</v>
      </c>
      <c r="H45" s="177" t="str">
        <f>$AI$14</f>
        <v>ICDMT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0.66</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INDCWH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ICDMT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INDCWH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ICDMT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INDCWH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INDCDRHELCN4</v>
      </c>
      <c r="E51" s="278" t="str">
        <f>"Industrial heating technology "&amp;$AJ$12&amp;" "&amp;RIGHT(H51,2)&amp;" - Booster Heat pump utilizing waste heat - new 4"</f>
        <v>Industrial heating technology Chemical RH - Booster Heat pump utilizing waste heat - new 4</v>
      </c>
      <c r="F51" s="239" t="s">
        <v>1274</v>
      </c>
      <c r="G51" s="176" t="s">
        <v>500</v>
      </c>
      <c r="H51" s="177" t="str">
        <f>$AI$15</f>
        <v>ICDRH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INDCWH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ICDRH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INDCWH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ICDRH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INDCWH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INDCDMTELCN5</v>
      </c>
      <c r="E57" s="278" t="str">
        <f>"Industrial heating technology "&amp;$AJ$12&amp;" "&amp;RIGHT(H57,2)&amp;" - MVR utilizing waste heat - new 5"</f>
        <v>Industrial heating technology Chemical MT - MVR utilizing waste heat - new 5</v>
      </c>
      <c r="F57" s="239" t="s">
        <v>1274</v>
      </c>
      <c r="G57" s="176" t="s">
        <v>500</v>
      </c>
      <c r="H57" s="177" t="str">
        <f>$AI$14</f>
        <v>ICDMT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0.41</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INDCWH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ICDMT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INDCWH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ICDMT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INDCWH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Chemical HT - Hotdisc - new 1</v>
      </c>
      <c r="F63" s="239" t="s">
        <v>1274</v>
      </c>
      <c r="G63" s="892" t="s">
        <v>1130</v>
      </c>
      <c r="H63" s="177" t="str">
        <f>$AI$13</f>
        <v>ICDHT</v>
      </c>
      <c r="I63" s="176" t="str">
        <f t="shared" ref="I63:I94" si="53">$AI$20</f>
        <v>INDCWH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INDCWH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INDCWH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Chemical MT - Dielectric heating - new 6</v>
      </c>
      <c r="F66" s="239" t="s">
        <v>1274</v>
      </c>
      <c r="G66" s="176" t="s">
        <v>500</v>
      </c>
      <c r="H66" s="177" t="str">
        <f>$AI$14</f>
        <v>ICDMT</v>
      </c>
      <c r="I66" s="176" t="str">
        <f t="shared" si="53"/>
        <v>INDCWH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INDCWH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INDCWH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Chemical MT - Infrared heating - new 7</v>
      </c>
      <c r="F69" s="239" t="s">
        <v>1274</v>
      </c>
      <c r="G69" s="176" t="s">
        <v>500</v>
      </c>
      <c r="H69" s="177" t="str">
        <f>$AI$14</f>
        <v>ICDMT</v>
      </c>
      <c r="I69" s="176" t="str">
        <f t="shared" si="53"/>
        <v>INDCWH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v>
      </c>
      <c r="E70" s="223"/>
      <c r="F70" s="239" t="s">
        <v>1274</v>
      </c>
      <c r="H70" s="177"/>
      <c r="I70" s="176" t="str">
        <f t="shared" si="53"/>
        <v>INDCWH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v>
      </c>
      <c r="E71" s="223"/>
      <c r="F71" s="239" t="s">
        <v>1274</v>
      </c>
      <c r="H71" s="177"/>
      <c r="I71" s="177" t="str">
        <f t="shared" si="53"/>
        <v>INDCWH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INDCDHTELCN8</v>
      </c>
      <c r="E72" s="278" t="str">
        <f>"Industrial heating technology "&amp;$AJ$12&amp;" "&amp;RIGHT(H72,2)&amp;" - Electric boiler (Steam) - new 8"</f>
        <v>Industrial heating technology Chemical HT - Electric boiler (Steam) - new 8</v>
      </c>
      <c r="F72" s="239" t="s">
        <v>1274</v>
      </c>
      <c r="G72" s="176" t="s">
        <v>500</v>
      </c>
      <c r="H72" s="177" t="str">
        <f>$AI$13</f>
        <v>ICDHT</v>
      </c>
      <c r="I72" s="177" t="str">
        <f t="shared" si="53"/>
        <v>INDCWH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INDCWH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INDCWH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INDCDMTELCN8</v>
      </c>
      <c r="E75" s="278" t="str">
        <f>"Industrial heating technology "&amp;$AJ$12&amp;" "&amp;RIGHT(H75,2)&amp;" - Electric boiler (Steam) - new 8"</f>
        <v>Industrial heating technology Chemical MT - Electric boiler (Steam) - new 8</v>
      </c>
      <c r="F75" s="239" t="s">
        <v>1274</v>
      </c>
      <c r="G75" s="176" t="s">
        <v>500</v>
      </c>
      <c r="H75" s="177" t="str">
        <f>$AI$14</f>
        <v>ICDMT</v>
      </c>
      <c r="I75" s="177" t="str">
        <f t="shared" si="53"/>
        <v>INDCWH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INDCWH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INDCWH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INDCDRHELCN8</v>
      </c>
      <c r="E78" s="278" t="str">
        <f>"Industrial heating technology "&amp;$AJ$12&amp;" "&amp;RIGHT(H78,2)&amp;" - Electric boiler (Steam) - new 8"</f>
        <v>Industrial heating technology Chemical RH - Electric boiler (Steam) - new 8</v>
      </c>
      <c r="F78" s="239" t="s">
        <v>1274</v>
      </c>
      <c r="G78" s="176" t="s">
        <v>500</v>
      </c>
      <c r="H78" s="177" t="str">
        <f>$AI$15</f>
        <v>ICDRH</v>
      </c>
      <c r="I78" s="177" t="str">
        <f t="shared" si="53"/>
        <v>INDCWH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
      </c>
      <c r="E79" s="223"/>
      <c r="F79" s="239" t="s">
        <v>1274</v>
      </c>
      <c r="H79" s="177"/>
      <c r="I79" s="177" t="str">
        <f t="shared" si="53"/>
        <v>INDCWH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
      </c>
      <c r="E80" s="223"/>
      <c r="F80" s="239" t="s">
        <v>1274</v>
      </c>
      <c r="H80" s="177"/>
      <c r="I80" s="177" t="str">
        <f t="shared" si="53"/>
        <v>INDCWH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INDCDMTELCN9</v>
      </c>
      <c r="E81" s="767" t="str">
        <f>"Industrial heating technology "&amp;$AJ$12&amp;" "&amp;RIGHT(H81,2)&amp;" - Electric boiler (Hot Water) - new 9"</f>
        <v>Industrial heating technology Chemical MT - Electric boiler (Hot Water) - new 9</v>
      </c>
      <c r="F81" s="239" t="s">
        <v>1274</v>
      </c>
      <c r="G81" s="768" t="s">
        <v>500</v>
      </c>
      <c r="H81" s="768" t="str">
        <f>$AI$14</f>
        <v>ICDMT</v>
      </c>
      <c r="I81" s="768" t="str">
        <f t="shared" si="53"/>
        <v>INDCWH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INDCWH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INDCWH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INDCDRHELCN9</v>
      </c>
      <c r="E84" s="278" t="str">
        <f>"Industrial heating technology "&amp;$AJ$12&amp;" "&amp;RIGHT(H84,2)&amp;" - Electric boiler (Hot Water) - new 9"</f>
        <v>Industrial heating technology Chemical RH - Electric boiler (Hot Water) - new 9</v>
      </c>
      <c r="F84" s="239" t="s">
        <v>1274</v>
      </c>
      <c r="G84" s="177" t="s">
        <v>500</v>
      </c>
      <c r="H84" s="177" t="str">
        <f>$AI$15</f>
        <v>ICDRH</v>
      </c>
      <c r="I84" s="177" t="str">
        <f t="shared" si="53"/>
        <v>INDCWH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3"/>
        <v>INDCWH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3"/>
        <v>INDCWH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INDCDHTWCHN1</v>
      </c>
      <c r="E87" s="278" t="str">
        <f>"Industrial heating technology "&amp;$AJ$12&amp;" "&amp;RIGHT(H87,2)&amp;" - Wood chip boiler (Steam) - new 1"</f>
        <v>Industrial heating technology Chemical HT - Wood chip boiler (Steam) - new 1</v>
      </c>
      <c r="F87" s="239" t="s">
        <v>1274</v>
      </c>
      <c r="G87" s="176" t="s">
        <v>499</v>
      </c>
      <c r="H87" s="177" t="str">
        <f>$AI$13</f>
        <v>ICDHT</v>
      </c>
      <c r="I87" s="177" t="str">
        <f t="shared" si="53"/>
        <v>INDCWH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3"/>
        <v>INDCWH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
      </c>
      <c r="E89" s="223"/>
      <c r="F89" s="239" t="s">
        <v>1274</v>
      </c>
      <c r="H89" s="177"/>
      <c r="I89" s="177" t="str">
        <f t="shared" si="53"/>
        <v>INDCWH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INDCDMTWCHN1</v>
      </c>
      <c r="E90" s="278" t="str">
        <f>"Industrial heating technology "&amp;$AJ$12&amp;" "&amp;RIGHT(H90,2)&amp;" - Wood chip boiler (Steam) - new 1"</f>
        <v>Industrial heating technology Chemical MT - Wood chip boiler (Steam) - new 1</v>
      </c>
      <c r="F90" s="239" t="s">
        <v>1274</v>
      </c>
      <c r="G90" s="176" t="s">
        <v>499</v>
      </c>
      <c r="H90" s="177" t="str">
        <f>$AI$14</f>
        <v>ICDMT</v>
      </c>
      <c r="I90" s="177" t="str">
        <f t="shared" si="53"/>
        <v>INDCWH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1</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INDCWH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INDCWH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INDCDRHWCHN1</v>
      </c>
      <c r="E93" s="278" t="str">
        <f>"Industrial heating technology "&amp;$AJ$12&amp;" "&amp;RIGHT(H93,2)&amp;" - Wood chip boiler (Steam) - new 1"</f>
        <v>Industrial heating technology Chemical RH - Wood chip boiler (Steam) - new 1</v>
      </c>
      <c r="F93" s="239" t="s">
        <v>1274</v>
      </c>
      <c r="G93" s="176" t="s">
        <v>499</v>
      </c>
      <c r="H93" s="177" t="str">
        <f>$AI$15</f>
        <v>ICDRH</v>
      </c>
      <c r="I93" s="177" t="str">
        <f t="shared" si="53"/>
        <v>INDCWH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INDCWH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INDCWH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INDCDMTWCHN2</v>
      </c>
      <c r="E96" s="767" t="str">
        <f>"Industrial heating technology "&amp;$AJ$12&amp;" "&amp;RIGHT(H96,2)&amp;" - Wood chip boiler (Steam - condensing) - new 2"</f>
        <v>Industrial heating technology Chemical MT - Wood chip boiler (Steam - condensing) - new 2</v>
      </c>
      <c r="F96" s="239" t="s">
        <v>1274</v>
      </c>
      <c r="G96" s="768" t="s">
        <v>499</v>
      </c>
      <c r="H96" s="768" t="str">
        <f>$AI$14</f>
        <v>ICDMT</v>
      </c>
      <c r="I96" s="768" t="str">
        <f t="shared" si="80"/>
        <v>INDCWH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1</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INDCWH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INDCWH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INDCDRHWCHN2</v>
      </c>
      <c r="E99" s="278" t="str">
        <f>"Industrial heating technology "&amp;$AJ$12&amp;" "&amp;RIGHT(H99,2)&amp;" - Wood chip boiler (Steam - condensing) - new 2"</f>
        <v>Industrial heating technology Chemical RH - Wood chip boiler (Steam - condensing) - new 2</v>
      </c>
      <c r="F99" s="239" t="s">
        <v>1274</v>
      </c>
      <c r="G99" s="177" t="s">
        <v>499</v>
      </c>
      <c r="H99" s="177" t="str">
        <f>$AI$15</f>
        <v>ICDRH</v>
      </c>
      <c r="I99" s="177" t="str">
        <f t="shared" si="80"/>
        <v>INDCWH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INDCWH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INDCWH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INDCDMTWCHN3</v>
      </c>
      <c r="E102" s="767" t="str">
        <f>"Industrial heating technology "&amp;$AJ$12&amp;" "&amp;RIGHT(H102,2)&amp;" - Wood chip boiler (Hot Water) - new 3"</f>
        <v>Industrial heating technology Chemical MT - Wood chip boiler (Hot Water) - new 3</v>
      </c>
      <c r="F102" s="239" t="s">
        <v>1274</v>
      </c>
      <c r="G102" s="768" t="s">
        <v>499</v>
      </c>
      <c r="H102" s="768" t="str">
        <f>$AI$14</f>
        <v>ICDMT</v>
      </c>
      <c r="I102" s="768" t="str">
        <f t="shared" si="80"/>
        <v>INDCWH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1</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INDCWH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INDCWH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INDCDRHWCHN3</v>
      </c>
      <c r="E105" s="278" t="str">
        <f>"Industrial heating technology "&amp;$AJ$12&amp;" "&amp;RIGHT(H105,2)&amp;" - Wood chip boiler (Hot Water) - new 3"</f>
        <v>Industrial heating technology Chemical RH - Wood chip boiler (Hot Water) - new 3</v>
      </c>
      <c r="F105" s="239" t="s">
        <v>1274</v>
      </c>
      <c r="G105" s="177" t="s">
        <v>499</v>
      </c>
      <c r="H105" s="177" t="str">
        <f>$AI$15</f>
        <v>ICDRH</v>
      </c>
      <c r="I105" s="177" t="str">
        <f t="shared" si="80"/>
        <v>INDCWH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INDCWH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INDCWH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INDCDMTWCHN4</v>
      </c>
      <c r="E108" s="767" t="str">
        <f>"Industrial heating technology "&amp;$AJ$12&amp;" "&amp;RIGHT(H108,2)&amp;" - Wood chip boiler (Hot Water - condensing) - new 4"</f>
        <v>Industrial heating technology Chemical MT - Wood chip boiler (Hot Water - condensing) - new 4</v>
      </c>
      <c r="F108" s="239" t="s">
        <v>1274</v>
      </c>
      <c r="G108" s="768" t="s">
        <v>499</v>
      </c>
      <c r="H108" s="768" t="str">
        <f>$AI$14</f>
        <v>ICDMT</v>
      </c>
      <c r="I108" s="768" t="str">
        <f t="shared" si="80"/>
        <v>INDCWH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1</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INDCWH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INDCWH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INDCDRHWCHN4</v>
      </c>
      <c r="E111" s="278" t="str">
        <f>"Industrial heating technology "&amp;$AJ$12&amp;" "&amp;RIGHT(H111,2)&amp;" - Wood chip boiler (Hot Water- condensing) - new 4"</f>
        <v>Industrial heating technology Chemical RH - Wood chip boiler (Hot Water- condensing) - new 4</v>
      </c>
      <c r="F111" s="239" t="s">
        <v>1274</v>
      </c>
      <c r="G111" s="177" t="s">
        <v>499</v>
      </c>
      <c r="H111" s="177" t="str">
        <f>$AI$15</f>
        <v>ICDRH</v>
      </c>
      <c r="I111" s="177" t="str">
        <f t="shared" si="80"/>
        <v>INDCWH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INDCWH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INDCWH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Chemical HT - Direct electric heating - new 10</v>
      </c>
      <c r="F114" s="239" t="s">
        <v>1274</v>
      </c>
      <c r="G114" s="176" t="s">
        <v>500</v>
      </c>
      <c r="H114" s="177" t="str">
        <f>$AI$13</f>
        <v>ICDHT</v>
      </c>
      <c r="I114" s="177" t="str">
        <f t="shared" si="80"/>
        <v>INDCWH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80"/>
        <v>INDCWH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80"/>
        <v>INDCWH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Chemical MT - Direct electric heating - new 10</v>
      </c>
      <c r="F117" s="239" t="s">
        <v>1274</v>
      </c>
      <c r="G117" s="176" t="s">
        <v>500</v>
      </c>
      <c r="H117" s="177" t="str">
        <f>$AI$14</f>
        <v>ICDMT</v>
      </c>
      <c r="I117" s="177" t="str">
        <f t="shared" si="80"/>
        <v>INDCWH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INDCWH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INDCWH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INDCDHTDSEN1</v>
      </c>
      <c r="E120" s="278" t="str">
        <f>"Industrial heating technology "&amp;$AJ$12&amp;" "&amp;RIGHT(H120,2)&amp;" - Oil boiler (Steam) - new 1"</f>
        <v>Industrial heating technology Chemical HT - Oil boiler (Steam) - new 1</v>
      </c>
      <c r="F120" s="239" t="s">
        <v>1274</v>
      </c>
      <c r="G120" s="176" t="s">
        <v>1437</v>
      </c>
      <c r="H120" s="177" t="str">
        <f>$AI$13</f>
        <v>ICDHT</v>
      </c>
      <c r="I120" s="177" t="str">
        <f t="shared" si="80"/>
        <v>INDCWH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INDCWH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INDCWH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INDCDMTDSEN1</v>
      </c>
      <c r="E123" s="278" t="str">
        <f>"Industrial heating technology "&amp;$AJ$12&amp;" "&amp;RIGHT(H123,2)&amp;" - Oil boiler (Steam) - new 1"</f>
        <v>Industrial heating technology Chemical MT - Oil boiler (Steam) - new 1</v>
      </c>
      <c r="F123" s="239" t="s">
        <v>1274</v>
      </c>
      <c r="G123" s="176" t="s">
        <v>1437</v>
      </c>
      <c r="H123" s="177" t="str">
        <f>$AI$14</f>
        <v>ICDMT</v>
      </c>
      <c r="I123" s="177" t="str">
        <f t="shared" si="80"/>
        <v>INDCWH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1</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INDCWH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INDCWH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INDCDRHDSEN1</v>
      </c>
      <c r="E126" s="278" t="str">
        <f>"Industrial heating technology "&amp;$AJ$12&amp;" "&amp;RIGHT(H126,2)&amp;" - Oil boiler (Steam) - new 1"</f>
        <v>Industrial heating technology Chemical RH - Oil boiler (Steam) - new 1</v>
      </c>
      <c r="F126" s="239" t="s">
        <v>1274</v>
      </c>
      <c r="G126" s="176" t="s">
        <v>1437</v>
      </c>
      <c r="H126" s="177" t="str">
        <f>$AI$15</f>
        <v>ICDRH</v>
      </c>
      <c r="I126" s="177" t="str">
        <f t="shared" si="80"/>
        <v>INDCWH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INDCWH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INDCWH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INDCDMTDSEN2</v>
      </c>
      <c r="E129" s="767" t="str">
        <f>"Industrial heating technology "&amp;$AJ$12&amp;" "&amp;RIGHT(H129,2)&amp;" - Oil boiler (Steam - condensing) - new 2"</f>
        <v>Industrial heating technology Chemical MT - Oil boiler (Steam - condensing) - new 2</v>
      </c>
      <c r="F129" s="239" t="s">
        <v>1274</v>
      </c>
      <c r="G129" s="176" t="s">
        <v>1437</v>
      </c>
      <c r="H129" s="768" t="str">
        <f>$AI$14</f>
        <v>ICDMT</v>
      </c>
      <c r="I129" s="768" t="str">
        <f t="shared" si="115"/>
        <v>INDCWH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1</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INDCWH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INDCWH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INDCDRHDSEN2</v>
      </c>
      <c r="E132" s="278" t="str">
        <f>"Industrial heating technology "&amp;$AJ$12&amp;" "&amp;RIGHT(H132,2)&amp;" - Oil boiler (Steam - condensing) - new 2"</f>
        <v>Industrial heating technology Chemical RH - Oil boiler (Steam - condensing) - new 2</v>
      </c>
      <c r="F132" s="239" t="s">
        <v>1274</v>
      </c>
      <c r="G132" s="176" t="s">
        <v>1437</v>
      </c>
      <c r="H132" s="177" t="str">
        <f>$AI$15</f>
        <v>ICDRH</v>
      </c>
      <c r="I132" s="177" t="str">
        <f t="shared" si="115"/>
        <v>INDCWH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INDCWH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INDCWH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INDCDHTDH2N1</v>
      </c>
      <c r="E135" s="278" t="str">
        <f>"Industrial heating technology "&amp;$AJ$12&amp;" "&amp;RIGHT(H135,2)&amp;" - Gas boiler (Steam) - new 1"</f>
        <v>Industrial heating technology Chemical HT - Gas boiler (Steam) - new 1</v>
      </c>
      <c r="F135" s="239" t="s">
        <v>1274</v>
      </c>
      <c r="G135" s="176" t="s">
        <v>1438</v>
      </c>
      <c r="H135" s="177" t="str">
        <f>$AI$13</f>
        <v>ICDHT</v>
      </c>
      <c r="I135" s="177" t="str">
        <f t="shared" si="115"/>
        <v>INDCWH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INDCWH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INDCWH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INDCDMTDH2N1</v>
      </c>
      <c r="E138" s="278" t="str">
        <f>"Industrial heating technology "&amp;$AJ$12&amp;" "&amp;RIGHT(H138,2)&amp;" - Gas boiler (Steam) - new 1"</f>
        <v>Industrial heating technology Chemical MT - Gas boiler (Steam) - new 1</v>
      </c>
      <c r="F138" s="239" t="s">
        <v>1274</v>
      </c>
      <c r="G138" s="176" t="s">
        <v>1438</v>
      </c>
      <c r="H138" s="177" t="str">
        <f>$AI$14</f>
        <v>ICDMT</v>
      </c>
      <c r="I138" s="177" t="str">
        <f t="shared" si="115"/>
        <v>INDCWH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1</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INDCWH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INDCWH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INDCDRHDH2N1</v>
      </c>
      <c r="E141" s="278" t="str">
        <f>"Industrial heating technology "&amp;$AJ$12&amp;" "&amp;RIGHT(H141,2)&amp;" - Gas boiler (Steam) - new 1"</f>
        <v>Industrial heating technology Chemical RH - Gas boiler (Steam) - new 1</v>
      </c>
      <c r="F141" s="239" t="s">
        <v>1274</v>
      </c>
      <c r="G141" s="176" t="s">
        <v>1438</v>
      </c>
      <c r="H141" s="177" t="str">
        <f>$AI$15</f>
        <v>ICDRH</v>
      </c>
      <c r="I141" s="177" t="str">
        <f t="shared" si="115"/>
        <v>INDCWH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INDCWH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INDCWH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INDCDMTDH2N2</v>
      </c>
      <c r="E144" s="767" t="str">
        <f>"Industrial heating technology "&amp;$AJ$12&amp;" "&amp;RIGHT(H144,2)&amp;" - Gas boiler (Steam - condensing) - new 2"</f>
        <v>Industrial heating technology Chemical MT - Gas boiler (Steam - condensing) - new 2</v>
      </c>
      <c r="F144" s="239" t="s">
        <v>1274</v>
      </c>
      <c r="G144" s="176" t="s">
        <v>1438</v>
      </c>
      <c r="H144" s="768" t="str">
        <f>$AI$14</f>
        <v>ICDMT</v>
      </c>
      <c r="I144" s="768" t="str">
        <f t="shared" si="115"/>
        <v>INDCWH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1</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INDCWH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INDCWH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INDCDRHDH2N2</v>
      </c>
      <c r="E147" s="278" t="str">
        <f>"Industrial heating technology "&amp;$AJ$12&amp;" "&amp;RIGHT(H147,2)&amp;" - Gas boiler (Steam - condensing) - new 2"</f>
        <v>Industrial heating technology Chemical RH - Gas boiler (Steam - condensing) - new 2</v>
      </c>
      <c r="F147" s="239" t="s">
        <v>1274</v>
      </c>
      <c r="G147" s="176" t="s">
        <v>1438</v>
      </c>
      <c r="H147" s="177" t="str">
        <f>$AI$15</f>
        <v>ICDRH</v>
      </c>
      <c r="I147" s="177" t="str">
        <f t="shared" si="115"/>
        <v>INDCWH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INDCWH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INDCWH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INDCDMTDH2N3</v>
      </c>
      <c r="E150" s="767" t="str">
        <f>"Industrial heating technology "&amp;$AJ$12&amp;" "&amp;RIGHT(H150,2)&amp;" - Gas boiler (Hot Water) - new 3"</f>
        <v>Industrial heating technology Chemical MT - Gas boiler (Hot Water) - new 3</v>
      </c>
      <c r="F150" s="239" t="s">
        <v>1274</v>
      </c>
      <c r="G150" s="176" t="s">
        <v>1438</v>
      </c>
      <c r="H150" s="768" t="str">
        <f>$AI$14</f>
        <v>ICDMT</v>
      </c>
      <c r="I150" s="768" t="str">
        <f t="shared" si="115"/>
        <v>INDCWH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1</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INDCWH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INDCWH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INDCDRHDH2N3</v>
      </c>
      <c r="E153" s="278" t="str">
        <f>"Industrial heating technology "&amp;$AJ$12&amp;" "&amp;RIGHT(H153,2)&amp;" - Gas boiler (Hot Water) - new 3"</f>
        <v>Industrial heating technology Chemical RH - Gas boiler (Hot Water) - new 3</v>
      </c>
      <c r="F153" s="239" t="s">
        <v>1274</v>
      </c>
      <c r="G153" s="176" t="s">
        <v>1438</v>
      </c>
      <c r="H153" s="177" t="str">
        <f>$AI$15</f>
        <v>ICDRH</v>
      </c>
      <c r="I153" s="177" t="str">
        <f t="shared" si="115"/>
        <v>INDCWH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INDCWH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INDCWH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INDCDMTDH2N4</v>
      </c>
      <c r="E156" s="767" t="str">
        <f>"Industrial heating technology "&amp;$AJ$12&amp;" "&amp;RIGHT(H156,2)&amp;" - Gas boiler (Hot Water - condensing) - new 4"</f>
        <v>Industrial heating technology Chemical MT - Gas boiler (Hot Water - condensing) - new 4</v>
      </c>
      <c r="F156" s="239" t="s">
        <v>1274</v>
      </c>
      <c r="G156" s="176" t="s">
        <v>1438</v>
      </c>
      <c r="H156" s="768" t="str">
        <f>$AI$14</f>
        <v>ICDMT</v>
      </c>
      <c r="I156" s="768" t="str">
        <f t="shared" si="115"/>
        <v>INDCWH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1</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INDCWH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INDCWH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INDCDRHDH2N4</v>
      </c>
      <c r="E159" s="278" t="str">
        <f>"Industrial heating technology "&amp;$AJ$12&amp;" "&amp;RIGHT(H159,2)&amp;" - Gas boiler (Hot Water- condensing) - new 4"</f>
        <v>Industrial heating technology Chemical RH - Gas boiler (Hot Water- condensing) - new 4</v>
      </c>
      <c r="F159" s="239" t="s">
        <v>1274</v>
      </c>
      <c r="G159" s="176" t="s">
        <v>1438</v>
      </c>
      <c r="H159" s="177" t="str">
        <f>$AI$15</f>
        <v>ICDRH</v>
      </c>
      <c r="I159" s="177" t="str">
        <f t="shared" ref="I159:I182" si="158">$AI$20</f>
        <v>INDCWH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INDCWH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INDCWH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INDCDHTDH2N5</v>
      </c>
      <c r="E162" s="767" t="str">
        <f>"Industrial heating technology "&amp;$AJ$12&amp;" "&amp;RIGHT(H162,2)&amp;" - Gas boiler (Direct firing) - new 5"</f>
        <v>Industrial heating technology Chemical HT - Gas boiler (Direct firing) - new 5</v>
      </c>
      <c r="F162" s="239" t="s">
        <v>1274</v>
      </c>
      <c r="G162" s="176" t="s">
        <v>1438</v>
      </c>
      <c r="H162" s="177" t="str">
        <f>$AI$13</f>
        <v>ICDHT</v>
      </c>
      <c r="I162" s="177" t="str">
        <f t="shared" si="158"/>
        <v>INDCWH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INDCWH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INDCWH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INDCDMTDH2N5</v>
      </c>
      <c r="E165" s="278" t="str">
        <f>"Industrial heating technology "&amp;$AJ$12&amp;" "&amp;RIGHT(H165,2)&amp;" - Gas boiler (Direct firing) - new 5"</f>
        <v>Industrial heating technology Chemical MT - Gas boiler (Direct firing) - new 5</v>
      </c>
      <c r="F165" s="239" t="s">
        <v>1274</v>
      </c>
      <c r="G165" s="176" t="s">
        <v>1438</v>
      </c>
      <c r="H165" s="177" t="str">
        <f>$AI$14</f>
        <v>ICDMT</v>
      </c>
      <c r="I165" s="781" t="str">
        <f t="shared" si="158"/>
        <v>INDCWH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1</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INDCWH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INDCWH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INDCDHTCOAN1</v>
      </c>
      <c r="E168" s="278" t="str">
        <f>"Industrial heating technology "&amp;$AJ$12&amp;" "&amp;RIGHT(H168,2)&amp;" - Coal boiler (Steam) - new 1"</f>
        <v>Industrial heating technology Chemical HT - Coal boiler (Steam) - new 1</v>
      </c>
      <c r="F168" s="239" t="s">
        <v>1274</v>
      </c>
      <c r="G168" s="55" t="s">
        <v>662</v>
      </c>
      <c r="H168" s="177" t="str">
        <f>$AI$13</f>
        <v>ICDHT</v>
      </c>
      <c r="I168" s="177" t="str">
        <f t="shared" si="158"/>
        <v>INDCWH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INDCWH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INDCWH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INDCDMTCOAN1</v>
      </c>
      <c r="E171" s="278" t="str">
        <f>"Industrial heating technology "&amp;$AJ$12&amp;" "&amp;RIGHT(H171,2)&amp;" - Coal boiler (Steam) - new 1"</f>
        <v>Industrial heating technology Chemical MT - Coal boiler (Steam) - new 1</v>
      </c>
      <c r="F171" s="239" t="s">
        <v>1274</v>
      </c>
      <c r="G171" s="55" t="s">
        <v>662</v>
      </c>
      <c r="H171" s="177" t="str">
        <f>$AI$14</f>
        <v>ICDMT</v>
      </c>
      <c r="I171" s="177" t="str">
        <f t="shared" si="158"/>
        <v>INDCWH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1</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INDCWH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INDCWH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INDCDRHCOAN1</v>
      </c>
      <c r="E174" s="278" t="str">
        <f>"Industrial heating technology "&amp;$AJ$12&amp;" "&amp;RIGHT(H174,2)&amp;" - Coal boiler (Steam) - new 1"</f>
        <v>Industrial heating technology Chemical RH - Coal boiler (Steam) - new 1</v>
      </c>
      <c r="F174" s="239" t="s">
        <v>1274</v>
      </c>
      <c r="G174" s="55" t="s">
        <v>662</v>
      </c>
      <c r="H174" s="177" t="str">
        <f>$AI$15</f>
        <v>ICDRH</v>
      </c>
      <c r="I174" s="177" t="str">
        <f t="shared" si="158"/>
        <v>INDCWH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INDCWH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INDCWH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INDCDMTCOAN2</v>
      </c>
      <c r="E177" s="278" t="str">
        <f>"Industrial heating technology "&amp;$AJ$12&amp;" "&amp;RIGHT(H177,2)&amp;" - Coal boiler (Hot Water) - new 2"</f>
        <v>Industrial heating technology Chemical MT - Coal boiler (Hot Water) - new 2</v>
      </c>
      <c r="F177" s="239" t="s">
        <v>1274</v>
      </c>
      <c r="G177" s="55" t="s">
        <v>662</v>
      </c>
      <c r="H177" s="177" t="str">
        <f>$AI$14</f>
        <v>ICDMT</v>
      </c>
      <c r="I177" s="177" t="str">
        <f t="shared" si="158"/>
        <v>INDCWH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1</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INDCWH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INDCWH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INDCDRHCOAN2</v>
      </c>
      <c r="E180" s="278" t="str">
        <f>"Industrial heating technology "&amp;$AJ$12&amp;" "&amp;RIGHT(H180,2)&amp;" - Coal boiler (Hot Water) - new 2"</f>
        <v>Industrial heating technology Chemical RH - Coal boiler (Hot Water) - new 2</v>
      </c>
      <c r="F180" s="239" t="s">
        <v>1274</v>
      </c>
      <c r="G180" s="55" t="s">
        <v>662</v>
      </c>
      <c r="H180" s="177" t="str">
        <f>$AI$15</f>
        <v>ICDRH</v>
      </c>
      <c r="I180" s="177" t="str">
        <f t="shared" si="158"/>
        <v>INDCWH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INDCWH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INDCWH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INDCDRHSOLN1</v>
      </c>
      <c r="E183" s="278" t="str">
        <f>"Industrial heating technology "&amp;$AJ$12&amp;" "&amp;RIGHT(H183,2)&amp;" - Solar - new 1"</f>
        <v>Industrial heating technology Chemical RH - Solar - new 1</v>
      </c>
      <c r="F183" s="239" t="s">
        <v>1274</v>
      </c>
      <c r="G183" s="55" t="s">
        <v>501</v>
      </c>
      <c r="H183" s="177" t="str">
        <f>$AI$15</f>
        <v>ICDRH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INDCDRHHCEN1</v>
      </c>
      <c r="E187" s="239" t="str">
        <f>"Industrial heating technology "&amp;$AJ$12&amp;" "&amp;RIGHT(H187,2)&amp;" - central district heating - within DH area - new 1"</f>
        <v>Industrial heating technology Chemical RH - central district heating - within DH area - new 1</v>
      </c>
      <c r="F187" s="239" t="s">
        <v>1274</v>
      </c>
      <c r="G187" s="240" t="s">
        <v>502</v>
      </c>
      <c r="H187" s="240" t="str">
        <f>AI15</f>
        <v>ICDRH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INDCDRHHDEN1</v>
      </c>
      <c r="E188" s="239" t="str">
        <f>"Industrial heating technology "&amp;$AJ$12&amp;" "&amp;RIGHT(H188,2)&amp;" - decentral district heating - within DH area - new 1"</f>
        <v>Industrial heating technology Chemical RH - decentral district heating - within DH area - new 1</v>
      </c>
      <c r="F188" s="239" t="s">
        <v>1274</v>
      </c>
      <c r="G188" s="276" t="s">
        <v>503</v>
      </c>
      <c r="H188" s="282" t="str">
        <f>AI15</f>
        <v>ICDRH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INDCDLAELCN1</v>
      </c>
      <c r="E190" s="239" t="str">
        <f>"Industry "&amp;$AJ$12&amp;" "&amp;RIGHT(H190,2)&amp;" Electricity Light Appliance - New 1"</f>
        <v>Industry Chemical LA Electricity Light Appliance - New 1</v>
      </c>
      <c r="F190" s="239" t="s">
        <v>1274</v>
      </c>
      <c r="G190" s="240" t="s">
        <v>500</v>
      </c>
      <c r="H190" s="240" t="str">
        <f>AI16</f>
        <v>ICDLA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INDCDEMELCN1</v>
      </c>
      <c r="E194" s="239" t="str">
        <f>"Industry "&amp;$AJ$12&amp;" "&amp;RIGHT(H194,2)&amp;" Electricity Motors - New 1"</f>
        <v>Industry Chemical EM Electricity Motors - New 1</v>
      </c>
      <c r="F194" s="239" t="s">
        <v>1274</v>
      </c>
      <c r="G194" s="240" t="s">
        <v>500</v>
      </c>
      <c r="H194" s="240" t="str">
        <f>AI17</f>
        <v>ICDEM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INDCDTFDSLN1</v>
      </c>
      <c r="E198" s="239" t="str">
        <f>"Industry "&amp;$AJ$12&amp;" "&amp;RIGHT(H198,2)&amp;" Tractors, Trucks, Fishing boats - New 1"</f>
        <v>Industry Chemical TF Tractors, Trucks, Fishing boats - New 1</v>
      </c>
      <c r="F198" s="239" t="s">
        <v>1274</v>
      </c>
      <c r="G198" s="176" t="s">
        <v>1437</v>
      </c>
      <c r="H198" s="177" t="str">
        <f>AI18</f>
        <v>ICDTF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INDCDFLDH2N1</v>
      </c>
      <c r="E202" s="239" t="str">
        <f>"Industry "&amp;$AJ$12&amp;" "&amp;RIGHT(H198,2)&amp;" Forklifts - New 1"</f>
        <v>Industry Chemical TF Forklifts - New 1</v>
      </c>
      <c r="F202" s="239" t="s">
        <v>1274</v>
      </c>
      <c r="G202" s="176" t="s">
        <v>1438</v>
      </c>
      <c r="H202" s="239" t="str">
        <f>AI19</f>
        <v>ICDFL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INDCDMTELCN1</v>
      </c>
      <c r="E213" s="223" t="str">
        <f t="shared" ref="E213:E244" ca="1" si="181">VLOOKUP(D213,$D$9:$E$206,2,FALSE)</f>
        <v>Industrial heating technology Chemical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INDCDRHELCN1</v>
      </c>
      <c r="E214" s="223" t="str">
        <f t="shared" ca="1" si="181"/>
        <v>Industrial heating technology Chemical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Chemical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INDCDRHELCN2</v>
      </c>
      <c r="E216" s="223" t="str">
        <f t="shared" ca="1" si="181"/>
        <v>Industrial heating technology Chemical RH - Heat driven heat pump utilizing waste heat - new 2</v>
      </c>
      <c r="F216" s="279" t="s">
        <v>450</v>
      </c>
      <c r="G216" s="279" t="s">
        <v>449</v>
      </c>
      <c r="H216" s="334" t="s">
        <v>665</v>
      </c>
      <c r="I216" s="281"/>
      <c r="J216" s="281" t="s">
        <v>469</v>
      </c>
    </row>
    <row r="217" spans="1:11">
      <c r="A217" s="172"/>
      <c r="B217" s="222"/>
      <c r="C217" s="222" t="str">
        <f t="shared" ca="1" si="182"/>
        <v>DMD</v>
      </c>
      <c r="D217" s="223" t="str">
        <f t="shared" ca="1" si="183"/>
        <v>INDCDMTELCN3</v>
      </c>
      <c r="E217" s="223" t="str">
        <f t="shared" ca="1" si="181"/>
        <v>Industrial heating technology Chemical MT - High Temp abs. Heat pump utilizing waste heat - new 3</v>
      </c>
      <c r="F217" s="279" t="s">
        <v>450</v>
      </c>
      <c r="G217" s="279" t="s">
        <v>449</v>
      </c>
      <c r="H217" s="334" t="s">
        <v>665</v>
      </c>
      <c r="I217" s="281"/>
      <c r="J217" s="281" t="s">
        <v>469</v>
      </c>
    </row>
    <row r="218" spans="1:11">
      <c r="A218" s="172"/>
      <c r="B218" s="222"/>
      <c r="C218" s="222" t="str">
        <f t="shared" ca="1" si="182"/>
        <v>DMD</v>
      </c>
      <c r="D218" s="223" t="str">
        <f t="shared" ca="1" si="183"/>
        <v>INDCDRHELCN3</v>
      </c>
      <c r="E218" s="223" t="str">
        <f t="shared" ca="1" si="181"/>
        <v>Industrial heating technology Chemical RH - High Temp abs. Heat pump utilizing waste heat - new 3</v>
      </c>
      <c r="F218" s="279" t="s">
        <v>450</v>
      </c>
      <c r="G218" s="279" t="s">
        <v>449</v>
      </c>
      <c r="H218" s="334" t="s">
        <v>665</v>
      </c>
      <c r="I218" s="281"/>
      <c r="J218" s="281" t="s">
        <v>469</v>
      </c>
    </row>
    <row r="219" spans="1:11">
      <c r="A219" s="172"/>
      <c r="B219" s="222"/>
      <c r="C219" s="222" t="str">
        <f t="shared" ca="1" si="182"/>
        <v>DMD</v>
      </c>
      <c r="D219" s="223" t="str">
        <f t="shared" ca="1" si="183"/>
        <v>INDCDMTELCN4</v>
      </c>
      <c r="E219" s="223" t="str">
        <f t="shared" ca="1" si="181"/>
        <v>Industrial heating technology Chemical MT - Booster Heat pump utilizing waste heat - new 4</v>
      </c>
      <c r="F219" s="279" t="s">
        <v>450</v>
      </c>
      <c r="G219" s="279" t="s">
        <v>449</v>
      </c>
      <c r="H219" s="334" t="s">
        <v>665</v>
      </c>
      <c r="I219" s="281"/>
      <c r="J219" s="281" t="s">
        <v>469</v>
      </c>
    </row>
    <row r="220" spans="1:11">
      <c r="A220" s="172"/>
      <c r="B220" s="222"/>
      <c r="C220" s="222" t="str">
        <f t="shared" ca="1" si="182"/>
        <v>DMD</v>
      </c>
      <c r="D220" s="223" t="str">
        <f t="shared" ca="1" si="183"/>
        <v>INDCDRHELCN4</v>
      </c>
      <c r="E220" s="223" t="str">
        <f t="shared" ca="1" si="181"/>
        <v>Industrial heating technology Chemical RH - Booster Heat pump utilizing waste heat - new 4</v>
      </c>
      <c r="F220" s="279" t="s">
        <v>450</v>
      </c>
      <c r="G220" s="279" t="s">
        <v>449</v>
      </c>
      <c r="H220" s="334" t="s">
        <v>665</v>
      </c>
      <c r="I220" s="281"/>
      <c r="J220" s="281" t="s">
        <v>469</v>
      </c>
    </row>
    <row r="221" spans="1:11">
      <c r="A221" s="172"/>
      <c r="B221" s="222"/>
      <c r="C221" s="222" t="str">
        <f t="shared" ca="1" si="182"/>
        <v>DMD</v>
      </c>
      <c r="D221" s="223" t="str">
        <f t="shared" ca="1" si="183"/>
        <v>INDCDMTELCN5</v>
      </c>
      <c r="E221" s="223" t="str">
        <f t="shared" ca="1" si="181"/>
        <v>Industrial heating technology Chemical MT - MVR utilizing waste heat - new 5</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Chemical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Chemical MT - Heat pump utilizing waste heat - new 1</v>
      </c>
      <c r="F223" s="279" t="s">
        <v>450</v>
      </c>
      <c r="G223" s="279" t="s">
        <v>449</v>
      </c>
      <c r="H223" s="334" t="s">
        <v>665</v>
      </c>
      <c r="I223" s="281"/>
      <c r="J223" s="281" t="s">
        <v>469</v>
      </c>
    </row>
    <row r="224" spans="1:11">
      <c r="A224" s="172"/>
      <c r="B224" s="222"/>
      <c r="C224" s="222" t="str">
        <f t="shared" ca="1" si="182"/>
        <v>*</v>
      </c>
      <c r="D224" s="223" t="str">
        <f t="shared" ca="1" si="184"/>
        <v>*</v>
      </c>
      <c r="E224" s="223" t="str">
        <f t="shared" ca="1" si="181"/>
        <v>Industrial heating technology Chemical MT - Heat pump utilizing waste heat - new 1</v>
      </c>
      <c r="F224" s="279" t="s">
        <v>450</v>
      </c>
      <c r="G224" s="279" t="s">
        <v>449</v>
      </c>
      <c r="H224" s="334" t="s">
        <v>665</v>
      </c>
      <c r="I224" s="281"/>
      <c r="J224" s="281" t="s">
        <v>469</v>
      </c>
    </row>
    <row r="225" spans="1:16">
      <c r="A225" s="172"/>
      <c r="B225" s="222"/>
      <c r="C225" s="222" t="str">
        <f t="shared" ca="1" si="182"/>
        <v>DMD</v>
      </c>
      <c r="D225" s="223" t="str">
        <f t="shared" ca="1" si="184"/>
        <v>INDCDHTELCN8</v>
      </c>
      <c r="E225" s="223" t="str">
        <f t="shared" ca="1" si="181"/>
        <v>Industrial heating technology Chemical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INDCDMTELCN8</v>
      </c>
      <c r="E226" s="223" t="str">
        <f t="shared" ca="1" si="181"/>
        <v>Industrial heating technology Chemical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INDCDRHELCN8</v>
      </c>
      <c r="E227" s="223" t="str">
        <f t="shared" ca="1" si="181"/>
        <v>Industrial heating technology Chemical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INDCDMTELCN9</v>
      </c>
      <c r="E228" s="223" t="str">
        <f t="shared" ca="1" si="181"/>
        <v>Industrial heating technology Chemical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INDCDRHELCN9</v>
      </c>
      <c r="E229" s="223" t="str">
        <f t="shared" ca="1" si="181"/>
        <v>Industrial heating technology Chemical RH - Electric boiler (Hot Water) - new 9</v>
      </c>
      <c r="F229" s="279" t="s">
        <v>450</v>
      </c>
      <c r="G229" s="279" t="s">
        <v>449</v>
      </c>
      <c r="H229" s="334" t="s">
        <v>665</v>
      </c>
      <c r="I229" s="281"/>
      <c r="J229" s="281" t="s">
        <v>469</v>
      </c>
      <c r="P229" s="176"/>
    </row>
    <row r="230" spans="1:16">
      <c r="A230" s="172"/>
      <c r="B230" s="222"/>
      <c r="C230" s="222" t="str">
        <f t="shared" ca="1" si="182"/>
        <v>DMD</v>
      </c>
      <c r="D230" s="223" t="str">
        <f t="shared" ca="1" si="184"/>
        <v>INDCDHTWCHN1</v>
      </c>
      <c r="E230" s="223" t="str">
        <f t="shared" ca="1" si="181"/>
        <v>Industrial heating technology Chemical HT - Wood chip boiler (Steam) - new 1</v>
      </c>
      <c r="F230" s="279" t="s">
        <v>450</v>
      </c>
      <c r="G230" s="279" t="s">
        <v>449</v>
      </c>
      <c r="H230" s="280"/>
      <c r="I230" s="281"/>
      <c r="J230" s="281" t="s">
        <v>469</v>
      </c>
      <c r="P230" s="176"/>
    </row>
    <row r="231" spans="1:16">
      <c r="A231" s="172"/>
      <c r="B231" s="222"/>
      <c r="C231" s="222" t="str">
        <f t="shared" ca="1" si="182"/>
        <v>DMD</v>
      </c>
      <c r="D231" s="223" t="str">
        <f t="shared" ca="1" si="184"/>
        <v>INDCDMTWCHN1</v>
      </c>
      <c r="E231" s="223" t="str">
        <f t="shared" ca="1" si="181"/>
        <v>Industrial heating technology Chemical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INDCDRHWCHN1</v>
      </c>
      <c r="E232" s="223" t="str">
        <f t="shared" ca="1" si="181"/>
        <v>Industrial heating technology Chemical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INDCDMTWCHN2</v>
      </c>
      <c r="E233" s="223" t="str">
        <f t="shared" ca="1" si="181"/>
        <v>Industrial heating technology Chemical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INDCDRHWCHN2</v>
      </c>
      <c r="E234" s="223" t="str">
        <f t="shared" ca="1" si="181"/>
        <v>Industrial heating technology Chemical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INDCDMTWCHN3</v>
      </c>
      <c r="E235" s="223" t="str">
        <f t="shared" ca="1" si="181"/>
        <v>Industrial heating technology Chemical MT - Wood chip boiler (Hot Water) - new 3</v>
      </c>
      <c r="F235" s="279" t="s">
        <v>450</v>
      </c>
      <c r="G235" s="279" t="s">
        <v>449</v>
      </c>
      <c r="H235" s="278"/>
      <c r="I235" s="278"/>
      <c r="J235" s="281" t="s">
        <v>469</v>
      </c>
    </row>
    <row r="236" spans="1:16">
      <c r="A236" s="172"/>
      <c r="B236" s="223"/>
      <c r="C236" s="222" t="str">
        <f t="shared" ca="1" si="182"/>
        <v>DMD</v>
      </c>
      <c r="D236" s="223" t="str">
        <f t="shared" ca="1" si="184"/>
        <v>INDCDRHWCHN3</v>
      </c>
      <c r="E236" s="223" t="str">
        <f t="shared" ca="1" si="181"/>
        <v>Industrial heating technology Chemical RH - Wood chip boiler (Hot Water) - new 3</v>
      </c>
      <c r="F236" s="279" t="s">
        <v>450</v>
      </c>
      <c r="G236" s="279" t="s">
        <v>449</v>
      </c>
      <c r="H236" s="278"/>
      <c r="I236" s="278"/>
      <c r="J236" s="281" t="s">
        <v>469</v>
      </c>
    </row>
    <row r="237" spans="1:16">
      <c r="A237" s="172"/>
      <c r="B237" s="223"/>
      <c r="C237" s="222" t="str">
        <f t="shared" ca="1" si="182"/>
        <v>DMD</v>
      </c>
      <c r="D237" s="223" t="str">
        <f t="shared" ca="1" si="184"/>
        <v>INDCDMTWCHN4</v>
      </c>
      <c r="E237" s="223" t="str">
        <f t="shared" ca="1" si="181"/>
        <v>Industrial heating technology Chemical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INDCDRHWCHN4</v>
      </c>
      <c r="E238" s="223" t="str">
        <f t="shared" ca="1" si="181"/>
        <v>Industrial heating technology Chemical RH - Wood chip boiler (Hot Water- condensing) - new 4</v>
      </c>
      <c r="F238" s="279" t="s">
        <v>450</v>
      </c>
      <c r="G238" s="279" t="s">
        <v>449</v>
      </c>
      <c r="H238" s="278"/>
      <c r="I238" s="278"/>
      <c r="J238" s="281" t="s">
        <v>469</v>
      </c>
    </row>
    <row r="239" spans="1:16">
      <c r="B239" s="223"/>
      <c r="C239" s="222" t="str">
        <f t="shared" ca="1" si="182"/>
        <v>*</v>
      </c>
      <c r="D239" s="223" t="str">
        <f t="shared" ca="1" si="184"/>
        <v>*</v>
      </c>
      <c r="E239" s="223" t="str">
        <f t="shared" ca="1" si="181"/>
        <v>Industrial heating technology Chemical MT - Heat pump utilizing waste heat - new 1</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Chemical MT - Heat pump utilizing waste heat - new 1</v>
      </c>
      <c r="F240" s="279" t="s">
        <v>450</v>
      </c>
      <c r="G240" s="279" t="s">
        <v>449</v>
      </c>
      <c r="H240" s="334" t="s">
        <v>665</v>
      </c>
      <c r="I240" s="278"/>
      <c r="J240" s="281" t="s">
        <v>469</v>
      </c>
    </row>
    <row r="241" spans="1:10">
      <c r="B241" s="223"/>
      <c r="C241" s="222" t="str">
        <f t="shared" ca="1" si="182"/>
        <v>DMD</v>
      </c>
      <c r="D241" s="223" t="str">
        <f t="shared" ca="1" si="184"/>
        <v>INDCDHTDSEN1</v>
      </c>
      <c r="E241" s="223" t="str">
        <f t="shared" ca="1" si="181"/>
        <v>Industrial heating technology Chemical HT - Oil boiler (Steam) - new 1</v>
      </c>
      <c r="F241" s="279" t="s">
        <v>450</v>
      </c>
      <c r="G241" s="279" t="s">
        <v>449</v>
      </c>
      <c r="H241" s="278"/>
      <c r="I241" s="278"/>
      <c r="J241" s="281" t="s">
        <v>469</v>
      </c>
    </row>
    <row r="242" spans="1:10">
      <c r="B242" s="223"/>
      <c r="C242" s="222" t="str">
        <f t="shared" ca="1" si="182"/>
        <v>DMD</v>
      </c>
      <c r="D242" s="223" t="str">
        <f t="shared" ca="1" si="184"/>
        <v>INDCDMTDSEN1</v>
      </c>
      <c r="E242" s="223" t="str">
        <f t="shared" ca="1" si="181"/>
        <v>Industrial heating technology Chemical MT - Oil boiler (Steam) - new 1</v>
      </c>
      <c r="F242" s="279" t="s">
        <v>450</v>
      </c>
      <c r="G242" s="279" t="s">
        <v>449</v>
      </c>
      <c r="H242" s="278"/>
      <c r="I242" s="278"/>
      <c r="J242" s="281" t="s">
        <v>469</v>
      </c>
    </row>
    <row r="243" spans="1:10">
      <c r="B243" s="223"/>
      <c r="C243" s="222" t="str">
        <f t="shared" ca="1" si="182"/>
        <v>DMD</v>
      </c>
      <c r="D243" s="223" t="str">
        <f t="shared" ca="1" si="184"/>
        <v>INDCDRHDSEN1</v>
      </c>
      <c r="E243" s="223" t="str">
        <f t="shared" ca="1" si="181"/>
        <v>Industrial heating technology Chemical RH - Oil boiler (Steam) - new 1</v>
      </c>
      <c r="F243" s="279" t="s">
        <v>450</v>
      </c>
      <c r="G243" s="279" t="s">
        <v>449</v>
      </c>
      <c r="H243" s="278"/>
      <c r="I243" s="278"/>
      <c r="J243" s="281" t="s">
        <v>469</v>
      </c>
    </row>
    <row r="244" spans="1:10">
      <c r="A244" s="226"/>
      <c r="B244" s="223"/>
      <c r="C244" s="222" t="str">
        <f t="shared" ca="1" si="182"/>
        <v>DMD</v>
      </c>
      <c r="D244" s="223" t="str">
        <f t="shared" ca="1" si="184"/>
        <v>INDCDMTDSEN2</v>
      </c>
      <c r="E244" s="223" t="str">
        <f t="shared" ca="1" si="181"/>
        <v>Industrial heating technology Chemical MT - Oil boiler (Steam - condensing) - new 2</v>
      </c>
      <c r="F244" s="279" t="s">
        <v>450</v>
      </c>
      <c r="G244" s="279" t="s">
        <v>449</v>
      </c>
      <c r="H244" s="278"/>
      <c r="I244" s="278"/>
      <c r="J244" s="281" t="s">
        <v>469</v>
      </c>
    </row>
    <row r="245" spans="1:10">
      <c r="A245" s="226"/>
      <c r="B245" s="223"/>
      <c r="C245" s="222" t="str">
        <f t="shared" ca="1" si="182"/>
        <v>DMD</v>
      </c>
      <c r="D245" s="223" t="str">
        <f t="shared" ca="1" si="184"/>
        <v>INDCDRHDSEN2</v>
      </c>
      <c r="E245" s="223" t="str">
        <f t="shared" ref="E245:E268" ca="1" si="185">VLOOKUP(D245,$D$9:$E$206,2,FALSE)</f>
        <v>Industrial heating technology Chemical RH - Oil boiler (Steam - condensing) - new 2</v>
      </c>
      <c r="F245" s="279" t="s">
        <v>450</v>
      </c>
      <c r="G245" s="279" t="s">
        <v>449</v>
      </c>
      <c r="H245" s="278"/>
      <c r="I245" s="278"/>
      <c r="J245" s="281" t="s">
        <v>469</v>
      </c>
    </row>
    <row r="246" spans="1:10">
      <c r="A246" s="226"/>
      <c r="B246" s="223"/>
      <c r="C246" s="222" t="str">
        <f t="shared" ca="1" si="182"/>
        <v>DMD</v>
      </c>
      <c r="D246" s="223" t="str">
        <f t="shared" ca="1" si="184"/>
        <v>INDCDHTDH2N1</v>
      </c>
      <c r="E246" s="223" t="str">
        <f t="shared" ca="1" si="185"/>
        <v>Industrial heating technology Chemical HT - Gas boiler (Steam) - new 1</v>
      </c>
      <c r="F246" s="279" t="s">
        <v>450</v>
      </c>
      <c r="G246" s="279" t="s">
        <v>449</v>
      </c>
      <c r="H246" s="278"/>
      <c r="I246" s="278"/>
      <c r="J246" s="281" t="s">
        <v>469</v>
      </c>
    </row>
    <row r="247" spans="1:10">
      <c r="A247" s="226"/>
      <c r="B247" s="223"/>
      <c r="C247" s="222" t="str">
        <f t="shared" ca="1" si="182"/>
        <v>DMD</v>
      </c>
      <c r="D247" s="223" t="str">
        <f t="shared" ca="1" si="184"/>
        <v>INDCDMTDH2N1</v>
      </c>
      <c r="E247" s="223" t="str">
        <f t="shared" ca="1" si="185"/>
        <v>Industrial heating technology Chemical MT - Gas boiler (Steam) - new 1</v>
      </c>
      <c r="F247" s="279" t="s">
        <v>450</v>
      </c>
      <c r="G247" s="279" t="s">
        <v>449</v>
      </c>
      <c r="H247" s="278"/>
      <c r="I247" s="278"/>
      <c r="J247" s="281" t="s">
        <v>469</v>
      </c>
    </row>
    <row r="248" spans="1:10">
      <c r="B248" s="223"/>
      <c r="C248" s="222" t="str">
        <f t="shared" ca="1" si="182"/>
        <v>DMD</v>
      </c>
      <c r="D248" s="223" t="str">
        <f t="shared" ca="1" si="184"/>
        <v>INDCDRHDH2N1</v>
      </c>
      <c r="E248" s="223" t="str">
        <f t="shared" ca="1" si="185"/>
        <v>Industrial heating technology Chemical RH - Gas boiler (Steam) - new 1</v>
      </c>
      <c r="F248" s="279" t="s">
        <v>450</v>
      </c>
      <c r="G248" s="279" t="s">
        <v>449</v>
      </c>
      <c r="H248" s="278"/>
      <c r="I248" s="278"/>
      <c r="J248" s="281" t="s">
        <v>469</v>
      </c>
    </row>
    <row r="249" spans="1:10">
      <c r="B249" s="223"/>
      <c r="C249" s="222" t="str">
        <f t="shared" ca="1" si="182"/>
        <v>DMD</v>
      </c>
      <c r="D249" s="223" t="str">
        <f t="shared" ca="1" si="184"/>
        <v>INDCDMTDH2N2</v>
      </c>
      <c r="E249" s="223" t="str">
        <f t="shared" ca="1" si="185"/>
        <v>Industrial heating technology Chemical MT - Gas boiler (Steam - condensing) - new 2</v>
      </c>
      <c r="F249" s="279" t="s">
        <v>450</v>
      </c>
      <c r="G249" s="279" t="s">
        <v>449</v>
      </c>
      <c r="H249" s="278"/>
      <c r="I249" s="278"/>
      <c r="J249" s="281" t="s">
        <v>469</v>
      </c>
    </row>
    <row r="250" spans="1:10">
      <c r="B250" s="223"/>
      <c r="C250" s="222" t="str">
        <f t="shared" ca="1" si="182"/>
        <v>DMD</v>
      </c>
      <c r="D250" s="223" t="str">
        <f t="shared" ca="1" si="184"/>
        <v>INDCDRHDH2N2</v>
      </c>
      <c r="E250" s="223" t="str">
        <f t="shared" ca="1" si="185"/>
        <v>Industrial heating technology Chemical RH - Gas boiler (Steam - condensing) - new 2</v>
      </c>
      <c r="F250" s="279" t="s">
        <v>450</v>
      </c>
      <c r="G250" s="279" t="s">
        <v>449</v>
      </c>
      <c r="H250" s="278"/>
      <c r="I250" s="278"/>
      <c r="J250" s="281" t="s">
        <v>469</v>
      </c>
    </row>
    <row r="251" spans="1:10">
      <c r="B251" s="223"/>
      <c r="C251" s="222" t="str">
        <f t="shared" ca="1" si="182"/>
        <v>DMD</v>
      </c>
      <c r="D251" s="223" t="str">
        <f t="shared" ca="1" si="184"/>
        <v>INDCDMTDH2N3</v>
      </c>
      <c r="E251" s="223" t="str">
        <f t="shared" ca="1" si="185"/>
        <v>Industrial heating technology Chemical MT - Gas boiler (Hot Water) - new 3</v>
      </c>
      <c r="F251" s="279" t="s">
        <v>450</v>
      </c>
      <c r="G251" s="279" t="s">
        <v>449</v>
      </c>
      <c r="H251" s="278"/>
      <c r="I251" s="278"/>
      <c r="J251" s="281" t="s">
        <v>469</v>
      </c>
    </row>
    <row r="252" spans="1:10">
      <c r="B252" s="223"/>
      <c r="C252" s="222" t="str">
        <f t="shared" ca="1" si="182"/>
        <v>DMD</v>
      </c>
      <c r="D252" s="223" t="str">
        <f t="shared" ca="1" si="184"/>
        <v>INDCDRHDH2N3</v>
      </c>
      <c r="E252" s="223" t="str">
        <f t="shared" ca="1" si="185"/>
        <v>Industrial heating technology Chemical RH - Gas boiler (Hot Water) - new 3</v>
      </c>
      <c r="F252" s="279" t="s">
        <v>450</v>
      </c>
      <c r="G252" s="279" t="s">
        <v>449</v>
      </c>
      <c r="H252" s="278"/>
      <c r="I252" s="278"/>
      <c r="J252" s="281" t="s">
        <v>469</v>
      </c>
    </row>
    <row r="253" spans="1:10">
      <c r="B253" s="223"/>
      <c r="C253" s="222" t="str">
        <f t="shared" ca="1" si="182"/>
        <v>DMD</v>
      </c>
      <c r="D253" s="223" t="str">
        <f t="shared" ca="1" si="184"/>
        <v>INDCDMTDH2N4</v>
      </c>
      <c r="E253" s="223" t="str">
        <f t="shared" ca="1" si="185"/>
        <v>Industrial heating technology Chemical MT - Gas boiler (Hot Water - condensing) - new 4</v>
      </c>
      <c r="F253" s="279" t="s">
        <v>450</v>
      </c>
      <c r="G253" s="279" t="s">
        <v>449</v>
      </c>
      <c r="H253" s="278"/>
      <c r="I253" s="278"/>
      <c r="J253" s="281" t="s">
        <v>469</v>
      </c>
    </row>
    <row r="254" spans="1:10">
      <c r="B254" s="223"/>
      <c r="C254" s="222" t="str">
        <f t="shared" ca="1" si="182"/>
        <v>DMD</v>
      </c>
      <c r="D254" s="223" t="str">
        <f t="shared" ca="1" si="184"/>
        <v>INDCDRHDH2N4</v>
      </c>
      <c r="E254" s="223" t="str">
        <f t="shared" ca="1" si="185"/>
        <v>Industrial heating technology Chemical RH - Gas boiler (Hot Water- condensing) - new 4</v>
      </c>
      <c r="F254" s="279" t="s">
        <v>450</v>
      </c>
      <c r="G254" s="279" t="s">
        <v>449</v>
      </c>
      <c r="H254" s="278"/>
      <c r="I254" s="278"/>
      <c r="J254" s="281" t="s">
        <v>469</v>
      </c>
    </row>
    <row r="255" spans="1:10">
      <c r="B255" s="223"/>
      <c r="C255" s="222" t="str">
        <f t="shared" ca="1" si="182"/>
        <v>DMD</v>
      </c>
      <c r="D255" s="223" t="str">
        <f t="shared" ca="1" si="184"/>
        <v>INDCDHTDH2N5</v>
      </c>
      <c r="E255" s="223" t="str">
        <f t="shared" ca="1" si="185"/>
        <v>Industrial heating technology Chemical HT - Gas boiler (Direct firing) - new 5</v>
      </c>
      <c r="F255" s="279" t="s">
        <v>450</v>
      </c>
      <c r="G255" s="279" t="s">
        <v>449</v>
      </c>
      <c r="H255" s="278"/>
      <c r="I255" s="278"/>
      <c r="J255" s="281" t="s">
        <v>469</v>
      </c>
    </row>
    <row r="256" spans="1:10">
      <c r="B256" s="223"/>
      <c r="C256" s="222" t="str">
        <f t="shared" ca="1" si="182"/>
        <v>DMD</v>
      </c>
      <c r="D256" s="223" t="str">
        <f t="shared" ca="1" si="184"/>
        <v>INDCDMTDH2N5</v>
      </c>
      <c r="E256" s="223" t="str">
        <f t="shared" ca="1" si="185"/>
        <v>Industrial heating technology Chemical MT - Gas boiler (Direct firing) - new 5</v>
      </c>
      <c r="F256" s="279" t="s">
        <v>450</v>
      </c>
      <c r="G256" s="279" t="s">
        <v>449</v>
      </c>
      <c r="H256" s="278"/>
      <c r="I256" s="278"/>
      <c r="J256" s="281" t="s">
        <v>469</v>
      </c>
    </row>
    <row r="257" spans="2:10">
      <c r="B257" s="223"/>
      <c r="C257" s="222" t="str">
        <f t="shared" ca="1" si="182"/>
        <v>DMD</v>
      </c>
      <c r="D257" s="223" t="str">
        <f t="shared" ca="1" si="184"/>
        <v>INDCDHTCOAN1</v>
      </c>
      <c r="E257" s="223" t="str">
        <f t="shared" ca="1" si="185"/>
        <v>Industrial heating technology Chemical HT - Coal boiler (Steam) - new 1</v>
      </c>
      <c r="F257" s="279" t="s">
        <v>450</v>
      </c>
      <c r="G257" s="279" t="s">
        <v>449</v>
      </c>
      <c r="H257" s="278"/>
      <c r="I257" s="278"/>
      <c r="J257" s="281" t="s">
        <v>469</v>
      </c>
    </row>
    <row r="258" spans="2:10">
      <c r="B258" s="223"/>
      <c r="C258" s="222" t="str">
        <f t="shared" ca="1" si="182"/>
        <v>DMD</v>
      </c>
      <c r="D258" s="223" t="str">
        <f t="shared" ca="1" si="184"/>
        <v>INDCDMTCOAN1</v>
      </c>
      <c r="E258" s="223" t="str">
        <f t="shared" ca="1" si="185"/>
        <v>Industrial heating technology Chemical MT - Coal boiler (Steam) - new 1</v>
      </c>
      <c r="F258" s="279" t="s">
        <v>450</v>
      </c>
      <c r="G258" s="279" t="s">
        <v>449</v>
      </c>
      <c r="H258" s="278"/>
      <c r="I258" s="278"/>
      <c r="J258" s="281" t="s">
        <v>469</v>
      </c>
    </row>
    <row r="259" spans="2:10">
      <c r="B259" s="223"/>
      <c r="C259" s="222" t="str">
        <f t="shared" ca="1" si="182"/>
        <v>DMD</v>
      </c>
      <c r="D259" s="223" t="str">
        <f t="shared" ca="1" si="184"/>
        <v>INDCDRHCOAN1</v>
      </c>
      <c r="E259" s="223" t="str">
        <f t="shared" ca="1" si="185"/>
        <v>Industrial heating technology Chemical RH - Coal boiler (Steam) - new 1</v>
      </c>
      <c r="F259" s="279" t="s">
        <v>450</v>
      </c>
      <c r="G259" s="279" t="s">
        <v>449</v>
      </c>
      <c r="H259" s="278"/>
      <c r="I259" s="278"/>
      <c r="J259" s="281" t="s">
        <v>469</v>
      </c>
    </row>
    <row r="260" spans="2:10">
      <c r="B260" s="223"/>
      <c r="C260" s="222" t="str">
        <f t="shared" ca="1" si="182"/>
        <v>DMD</v>
      </c>
      <c r="D260" s="223" t="str">
        <f t="shared" ca="1" si="184"/>
        <v>INDCDMTCOAN2</v>
      </c>
      <c r="E260" s="223" t="str">
        <f t="shared" ca="1" si="185"/>
        <v>Industrial heating technology Chemical MT - Coal boiler (Hot Water) - new 2</v>
      </c>
      <c r="F260" s="279" t="s">
        <v>450</v>
      </c>
      <c r="G260" s="279" t="s">
        <v>449</v>
      </c>
      <c r="H260" s="278"/>
      <c r="I260" s="278"/>
      <c r="J260" s="281" t="s">
        <v>469</v>
      </c>
    </row>
    <row r="261" spans="2:10">
      <c r="B261" s="223"/>
      <c r="C261" s="222" t="str">
        <f t="shared" ca="1" si="182"/>
        <v>DMD</v>
      </c>
      <c r="D261" s="223" t="str">
        <f t="shared" ca="1" si="184"/>
        <v>INDCDRHCOAN2</v>
      </c>
      <c r="E261" s="223" t="str">
        <f t="shared" ca="1" si="185"/>
        <v>Industrial heating technology Chemical RH - Coal boiler (Hot Water) - new 2</v>
      </c>
      <c r="F261" s="279" t="s">
        <v>450</v>
      </c>
      <c r="G261" s="279" t="s">
        <v>449</v>
      </c>
      <c r="H261" s="278"/>
      <c r="I261" s="278"/>
      <c r="J261" s="281" t="s">
        <v>469</v>
      </c>
    </row>
    <row r="262" spans="2:10">
      <c r="B262" s="223"/>
      <c r="C262" s="222" t="str">
        <f t="shared" ca="1" si="182"/>
        <v>DMD</v>
      </c>
      <c r="D262" s="223" t="str">
        <f t="shared" ca="1" si="184"/>
        <v>INDCDRHSOLN1</v>
      </c>
      <c r="E262" s="223" t="str">
        <f t="shared" ca="1" si="185"/>
        <v>Industrial heating technology Chemical RH - Solar - new 1</v>
      </c>
      <c r="F262" s="279" t="s">
        <v>450</v>
      </c>
      <c r="G262" s="279" t="s">
        <v>449</v>
      </c>
      <c r="H262" s="334" t="s">
        <v>665</v>
      </c>
      <c r="I262" s="278"/>
      <c r="J262" s="281" t="s">
        <v>469</v>
      </c>
    </row>
    <row r="263" spans="2:10">
      <c r="B263" s="223"/>
      <c r="C263" s="222" t="str">
        <f t="shared" si="182"/>
        <v>DMD</v>
      </c>
      <c r="D263" s="949" t="str">
        <f>D187</f>
        <v>INDCDRHHCEN1</v>
      </c>
      <c r="E263" s="949" t="str">
        <f t="shared" ca="1" si="185"/>
        <v>Industrial heating technology Chemical RH - central district heating - within DH area - new 1</v>
      </c>
      <c r="F263" s="279" t="s">
        <v>450</v>
      </c>
      <c r="G263" s="279" t="s">
        <v>449</v>
      </c>
      <c r="H263" s="334" t="s">
        <v>665</v>
      </c>
      <c r="I263" s="950"/>
      <c r="J263" s="280" t="s">
        <v>469</v>
      </c>
    </row>
    <row r="264" spans="2:10">
      <c r="B264" s="223"/>
      <c r="C264" s="222" t="str">
        <f t="shared" si="182"/>
        <v>DMD</v>
      </c>
      <c r="D264" s="223" t="str">
        <f t="shared" ref="D264" si="186">D188</f>
        <v>INDCDRHHDEN1</v>
      </c>
      <c r="E264" s="223" t="str">
        <f t="shared" ca="1" si="185"/>
        <v>Industrial heating technology Chemical RH - decentral district heating - within DH area - new 1</v>
      </c>
      <c r="F264" s="279" t="s">
        <v>450</v>
      </c>
      <c r="G264" s="279" t="s">
        <v>449</v>
      </c>
      <c r="H264" s="334" t="s">
        <v>665</v>
      </c>
      <c r="I264" s="278"/>
      <c r="J264" s="281" t="s">
        <v>469</v>
      </c>
    </row>
    <row r="265" spans="2:10">
      <c r="B265" s="223"/>
      <c r="C265" s="222" t="str">
        <f t="shared" si="182"/>
        <v>DMD</v>
      </c>
      <c r="D265" s="223" t="str">
        <f>D190</f>
        <v>INDCDLAELCN1</v>
      </c>
      <c r="E265" s="223" t="str">
        <f t="shared" ca="1" si="185"/>
        <v>Industry Chemical LA Electricity Light Appliance - New 1</v>
      </c>
      <c r="F265" s="279" t="s">
        <v>450</v>
      </c>
      <c r="G265" s="279" t="s">
        <v>449</v>
      </c>
      <c r="H265" s="334" t="s">
        <v>665</v>
      </c>
      <c r="I265" s="278"/>
      <c r="J265" s="281" t="s">
        <v>469</v>
      </c>
    </row>
    <row r="266" spans="2:10">
      <c r="B266" s="223"/>
      <c r="C266" s="222" t="str">
        <f t="shared" si="182"/>
        <v>DMD</v>
      </c>
      <c r="D266" s="223" t="str">
        <f>D194</f>
        <v>INDCDEMELCN1</v>
      </c>
      <c r="E266" s="223" t="str">
        <f t="shared" ca="1" si="185"/>
        <v>Industry Chemical EM Electricity Motors - New 1</v>
      </c>
      <c r="F266" s="279" t="s">
        <v>450</v>
      </c>
      <c r="G266" s="279" t="s">
        <v>449</v>
      </c>
      <c r="H266" s="334" t="s">
        <v>665</v>
      </c>
      <c r="I266" s="278"/>
      <c r="J266" s="281" t="s">
        <v>469</v>
      </c>
    </row>
    <row r="267" spans="2:10">
      <c r="B267" s="223"/>
      <c r="C267" s="222" t="str">
        <f t="shared" si="182"/>
        <v>DMD</v>
      </c>
      <c r="D267" s="223" t="str">
        <f>D198</f>
        <v>INDCDTFDSLN1</v>
      </c>
      <c r="E267" s="223" t="str">
        <f t="shared" ca="1" si="185"/>
        <v>Industry Chemical TF Tractors, Trucks, Fishing boats - New 1</v>
      </c>
      <c r="F267" s="279" t="s">
        <v>450</v>
      </c>
      <c r="G267" s="279" t="s">
        <v>449</v>
      </c>
      <c r="H267" s="278"/>
      <c r="I267" s="278"/>
      <c r="J267" s="281" t="s">
        <v>469</v>
      </c>
    </row>
    <row r="268" spans="2:10">
      <c r="B268" s="223"/>
      <c r="C268" s="222" t="str">
        <f t="shared" si="182"/>
        <v>DMD</v>
      </c>
      <c r="D268" s="223" t="str">
        <f>D202</f>
        <v>INDCDFLDH2N1</v>
      </c>
      <c r="E268" s="223" t="str">
        <f t="shared" ca="1" si="185"/>
        <v>Industry Chemical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ICDSOx</v>
      </c>
      <c r="E273" s="287" t="str">
        <f>"Industrial heating  heating technology "&amp;$AJ$12&amp;" - SOx emission"</f>
        <v>Industrial heating  heating technology Chemical - SOx emission</v>
      </c>
      <c r="F273" s="231" t="s">
        <v>352</v>
      </c>
      <c r="G273" s="222"/>
      <c r="H273" s="222"/>
      <c r="I273" s="222"/>
      <c r="J273" s="222"/>
    </row>
    <row r="274" spans="2:10">
      <c r="B274" s="226"/>
      <c r="C274" s="226"/>
      <c r="D274" s="277" t="str">
        <f>"I"&amp;LEFT($AJ$12,1)&amp;"DNOx"</f>
        <v>ICDNOx</v>
      </c>
      <c r="E274" s="287" t="str">
        <f>"Industrial heating  heating technology "&amp;$AJ$12&amp;" - NOx emission"</f>
        <v>Industrial heating  heating technology Chemical - NOx emission</v>
      </c>
      <c r="F274" s="231" t="s">
        <v>352</v>
      </c>
      <c r="G274" s="222"/>
      <c r="H274" s="226"/>
      <c r="I274" s="226"/>
      <c r="J274" s="226"/>
    </row>
    <row r="275" spans="2:10">
      <c r="B275" s="226"/>
      <c r="C275" s="226"/>
      <c r="D275" s="277" t="str">
        <f>"I"&amp;LEFT($AJ$12,1)&amp;"DCH4"</f>
        <v>ICDCH4</v>
      </c>
      <c r="E275" s="287" t="str">
        <f>"Industrial heating  heating technology "&amp;$AJ$12&amp;" - CH4 emission"</f>
        <v>Industrial heating  heating technology Chemical - CH4 emission</v>
      </c>
      <c r="F275" s="231" t="s">
        <v>352</v>
      </c>
      <c r="G275" s="222"/>
      <c r="H275" s="226"/>
      <c r="I275" s="226"/>
      <c r="J275" s="226"/>
    </row>
    <row r="276" spans="2:10">
      <c r="B276" s="226"/>
      <c r="C276" s="226"/>
      <c r="D276" s="277" t="str">
        <f>"I"&amp;LEFT($AJ$12,1)&amp;"DNO2"</f>
        <v>ICDNO2</v>
      </c>
      <c r="E276" s="287" t="str">
        <f>"Industrial heating  heating technology "&amp;$AJ$12&amp;" - NO2 emission"</f>
        <v>Industrial heating  heating technology Chemical - NO2 emission</v>
      </c>
      <c r="F276" s="231" t="s">
        <v>352</v>
      </c>
      <c r="G276" s="222"/>
      <c r="H276" s="226"/>
      <c r="I276" s="226"/>
      <c r="J276" s="226"/>
    </row>
    <row r="277" spans="2:10">
      <c r="B277" s="226"/>
      <c r="C277" s="226"/>
      <c r="D277" s="277" t="str">
        <f>"I"&amp;LEFT($AJ$12,1)&amp;"DPM"</f>
        <v>ICDPM</v>
      </c>
      <c r="E277" s="287" t="str">
        <f>"Industrial heating  heating technology "&amp;$AJ$12&amp;" - Particle emission"</f>
        <v>Industrial heating  heating technology Chemical - Particle emission</v>
      </c>
      <c r="F277" s="231" t="s">
        <v>352</v>
      </c>
      <c r="G277" s="222"/>
      <c r="H277" s="226"/>
      <c r="I277" s="226"/>
      <c r="J277" s="226"/>
    </row>
    <row r="278" spans="2:10">
      <c r="B278" s="239" t="s">
        <v>1182</v>
      </c>
      <c r="D278" s="239" t="str">
        <f>AI20</f>
        <v>INDCWH</v>
      </c>
      <c r="E278" s="287" t="str">
        <f>"Industrial heating technology "&amp;$AJ$12&amp;" - Waste heat"</f>
        <v>Industrial heating technology Chemical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5C68204-34F7-4E07-BAA4-E0965997F79E}">
          <x14:formula1>
            <xm:f>'Oil-fired boiler_NEW'!$T$4:$X$4</xm:f>
          </x14:formula1>
          <xm:sqref>E1</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F7-0CF6-4EBB-994F-F60CEA0F7388}">
  <sheetPr>
    <tabColor rgb="FF00B050"/>
  </sheetPr>
  <dimension ref="A1:AP278"/>
  <sheetViews>
    <sheetView topLeftCell="A137" zoomScale="70" zoomScaleNormal="70" workbookViewId="0">
      <selection activeCell="G184" sqref="G184"/>
    </sheetView>
  </sheetViews>
  <sheetFormatPr defaultColWidth="9.33203125" defaultRowHeight="14.4"/>
  <cols>
    <col min="1" max="1" width="9.33203125" style="239"/>
    <col min="2" max="2" width="31.5546875" style="239" customWidth="1"/>
    <col min="3" max="3" width="11.44140625" style="239" bestFit="1" customWidth="1"/>
    <col min="4" max="4" width="19.88671875" style="239" customWidth="1"/>
    <col min="5" max="5" width="98.5546875" style="239" bestFit="1" customWidth="1"/>
    <col min="6" max="6" width="10.5546875" style="239" bestFit="1" customWidth="1"/>
    <col min="7" max="7" width="55.6640625" style="239" bestFit="1" customWidth="1"/>
    <col min="8" max="8" width="27.6640625" style="239" bestFit="1" customWidth="1"/>
    <col min="9" max="9" width="27.6640625" style="239" customWidth="1"/>
    <col min="10" max="10" width="10.33203125" style="239" bestFit="1" customWidth="1"/>
    <col min="11" max="11" width="8.44140625" style="239" bestFit="1" customWidth="1"/>
    <col min="12" max="12" width="6.5546875" style="239" bestFit="1" customWidth="1"/>
    <col min="13" max="13" width="6.5546875" style="239" customWidth="1"/>
    <col min="14" max="15" width="12.6640625" style="239" bestFit="1" customWidth="1"/>
    <col min="16" max="16" width="12.44140625" style="239" bestFit="1" customWidth="1"/>
    <col min="17" max="17" width="6.33203125" style="239" customWidth="1"/>
    <col min="18" max="18" width="8.33203125" style="239" bestFit="1" customWidth="1"/>
    <col min="19" max="19" width="11.6640625" style="239" bestFit="1" customWidth="1"/>
    <col min="20" max="20" width="11.44140625" style="239" bestFit="1" customWidth="1"/>
    <col min="21" max="21" width="18.33203125" style="239" bestFit="1" customWidth="1"/>
    <col min="22" max="22" width="11.6640625" style="239" customWidth="1"/>
    <col min="23" max="23" width="7.6640625" style="239" bestFit="1" customWidth="1"/>
    <col min="24" max="24" width="8.5546875" style="239" bestFit="1" customWidth="1"/>
    <col min="25" max="25" width="6.5546875" style="239" bestFit="1" customWidth="1"/>
    <col min="26" max="26" width="6.5546875" style="239" customWidth="1"/>
    <col min="27" max="27" width="8" style="239" customWidth="1"/>
    <col min="28" max="38" width="9.33203125" style="239"/>
    <col min="39" max="39" width="64.33203125" style="239" bestFit="1" customWidth="1"/>
    <col min="40" max="16384" width="9.33203125" style="239"/>
  </cols>
  <sheetData>
    <row r="1" spans="2:42" ht="14.7" customHeight="1">
      <c r="D1" s="788" t="s">
        <v>1141</v>
      </c>
      <c r="E1" s="789" t="s">
        <v>842</v>
      </c>
      <c r="N1" s="64"/>
      <c r="O1" s="64"/>
      <c r="P1" s="64"/>
      <c r="S1" s="787" t="s">
        <v>1129</v>
      </c>
      <c r="T1" s="836" t="s">
        <v>1128</v>
      </c>
      <c r="U1" s="835" t="s">
        <v>1178</v>
      </c>
      <c r="V1" s="836" t="s">
        <v>1179</v>
      </c>
      <c r="W1" s="840">
        <v>0.3</v>
      </c>
    </row>
    <row r="2" spans="2:42" ht="15" thickBot="1">
      <c r="E2" s="790" t="s">
        <v>523</v>
      </c>
      <c r="N2" s="791"/>
      <c r="O2" s="791"/>
      <c r="P2" s="791"/>
      <c r="S2" s="786">
        <f>MATCH($E$1,$AJ$22:$AJ$35)</f>
        <v>9</v>
      </c>
      <c r="T2" s="969">
        <v>10</v>
      </c>
      <c r="U2" s="839"/>
      <c r="V2" s="828" t="s">
        <v>1180</v>
      </c>
      <c r="W2" s="841">
        <v>0.2</v>
      </c>
    </row>
    <row r="3" spans="2:42" ht="15" thickBot="1">
      <c r="N3" s="791"/>
      <c r="O3" s="791"/>
      <c r="P3" s="791"/>
      <c r="S3" s="828"/>
      <c r="T3" s="828"/>
      <c r="U3" s="837"/>
      <c r="V3" s="838" t="s">
        <v>1181</v>
      </c>
      <c r="W3" s="842">
        <v>0</v>
      </c>
    </row>
    <row r="4" spans="2:42">
      <c r="N4" s="791"/>
      <c r="O4" s="791"/>
      <c r="P4" s="791"/>
      <c r="S4" s="828"/>
      <c r="T4" s="828"/>
      <c r="U4" s="828"/>
      <c r="V4" s="828"/>
    </row>
    <row r="5" spans="2:42">
      <c r="J5" s="175" t="s">
        <v>468</v>
      </c>
      <c r="N5" s="791"/>
      <c r="O5" s="791"/>
      <c r="P5" s="791"/>
      <c r="S5" s="828"/>
      <c r="T5" s="828"/>
      <c r="U5" s="828"/>
      <c r="V5" s="828"/>
    </row>
    <row r="6" spans="2:42" ht="26.25" customHeight="1">
      <c r="B6" s="169" t="s">
        <v>1140</v>
      </c>
      <c r="C6" s="46"/>
      <c r="D6" s="46" t="s">
        <v>425</v>
      </c>
      <c r="E6" s="46" t="s">
        <v>426</v>
      </c>
      <c r="F6" s="46" t="s">
        <v>734</v>
      </c>
      <c r="G6" s="46" t="s">
        <v>427</v>
      </c>
      <c r="H6" s="46" t="s">
        <v>428</v>
      </c>
      <c r="I6" s="831" t="s">
        <v>1174</v>
      </c>
      <c r="J6" s="46" t="s">
        <v>335</v>
      </c>
      <c r="K6" s="46" t="s">
        <v>336</v>
      </c>
      <c r="L6" s="47" t="s">
        <v>337</v>
      </c>
      <c r="M6" s="47" t="s">
        <v>1177</v>
      </c>
      <c r="N6" s="47" t="s">
        <v>339</v>
      </c>
      <c r="O6" s="48" t="s">
        <v>340</v>
      </c>
      <c r="P6" s="47" t="s">
        <v>341</v>
      </c>
      <c r="Q6" s="49" t="s">
        <v>342</v>
      </c>
      <c r="R6" s="49" t="s">
        <v>343</v>
      </c>
      <c r="S6" s="829" t="s">
        <v>344</v>
      </c>
      <c r="T6" s="830" t="s">
        <v>1122</v>
      </c>
      <c r="U6" s="829" t="s">
        <v>1429</v>
      </c>
      <c r="V6" s="843" t="s">
        <v>1176</v>
      </c>
      <c r="W6" s="316"/>
      <c r="X6" s="299" t="str">
        <f>"FEMIS~"&amp;D273</f>
        <v>FEMIS~IGDSOx</v>
      </c>
      <c r="Y6" s="299" t="str">
        <f>"FEMIS~"&amp;D274</f>
        <v>FEMIS~IGDNOx</v>
      </c>
      <c r="Z6" s="299" t="str">
        <f>"FEMIS~"&amp;D275</f>
        <v>FEMIS~IGDCH4</v>
      </c>
      <c r="AA6" s="299" t="str">
        <f>"FEMIS~"&amp;D276</f>
        <v>FEMIS~IGDNO2</v>
      </c>
      <c r="AB6" s="299" t="str">
        <f>"FEMIS~"&amp;D277</f>
        <v>FEMIS~IGDPM</v>
      </c>
      <c r="AC6" s="239" t="s">
        <v>424</v>
      </c>
      <c r="AD6" s="239" t="s">
        <v>1428</v>
      </c>
      <c r="AE6" s="47" t="s">
        <v>338</v>
      </c>
      <c r="AF6" s="233" t="s">
        <v>473</v>
      </c>
    </row>
    <row r="7" spans="2:42" ht="15" thickBot="1">
      <c r="B7" s="775"/>
      <c r="C7" s="170"/>
      <c r="D7" s="170" t="s">
        <v>429</v>
      </c>
      <c r="E7" s="50"/>
      <c r="F7" s="50"/>
      <c r="G7" s="50"/>
      <c r="H7" s="50"/>
      <c r="I7" s="171"/>
      <c r="J7" s="50"/>
      <c r="K7" s="50"/>
      <c r="L7" s="51"/>
      <c r="M7" s="51"/>
      <c r="N7" s="51"/>
      <c r="O7" s="52"/>
      <c r="P7" s="50"/>
      <c r="Q7" s="50"/>
      <c r="R7" s="50"/>
      <c r="S7" s="50"/>
      <c r="T7" s="50"/>
      <c r="U7" s="50"/>
      <c r="V7" s="171"/>
      <c r="W7" s="317"/>
      <c r="X7" s="50"/>
      <c r="Y7" s="50"/>
      <c r="Z7" s="50"/>
      <c r="AA7" s="50"/>
      <c r="AB7" s="50"/>
      <c r="AE7" s="51"/>
      <c r="AF7" s="234"/>
    </row>
    <row r="8" spans="2:42">
      <c r="B8" s="393"/>
      <c r="D8" s="239" t="s">
        <v>451</v>
      </c>
      <c r="I8" s="393"/>
      <c r="J8" s="57"/>
      <c r="K8" s="57"/>
      <c r="L8" s="57"/>
      <c r="M8" s="57"/>
      <c r="N8" s="57"/>
      <c r="O8" s="57" t="s">
        <v>470</v>
      </c>
      <c r="P8" s="57" t="s">
        <v>471</v>
      </c>
      <c r="Q8" s="57" t="s">
        <v>472</v>
      </c>
      <c r="R8" s="57" t="s">
        <v>351</v>
      </c>
      <c r="S8" s="57" t="s">
        <v>351</v>
      </c>
      <c r="T8" s="57"/>
      <c r="U8" s="57"/>
      <c r="V8" s="844"/>
      <c r="W8" s="318"/>
      <c r="X8" s="57" t="s">
        <v>352</v>
      </c>
      <c r="Y8" s="57" t="s">
        <v>352</v>
      </c>
      <c r="Z8" s="57" t="s">
        <v>352</v>
      </c>
      <c r="AA8" s="57" t="s">
        <v>352</v>
      </c>
      <c r="AB8" s="57" t="s">
        <v>352</v>
      </c>
      <c r="AE8" s="57"/>
      <c r="AF8" s="232"/>
    </row>
    <row r="9" spans="2:42">
      <c r="B9" s="393" t="s">
        <v>1123</v>
      </c>
      <c r="D9" s="223" t="str">
        <f ca="1">IF(T9=0,"*",IF(T9&gt;0,"IND"&amp;RIGHT(H9,4)&amp;RIGHT(G9,3)&amp;"N"&amp;RIGHT(E9,1),""))</f>
        <v>INDGDMTELCN1</v>
      </c>
      <c r="E9" s="278" t="str">
        <f>"Industrial heating technology "&amp;$AJ$12&amp;" "&amp;RIGHT(H9,2)&amp;" - Heat pump utilizing waste heat - new 1"</f>
        <v>Industrial heating technology Glass &amp; Concrete MT - Heat pump utilizing waste heat - new 1</v>
      </c>
      <c r="F9" s="239" t="s">
        <v>1274</v>
      </c>
      <c r="G9" s="176" t="s">
        <v>500</v>
      </c>
      <c r="H9" s="177" t="str">
        <f>$AI$14</f>
        <v>IGDMT</v>
      </c>
      <c r="I9" s="176"/>
      <c r="J9" s="239">
        <f>AD9</f>
        <v>2020</v>
      </c>
      <c r="K9" s="81">
        <v>2020</v>
      </c>
      <c r="L9" s="366">
        <v>1</v>
      </c>
      <c r="M9" s="206">
        <f ca="1">VLOOKUP($AD9,INDIRECT("'"&amp;$B9&amp;"'!"&amp;"$P$39:$AD$42"),3,FALSE)</f>
        <v>4.4754761904761899</v>
      </c>
      <c r="N9" s="81">
        <f ca="1">VLOOKUP($AD9,INDIRECT("'"&amp;$B9&amp;"'!"&amp;"$P$39:$AD$42"),5,FALSE)</f>
        <v>20</v>
      </c>
      <c r="O9" s="783">
        <f ca="1">VLOOKUP($AD9,INDIRECT("'"&amp;$B9&amp;"'!"&amp;"$P$39:$AD$42"),6,FALSE)/1000</f>
        <v>5.4385000000000003</v>
      </c>
      <c r="P9" s="783">
        <f ca="1">VLOOKUP($AD9,INDIRECT("'"&amp;$B9&amp;"'!"&amp;"$P$39:$AD$42"),7,FALSE)/1000</f>
        <v>1.49E-2</v>
      </c>
      <c r="Q9" s="81">
        <f ca="1">VLOOKUP($AD9,INDIRECT("'"&amp;$B9&amp;"'!"&amp;"$P$39:$AD$42"),8,FALSE)</f>
        <v>6.7463888888888883</v>
      </c>
      <c r="R9" s="81">
        <v>3.1536000000000002E-2</v>
      </c>
      <c r="S9" s="206">
        <v>0.5</v>
      </c>
      <c r="T9" s="206">
        <f ca="1">IF(HLOOKUP($T$2,INDIRECT("'"&amp;$B9&amp;"'!"&amp;"$P$6:$AE$19"),IF(H9=$AI$13,6,IF(H9=$AI$14,9,14)),FALSE)&lt;0.03,0,HLOOKUP($T$2,INDIRECT("'"&amp;$B9&amp;"'!"&amp;"$P$6:$AE$19"),IF(H9=$AI$13,6,IF(H9=$AI$14,9,14)),FALSE))</f>
        <v>0.15</v>
      </c>
      <c r="U9" s="206">
        <f ca="1">1/M9*1.01</f>
        <v>0.22567430973027613</v>
      </c>
      <c r="V9" s="206"/>
      <c r="W9" s="331"/>
      <c r="X9" s="75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41"/>
      <c r="AD9" s="81">
        <v>2020</v>
      </c>
      <c r="AE9" s="81"/>
      <c r="AF9" s="232"/>
    </row>
    <row r="10" spans="2:42">
      <c r="B10" s="393" t="s">
        <v>1123</v>
      </c>
      <c r="D10" s="223" t="str">
        <f ca="1">IF(T9=0,"*",IF(T10&gt;0,"IND"&amp;RIGHT(H9,4)&amp;RIGHT(G9,3)&amp;"N"&amp;RIGHT(E9,1),""))</f>
        <v/>
      </c>
      <c r="E10" s="278"/>
      <c r="F10" s="239" t="s">
        <v>1274</v>
      </c>
      <c r="G10" s="176" t="str">
        <f>$AI$20</f>
        <v>INDGWH</v>
      </c>
      <c r="H10" s="177"/>
      <c r="I10" s="177"/>
      <c r="K10" s="81"/>
      <c r="L10" s="366"/>
      <c r="M10" s="206"/>
      <c r="N10" s="81"/>
      <c r="O10" s="783"/>
      <c r="P10" s="783"/>
      <c r="Q10" s="81"/>
      <c r="R10" s="208"/>
      <c r="S10" s="832"/>
      <c r="T10" s="832"/>
      <c r="U10" s="206">
        <f ca="1">1-1/M9*1.01</f>
        <v>0.77432569026972387</v>
      </c>
      <c r="V10" s="832"/>
      <c r="W10" s="331"/>
      <c r="X10" s="758"/>
      <c r="Y10" s="81"/>
      <c r="Z10" s="81"/>
      <c r="AA10" s="81"/>
      <c r="AB10" s="81"/>
      <c r="AC10" s="241"/>
      <c r="AD10" s="81"/>
      <c r="AE10" s="81"/>
      <c r="AF10" s="232"/>
    </row>
    <row r="11" spans="2:42">
      <c r="B11" s="393" t="s">
        <v>1123</v>
      </c>
      <c r="D11" s="223" t="str">
        <f ca="1">IF(T9=0,"*",IF(T11&gt;0,"IND"&amp;RIGHT(H9,4)&amp;RIGHT(G9,3)&amp;"N"&amp;RIGHT(E9,1),""))</f>
        <v/>
      </c>
      <c r="E11" s="223"/>
      <c r="F11" s="239" t="s">
        <v>1274</v>
      </c>
      <c r="G11" s="176" t="s">
        <v>500</v>
      </c>
      <c r="H11" s="177" t="str">
        <f>$AI$14</f>
        <v>IGDMT</v>
      </c>
      <c r="I11" s="176"/>
      <c r="J11" s="239">
        <f>AD11</f>
        <v>2030</v>
      </c>
      <c r="K11" s="81"/>
      <c r="L11" s="366">
        <v>1</v>
      </c>
      <c r="M11" s="206">
        <f ca="1">VLOOKUP($AD11,INDIRECT("'"&amp;$B11&amp;"'!"&amp;"$P$39:$AD$42"),3,FALSE)</f>
        <v>4.5792982142857133</v>
      </c>
      <c r="N11" s="81"/>
      <c r="O11" s="783">
        <f ca="1">VLOOKUP($AD11,INDIRECT("'"&amp;$B11&amp;"'!"&amp;"$P$39:$AD$42"),6,FALSE)/1000</f>
        <v>4.8425000000000002</v>
      </c>
      <c r="P11" s="783">
        <f ca="1">VLOOKUP($AD11,INDIRECT("'"&amp;$B11&amp;"'!"&amp;"$P$39:$AD$42"),7,FALSE)/1000</f>
        <v>1.49E-2</v>
      </c>
      <c r="Q11" s="81">
        <f ca="1">VLOOKUP($AD11,INDIRECT("'"&amp;$B11&amp;"'!"&amp;"$P$39:$AD$42"),8,FALSE)</f>
        <v>6.6222222222222227</v>
      </c>
      <c r="R11" s="333"/>
      <c r="S11" s="333"/>
      <c r="T11" s="333"/>
      <c r="U11" s="206">
        <f t="shared" ref="U11" ca="1" si="0">1/M11*1.01</f>
        <v>0.22055781317084228</v>
      </c>
      <c r="V11" s="206"/>
      <c r="W11" s="331"/>
      <c r="X11" s="75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41"/>
      <c r="AD11" s="81">
        <v>2030</v>
      </c>
      <c r="AE11" s="81"/>
      <c r="AF11" s="232"/>
    </row>
    <row r="12" spans="2:42">
      <c r="B12" s="393" t="s">
        <v>1123</v>
      </c>
      <c r="D12" s="223" t="str">
        <f ca="1">IF(T9=0,"*",IF(T12&gt;0,"IND"&amp;RIGHT(H9,4)&amp;RIGHT(G9,3)&amp;"N"&amp;RIGHT(E9,1),""))</f>
        <v/>
      </c>
      <c r="E12" s="223"/>
      <c r="F12" s="239" t="s">
        <v>1274</v>
      </c>
      <c r="G12" s="176" t="str">
        <f>$AI$20</f>
        <v>INDGWH</v>
      </c>
      <c r="H12" s="177"/>
      <c r="I12" s="177"/>
      <c r="K12" s="81"/>
      <c r="L12" s="366"/>
      <c r="M12" s="206"/>
      <c r="N12" s="81"/>
      <c r="O12" s="783"/>
      <c r="P12" s="783"/>
      <c r="Q12" s="81"/>
      <c r="R12" s="333"/>
      <c r="S12" s="333"/>
      <c r="T12" s="333"/>
      <c r="U12" s="206">
        <f t="shared" ref="U12" ca="1" si="1">1-1/M11*1.01</f>
        <v>0.77944218682915767</v>
      </c>
      <c r="V12" s="333"/>
      <c r="W12" s="331"/>
      <c r="X12" s="758"/>
      <c r="Y12" s="81"/>
      <c r="Z12" s="81"/>
      <c r="AA12" s="81"/>
      <c r="AB12" s="81"/>
      <c r="AC12" s="241"/>
      <c r="AD12" s="81"/>
      <c r="AE12" s="81"/>
      <c r="AF12" s="232"/>
      <c r="AI12" s="239" t="s">
        <v>519</v>
      </c>
      <c r="AJ12" s="239" t="str">
        <f>E2</f>
        <v>Glass &amp; Concrete</v>
      </c>
    </row>
    <row r="13" spans="2:42">
      <c r="B13" s="393" t="s">
        <v>1123</v>
      </c>
      <c r="D13" s="223" t="str">
        <f ca="1">IF(T9=0,"*",IF(T13&gt;0,"IND"&amp;RIGHT(H9,4)&amp;RIGHT(G9,3)&amp;"N"&amp;RIGHT(E9,1),""))</f>
        <v/>
      </c>
      <c r="E13" s="223"/>
      <c r="F13" s="239" t="s">
        <v>1274</v>
      </c>
      <c r="G13" s="176" t="s">
        <v>500</v>
      </c>
      <c r="H13" s="177" t="str">
        <f>$AI$14</f>
        <v>IGDMT</v>
      </c>
      <c r="I13" s="176"/>
      <c r="J13" s="239">
        <f>AD13</f>
        <v>2050</v>
      </c>
      <c r="K13" s="81"/>
      <c r="L13" s="366">
        <v>1</v>
      </c>
      <c r="M13" s="206">
        <f ca="1">VLOOKUP($AD13,INDIRECT("'"&amp;$B13&amp;"'!"&amp;"$P$39:$AD$42"),3,FALSE)</f>
        <v>4.7191030203571422</v>
      </c>
      <c r="N13" s="81"/>
      <c r="O13" s="783">
        <f ca="1">VLOOKUP($AD13,INDIRECT("'"&amp;$B13&amp;"'!"&amp;"$P$39:$AD$42"),6,FALSE)/1000</f>
        <v>4.3209999999999997</v>
      </c>
      <c r="P13" s="783">
        <f ca="1">VLOOKUP($AD13,INDIRECT("'"&amp;$B13&amp;"'!"&amp;"$P$39:$AD$42"),7,FALSE)/1000</f>
        <v>1.49E-2</v>
      </c>
      <c r="Q13" s="81">
        <f ca="1">VLOOKUP($AD13,INDIRECT("'"&amp;$B13&amp;"'!"&amp;"$P$39:$AD$42"),8,FALSE)</f>
        <v>6.4566666666666661</v>
      </c>
      <c r="R13" s="333"/>
      <c r="S13" s="333"/>
      <c r="T13" s="333"/>
      <c r="U13" s="206">
        <f t="shared" ref="U13" ca="1" si="2">1/M13*1.01</f>
        <v>0.21402372350065016</v>
      </c>
      <c r="V13" s="206"/>
      <c r="W13" s="331"/>
      <c r="X13" s="75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41"/>
      <c r="AD13" s="81">
        <v>2050</v>
      </c>
      <c r="AE13" s="81"/>
      <c r="AF13" s="232"/>
      <c r="AI13" s="239" t="str">
        <f>AO14</f>
        <v>IGDHT</v>
      </c>
      <c r="AJ13" s="239" t="str">
        <f>AP14</f>
        <v>Glass &amp; Concrete industry Demand Heat High Temp. over 150C</v>
      </c>
      <c r="AO13" s="239" t="s">
        <v>1275</v>
      </c>
      <c r="AP13" s="239" t="s">
        <v>1276</v>
      </c>
    </row>
    <row r="14" spans="2:42">
      <c r="B14" s="393" t="s">
        <v>1123</v>
      </c>
      <c r="D14" s="223" t="str">
        <f ca="1">IF(T9=0,"*",IF(T14&gt;0,"IND"&amp;RIGHT(H9,4)&amp;RIGHT(G9,3)&amp;"N"&amp;RIGHT(E9,1),""))</f>
        <v/>
      </c>
      <c r="E14" s="223"/>
      <c r="F14" s="239" t="s">
        <v>1274</v>
      </c>
      <c r="G14" s="176" t="str">
        <f>$AI$20</f>
        <v>INDGWH</v>
      </c>
      <c r="H14" s="177"/>
      <c r="I14" s="177"/>
      <c r="K14" s="81"/>
      <c r="L14" s="366"/>
      <c r="M14" s="206"/>
      <c r="N14" s="81"/>
      <c r="O14" s="783"/>
      <c r="P14" s="783"/>
      <c r="Q14" s="81"/>
      <c r="R14" s="333"/>
      <c r="S14" s="333"/>
      <c r="T14" s="333"/>
      <c r="U14" s="206">
        <f t="shared" ref="U14" ca="1" si="3">1-1/M13*1.01</f>
        <v>0.78597627649934987</v>
      </c>
      <c r="V14" s="333"/>
      <c r="W14" s="331"/>
      <c r="X14" s="758"/>
      <c r="Y14" s="81"/>
      <c r="Z14" s="81"/>
      <c r="AA14" s="81"/>
      <c r="AB14" s="81"/>
      <c r="AC14" s="241"/>
      <c r="AD14" s="81"/>
      <c r="AE14" s="81"/>
      <c r="AF14" s="232"/>
      <c r="AI14" s="239" t="str">
        <f>AO13</f>
        <v>IGDMT</v>
      </c>
      <c r="AJ14" s="239" t="str">
        <f>AP13</f>
        <v>Glass &amp; Concrete industry Demand Heat Medium Temp. up to 150C</v>
      </c>
      <c r="AO14" s="239" t="s">
        <v>1238</v>
      </c>
      <c r="AP14" s="239" t="s">
        <v>1277</v>
      </c>
    </row>
    <row r="15" spans="2:42">
      <c r="B15" s="393" t="s">
        <v>1123</v>
      </c>
      <c r="D15" s="223" t="str">
        <f ca="1">IF(T15=0,"*",IF(T15&gt;0,"IND"&amp;RIGHT(H15,4)&amp;RIGHT(G15,3)&amp;"N"&amp;RIGHT(E15,1),""))</f>
        <v>INDGDRHELCN1</v>
      </c>
      <c r="E15" s="278" t="str">
        <f>"Industrial heating technology "&amp;$AJ$12&amp;" "&amp;RIGHT(H15,2)&amp;" - Heat pump utilizing waste heat - new 1"</f>
        <v>Industrial heating technology Glass &amp; Concrete RH - Heat pump utilizing waste heat - new 1</v>
      </c>
      <c r="F15" s="239" t="s">
        <v>1274</v>
      </c>
      <c r="G15" s="176" t="s">
        <v>500</v>
      </c>
      <c r="H15" s="177" t="str">
        <f>$AI$15</f>
        <v>IGDRH</v>
      </c>
      <c r="I15" s="177"/>
      <c r="J15" s="239">
        <f>AD15</f>
        <v>2020</v>
      </c>
      <c r="K15" s="81">
        <v>2020</v>
      </c>
      <c r="L15" s="366">
        <v>1</v>
      </c>
      <c r="M15" s="206">
        <f ca="1">VLOOKUP($AD15,INDIRECT("'"&amp;$B15&amp;"'!"&amp;"$P$39:$AD$42"),3,FALSE)</f>
        <v>4.4754761904761899</v>
      </c>
      <c r="N15" s="81">
        <f ca="1">VLOOKUP($AD15,INDIRECT("'"&amp;$B15&amp;"'!"&amp;"$P$39:$AD$42"),5,FALSE)</f>
        <v>20</v>
      </c>
      <c r="O15" s="783">
        <f ca="1">VLOOKUP($AD15,INDIRECT("'"&amp;$B15&amp;"'!"&amp;"$P$39:$AD$42"),6,FALSE)/1000</f>
        <v>5.4385000000000003</v>
      </c>
      <c r="P15" s="783">
        <f ca="1">VLOOKUP($AD15,INDIRECT("'"&amp;$B15&amp;"'!"&amp;"$P$39:$AD$42"),7,FALSE)/1000</f>
        <v>1.49E-2</v>
      </c>
      <c r="Q15" s="81">
        <f ca="1">VLOOKUP($AD15,INDIRECT("'"&amp;$B15&amp;"'!"&amp;"$P$39:$AD$42"),8,FALSE)</f>
        <v>6.7463888888888883</v>
      </c>
      <c r="R15" s="81">
        <v>3.1536000000000002E-2</v>
      </c>
      <c r="S15" s="206">
        <v>0.5</v>
      </c>
      <c r="T15" s="206">
        <f ca="1">IF(HLOOKUP($T$2,INDIRECT("'"&amp;$B15&amp;"'!"&amp;"$P$6:$AE$19"),IF(H15=$AI$13,6,IF(H15=$AI$14,9,14)),FALSE)&lt;0.03,0,HLOOKUP($T$2,INDIRECT("'"&amp;$B15&amp;"'!"&amp;"$P$6:$AE$19"),IF(H15=$AI$13,6,IF(H15=$AI$14,9,14)),FALSE))</f>
        <v>1</v>
      </c>
      <c r="U15" s="206">
        <f t="shared" ref="U15" ca="1" si="4">1/M15*1.01</f>
        <v>0.22567430973027613</v>
      </c>
      <c r="V15" s="206"/>
      <c r="W15" s="331"/>
      <c r="X15" s="75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41"/>
      <c r="AD15" s="81">
        <v>2020</v>
      </c>
      <c r="AE15" s="81"/>
      <c r="AF15" s="232"/>
      <c r="AI15" s="239" t="str">
        <f>AO15</f>
        <v>IGDRH</v>
      </c>
      <c r="AJ15" s="239" t="str">
        <f>AP15</f>
        <v>Glass &amp; Concrete industry Demand Heat Room Heat</v>
      </c>
      <c r="AO15" s="239" t="s">
        <v>1278</v>
      </c>
      <c r="AP15" s="239" t="s">
        <v>1279</v>
      </c>
    </row>
    <row r="16" spans="2:42">
      <c r="B16" s="393" t="s">
        <v>1123</v>
      </c>
      <c r="D16" s="223" t="str">
        <f ca="1">IF(T15=0,"*",IF(T16&gt;0,"IND"&amp;RIGHT(H15,4)&amp;RIGHT(G15,3)&amp;"N"&amp;RIGHT(E15,1),""))</f>
        <v/>
      </c>
      <c r="E16" s="278"/>
      <c r="F16" s="239" t="s">
        <v>1274</v>
      </c>
      <c r="G16" s="176" t="str">
        <f>$AI$20</f>
        <v>INDGWH</v>
      </c>
      <c r="H16" s="177"/>
      <c r="I16" s="177"/>
      <c r="K16" s="81"/>
      <c r="L16" s="366"/>
      <c r="M16" s="206"/>
      <c r="N16" s="81"/>
      <c r="O16" s="783"/>
      <c r="P16" s="783"/>
      <c r="Q16" s="81"/>
      <c r="R16" s="208"/>
      <c r="S16" s="832"/>
      <c r="T16" s="832"/>
      <c r="U16" s="206">
        <f t="shared" ref="U16" ca="1" si="5">1-1/M15*1.01</f>
        <v>0.77432569026972387</v>
      </c>
      <c r="V16" s="832"/>
      <c r="W16" s="331"/>
      <c r="X16" s="758"/>
      <c r="Y16" s="81"/>
      <c r="Z16" s="81"/>
      <c r="AA16" s="81"/>
      <c r="AB16" s="81"/>
      <c r="AC16" s="241"/>
      <c r="AD16" s="81"/>
      <c r="AE16" s="81"/>
      <c r="AF16" s="232"/>
      <c r="AI16" s="239" t="str">
        <f t="shared" ref="AI16:AJ19" si="6">AO16</f>
        <v>IGDLA</v>
      </c>
      <c r="AJ16" s="239" t="str">
        <f t="shared" si="6"/>
        <v>Glass &amp; Concrete industry Demand Light</v>
      </c>
      <c r="AO16" s="239" t="s">
        <v>1280</v>
      </c>
      <c r="AP16" s="239" t="s">
        <v>1281</v>
      </c>
    </row>
    <row r="17" spans="2:42">
      <c r="B17" s="393" t="s">
        <v>1123</v>
      </c>
      <c r="D17" s="223" t="str">
        <f ca="1">IF(T15=0,"*",IF(T17&gt;0,"IND"&amp;RIGHT(H15,4)&amp;RIGHT(G15,3)&amp;"N"&amp;RIGHT(E15,1),""))</f>
        <v/>
      </c>
      <c r="E17" s="223"/>
      <c r="F17" s="239" t="s">
        <v>1274</v>
      </c>
      <c r="G17" s="176" t="s">
        <v>500</v>
      </c>
      <c r="H17" s="177" t="str">
        <f>$AI$15</f>
        <v>IGDRH</v>
      </c>
      <c r="I17" s="177"/>
      <c r="J17" s="239">
        <f>AD17</f>
        <v>2030</v>
      </c>
      <c r="K17" s="81"/>
      <c r="L17" s="366">
        <v>1</v>
      </c>
      <c r="M17" s="206">
        <f ca="1">VLOOKUP($AD17,INDIRECT("'"&amp;$B17&amp;"'!"&amp;"$P$39:$AD$42"),3,FALSE)</f>
        <v>4.5792982142857133</v>
      </c>
      <c r="N17" s="81"/>
      <c r="O17" s="783">
        <f ca="1">VLOOKUP($AD17,INDIRECT("'"&amp;$B17&amp;"'!"&amp;"$P$39:$AD$42"),6,FALSE)/1000</f>
        <v>4.8425000000000002</v>
      </c>
      <c r="P17" s="783">
        <f ca="1">VLOOKUP($AD17,INDIRECT("'"&amp;$B17&amp;"'!"&amp;"$P$39:$AD$42"),7,FALSE)/1000</f>
        <v>1.49E-2</v>
      </c>
      <c r="Q17" s="81">
        <f ca="1">VLOOKUP($AD17,INDIRECT("'"&amp;$B17&amp;"'!"&amp;"$P$39:$AD$42"),8,FALSE)</f>
        <v>6.6222222222222227</v>
      </c>
      <c r="R17" s="333"/>
      <c r="S17" s="333"/>
      <c r="T17" s="333"/>
      <c r="U17" s="206">
        <f t="shared" ref="U17" ca="1" si="7">1/M17*1.01</f>
        <v>0.22055781317084228</v>
      </c>
      <c r="V17" s="206"/>
      <c r="W17" s="331"/>
      <c r="X17" s="75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41"/>
      <c r="AD17" s="81">
        <v>2030</v>
      </c>
      <c r="AE17" s="81"/>
      <c r="AF17" s="232"/>
      <c r="AI17" s="239" t="str">
        <f t="shared" si="6"/>
        <v>IGDEM</v>
      </c>
      <c r="AJ17" s="239" t="str">
        <f t="shared" si="6"/>
        <v>Glass &amp; Concrete industry Demand Electric Motors</v>
      </c>
      <c r="AO17" s="239" t="s">
        <v>1282</v>
      </c>
      <c r="AP17" s="239" t="s">
        <v>1283</v>
      </c>
    </row>
    <row r="18" spans="2:42">
      <c r="B18" s="393" t="s">
        <v>1123</v>
      </c>
      <c r="D18" s="223" t="str">
        <f ca="1">IF(T15=0,"*",IF(T18&gt;0,"IND"&amp;RIGHT(H15,4)&amp;RIGHT(G15,3)&amp;"N"&amp;RIGHT(E15,1),""))</f>
        <v/>
      </c>
      <c r="E18" s="223"/>
      <c r="F18" s="239" t="s">
        <v>1274</v>
      </c>
      <c r="G18" s="176" t="str">
        <f>$AI$20</f>
        <v>INDGWH</v>
      </c>
      <c r="H18" s="177"/>
      <c r="I18" s="177"/>
      <c r="K18" s="81"/>
      <c r="L18" s="366"/>
      <c r="M18" s="206"/>
      <c r="N18" s="81"/>
      <c r="O18" s="783"/>
      <c r="P18" s="783"/>
      <c r="Q18" s="81"/>
      <c r="R18" s="333"/>
      <c r="S18" s="333"/>
      <c r="T18" s="333"/>
      <c r="U18" s="206">
        <f t="shared" ref="U18" ca="1" si="8">1-1/M17*1.01</f>
        <v>0.77944218682915767</v>
      </c>
      <c r="V18" s="333"/>
      <c r="W18" s="331"/>
      <c r="X18" s="758"/>
      <c r="Y18" s="81"/>
      <c r="Z18" s="81"/>
      <c r="AA18" s="81"/>
      <c r="AB18" s="81"/>
      <c r="AC18" s="241"/>
      <c r="AD18" s="81"/>
      <c r="AE18" s="81"/>
      <c r="AF18" s="232"/>
      <c r="AI18" s="239" t="str">
        <f t="shared" si="6"/>
        <v>IGDTF</v>
      </c>
      <c r="AJ18" s="239" t="str">
        <f t="shared" si="6"/>
        <v>Glass &amp; Concrete industry Demand Haulage Tractors, Trucks, Fishing boats, Forest machines</v>
      </c>
      <c r="AO18" s="239" t="s">
        <v>1284</v>
      </c>
      <c r="AP18" s="239" t="s">
        <v>1285</v>
      </c>
    </row>
    <row r="19" spans="2:42">
      <c r="B19" s="393" t="s">
        <v>1123</v>
      </c>
      <c r="D19" s="223" t="str">
        <f ca="1">IF(T15=0,"*",IF(T19&gt;0,"IND"&amp;RIGHT(H15,4)&amp;RIGHT(G15,3)&amp;"N"&amp;RIGHT(E15,1),""))</f>
        <v/>
      </c>
      <c r="E19" s="223"/>
      <c r="F19" s="239" t="s">
        <v>1274</v>
      </c>
      <c r="G19" s="176" t="s">
        <v>500</v>
      </c>
      <c r="H19" s="177" t="str">
        <f>$AI$15</f>
        <v>IGDRH</v>
      </c>
      <c r="I19" s="177"/>
      <c r="J19" s="239">
        <f>AD19</f>
        <v>2050</v>
      </c>
      <c r="K19" s="81"/>
      <c r="L19" s="366">
        <v>1</v>
      </c>
      <c r="M19" s="206">
        <f ca="1">VLOOKUP($AD19,INDIRECT("'"&amp;$B19&amp;"'!"&amp;"$P$39:$AD$42"),3,FALSE)</f>
        <v>4.7191030203571422</v>
      </c>
      <c r="N19" s="81"/>
      <c r="O19" s="783">
        <f ca="1">VLOOKUP($AD19,INDIRECT("'"&amp;$B19&amp;"'!"&amp;"$P$39:$AD$42"),6,FALSE)/1000</f>
        <v>4.3209999999999997</v>
      </c>
      <c r="P19" s="783">
        <f ca="1">VLOOKUP($AD19,INDIRECT("'"&amp;$B19&amp;"'!"&amp;"$P$39:$AD$42"),7,FALSE)/1000</f>
        <v>1.49E-2</v>
      </c>
      <c r="Q19" s="81">
        <f ca="1">VLOOKUP($AD19,INDIRECT("'"&amp;$B19&amp;"'!"&amp;"$P$39:$AD$42"),8,FALSE)</f>
        <v>6.4566666666666661</v>
      </c>
      <c r="R19" s="333"/>
      <c r="S19" s="333"/>
      <c r="T19" s="333"/>
      <c r="U19" s="206">
        <f t="shared" ref="U19" ca="1" si="9">1/M19*1.01</f>
        <v>0.21402372350065016</v>
      </c>
      <c r="V19" s="206"/>
      <c r="W19" s="331"/>
      <c r="X19" s="75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41"/>
      <c r="AD19" s="81">
        <v>2050</v>
      </c>
      <c r="AE19" s="81"/>
      <c r="AF19" s="232"/>
      <c r="AI19" s="239" t="str">
        <f t="shared" si="6"/>
        <v>IGDFL</v>
      </c>
      <c r="AJ19" s="239" t="str">
        <f t="shared" si="6"/>
        <v>Glass &amp; Concrete industry Demand Haulage Forklifts</v>
      </c>
      <c r="AO19" s="239" t="s">
        <v>1286</v>
      </c>
      <c r="AP19" s="239" t="s">
        <v>1287</v>
      </c>
    </row>
    <row r="20" spans="2:42">
      <c r="B20" s="393" t="s">
        <v>1123</v>
      </c>
      <c r="D20" s="223" t="str">
        <f ca="1">IF(T15=0,"*",IF(T20&gt;0,"IND"&amp;RIGHT(H15,4)&amp;RIGHT(G15,3)&amp;"N"&amp;RIGHT(E15,1),""))</f>
        <v/>
      </c>
      <c r="E20" s="223"/>
      <c r="F20" s="239" t="s">
        <v>1274</v>
      </c>
      <c r="G20" s="176" t="str">
        <f>$AI$20</f>
        <v>INDGWH</v>
      </c>
      <c r="H20" s="177"/>
      <c r="I20" s="177"/>
      <c r="K20" s="81"/>
      <c r="L20" s="366"/>
      <c r="M20" s="206"/>
      <c r="N20" s="81"/>
      <c r="O20" s="783"/>
      <c r="P20" s="783"/>
      <c r="Q20" s="81"/>
      <c r="R20" s="333"/>
      <c r="S20" s="333"/>
      <c r="T20" s="333"/>
      <c r="U20" s="206">
        <f t="shared" ref="U20" ca="1" si="10">1-1/M19*1.01</f>
        <v>0.78597627649934987</v>
      </c>
      <c r="V20" s="333"/>
      <c r="W20" s="331"/>
      <c r="X20" s="758"/>
      <c r="Y20" s="81"/>
      <c r="Z20" s="81"/>
      <c r="AA20" s="81" t="s">
        <v>1262</v>
      </c>
      <c r="AB20" s="81"/>
      <c r="AC20" s="241"/>
      <c r="AD20" s="81"/>
      <c r="AE20" s="81"/>
      <c r="AF20" s="232"/>
      <c r="AI20" s="36" t="str">
        <f>"IND"&amp;MID(AI19,2,1)&amp;"WH"</f>
        <v>INDGWH</v>
      </c>
      <c r="AJ20" s="239" t="str">
        <f>$AJ$12&amp;" Industrial Waste Heat"</f>
        <v>Glass &amp; Concrete Industrial Waste Heat</v>
      </c>
    </row>
    <row r="21" spans="2:42">
      <c r="B21" s="393" t="s">
        <v>1124</v>
      </c>
      <c r="D21" s="223" t="str">
        <f ca="1">IF(T21=0,"*",IF(T21&gt;0,"IND"&amp;RIGHT(H21,4)&amp;RIGHT(G21,3)&amp;"N"&amp;RIGHT(E21,1),""))</f>
        <v>*</v>
      </c>
      <c r="E21" s="278" t="str">
        <f>"Industrial heating technology "&amp;$AJ$12&amp;" "&amp;RIGHT(H21,2)&amp;" - Heat driven heat pump utilizing waste heat - new 2"</f>
        <v>Industrial heating technology Glass &amp; Concrete MT - Heat driven heat pump utilizing waste heat - new 2</v>
      </c>
      <c r="F21" s="239" t="s">
        <v>1274</v>
      </c>
      <c r="G21" s="176" t="s">
        <v>500</v>
      </c>
      <c r="H21" s="177" t="str">
        <f>$AI$14</f>
        <v>IGDMT</v>
      </c>
      <c r="I21" s="177"/>
      <c r="J21" s="239">
        <f>AD21</f>
        <v>2020</v>
      </c>
      <c r="K21" s="81">
        <v>2020</v>
      </c>
      <c r="L21" s="366">
        <v>1</v>
      </c>
      <c r="M21" s="206">
        <f ca="1">VLOOKUP($AD21,INDIRECT("'"&amp;$B21&amp;"'!"&amp;"$P$39:$AD$42"),3,FALSE)</f>
        <v>1.68</v>
      </c>
      <c r="N21" s="81">
        <f ca="1">VLOOKUP($AD21,INDIRECT("'"&amp;$B21&amp;"'!"&amp;"$P$39:$AD$42"),5,FALSE)</f>
        <v>20</v>
      </c>
      <c r="O21" s="783">
        <f ca="1">VLOOKUP($AD21,INDIRECT("'"&amp;$B21&amp;"'!"&amp;"$P$39:$AD$42"),6,FALSE)/1000</f>
        <v>4.1720000000000006</v>
      </c>
      <c r="P21" s="783">
        <f ca="1">VLOOKUP($AD21,INDIRECT("'"&amp;$B21&amp;"'!"&amp;"$P$39:$AD$42"),7,FALSE)/1000</f>
        <v>1.49E-2</v>
      </c>
      <c r="Q21" s="81">
        <f ca="1">VLOOKUP($AD21,INDIRECT("'"&amp;$B21&amp;"'!"&amp;"$P$39:$AD$42"),8,FALSE)</f>
        <v>2.0901388888888892</v>
      </c>
      <c r="R21" s="81">
        <v>3.1536000000000002E-2</v>
      </c>
      <c r="S21" s="206">
        <v>0.5</v>
      </c>
      <c r="T21" s="206">
        <f ca="1">IF(HLOOKUP($T$2,INDIRECT("'"&amp;$B21&amp;"'!"&amp;"$P$6:$AE$19"),IF(H21=$AI$13,6,IF(H21=$AI$14,9,14)),FALSE)&lt;0.03,0,HLOOKUP($T$2,INDIRECT("'"&amp;$B21&amp;"'!"&amp;"$P$6:$AE$19"),IF(H21=$AI$13,6,IF(H21=$AI$14,9,14)),FALSE))</f>
        <v>0</v>
      </c>
      <c r="U21" s="206">
        <f t="shared" ref="U21" ca="1" si="11">1/M21*1.01</f>
        <v>0.60119047619047616</v>
      </c>
      <c r="V21" s="206"/>
      <c r="W21" s="331"/>
      <c r="X21" s="75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41"/>
      <c r="AD21" s="81">
        <v>2020</v>
      </c>
      <c r="AE21" s="81"/>
      <c r="AF21" s="232"/>
    </row>
    <row r="22" spans="2:42">
      <c r="B22" s="393" t="s">
        <v>1124</v>
      </c>
      <c r="D22" s="223" t="str">
        <f ca="1">IF(T21=0,"*",IF(T22&gt;0,"IND"&amp;RIGHT(H21,4)&amp;RIGHT(G21,3)&amp;"N"&amp;RIGHT(E21,1),""))</f>
        <v>*</v>
      </c>
      <c r="E22" s="278"/>
      <c r="F22" s="239" t="s">
        <v>1274</v>
      </c>
      <c r="G22" s="176" t="str">
        <f>$AI$20</f>
        <v>INDGWH</v>
      </c>
      <c r="H22" s="177"/>
      <c r="I22" s="177"/>
      <c r="K22" s="81"/>
      <c r="L22" s="366"/>
      <c r="M22" s="206"/>
      <c r="N22" s="81"/>
      <c r="O22" s="783"/>
      <c r="P22" s="783"/>
      <c r="Q22" s="81"/>
      <c r="R22" s="208"/>
      <c r="S22" s="832"/>
      <c r="T22" s="832"/>
      <c r="U22" s="206">
        <f t="shared" ref="U22" ca="1" si="12">1-1/M21*1.01</f>
        <v>0.39880952380952384</v>
      </c>
      <c r="V22" s="832"/>
      <c r="W22" s="331"/>
      <c r="X22" s="758"/>
      <c r="Y22" s="81"/>
      <c r="Z22" s="81"/>
      <c r="AA22" s="81"/>
      <c r="AB22" s="81"/>
      <c r="AC22" s="241"/>
      <c r="AD22" s="81"/>
      <c r="AE22" s="81"/>
      <c r="AF22" s="232"/>
      <c r="AI22" s="239">
        <v>1</v>
      </c>
    </row>
    <row r="23" spans="2:42">
      <c r="B23" s="393" t="s">
        <v>1124</v>
      </c>
      <c r="D23" s="223" t="str">
        <f ca="1">IF(T21=0,"*",IF(T23&gt;0,"IND"&amp;RIGHT(H21,4)&amp;RIGHT(G21,3)&amp;"N"&amp;RIGHT(E21,1),""))</f>
        <v>*</v>
      </c>
      <c r="E23" s="223"/>
      <c r="F23" s="239" t="s">
        <v>1274</v>
      </c>
      <c r="G23" s="176" t="s">
        <v>500</v>
      </c>
      <c r="H23" s="177" t="str">
        <f>$AI$14</f>
        <v>IGDMT</v>
      </c>
      <c r="I23" s="177"/>
      <c r="J23" s="239">
        <f>AD23</f>
        <v>2030</v>
      </c>
      <c r="K23" s="81"/>
      <c r="L23" s="366">
        <v>1</v>
      </c>
      <c r="M23" s="206">
        <f ca="1">VLOOKUP($AD23,INDIRECT("'"&amp;$B23&amp;"'!"&amp;"$P$39:$AD$42"),3,FALSE)</f>
        <v>1.69</v>
      </c>
      <c r="N23" s="81"/>
      <c r="O23" s="783">
        <f ca="1">VLOOKUP($AD23,INDIRECT("'"&amp;$B23&amp;"'!"&amp;"$P$39:$AD$42"),6,FALSE)/1000</f>
        <v>3.7995000000000001</v>
      </c>
      <c r="P23" s="783">
        <f ca="1">VLOOKUP($AD23,INDIRECT("'"&amp;$B23&amp;"'!"&amp;"$P$39:$AD$42"),7,FALSE)/1000</f>
        <v>1.49E-2</v>
      </c>
      <c r="Q23" s="81">
        <f ca="1">VLOOKUP($AD23,INDIRECT("'"&amp;$B23&amp;"'!"&amp;"$P$39:$AD$42"),8,FALSE)</f>
        <v>2.0694444444444446</v>
      </c>
      <c r="R23" s="333"/>
      <c r="S23" s="333"/>
      <c r="T23" s="333"/>
      <c r="U23" s="206">
        <f t="shared" ref="U23" ca="1" si="13">1/M23*1.01</f>
        <v>0.59763313609467461</v>
      </c>
      <c r="V23" s="206"/>
      <c r="W23" s="331"/>
      <c r="X23" s="75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41"/>
      <c r="AD23" s="81">
        <v>2030</v>
      </c>
      <c r="AE23" s="81"/>
      <c r="AF23" s="232"/>
      <c r="AI23" s="239">
        <v>2</v>
      </c>
    </row>
    <row r="24" spans="2:42" ht="14.7" customHeight="1">
      <c r="B24" s="393" t="s">
        <v>1124</v>
      </c>
      <c r="D24" s="223" t="str">
        <f ca="1">IF(T21=0,"*",IF(T24&gt;0,"IND"&amp;RIGHT(H21,4)&amp;RIGHT(G21,3)&amp;"N"&amp;RIGHT(E21,1),""))</f>
        <v>*</v>
      </c>
      <c r="E24" s="223"/>
      <c r="F24" s="239" t="s">
        <v>1274</v>
      </c>
      <c r="G24" s="176" t="str">
        <f>$AI$20</f>
        <v>INDGWH</v>
      </c>
      <c r="H24" s="177"/>
      <c r="I24" s="177"/>
      <c r="K24" s="81"/>
      <c r="L24" s="366"/>
      <c r="M24" s="206"/>
      <c r="N24" s="81"/>
      <c r="O24" s="783"/>
      <c r="P24" s="783"/>
      <c r="Q24" s="81"/>
      <c r="R24" s="333"/>
      <c r="S24" s="333"/>
      <c r="T24" s="333"/>
      <c r="U24" s="206">
        <f t="shared" ref="U24" ca="1" si="14">1-1/M23*1.01</f>
        <v>0.40236686390532539</v>
      </c>
      <c r="V24" s="333"/>
      <c r="W24" s="331"/>
      <c r="X24" s="758"/>
      <c r="Y24" s="81"/>
      <c r="Z24" s="81"/>
      <c r="AA24" s="81"/>
      <c r="AB24" s="81"/>
      <c r="AC24" s="241"/>
      <c r="AD24" s="81"/>
      <c r="AE24" s="81"/>
      <c r="AF24" s="232"/>
      <c r="AI24" s="239">
        <v>3</v>
      </c>
    </row>
    <row r="25" spans="2:42" ht="14.7" customHeight="1">
      <c r="B25" s="393" t="s">
        <v>1124</v>
      </c>
      <c r="D25" s="223" t="str">
        <f ca="1">IF(T21=0,"*",IF(T25&gt;0,"IND"&amp;RIGHT(H21,4)&amp;RIGHT(G21,3)&amp;"N"&amp;RIGHT(E21,1),""))</f>
        <v>*</v>
      </c>
      <c r="E25" s="223"/>
      <c r="F25" s="239" t="s">
        <v>1274</v>
      </c>
      <c r="G25" s="176" t="s">
        <v>500</v>
      </c>
      <c r="H25" s="177" t="str">
        <f>$AI$14</f>
        <v>IGDMT</v>
      </c>
      <c r="I25" s="177"/>
      <c r="J25" s="239">
        <f>AD25</f>
        <v>2050</v>
      </c>
      <c r="K25" s="81"/>
      <c r="L25" s="366">
        <v>1</v>
      </c>
      <c r="M25" s="206">
        <f ca="1">VLOOKUP($AD25,INDIRECT("'"&amp;$B25&amp;"'!"&amp;"$P$39:$AD$42"),3,FALSE)</f>
        <v>1.71</v>
      </c>
      <c r="N25" s="81"/>
      <c r="O25" s="783">
        <f ca="1">VLOOKUP($AD25,INDIRECT("'"&amp;$B25&amp;"'!"&amp;"$P$39:$AD$42"),6,FALSE)/1000</f>
        <v>3.427</v>
      </c>
      <c r="P25" s="783">
        <f ca="1">VLOOKUP($AD25,INDIRECT("'"&amp;$B25&amp;"'!"&amp;"$P$39:$AD$42"),7,FALSE)/1000</f>
        <v>1.49E-2</v>
      </c>
      <c r="Q25" s="81">
        <f ca="1">VLOOKUP($AD25,INDIRECT("'"&amp;$B25&amp;"'!"&amp;"$P$39:$AD$42"),8,FALSE)</f>
        <v>2.0487500000000001</v>
      </c>
      <c r="R25" s="333"/>
      <c r="S25" s="333"/>
      <c r="T25" s="333"/>
      <c r="U25" s="206">
        <f t="shared" ref="U25" ca="1" si="15">1/M25*1.01</f>
        <v>0.59064327485380119</v>
      </c>
      <c r="V25" s="206"/>
      <c r="W25" s="331"/>
      <c r="X25" s="75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41"/>
      <c r="AD25" s="81">
        <v>2050</v>
      </c>
      <c r="AE25" s="81"/>
      <c r="AF25" s="232"/>
      <c r="AI25" s="239">
        <v>4</v>
      </c>
    </row>
    <row r="26" spans="2:42" ht="15" customHeight="1">
      <c r="B26" s="393" t="s">
        <v>1124</v>
      </c>
      <c r="D26" s="223" t="str">
        <f ca="1">IF(T21=0,"*",IF(T26&gt;0,"IND"&amp;RIGHT(H21,4)&amp;RIGHT(G21,3)&amp;"N"&amp;RIGHT(E21,1),""))</f>
        <v>*</v>
      </c>
      <c r="E26" s="223"/>
      <c r="F26" s="239" t="s">
        <v>1274</v>
      </c>
      <c r="G26" s="176" t="str">
        <f>$AI$20</f>
        <v>INDGWH</v>
      </c>
      <c r="H26" s="177"/>
      <c r="I26" s="177"/>
      <c r="K26" s="81"/>
      <c r="L26" s="366"/>
      <c r="M26" s="206"/>
      <c r="N26" s="81"/>
      <c r="O26" s="783"/>
      <c r="P26" s="783"/>
      <c r="Q26" s="81"/>
      <c r="R26" s="333"/>
      <c r="S26" s="333"/>
      <c r="T26" s="333"/>
      <c r="U26" s="206">
        <f t="shared" ref="U26" ca="1" si="16">1-1/M25*1.01</f>
        <v>0.40935672514619881</v>
      </c>
      <c r="V26" s="333"/>
      <c r="W26" s="331"/>
      <c r="X26" s="758"/>
      <c r="Y26" s="81"/>
      <c r="Z26" s="81"/>
      <c r="AA26" s="81"/>
      <c r="AB26" s="81"/>
      <c r="AC26" s="241"/>
      <c r="AD26" s="81"/>
      <c r="AE26" s="81"/>
      <c r="AF26" s="232"/>
      <c r="AI26" s="239">
        <v>5</v>
      </c>
      <c r="AJ26" s="239" t="s">
        <v>840</v>
      </c>
    </row>
    <row r="27" spans="2:42">
      <c r="B27" s="393" t="s">
        <v>1124</v>
      </c>
      <c r="D27" s="223" t="str">
        <f ca="1">IF(T27=0,"*",IF(T27&gt;0,"IND"&amp;RIGHT(H27,4)&amp;RIGHT(G27,3)&amp;"N"&amp;RIGHT(E27,1),""))</f>
        <v>INDGDRHELCN2</v>
      </c>
      <c r="E27" s="278" t="str">
        <f>"Industrial heating technology "&amp;$AJ$12&amp;" "&amp;RIGHT(H27,2)&amp;" - Heat driven heat pump utilizing waste heat - new 2"</f>
        <v>Industrial heating technology Glass &amp; Concrete RH - Heat driven heat pump utilizing waste heat - new 2</v>
      </c>
      <c r="F27" s="239" t="s">
        <v>1274</v>
      </c>
      <c r="G27" s="176" t="s">
        <v>500</v>
      </c>
      <c r="H27" s="177" t="str">
        <f>$AI$15</f>
        <v>IGDRH</v>
      </c>
      <c r="I27" s="177"/>
      <c r="J27" s="239">
        <f>AD27</f>
        <v>2020</v>
      </c>
      <c r="K27" s="81">
        <v>2020</v>
      </c>
      <c r="L27" s="366">
        <v>1</v>
      </c>
      <c r="M27" s="206">
        <f ca="1">VLOOKUP($AD27,INDIRECT("'"&amp;$B27&amp;"'!"&amp;"$P$39:$AD$42"),3,FALSE)</f>
        <v>1.68</v>
      </c>
      <c r="N27" s="81">
        <f ca="1">VLOOKUP($AD27,INDIRECT("'"&amp;$B27&amp;"'!"&amp;"$P$39:$AD$42"),5,FALSE)</f>
        <v>20</v>
      </c>
      <c r="O27" s="783">
        <f ca="1">VLOOKUP($AD27,INDIRECT("'"&amp;$B27&amp;"'!"&amp;"$P$39:$AD$42"),6,FALSE)/1000</f>
        <v>4.1720000000000006</v>
      </c>
      <c r="P27" s="783">
        <f ca="1">VLOOKUP($AD27,INDIRECT("'"&amp;$B27&amp;"'!"&amp;"$P$39:$AD$42"),7,FALSE)/1000</f>
        <v>1.49E-2</v>
      </c>
      <c r="Q27" s="81">
        <f ca="1">VLOOKUP($AD27,INDIRECT("'"&amp;$B27&amp;"'!"&amp;"$P$39:$AD$42"),8,FALSE)</f>
        <v>2.0901388888888892</v>
      </c>
      <c r="R27" s="81">
        <v>3.1536000000000002E-2</v>
      </c>
      <c r="S27" s="206">
        <v>0.5</v>
      </c>
      <c r="T27" s="206">
        <f ca="1">IF(HLOOKUP($T$2,INDIRECT("'"&amp;$B27&amp;"'!"&amp;"$P$6:$AE$19"),IF(H27=$AI$13,6,IF(H27=$AI$14,9,14)),FALSE)&lt;0.03,0,HLOOKUP($T$2,INDIRECT("'"&amp;$B27&amp;"'!"&amp;"$P$6:$AE$19"),IF(H27=$AI$13,6,IF(H27=$AI$14,9,14)),FALSE))</f>
        <v>1</v>
      </c>
      <c r="U27" s="206">
        <f t="shared" ref="U27" ca="1" si="17">1/M27*1.01</f>
        <v>0.60119047619047616</v>
      </c>
      <c r="V27" s="206"/>
      <c r="W27" s="331"/>
      <c r="X27" s="75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32"/>
      <c r="AI27" s="239">
        <v>6</v>
      </c>
    </row>
    <row r="28" spans="2:42" ht="15" customHeight="1">
      <c r="B28" s="393" t="s">
        <v>1124</v>
      </c>
      <c r="D28" s="223" t="str">
        <f ca="1">IF(T27=0,"*",IF(T28&gt;0,"IND"&amp;RIGHT(H27,4)&amp;RIGHT(G27,3)&amp;"N"&amp;RIGHT(E27,1),""))</f>
        <v/>
      </c>
      <c r="E28" s="278"/>
      <c r="F28" s="239" t="s">
        <v>1274</v>
      </c>
      <c r="G28" s="176" t="str">
        <f>$AI$20</f>
        <v>INDGWH</v>
      </c>
      <c r="H28" s="177"/>
      <c r="I28" s="177"/>
      <c r="K28" s="81"/>
      <c r="L28" s="366"/>
      <c r="M28" s="206"/>
      <c r="N28" s="81"/>
      <c r="O28" s="783"/>
      <c r="P28" s="783"/>
      <c r="Q28" s="81"/>
      <c r="R28" s="208"/>
      <c r="S28" s="832"/>
      <c r="T28" s="832"/>
      <c r="U28" s="206">
        <f t="shared" ref="U28" ca="1" si="18">1-1/M27*1.01</f>
        <v>0.39880952380952384</v>
      </c>
      <c r="V28" s="832"/>
      <c r="W28" s="331"/>
      <c r="X28" s="758"/>
      <c r="Y28" s="81"/>
      <c r="Z28" s="81"/>
      <c r="AA28" s="81"/>
      <c r="AB28" s="81"/>
      <c r="AD28" s="81"/>
      <c r="AE28" s="81"/>
      <c r="AF28" s="232"/>
      <c r="AI28" s="239">
        <v>7</v>
      </c>
      <c r="AJ28" s="239" t="s">
        <v>841</v>
      </c>
    </row>
    <row r="29" spans="2:42">
      <c r="B29" s="393" t="s">
        <v>1124</v>
      </c>
      <c r="D29" s="223" t="str">
        <f ca="1">IF(T27=0,"*",IF(T29&gt;0,"IND"&amp;RIGHT(H27,4)&amp;RIGHT(G27,3)&amp;"N"&amp;RIGHT(E27,1),""))</f>
        <v/>
      </c>
      <c r="E29" s="223"/>
      <c r="F29" s="239" t="s">
        <v>1274</v>
      </c>
      <c r="G29" s="176" t="s">
        <v>500</v>
      </c>
      <c r="H29" s="177" t="str">
        <f>$AI$15</f>
        <v>IGDRH</v>
      </c>
      <c r="I29" s="177"/>
      <c r="J29" s="239">
        <f>AD29</f>
        <v>2030</v>
      </c>
      <c r="K29" s="81"/>
      <c r="L29" s="366">
        <v>1</v>
      </c>
      <c r="M29" s="206">
        <f ca="1">VLOOKUP($AD29,INDIRECT("'"&amp;$B29&amp;"'!"&amp;"$P$39:$AD$42"),3,FALSE)</f>
        <v>1.69</v>
      </c>
      <c r="N29" s="81"/>
      <c r="O29" s="783">
        <f ca="1">VLOOKUP($AD29,INDIRECT("'"&amp;$B29&amp;"'!"&amp;"$P$39:$AD$42"),6,FALSE)/1000</f>
        <v>3.7995000000000001</v>
      </c>
      <c r="P29" s="783">
        <f ca="1">VLOOKUP($AD29,INDIRECT("'"&amp;$B29&amp;"'!"&amp;"$P$39:$AD$42"),7,FALSE)/1000</f>
        <v>1.49E-2</v>
      </c>
      <c r="Q29" s="81">
        <f ca="1">VLOOKUP($AD29,INDIRECT("'"&amp;$B29&amp;"'!"&amp;"$P$39:$AD$42"),8,FALSE)</f>
        <v>2.0694444444444446</v>
      </c>
      <c r="R29" s="333"/>
      <c r="S29" s="333"/>
      <c r="T29" s="333"/>
      <c r="U29" s="206">
        <f t="shared" ref="U29" ca="1" si="19">1/M29*1.01</f>
        <v>0.59763313609467461</v>
      </c>
      <c r="V29" s="206"/>
      <c r="W29" s="331"/>
      <c r="X29" s="75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32"/>
      <c r="AI29" s="239">
        <v>8</v>
      </c>
    </row>
    <row r="30" spans="2:42" ht="15" customHeight="1">
      <c r="B30" s="393" t="s">
        <v>1124</v>
      </c>
      <c r="D30" s="223" t="str">
        <f ca="1">IF(T27=0,"*",IF(T30&gt;0,"IND"&amp;RIGHT(H27,4)&amp;RIGHT(G27,3)&amp;"N"&amp;RIGHT(E27,1),""))</f>
        <v/>
      </c>
      <c r="E30" s="223"/>
      <c r="F30" s="239" t="s">
        <v>1274</v>
      </c>
      <c r="G30" s="176" t="str">
        <f>$AI$20</f>
        <v>INDGWH</v>
      </c>
      <c r="H30" s="177"/>
      <c r="I30" s="177"/>
      <c r="K30" s="81"/>
      <c r="L30" s="366"/>
      <c r="M30" s="206"/>
      <c r="N30" s="81"/>
      <c r="O30" s="783"/>
      <c r="P30" s="783"/>
      <c r="Q30" s="81"/>
      <c r="R30" s="333"/>
      <c r="S30" s="333"/>
      <c r="T30" s="333"/>
      <c r="U30" s="206">
        <f t="shared" ref="U30" ca="1" si="20">1-1/M29*1.01</f>
        <v>0.40236686390532539</v>
      </c>
      <c r="V30" s="333"/>
      <c r="W30" s="331"/>
      <c r="X30" s="758"/>
      <c r="Y30" s="81"/>
      <c r="Z30" s="81"/>
      <c r="AA30" s="81"/>
      <c r="AB30" s="81"/>
      <c r="AD30" s="81"/>
      <c r="AE30" s="81"/>
      <c r="AF30" s="232"/>
      <c r="AI30" s="239">
        <v>9</v>
      </c>
      <c r="AJ30" s="239" t="s">
        <v>842</v>
      </c>
    </row>
    <row r="31" spans="2:42">
      <c r="B31" s="393" t="s">
        <v>1124</v>
      </c>
      <c r="D31" s="223" t="str">
        <f ca="1">IF(T27=0,"*",IF(T31&gt;0,"IND"&amp;RIGHT(H27,4)&amp;RIGHT(G27,3)&amp;"N"&amp;RIGHT(E27,1),""))</f>
        <v/>
      </c>
      <c r="E31" s="223"/>
      <c r="F31" s="239" t="s">
        <v>1274</v>
      </c>
      <c r="G31" s="176" t="s">
        <v>500</v>
      </c>
      <c r="H31" s="177" t="str">
        <f>$AI$15</f>
        <v>IGDRH</v>
      </c>
      <c r="I31" s="177"/>
      <c r="J31" s="239">
        <f>AD31</f>
        <v>2050</v>
      </c>
      <c r="K31" s="81"/>
      <c r="L31" s="366">
        <v>1</v>
      </c>
      <c r="M31" s="206">
        <f ca="1">VLOOKUP($AD31,INDIRECT("'"&amp;$B31&amp;"'!"&amp;"$P$39:$AD$42"),3,FALSE)</f>
        <v>1.71</v>
      </c>
      <c r="N31" s="81"/>
      <c r="O31" s="783">
        <f ca="1">VLOOKUP($AD31,INDIRECT("'"&amp;$B31&amp;"'!"&amp;"$P$39:$AD$42"),6,FALSE)/1000</f>
        <v>3.427</v>
      </c>
      <c r="P31" s="783">
        <f ca="1">VLOOKUP($AD31,INDIRECT("'"&amp;$B31&amp;"'!"&amp;"$P$39:$AD$42"),7,FALSE)/1000</f>
        <v>1.49E-2</v>
      </c>
      <c r="Q31" s="81">
        <f ca="1">VLOOKUP($AD31,INDIRECT("'"&amp;$B31&amp;"'!"&amp;"$P$39:$AD$42"),8,FALSE)</f>
        <v>2.0487500000000001</v>
      </c>
      <c r="R31" s="333"/>
      <c r="S31" s="333"/>
      <c r="T31" s="333"/>
      <c r="U31" s="206">
        <f t="shared" ref="U31" ca="1" si="21">1/M31*1.01</f>
        <v>0.59064327485380119</v>
      </c>
      <c r="V31" s="206"/>
      <c r="W31" s="331"/>
      <c r="X31" s="75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32"/>
      <c r="AI31" s="239">
        <v>10</v>
      </c>
    </row>
    <row r="32" spans="2:42">
      <c r="B32" s="393" t="s">
        <v>1124</v>
      </c>
      <c r="D32" s="223" t="str">
        <f ca="1">IF(T27=0,"*",IF(T32&gt;0,"IND"&amp;RIGHT(H27,4)&amp;RIGHT(G27,3)&amp;"N"&amp;RIGHT(E27,1),""))</f>
        <v/>
      </c>
      <c r="E32" s="223"/>
      <c r="F32" s="239" t="s">
        <v>1274</v>
      </c>
      <c r="G32" s="176" t="str">
        <f>$AI$20</f>
        <v>INDGWH</v>
      </c>
      <c r="H32" s="177"/>
      <c r="I32" s="177"/>
      <c r="K32" s="81"/>
      <c r="L32" s="366"/>
      <c r="M32" s="206"/>
      <c r="N32" s="81"/>
      <c r="O32" s="783"/>
      <c r="P32" s="783"/>
      <c r="Q32" s="81"/>
      <c r="R32" s="333"/>
      <c r="S32" s="333"/>
      <c r="T32" s="333"/>
      <c r="U32" s="206">
        <f t="shared" ref="U32" ca="1" si="22">1-1/M31*1.01</f>
        <v>0.40935672514619881</v>
      </c>
      <c r="V32" s="333"/>
      <c r="W32" s="331"/>
      <c r="X32" s="758"/>
      <c r="Y32" s="81"/>
      <c r="Z32" s="81"/>
      <c r="AA32" s="81"/>
      <c r="AB32" s="81"/>
      <c r="AD32" s="81"/>
      <c r="AE32" s="81"/>
      <c r="AF32" s="232"/>
      <c r="AI32" s="239">
        <v>11</v>
      </c>
      <c r="AJ32" s="239" t="s">
        <v>843</v>
      </c>
    </row>
    <row r="33" spans="2:36">
      <c r="B33" s="393" t="s">
        <v>1125</v>
      </c>
      <c r="D33" s="223" t="str">
        <f ca="1">IF(T33=0,"*",IF(T33&gt;0,"IND"&amp;RIGHT(H33,4)&amp;RIGHT(G33,3)&amp;"N"&amp;RIGHT(E33,1),""))</f>
        <v>INDGDMTELCN3</v>
      </c>
      <c r="E33" s="278" t="str">
        <f>"Industrial heating technology "&amp;$AJ$12&amp;" "&amp;RIGHT(H33,2)&amp;" - High Temp abs. Heat pump utilizing waste heat - new 3"</f>
        <v>Industrial heating technology Glass &amp; Concrete MT - High Temp abs. Heat pump utilizing waste heat - new 3</v>
      </c>
      <c r="F33" s="239" t="s">
        <v>1274</v>
      </c>
      <c r="G33" s="176" t="s">
        <v>500</v>
      </c>
      <c r="H33" s="177" t="str">
        <f>$AI$14</f>
        <v>IGDMT</v>
      </c>
      <c r="I33" s="177"/>
      <c r="J33" s="239">
        <f>AD33</f>
        <v>2020</v>
      </c>
      <c r="K33" s="81">
        <v>2020</v>
      </c>
      <c r="L33" s="366">
        <v>1</v>
      </c>
      <c r="M33" s="206">
        <f ca="1">VLOOKUP($AD33,INDIRECT("'"&amp;$B33&amp;"'!"&amp;"$P$39:$AD$42"),3,FALSE)</f>
        <v>2.75</v>
      </c>
      <c r="N33" s="81">
        <f ca="1">VLOOKUP($AD33,INDIRECT("'"&amp;$B33&amp;"'!"&amp;"$P$39:$AD$42"),5,FALSE)</f>
        <v>20</v>
      </c>
      <c r="O33" s="783">
        <f ca="1">VLOOKUP($AD33,INDIRECT("'"&amp;$B33&amp;"'!"&amp;"$P$39:$AD$42"),6,FALSE)/1000</f>
        <v>7.1394840000000004</v>
      </c>
      <c r="P33" s="783">
        <f ca="1">VLOOKUP($AD33,INDIRECT("'"&amp;$B33&amp;"'!"&amp;"$P$39:$AD$42"),7,FALSE)/1000</f>
        <v>7.2264999999999994E-3</v>
      </c>
      <c r="Q33" s="81">
        <f ca="1">VLOOKUP($AD33,INDIRECT("'"&amp;$B33&amp;"'!"&amp;"$P$39:$AD$42"),8,FALSE)</f>
        <v>6.7463888888888883</v>
      </c>
      <c r="R33" s="81">
        <v>3.1536000000000002E-2</v>
      </c>
      <c r="S33" s="206">
        <v>0.5</v>
      </c>
      <c r="T33" s="206">
        <f ca="1">IF(HLOOKUP($T$2,INDIRECT("'"&amp;$B33&amp;"'!"&amp;"$P$6:$AE$19"),IF(H33=$AI$13,6,IF(H33=$AI$14,9,14)),FALSE)&lt;0.03,0,HLOOKUP($T$2,INDIRECT("'"&amp;$B33&amp;"'!"&amp;"$P$6:$AE$19"),IF(H33=$AI$13,6,IF(H33=$AI$14,9,14)),FALSE))</f>
        <v>0.16</v>
      </c>
      <c r="U33" s="206">
        <f t="shared" ref="U33" ca="1" si="23">1/M33*1.01</f>
        <v>0.36727272727272731</v>
      </c>
      <c r="V33" s="206"/>
      <c r="W33" s="331"/>
      <c r="X33" s="75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32"/>
      <c r="AI33" s="239">
        <v>12</v>
      </c>
    </row>
    <row r="34" spans="2:36">
      <c r="B34" s="393" t="s">
        <v>1125</v>
      </c>
      <c r="D34" s="223" t="str">
        <f ca="1">IF(T33=0,"*",IF(T34&gt;0,"IND"&amp;RIGHT(H33,4)&amp;RIGHT(G33,3)&amp;"N"&amp;RIGHT(E33,1),""))</f>
        <v/>
      </c>
      <c r="E34" s="278"/>
      <c r="F34" s="239" t="s">
        <v>1274</v>
      </c>
      <c r="G34" s="176" t="str">
        <f>$AI$20</f>
        <v>INDGWH</v>
      </c>
      <c r="H34" s="177"/>
      <c r="I34" s="177"/>
      <c r="K34" s="81"/>
      <c r="L34" s="366"/>
      <c r="M34" s="206"/>
      <c r="N34" s="81"/>
      <c r="O34" s="783"/>
      <c r="P34" s="783"/>
      <c r="Q34" s="81"/>
      <c r="R34" s="208"/>
      <c r="S34" s="832"/>
      <c r="T34" s="832"/>
      <c r="U34" s="206">
        <f t="shared" ref="U34" ca="1" si="24">1-1/M33*1.01</f>
        <v>0.63272727272727269</v>
      </c>
      <c r="V34" s="832"/>
      <c r="W34" s="331"/>
      <c r="X34" s="758"/>
      <c r="Y34" s="81"/>
      <c r="Z34" s="81"/>
      <c r="AA34" s="81"/>
      <c r="AB34" s="81"/>
      <c r="AD34" s="81"/>
      <c r="AE34" s="81"/>
      <c r="AF34" s="232"/>
      <c r="AI34" s="239">
        <v>13</v>
      </c>
      <c r="AJ34" s="239" t="s">
        <v>844</v>
      </c>
    </row>
    <row r="35" spans="2:36">
      <c r="B35" s="393" t="s">
        <v>1125</v>
      </c>
      <c r="D35" s="223" t="str">
        <f ca="1">IF(T33=0,"*",IF(T35&gt;0,"IND"&amp;RIGHT(H33,4)&amp;RIGHT(G33,3)&amp;"N"&amp;RIGHT(E33,1),""))</f>
        <v/>
      </c>
      <c r="E35" s="223"/>
      <c r="F35" s="239" t="s">
        <v>1274</v>
      </c>
      <c r="G35" s="176" t="s">
        <v>500</v>
      </c>
      <c r="H35" s="177" t="str">
        <f>$AI$14</f>
        <v>IGDMT</v>
      </c>
      <c r="I35" s="177"/>
      <c r="J35" s="239">
        <f>AD35</f>
        <v>2030</v>
      </c>
      <c r="K35" s="81"/>
      <c r="L35" s="366">
        <v>1</v>
      </c>
      <c r="M35" s="206">
        <f ca="1">VLOOKUP($AD35,INDIRECT("'"&amp;$B35&amp;"'!"&amp;"$P$39:$AD$42"),3,FALSE)</f>
        <v>2.875</v>
      </c>
      <c r="N35" s="81"/>
      <c r="O35" s="783">
        <f ca="1">VLOOKUP($AD35,INDIRECT("'"&amp;$B35&amp;"'!"&amp;"$P$39:$AD$42"),6,FALSE)/1000</f>
        <v>6.3822660000000013</v>
      </c>
      <c r="P35" s="783">
        <f ca="1">VLOOKUP($AD35,INDIRECT("'"&amp;$B35&amp;"'!"&amp;"$P$39:$AD$42"),7,FALSE)/1000</f>
        <v>6.4814999999999994E-3</v>
      </c>
      <c r="Q35" s="81">
        <f ca="1">VLOOKUP($AD35,INDIRECT("'"&amp;$B35&amp;"'!"&amp;"$P$39:$AD$42"),8,FALSE)</f>
        <v>6.6222222222222227</v>
      </c>
      <c r="R35" s="333"/>
      <c r="S35" s="333"/>
      <c r="T35" s="333"/>
      <c r="U35" s="206">
        <f t="shared" ref="U35" ca="1" si="25">1/M35*1.01</f>
        <v>0.35130434782608694</v>
      </c>
      <c r="V35" s="206"/>
      <c r="W35" s="331"/>
      <c r="X35" s="75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32"/>
      <c r="AI35" s="239">
        <v>14</v>
      </c>
    </row>
    <row r="36" spans="2:36">
      <c r="B36" s="393" t="s">
        <v>1125</v>
      </c>
      <c r="D36" s="223" t="str">
        <f ca="1">IF(T33=0,"*",IF(T36&gt;0,"IND"&amp;RIGHT(H33,4)&amp;RIGHT(G33,3)&amp;"N"&amp;RIGHT(E33,1),""))</f>
        <v/>
      </c>
      <c r="E36" s="223"/>
      <c r="F36" s="239" t="s">
        <v>1274</v>
      </c>
      <c r="G36" s="176" t="str">
        <f>$AI$20</f>
        <v>INDGWH</v>
      </c>
      <c r="H36" s="177"/>
      <c r="I36" s="177"/>
      <c r="K36" s="81"/>
      <c r="L36" s="366"/>
      <c r="M36" s="206"/>
      <c r="N36" s="81"/>
      <c r="O36" s="783"/>
      <c r="P36" s="783"/>
      <c r="Q36" s="81"/>
      <c r="R36" s="333"/>
      <c r="S36" s="333"/>
      <c r="T36" s="333"/>
      <c r="U36" s="206">
        <f t="shared" ref="U36" ca="1" si="26">1-1/M35*1.01</f>
        <v>0.64869565217391312</v>
      </c>
      <c r="V36" s="333"/>
      <c r="W36" s="331"/>
      <c r="X36" s="758"/>
      <c r="Y36" s="81"/>
      <c r="Z36" s="81"/>
      <c r="AA36" s="81"/>
      <c r="AB36" s="81"/>
      <c r="AD36" s="81"/>
      <c r="AE36" s="81"/>
      <c r="AF36" s="232"/>
    </row>
    <row r="37" spans="2:36">
      <c r="B37" s="393" t="s">
        <v>1125</v>
      </c>
      <c r="D37" s="223" t="str">
        <f ca="1">IF(T33=0,"*",IF(T37&gt;0,"IND"&amp;RIGHT(H33,4)&amp;RIGHT(G33,3)&amp;"N"&amp;RIGHT(E33,1),""))</f>
        <v/>
      </c>
      <c r="E37" s="223"/>
      <c r="F37" s="239" t="s">
        <v>1274</v>
      </c>
      <c r="G37" s="176" t="s">
        <v>500</v>
      </c>
      <c r="H37" s="177" t="str">
        <f>$AI$14</f>
        <v>IGDMT</v>
      </c>
      <c r="I37" s="177"/>
      <c r="J37" s="239">
        <f>AD37</f>
        <v>2050</v>
      </c>
      <c r="K37" s="81"/>
      <c r="L37" s="366">
        <v>1</v>
      </c>
      <c r="M37" s="206">
        <f ca="1">VLOOKUP($AD37,INDIRECT("'"&amp;$B37&amp;"'!"&amp;"$P$39:$AD$42"),3,FALSE)</f>
        <v>3.0249999999999999</v>
      </c>
      <c r="N37" s="81"/>
      <c r="O37" s="783">
        <f ca="1">VLOOKUP($AD37,INDIRECT("'"&amp;$B37&amp;"'!"&amp;"$P$39:$AD$42"),6,FALSE)/1000</f>
        <v>5.7365000000000004</v>
      </c>
      <c r="P37" s="783">
        <f ca="1">VLOOKUP($AD37,INDIRECT("'"&amp;$B37&amp;"'!"&amp;"$P$39:$AD$42"),7,FALSE)/1000</f>
        <v>5.3639999999999998E-3</v>
      </c>
      <c r="Q37" s="81">
        <f ca="1">VLOOKUP($AD37,INDIRECT("'"&amp;$B37&amp;"'!"&amp;"$P$39:$AD$42"),8,FALSE)</f>
        <v>6.4566666666666661</v>
      </c>
      <c r="R37" s="333"/>
      <c r="S37" s="333"/>
      <c r="T37" s="333"/>
      <c r="U37" s="206">
        <f t="shared" ref="U37" ca="1" si="27">1/M37*1.01</f>
        <v>0.33388429752066118</v>
      </c>
      <c r="V37" s="206"/>
      <c r="W37" s="331"/>
      <c r="X37" s="75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32"/>
    </row>
    <row r="38" spans="2:36">
      <c r="B38" s="393" t="s">
        <v>1125</v>
      </c>
      <c r="D38" s="223" t="str">
        <f ca="1">IF(T33=0,"*",IF(T38&gt;0,"IND"&amp;RIGHT(H33,4)&amp;RIGHT(G33,3)&amp;"N"&amp;RIGHT(E33,1),""))</f>
        <v/>
      </c>
      <c r="E38" s="223"/>
      <c r="F38" s="239" t="s">
        <v>1274</v>
      </c>
      <c r="G38" s="176" t="str">
        <f>$AI$20</f>
        <v>INDGWH</v>
      </c>
      <c r="H38" s="177"/>
      <c r="I38" s="177"/>
      <c r="K38" s="81"/>
      <c r="L38" s="366"/>
      <c r="M38" s="206"/>
      <c r="N38" s="81"/>
      <c r="O38" s="783"/>
      <c r="P38" s="783"/>
      <c r="Q38" s="81"/>
      <c r="R38" s="333"/>
      <c r="S38" s="333"/>
      <c r="T38" s="333"/>
      <c r="U38" s="206">
        <f t="shared" ref="U38" ca="1" si="28">1-1/M37*1.01</f>
        <v>0.66611570247933882</v>
      </c>
      <c r="V38" s="333"/>
      <c r="W38" s="331"/>
      <c r="X38" s="758"/>
      <c r="Y38" s="81"/>
      <c r="Z38" s="81"/>
      <c r="AA38" s="81"/>
      <c r="AB38" s="81"/>
      <c r="AD38" s="81"/>
      <c r="AE38" s="81"/>
      <c r="AF38" s="232"/>
    </row>
    <row r="39" spans="2:36">
      <c r="B39" s="393" t="s">
        <v>1125</v>
      </c>
      <c r="D39" s="223" t="str">
        <f ca="1">IF(T39=0,"*",IF(T39&gt;0,"IND"&amp;RIGHT(H39,4)&amp;RIGHT(G39,3)&amp;"N"&amp;RIGHT(E39,1),""))</f>
        <v>INDGDRHELCN3</v>
      </c>
      <c r="E39" s="278" t="str">
        <f>"Industrial heating technology "&amp;$AJ$12&amp;" "&amp;RIGHT(H39,2)&amp;" - High Temp abs. Heat pump utilizing waste heat - new 3"</f>
        <v>Industrial heating technology Glass &amp; Concrete RH - High Temp abs. Heat pump utilizing waste heat - new 3</v>
      </c>
      <c r="F39" s="239" t="s">
        <v>1274</v>
      </c>
      <c r="G39" s="176" t="s">
        <v>500</v>
      </c>
      <c r="H39" s="177" t="str">
        <f>$AI$15</f>
        <v>IGDRH</v>
      </c>
      <c r="I39" s="177"/>
      <c r="J39" s="239">
        <f>AD39</f>
        <v>2020</v>
      </c>
      <c r="K39" s="81">
        <v>2020</v>
      </c>
      <c r="L39" s="366">
        <v>1</v>
      </c>
      <c r="M39" s="206">
        <f ca="1">VLOOKUP($AD39,INDIRECT("'"&amp;$B39&amp;"'!"&amp;"$P$39:$AD$42"),3,FALSE)</f>
        <v>2.75</v>
      </c>
      <c r="N39" s="81">
        <f ca="1">VLOOKUP($AD39,INDIRECT("'"&amp;$B39&amp;"'!"&amp;"$P$39:$AD$42"),5,FALSE)</f>
        <v>20</v>
      </c>
      <c r="O39" s="783">
        <f ca="1">VLOOKUP($AD39,INDIRECT("'"&amp;$B39&amp;"'!"&amp;"$P$39:$AD$42"),6,FALSE)/1000</f>
        <v>7.1394840000000004</v>
      </c>
      <c r="P39" s="783">
        <f ca="1">VLOOKUP($AD39,INDIRECT("'"&amp;$B39&amp;"'!"&amp;"$P$39:$AD$42"),7,FALSE)/1000</f>
        <v>7.2264999999999994E-3</v>
      </c>
      <c r="Q39" s="81">
        <f ca="1">VLOOKUP($AD39,INDIRECT("'"&amp;$B39&amp;"'!"&amp;"$P$39:$AD$42"),8,FALSE)</f>
        <v>6.7463888888888883</v>
      </c>
      <c r="R39" s="81">
        <v>3.1536000000000002E-2</v>
      </c>
      <c r="S39" s="206">
        <v>0.5</v>
      </c>
      <c r="T39" s="206">
        <f ca="1">IF(HLOOKUP($T$2,INDIRECT("'"&amp;$B39&amp;"'!"&amp;"$P$6:$AE$19"),IF(H39=$AI$13,6,IF(H39=$AI$14,9,14)),FALSE)&lt;0.03,0,HLOOKUP($T$2,INDIRECT("'"&amp;$B39&amp;"'!"&amp;"$P$6:$AE$19"),IF(H39=$AI$13,6,IF(H39=$AI$14,9,14)),FALSE))</f>
        <v>1</v>
      </c>
      <c r="U39" s="206">
        <f t="shared" ref="U39" ca="1" si="29">1/M39*1.01</f>
        <v>0.36727272727272731</v>
      </c>
      <c r="V39" s="206"/>
      <c r="W39" s="331"/>
      <c r="X39" s="75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32"/>
    </row>
    <row r="40" spans="2:36">
      <c r="B40" s="393" t="s">
        <v>1125</v>
      </c>
      <c r="D40" s="223" t="str">
        <f ca="1">IF(T39=0,"*",IF(T40&gt;0,"IND"&amp;RIGHT(H39,4)&amp;RIGHT(G39,3)&amp;"N"&amp;RIGHT(E39,1),""))</f>
        <v/>
      </c>
      <c r="E40" s="278"/>
      <c r="F40" s="239" t="s">
        <v>1274</v>
      </c>
      <c r="G40" s="176" t="str">
        <f>$AI$20</f>
        <v>INDGWH</v>
      </c>
      <c r="H40" s="177"/>
      <c r="I40" s="177"/>
      <c r="K40" s="81"/>
      <c r="L40" s="366"/>
      <c r="M40" s="206"/>
      <c r="N40" s="81"/>
      <c r="O40" s="783"/>
      <c r="P40" s="783"/>
      <c r="Q40" s="81"/>
      <c r="R40" s="208"/>
      <c r="S40" s="832"/>
      <c r="T40" s="832"/>
      <c r="U40" s="206">
        <f t="shared" ref="U40" ca="1" si="30">1-1/M39*1.01</f>
        <v>0.63272727272727269</v>
      </c>
      <c r="V40" s="832"/>
      <c r="W40" s="331"/>
      <c r="X40" s="758"/>
      <c r="Y40" s="81"/>
      <c r="Z40" s="81"/>
      <c r="AA40" s="81"/>
      <c r="AB40" s="81"/>
      <c r="AD40" s="81"/>
      <c r="AE40" s="81"/>
      <c r="AF40" s="232"/>
    </row>
    <row r="41" spans="2:36">
      <c r="B41" s="393" t="s">
        <v>1125</v>
      </c>
      <c r="D41" s="223" t="str">
        <f ca="1">IF(T39=0,"*",IF(T41&gt;0,"IND"&amp;RIGHT(H39,4)&amp;RIGHT(G39,3)&amp;"N"&amp;RIGHT(E39,1),""))</f>
        <v/>
      </c>
      <c r="E41" s="223"/>
      <c r="F41" s="239" t="s">
        <v>1274</v>
      </c>
      <c r="G41" s="176" t="s">
        <v>500</v>
      </c>
      <c r="H41" s="177" t="str">
        <f>$AI$15</f>
        <v>IGDRH</v>
      </c>
      <c r="I41" s="177"/>
      <c r="J41" s="239">
        <f>AD41</f>
        <v>2030</v>
      </c>
      <c r="K41" s="81"/>
      <c r="L41" s="366">
        <v>1</v>
      </c>
      <c r="M41" s="206">
        <f ca="1">VLOOKUP($AD41,INDIRECT("'"&amp;$B41&amp;"'!"&amp;"$P$39:$AD$42"),3,FALSE)</f>
        <v>2.875</v>
      </c>
      <c r="N41" s="81"/>
      <c r="O41" s="783">
        <f ca="1">VLOOKUP($AD41,INDIRECT("'"&amp;$B41&amp;"'!"&amp;"$P$39:$AD$42"),6,FALSE)/1000</f>
        <v>6.3822660000000013</v>
      </c>
      <c r="P41" s="783">
        <f ca="1">VLOOKUP($AD41,INDIRECT("'"&amp;$B41&amp;"'!"&amp;"$P$39:$AD$42"),7,FALSE)/1000</f>
        <v>6.4814999999999994E-3</v>
      </c>
      <c r="Q41" s="81">
        <f ca="1">VLOOKUP($AD41,INDIRECT("'"&amp;$B41&amp;"'!"&amp;"$P$39:$AD$42"),8,FALSE)</f>
        <v>6.6222222222222227</v>
      </c>
      <c r="R41" s="333"/>
      <c r="S41" s="333"/>
      <c r="T41" s="333"/>
      <c r="U41" s="206">
        <f t="shared" ref="U41" ca="1" si="31">1/M41*1.01</f>
        <v>0.35130434782608694</v>
      </c>
      <c r="V41" s="206"/>
      <c r="W41" s="331"/>
      <c r="X41" s="75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32"/>
    </row>
    <row r="42" spans="2:36">
      <c r="B42" s="393" t="s">
        <v>1125</v>
      </c>
      <c r="D42" s="223" t="str">
        <f ca="1">IF(T39=0,"*",IF(T42&gt;0,"IND"&amp;RIGHT(H39,4)&amp;RIGHT(G39,3)&amp;"N"&amp;RIGHT(E39,1),""))</f>
        <v/>
      </c>
      <c r="E42" s="223"/>
      <c r="F42" s="239" t="s">
        <v>1274</v>
      </c>
      <c r="G42" s="176" t="str">
        <f>$AI$20</f>
        <v>INDGWH</v>
      </c>
      <c r="H42" s="177"/>
      <c r="I42" s="177"/>
      <c r="K42" s="81"/>
      <c r="L42" s="366"/>
      <c r="M42" s="206"/>
      <c r="N42" s="81"/>
      <c r="O42" s="783"/>
      <c r="P42" s="783"/>
      <c r="Q42" s="81"/>
      <c r="R42" s="333"/>
      <c r="S42" s="333"/>
      <c r="T42" s="333"/>
      <c r="U42" s="206">
        <f t="shared" ref="U42" ca="1" si="32">1-1/M41*1.01</f>
        <v>0.64869565217391312</v>
      </c>
      <c r="V42" s="333"/>
      <c r="W42" s="331"/>
      <c r="X42" s="758"/>
      <c r="Y42" s="81"/>
      <c r="Z42" s="81"/>
      <c r="AA42" s="81"/>
      <c r="AB42" s="81"/>
      <c r="AD42" s="81"/>
      <c r="AE42" s="81"/>
      <c r="AF42" s="232"/>
    </row>
    <row r="43" spans="2:36">
      <c r="B43" s="393" t="s">
        <v>1125</v>
      </c>
      <c r="D43" s="223" t="str">
        <f ca="1">IF(T39=0,"*",IF(T43&gt;0,"IND"&amp;RIGHT(H39,4)&amp;RIGHT(G39,3)&amp;"N"&amp;RIGHT(E39,1),""))</f>
        <v/>
      </c>
      <c r="E43" s="223"/>
      <c r="F43" s="239" t="s">
        <v>1274</v>
      </c>
      <c r="G43" s="176" t="s">
        <v>500</v>
      </c>
      <c r="H43" s="177" t="str">
        <f>$AI$15</f>
        <v>IGDRH</v>
      </c>
      <c r="I43" s="177"/>
      <c r="J43" s="239">
        <f>AD43</f>
        <v>2050</v>
      </c>
      <c r="K43" s="81"/>
      <c r="L43" s="366">
        <v>1</v>
      </c>
      <c r="M43" s="206">
        <f ca="1">VLOOKUP($AD43,INDIRECT("'"&amp;$B43&amp;"'!"&amp;"$P$39:$AD$42"),3,FALSE)</f>
        <v>3.0249999999999999</v>
      </c>
      <c r="N43" s="81"/>
      <c r="O43" s="783">
        <f ca="1">VLOOKUP($AD43,INDIRECT("'"&amp;$B43&amp;"'!"&amp;"$P$39:$AD$42"),6,FALSE)/1000</f>
        <v>5.7365000000000004</v>
      </c>
      <c r="P43" s="783">
        <f ca="1">VLOOKUP($AD43,INDIRECT("'"&amp;$B43&amp;"'!"&amp;"$P$39:$AD$42"),7,FALSE)/1000</f>
        <v>5.3639999999999998E-3</v>
      </c>
      <c r="Q43" s="81">
        <f ca="1">VLOOKUP($AD43,INDIRECT("'"&amp;$B43&amp;"'!"&amp;"$P$39:$AD$42"),8,FALSE)</f>
        <v>6.4566666666666661</v>
      </c>
      <c r="R43" s="333"/>
      <c r="S43" s="333"/>
      <c r="T43" s="333"/>
      <c r="U43" s="206">
        <f t="shared" ref="U43" ca="1" si="33">1/M43*1.01</f>
        <v>0.33388429752066118</v>
      </c>
      <c r="V43" s="206"/>
      <c r="W43" s="331"/>
      <c r="X43" s="75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32"/>
    </row>
    <row r="44" spans="2:36">
      <c r="B44" s="393" t="s">
        <v>1125</v>
      </c>
      <c r="D44" s="223" t="str">
        <f ca="1">IF(T39=0,"*",IF(T44&gt;0,"IND"&amp;RIGHT(H39,4)&amp;RIGHT(G39,3)&amp;"N"&amp;RIGHT(E39,1),""))</f>
        <v/>
      </c>
      <c r="E44" s="223"/>
      <c r="F44" s="239" t="s">
        <v>1274</v>
      </c>
      <c r="G44" s="176" t="str">
        <f>$AI$20</f>
        <v>INDGWH</v>
      </c>
      <c r="H44" s="177"/>
      <c r="I44" s="177"/>
      <c r="K44" s="81"/>
      <c r="L44" s="366"/>
      <c r="M44" s="206"/>
      <c r="N44" s="81"/>
      <c r="O44" s="783"/>
      <c r="P44" s="783"/>
      <c r="Q44" s="81"/>
      <c r="R44" s="333"/>
      <c r="S44" s="333"/>
      <c r="T44" s="333"/>
      <c r="U44" s="206">
        <f t="shared" ref="U44" ca="1" si="34">1-1/M43*1.01</f>
        <v>0.66611570247933882</v>
      </c>
      <c r="V44" s="333"/>
      <c r="W44" s="331"/>
      <c r="X44" s="758"/>
      <c r="Y44" s="81"/>
      <c r="Z44" s="81"/>
      <c r="AA44" s="81"/>
      <c r="AB44" s="81"/>
      <c r="AD44" s="81"/>
      <c r="AE44" s="81"/>
      <c r="AF44" s="232"/>
    </row>
    <row r="45" spans="2:36">
      <c r="B45" s="393" t="s">
        <v>1126</v>
      </c>
      <c r="D45" s="223" t="str">
        <f ca="1">IF(T45=0,"*",IF(T45&gt;0,"IND"&amp;RIGHT(H45,4)&amp;RIGHT(G45,3)&amp;"N"&amp;RIGHT(E45,1),""))</f>
        <v>INDGDMTELCN4</v>
      </c>
      <c r="E45" s="278" t="str">
        <f>"Industrial heating technology "&amp;$AJ$12&amp;" "&amp;RIGHT(H45,2)&amp;" - Booster Heat pump utilizing waste heat - new 4"</f>
        <v>Industrial heating technology Glass &amp; Concrete MT - Booster Heat pump utilizing waste heat - new 4</v>
      </c>
      <c r="F45" s="239" t="s">
        <v>1274</v>
      </c>
      <c r="G45" s="176" t="s">
        <v>500</v>
      </c>
      <c r="H45" s="177" t="str">
        <f>$AI$14</f>
        <v>IGDMT</v>
      </c>
      <c r="I45" s="177"/>
      <c r="J45" s="239">
        <f>AD45</f>
        <v>2020</v>
      </c>
      <c r="K45" s="81">
        <v>2020</v>
      </c>
      <c r="L45" s="366">
        <v>1</v>
      </c>
      <c r="M45" s="206">
        <f ca="1">VLOOKUP($AD45,INDIRECT("'"&amp;$B45&amp;"'!"&amp;"$P$39:$AD$42"),3,FALSE)</f>
        <v>1.93</v>
      </c>
      <c r="N45" s="81">
        <f ca="1">VLOOKUP($AD45,INDIRECT("'"&amp;$B45&amp;"'!"&amp;"$P$39:$AD$42"),5,FALSE)</f>
        <v>20</v>
      </c>
      <c r="O45" s="783">
        <f ca="1">VLOOKUP($AD45,INDIRECT("'"&amp;$B45&amp;"'!"&amp;"$P$39:$AD$42"),6,FALSE)/1000</f>
        <v>12.158890687341184</v>
      </c>
      <c r="P45" s="783">
        <f ca="1">VLOOKUP($AD45,INDIRECT("'"&amp;$B45&amp;"'!"&amp;"$P$39:$AD$42"),7,FALSE)/1000</f>
        <v>1.49E-2</v>
      </c>
      <c r="Q45" s="81">
        <f ca="1">VLOOKUP($AD45,INDIRECT("'"&amp;$B45&amp;"'!"&amp;"$P$39:$AD$42"),8,FALSE)</f>
        <v>7.1188888888888897</v>
      </c>
      <c r="R45" s="81">
        <v>3.1536000000000002E-2</v>
      </c>
      <c r="S45" s="206">
        <v>0.5</v>
      </c>
      <c r="T45" s="206">
        <f ca="1">IF(HLOOKUP($T$2,INDIRECT("'"&amp;$B45&amp;"'!"&amp;"$P$6:$AE$19"),IF(H45=$AI$13,6,IF(H45=$AI$14,9,14)),FALSE)&lt;0.03,0,HLOOKUP($T$2,INDIRECT("'"&amp;$B45&amp;"'!"&amp;"$P$6:$AE$19"),IF(H45=$AI$13,6,IF(H45=$AI$14,9,14)),FALSE))</f>
        <v>0.23</v>
      </c>
      <c r="U45" s="206">
        <f t="shared" ref="U45" ca="1" si="35">1/M45*1.01</f>
        <v>0.52331606217616589</v>
      </c>
      <c r="V45" s="206"/>
      <c r="W45" s="331"/>
      <c r="X45" s="75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32"/>
    </row>
    <row r="46" spans="2:36">
      <c r="B46" s="393" t="s">
        <v>1126</v>
      </c>
      <c r="D46" s="223" t="str">
        <f ca="1">IF(T45=0,"*",IF(T46&gt;0,"IND"&amp;RIGHT(H45,4)&amp;RIGHT(G45,3)&amp;"N"&amp;RIGHT(E45,1),""))</f>
        <v/>
      </c>
      <c r="E46" s="278"/>
      <c r="F46" s="239" t="s">
        <v>1274</v>
      </c>
      <c r="G46" s="176" t="str">
        <f>$AI$20</f>
        <v>INDGWH</v>
      </c>
      <c r="H46" s="177"/>
      <c r="I46" s="177"/>
      <c r="K46" s="81"/>
      <c r="L46" s="366"/>
      <c r="M46" s="206"/>
      <c r="N46" s="81"/>
      <c r="O46" s="783"/>
      <c r="P46" s="783"/>
      <c r="Q46" s="81"/>
      <c r="R46" s="208"/>
      <c r="S46" s="832"/>
      <c r="T46" s="832"/>
      <c r="U46" s="206">
        <f t="shared" ref="U46" ca="1" si="36">1-1/M45*1.01</f>
        <v>0.47668393782383411</v>
      </c>
      <c r="V46" s="832"/>
      <c r="W46" s="331"/>
      <c r="X46" s="758"/>
      <c r="Y46" s="81"/>
      <c r="Z46" s="81"/>
      <c r="AA46" s="81"/>
      <c r="AB46" s="81"/>
      <c r="AD46" s="81"/>
      <c r="AE46" s="81"/>
      <c r="AF46" s="232"/>
    </row>
    <row r="47" spans="2:36">
      <c r="B47" s="393" t="s">
        <v>1126</v>
      </c>
      <c r="D47" s="223" t="str">
        <f ca="1">IF(T45=0,"*",IF(T47&gt;0,"IND"&amp;RIGHT(H45,4)&amp;RIGHT(G45,3)&amp;"N"&amp;RIGHT(E45,1),""))</f>
        <v/>
      </c>
      <c r="E47" s="223"/>
      <c r="F47" s="239" t="s">
        <v>1274</v>
      </c>
      <c r="G47" s="176" t="s">
        <v>500</v>
      </c>
      <c r="H47" s="177" t="str">
        <f>$AI$14</f>
        <v>IGDMT</v>
      </c>
      <c r="I47" s="177"/>
      <c r="J47" s="239">
        <f>AD47</f>
        <v>2030</v>
      </c>
      <c r="K47" s="81"/>
      <c r="L47" s="366">
        <v>1</v>
      </c>
      <c r="M47" s="206">
        <f ca="1">VLOOKUP($AD47,INDIRECT("'"&amp;$B47&amp;"'!"&amp;"$P$39:$AD$42"),3,FALSE)</f>
        <v>1.9894000000000001</v>
      </c>
      <c r="N47" s="81"/>
      <c r="O47" s="783">
        <f ca="1">VLOOKUP($AD47,INDIRECT("'"&amp;$B47&amp;"'!"&amp;"$P$39:$AD$42"),6,FALSE)/1000</f>
        <v>9.8570539139933757</v>
      </c>
      <c r="P47" s="783">
        <f ca="1">VLOOKUP($AD47,INDIRECT("'"&amp;$B47&amp;"'!"&amp;"$P$39:$AD$42"),7,FALSE)/1000</f>
        <v>1.49E-2</v>
      </c>
      <c r="Q47" s="81">
        <f ca="1">VLOOKUP($AD47,INDIRECT("'"&amp;$B47&amp;"'!"&amp;"$P$39:$AD$42"),8,FALSE)</f>
        <v>6.9740277777777777</v>
      </c>
      <c r="R47" s="333"/>
      <c r="S47" s="333"/>
      <c r="T47" s="333"/>
      <c r="U47" s="206">
        <f t="shared" ref="U47" ca="1" si="37">1/M47*1.01</f>
        <v>0.50769076103347743</v>
      </c>
      <c r="V47" s="206"/>
      <c r="W47" s="331"/>
      <c r="X47" s="75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32"/>
    </row>
    <row r="48" spans="2:36">
      <c r="B48" s="393" t="s">
        <v>1126</v>
      </c>
      <c r="D48" s="223" t="str">
        <f ca="1">IF(T45=0,"*",IF(T48&gt;0,"IND"&amp;RIGHT(H45,4)&amp;RIGHT(G45,3)&amp;"N"&amp;RIGHT(E45,1),""))</f>
        <v/>
      </c>
      <c r="E48" s="223"/>
      <c r="F48" s="239" t="s">
        <v>1274</v>
      </c>
      <c r="G48" s="176" t="str">
        <f>$AI$20</f>
        <v>INDGWH</v>
      </c>
      <c r="H48" s="177"/>
      <c r="I48" s="177"/>
      <c r="K48" s="81"/>
      <c r="L48" s="366"/>
      <c r="M48" s="206"/>
      <c r="N48" s="81"/>
      <c r="O48" s="783"/>
      <c r="P48" s="783"/>
      <c r="Q48" s="81"/>
      <c r="R48" s="333"/>
      <c r="S48" s="333"/>
      <c r="T48" s="333"/>
      <c r="U48" s="206">
        <f t="shared" ref="U48" ca="1" si="38">1-1/M47*1.01</f>
        <v>0.49230923896652257</v>
      </c>
      <c r="V48" s="333"/>
      <c r="W48" s="331"/>
      <c r="X48" s="758"/>
      <c r="Y48" s="81"/>
      <c r="Z48" s="81"/>
      <c r="AA48" s="81"/>
      <c r="AB48" s="81"/>
      <c r="AD48" s="81"/>
      <c r="AE48" s="81"/>
      <c r="AF48" s="232"/>
    </row>
    <row r="49" spans="2:32">
      <c r="B49" s="393" t="s">
        <v>1126</v>
      </c>
      <c r="D49" s="223" t="str">
        <f ca="1">IF(T45=0,"*",IF(T49&gt;0,"IND"&amp;RIGHT(H45,4)&amp;RIGHT(G45,3)&amp;"N"&amp;RIGHT(E45,1),""))</f>
        <v/>
      </c>
      <c r="E49" s="223"/>
      <c r="F49" s="239" t="s">
        <v>1274</v>
      </c>
      <c r="G49" s="176" t="s">
        <v>500</v>
      </c>
      <c r="H49" s="177" t="str">
        <f>$AI$14</f>
        <v>IGDMT</v>
      </c>
      <c r="I49" s="177"/>
      <c r="J49" s="239">
        <f>AD49</f>
        <v>2050</v>
      </c>
      <c r="K49" s="81"/>
      <c r="L49" s="366">
        <v>1</v>
      </c>
      <c r="M49" s="206">
        <f ca="1">VLOOKUP($AD49,INDIRECT("'"&amp;$B49&amp;"'!"&amp;"$P$39:$AD$42"),3,FALSE)</f>
        <v>2.0509898799999999</v>
      </c>
      <c r="N49" s="81"/>
      <c r="O49" s="783">
        <f ca="1">VLOOKUP($AD49,INDIRECT("'"&amp;$B49&amp;"'!"&amp;"$P$39:$AD$42"),6,FALSE)/1000</f>
        <v>6.955935359434223</v>
      </c>
      <c r="P49" s="783">
        <f ca="1">VLOOKUP($AD49,INDIRECT("'"&amp;$B49&amp;"'!"&amp;"$P$39:$AD$42"),7,FALSE)/1000</f>
        <v>1.49E-2</v>
      </c>
      <c r="Q49" s="81">
        <f ca="1">VLOOKUP($AD49,INDIRECT("'"&amp;$B49&amp;"'!"&amp;"$P$39:$AD$42"),8,FALSE)</f>
        <v>6.7877777777777784</v>
      </c>
      <c r="R49" s="333"/>
      <c r="S49" s="333"/>
      <c r="T49" s="333"/>
      <c r="U49" s="206">
        <f t="shared" ref="U49" ca="1" si="39">1/M49*1.01</f>
        <v>0.49244514068494577</v>
      </c>
      <c r="V49" s="206"/>
      <c r="W49" s="331"/>
      <c r="X49" s="75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32"/>
    </row>
    <row r="50" spans="2:32">
      <c r="B50" s="393" t="s">
        <v>1126</v>
      </c>
      <c r="D50" s="223" t="str">
        <f ca="1">IF(T45=0,"*",IF(T50&gt;0,"IND"&amp;RIGHT(H45,4)&amp;RIGHT(G45,3)&amp;"N"&amp;RIGHT(E45,1),""))</f>
        <v/>
      </c>
      <c r="E50" s="223"/>
      <c r="F50" s="239" t="s">
        <v>1274</v>
      </c>
      <c r="G50" s="176" t="str">
        <f>$AI$20</f>
        <v>INDGWH</v>
      </c>
      <c r="H50" s="177"/>
      <c r="I50" s="177"/>
      <c r="K50" s="81"/>
      <c r="L50" s="366"/>
      <c r="M50" s="206"/>
      <c r="N50" s="81"/>
      <c r="O50" s="783"/>
      <c r="P50" s="783"/>
      <c r="Q50" s="81"/>
      <c r="R50" s="333"/>
      <c r="S50" s="333"/>
      <c r="T50" s="333"/>
      <c r="U50" s="206">
        <f t="shared" ref="U50" ca="1" si="40">1-1/M49*1.01</f>
        <v>0.50755485931505429</v>
      </c>
      <c r="V50" s="333"/>
      <c r="W50" s="331"/>
      <c r="X50" s="758"/>
      <c r="Y50" s="81"/>
      <c r="Z50" s="81"/>
      <c r="AA50" s="81"/>
      <c r="AB50" s="81"/>
      <c r="AD50" s="81"/>
      <c r="AE50" s="81"/>
      <c r="AF50" s="232"/>
    </row>
    <row r="51" spans="2:32">
      <c r="B51" s="393" t="s">
        <v>1126</v>
      </c>
      <c r="D51" s="223" t="str">
        <f ca="1">IF(T51=0,"*",IF(T51&gt;0,"IND"&amp;RIGHT(H51,4)&amp;RIGHT(G51,3)&amp;"N"&amp;RIGHT(E51,1),""))</f>
        <v>INDGDRHELCN4</v>
      </c>
      <c r="E51" s="278" t="str">
        <f>"Industrial heating technology "&amp;$AJ$12&amp;" "&amp;RIGHT(H51,2)&amp;" - Booster Heat pump utilizing waste heat - new 4"</f>
        <v>Industrial heating technology Glass &amp; Concrete RH - Booster Heat pump utilizing waste heat - new 4</v>
      </c>
      <c r="F51" s="239" t="s">
        <v>1274</v>
      </c>
      <c r="G51" s="176" t="s">
        <v>500</v>
      </c>
      <c r="H51" s="177" t="str">
        <f>$AI$15</f>
        <v>IGDRH</v>
      </c>
      <c r="I51" s="177"/>
      <c r="J51" s="239">
        <f>AD51</f>
        <v>2020</v>
      </c>
      <c r="K51" s="81">
        <v>2020</v>
      </c>
      <c r="L51" s="366">
        <v>1</v>
      </c>
      <c r="M51" s="206">
        <f ca="1">VLOOKUP($AD51,INDIRECT("'"&amp;$B51&amp;"'!"&amp;"$P$39:$AD$42"),3,FALSE)</f>
        <v>1.93</v>
      </c>
      <c r="N51" s="81">
        <f ca="1">VLOOKUP($AD51,INDIRECT("'"&amp;$B51&amp;"'!"&amp;"$P$39:$AD$42"),5,FALSE)</f>
        <v>20</v>
      </c>
      <c r="O51" s="783">
        <f ca="1">VLOOKUP($AD51,INDIRECT("'"&amp;$B51&amp;"'!"&amp;"$P$39:$AD$42"),6,FALSE)/1000</f>
        <v>12.158890687341184</v>
      </c>
      <c r="P51" s="783">
        <f ca="1">VLOOKUP($AD51,INDIRECT("'"&amp;$B51&amp;"'!"&amp;"$P$39:$AD$42"),7,FALSE)/1000</f>
        <v>1.49E-2</v>
      </c>
      <c r="Q51" s="81">
        <f ca="1">VLOOKUP($AD51,INDIRECT("'"&amp;$B51&amp;"'!"&amp;"$P$39:$AD$42"),8,FALSE)</f>
        <v>7.1188888888888897</v>
      </c>
      <c r="R51" s="81">
        <v>3.1536000000000002E-2</v>
      </c>
      <c r="S51" s="206">
        <v>0.5</v>
      </c>
      <c r="T51" s="206">
        <f ca="1">IF(HLOOKUP($T$2,INDIRECT("'"&amp;$B51&amp;"'!"&amp;"$P$6:$AE$19"),IF(H51=$AI$13,6,IF(H51=$AI$14,9,14)),FALSE)&lt;0.03,0,HLOOKUP($T$2,INDIRECT("'"&amp;$B51&amp;"'!"&amp;"$P$6:$AE$19"),IF(H51=$AI$13,6,IF(H51=$AI$14,9,14)),FALSE))</f>
        <v>1</v>
      </c>
      <c r="U51" s="206">
        <f t="shared" ref="U51" ca="1" si="41">1/M51*1.01</f>
        <v>0.52331606217616589</v>
      </c>
      <c r="V51" s="206"/>
      <c r="W51" s="331"/>
      <c r="X51" s="75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32"/>
    </row>
    <row r="52" spans="2:32">
      <c r="B52" s="393" t="s">
        <v>1126</v>
      </c>
      <c r="D52" s="223" t="str">
        <f ca="1">IF(T51=0,"*",IF(T52&gt;0,"IND"&amp;RIGHT(H51,4)&amp;RIGHT(G51,3)&amp;"N"&amp;RIGHT(E51,1),""))</f>
        <v/>
      </c>
      <c r="E52" s="278"/>
      <c r="F52" s="239" t="s">
        <v>1274</v>
      </c>
      <c r="G52" s="176" t="str">
        <f>$AI$20</f>
        <v>INDGWH</v>
      </c>
      <c r="H52" s="177"/>
      <c r="I52" s="177"/>
      <c r="K52" s="81"/>
      <c r="L52" s="366"/>
      <c r="M52" s="206"/>
      <c r="N52" s="81"/>
      <c r="O52" s="783"/>
      <c r="P52" s="783"/>
      <c r="Q52" s="81"/>
      <c r="R52" s="208"/>
      <c r="S52" s="832"/>
      <c r="T52" s="832"/>
      <c r="U52" s="206">
        <f t="shared" ref="U52" ca="1" si="42">1-1/M51*1.01</f>
        <v>0.47668393782383411</v>
      </c>
      <c r="V52" s="832"/>
      <c r="W52" s="331"/>
      <c r="X52" s="758"/>
      <c r="Y52" s="81"/>
      <c r="Z52" s="81"/>
      <c r="AA52" s="81"/>
      <c r="AB52" s="81"/>
      <c r="AD52" s="81"/>
      <c r="AE52" s="81"/>
      <c r="AF52" s="232"/>
    </row>
    <row r="53" spans="2:32">
      <c r="B53" s="393" t="s">
        <v>1126</v>
      </c>
      <c r="D53" s="223" t="str">
        <f ca="1">IF(T51=0,"*",IF(T53&gt;0,"IND"&amp;RIGHT(H51,4)&amp;RIGHT(G51,3)&amp;"N"&amp;RIGHT(E51,1),""))</f>
        <v/>
      </c>
      <c r="E53" s="223"/>
      <c r="F53" s="239" t="s">
        <v>1274</v>
      </c>
      <c r="G53" s="176" t="s">
        <v>500</v>
      </c>
      <c r="H53" s="177" t="str">
        <f>$AI$15</f>
        <v>IGDRH</v>
      </c>
      <c r="I53" s="177"/>
      <c r="J53" s="239">
        <f>AD53</f>
        <v>2030</v>
      </c>
      <c r="K53" s="81"/>
      <c r="L53" s="366">
        <v>1</v>
      </c>
      <c r="M53" s="206">
        <f ca="1">VLOOKUP($AD53,INDIRECT("'"&amp;$B53&amp;"'!"&amp;"$P$39:$AD$42"),3,FALSE)</f>
        <v>1.9894000000000001</v>
      </c>
      <c r="N53" s="81"/>
      <c r="O53" s="783">
        <f ca="1">VLOOKUP($AD53,INDIRECT("'"&amp;$B53&amp;"'!"&amp;"$P$39:$AD$42"),6,FALSE)/1000</f>
        <v>9.8570539139933757</v>
      </c>
      <c r="P53" s="783">
        <f ca="1">VLOOKUP($AD53,INDIRECT("'"&amp;$B53&amp;"'!"&amp;"$P$39:$AD$42"),7,FALSE)/1000</f>
        <v>1.49E-2</v>
      </c>
      <c r="Q53" s="81">
        <f ca="1">VLOOKUP($AD53,INDIRECT("'"&amp;$B53&amp;"'!"&amp;"$P$39:$AD$42"),8,FALSE)</f>
        <v>6.9740277777777777</v>
      </c>
      <c r="R53" s="333"/>
      <c r="S53" s="333"/>
      <c r="T53" s="333"/>
      <c r="U53" s="206">
        <f t="shared" ref="U53" ca="1" si="43">1/M53*1.01</f>
        <v>0.50769076103347743</v>
      </c>
      <c r="V53" s="206"/>
      <c r="W53" s="331"/>
      <c r="X53" s="75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32"/>
    </row>
    <row r="54" spans="2:32">
      <c r="B54" s="393" t="s">
        <v>1126</v>
      </c>
      <c r="D54" s="223" t="str">
        <f ca="1">IF(T51=0,"*",IF(T54&gt;0,"IND"&amp;RIGHT(H51,4)&amp;RIGHT(G51,3)&amp;"N"&amp;RIGHT(E51,1),""))</f>
        <v/>
      </c>
      <c r="E54" s="223"/>
      <c r="F54" s="239" t="s">
        <v>1274</v>
      </c>
      <c r="G54" s="176" t="str">
        <f>$AI$20</f>
        <v>INDGWH</v>
      </c>
      <c r="H54" s="177"/>
      <c r="I54" s="177"/>
      <c r="K54" s="81"/>
      <c r="L54" s="366"/>
      <c r="M54" s="206"/>
      <c r="N54" s="81"/>
      <c r="O54" s="783"/>
      <c r="P54" s="783"/>
      <c r="Q54" s="81"/>
      <c r="R54" s="333"/>
      <c r="S54" s="333"/>
      <c r="T54" s="333"/>
      <c r="U54" s="206">
        <f t="shared" ref="U54" ca="1" si="44">1-1/M53*1.01</f>
        <v>0.49230923896652257</v>
      </c>
      <c r="V54" s="333"/>
      <c r="W54" s="331"/>
      <c r="X54" s="758"/>
      <c r="Y54" s="81"/>
      <c r="Z54" s="81"/>
      <c r="AA54" s="81"/>
      <c r="AB54" s="81"/>
      <c r="AD54" s="81"/>
      <c r="AE54" s="81"/>
      <c r="AF54" s="232"/>
    </row>
    <row r="55" spans="2:32">
      <c r="B55" s="393" t="s">
        <v>1126</v>
      </c>
      <c r="D55" s="223" t="str">
        <f ca="1">IF(T51=0,"*",IF(T55&gt;0,"IND"&amp;RIGHT(H51,4)&amp;RIGHT(G51,3)&amp;"N"&amp;RIGHT(E51,1),""))</f>
        <v/>
      </c>
      <c r="E55" s="223"/>
      <c r="F55" s="239" t="s">
        <v>1274</v>
      </c>
      <c r="G55" s="176" t="s">
        <v>500</v>
      </c>
      <c r="H55" s="177" t="str">
        <f>$AI$15</f>
        <v>IGDRH</v>
      </c>
      <c r="I55" s="177"/>
      <c r="J55" s="239">
        <f>AD55</f>
        <v>2050</v>
      </c>
      <c r="K55" s="81"/>
      <c r="L55" s="366">
        <v>1</v>
      </c>
      <c r="M55" s="206">
        <f ca="1">VLOOKUP($AD55,INDIRECT("'"&amp;$B55&amp;"'!"&amp;"$P$39:$AD$42"),3,FALSE)</f>
        <v>2.0509898799999999</v>
      </c>
      <c r="N55" s="81"/>
      <c r="O55" s="783">
        <f ca="1">VLOOKUP($AD55,INDIRECT("'"&amp;$B55&amp;"'!"&amp;"$P$39:$AD$42"),6,FALSE)/1000</f>
        <v>6.955935359434223</v>
      </c>
      <c r="P55" s="783">
        <f ca="1">VLOOKUP($AD55,INDIRECT("'"&amp;$B55&amp;"'!"&amp;"$P$39:$AD$42"),7,FALSE)/1000</f>
        <v>1.49E-2</v>
      </c>
      <c r="Q55" s="81">
        <f ca="1">VLOOKUP($AD55,INDIRECT("'"&amp;$B55&amp;"'!"&amp;"$P$39:$AD$42"),8,FALSE)</f>
        <v>6.7877777777777784</v>
      </c>
      <c r="R55" s="333"/>
      <c r="S55" s="333"/>
      <c r="T55" s="333"/>
      <c r="U55" s="206">
        <f t="shared" ref="U55" ca="1" si="45">1/M55*1.01</f>
        <v>0.49244514068494577</v>
      </c>
      <c r="V55" s="206"/>
      <c r="W55" s="331"/>
      <c r="X55" s="75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32"/>
    </row>
    <row r="56" spans="2:32">
      <c r="B56" s="393" t="s">
        <v>1126</v>
      </c>
      <c r="D56" s="223" t="str">
        <f ca="1">IF(T51=0,"*",IF(T56&gt;0,"IND"&amp;RIGHT(H51,4)&amp;RIGHT(G51,3)&amp;"N"&amp;RIGHT(E51,1),""))</f>
        <v/>
      </c>
      <c r="E56" s="223"/>
      <c r="F56" s="239" t="s">
        <v>1274</v>
      </c>
      <c r="G56" s="176" t="str">
        <f>$AI$20</f>
        <v>INDGWH</v>
      </c>
      <c r="H56" s="177"/>
      <c r="I56" s="177"/>
      <c r="K56" s="81"/>
      <c r="L56" s="366"/>
      <c r="M56" s="206"/>
      <c r="N56" s="81"/>
      <c r="O56" s="783"/>
      <c r="P56" s="783"/>
      <c r="Q56" s="81"/>
      <c r="R56" s="333"/>
      <c r="S56" s="333"/>
      <c r="T56" s="333"/>
      <c r="U56" s="206">
        <f t="shared" ref="U56" ca="1" si="46">1-1/M55*1.01</f>
        <v>0.50755485931505429</v>
      </c>
      <c r="V56" s="333"/>
      <c r="W56" s="331"/>
      <c r="X56" s="758"/>
      <c r="Y56" s="81"/>
      <c r="Z56" s="81"/>
      <c r="AA56" s="81"/>
      <c r="AB56" s="81"/>
      <c r="AD56" s="81"/>
      <c r="AE56" s="81"/>
      <c r="AF56" s="232"/>
    </row>
    <row r="57" spans="2:32">
      <c r="B57" s="393" t="s">
        <v>1127</v>
      </c>
      <c r="D57" s="223" t="str">
        <f ca="1">IF(T57=0,"*",IF(T57&gt;0,"IND"&amp;RIGHT(H57,4)&amp;RIGHT(G57,3)&amp;"N"&amp;RIGHT(E57,1),""))</f>
        <v>INDGDMTELCN5</v>
      </c>
      <c r="E57" s="278" t="str">
        <f>"Industrial heating technology "&amp;$AJ$12&amp;" "&amp;RIGHT(H57,2)&amp;" - MVR utilizing waste heat - new 5"</f>
        <v>Industrial heating technology Glass &amp; Concrete MT - MVR utilizing waste heat - new 5</v>
      </c>
      <c r="F57" s="239" t="s">
        <v>1274</v>
      </c>
      <c r="G57" s="176" t="s">
        <v>500</v>
      </c>
      <c r="H57" s="177" t="str">
        <f>$AI$14</f>
        <v>IGDMT</v>
      </c>
      <c r="I57" s="177"/>
      <c r="J57" s="239">
        <f>AD57</f>
        <v>2020</v>
      </c>
      <c r="K57" s="81">
        <v>2020</v>
      </c>
      <c r="L57" s="366">
        <v>1</v>
      </c>
      <c r="M57" s="206">
        <f ca="1">VLOOKUP($AD57,INDIRECT("'"&amp;$B57&amp;"'!"&amp;"$P$39:$AD$42"),3,FALSE)</f>
        <v>12.1</v>
      </c>
      <c r="N57" s="81">
        <f ca="1">VLOOKUP($AD57,INDIRECT("'"&amp;$B57&amp;"'!"&amp;"$P$39:$AD$42"),5,FALSE)</f>
        <v>25</v>
      </c>
      <c r="O57" s="783">
        <f ca="1">VLOOKUP($AD57,INDIRECT("'"&amp;$B57&amp;"'!"&amp;"$P$39:$AD$42"),6,FALSE)/1000</f>
        <v>2.6074999999999999</v>
      </c>
      <c r="P57" s="783">
        <f ca="1">VLOOKUP($AD57,INDIRECT("'"&amp;$B57&amp;"'!"&amp;"$P$39:$AD$42"),7,FALSE)/1000</f>
        <v>1.49E-2</v>
      </c>
      <c r="Q57" s="81">
        <f ca="1">VLOOKUP($AD57,INDIRECT("'"&amp;$B57&amp;"'!"&amp;"$P$39:$AD$42"),8,FALSE)</f>
        <v>5.2356944444444444</v>
      </c>
      <c r="R57" s="81">
        <v>3.1536000000000002E-2</v>
      </c>
      <c r="S57" s="206">
        <v>0.5</v>
      </c>
      <c r="T57" s="206">
        <f ca="1">IF(HLOOKUP($T$2,INDIRECT("'"&amp;$B57&amp;"'!"&amp;"$P$6:$AE$19"),IF(H57=$AI$13,6,IF(H57=$AI$14,9,14)),FALSE)&lt;0.03,0,HLOOKUP($T$2,INDIRECT("'"&amp;$B57&amp;"'!"&amp;"$P$6:$AE$19"),IF(H57=$AI$13,6,IF(H57=$AI$14,9,14)),FALSE))</f>
        <v>0.37</v>
      </c>
      <c r="U57" s="206">
        <f t="shared" ref="U57" ca="1" si="47">1/M57*1.01</f>
        <v>8.3471074380165294E-2</v>
      </c>
      <c r="V57" s="206"/>
      <c r="W57" s="331"/>
      <c r="X57" s="75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32"/>
    </row>
    <row r="58" spans="2:32">
      <c r="B58" s="393" t="s">
        <v>1127</v>
      </c>
      <c r="D58" s="223" t="str">
        <f ca="1">IF(T57=0,"*",IF(T58&gt;0,"IND"&amp;RIGHT(H57,4)&amp;RIGHT(G57,3)&amp;"N"&amp;RIGHT(E57,1),""))</f>
        <v/>
      </c>
      <c r="E58" s="278"/>
      <c r="F58" s="239" t="s">
        <v>1274</v>
      </c>
      <c r="G58" s="176" t="str">
        <f>$AI$20</f>
        <v>INDGWH</v>
      </c>
      <c r="H58" s="177"/>
      <c r="I58" s="177"/>
      <c r="K58" s="81"/>
      <c r="L58" s="206"/>
      <c r="M58" s="206"/>
      <c r="N58" s="81"/>
      <c r="O58" s="783"/>
      <c r="P58" s="783"/>
      <c r="Q58" s="81"/>
      <c r="R58" s="208"/>
      <c r="S58" s="832"/>
      <c r="T58" s="832"/>
      <c r="U58" s="206">
        <f t="shared" ref="U58" ca="1" si="48">1-1/M57*1.01</f>
        <v>0.91652892561983468</v>
      </c>
      <c r="V58" s="832"/>
      <c r="W58" s="331"/>
      <c r="X58" s="758"/>
      <c r="Y58" s="81"/>
      <c r="Z58" s="81"/>
      <c r="AA58" s="81"/>
      <c r="AB58" s="81"/>
      <c r="AD58" s="81"/>
      <c r="AE58" s="81"/>
      <c r="AF58" s="232"/>
    </row>
    <row r="59" spans="2:32">
      <c r="B59" s="393" t="s">
        <v>1127</v>
      </c>
      <c r="D59" s="223" t="str">
        <f ca="1">IF(T57=0,"*",IF(T59&gt;0,"IND"&amp;RIGHT(H57,4)&amp;RIGHT(G57,3)&amp;"N"&amp;RIGHT(E57,1),""))</f>
        <v/>
      </c>
      <c r="E59" s="223"/>
      <c r="F59" s="239" t="s">
        <v>1274</v>
      </c>
      <c r="G59" s="176" t="s">
        <v>500</v>
      </c>
      <c r="H59" s="177" t="str">
        <f>$AI$14</f>
        <v>IGDMT</v>
      </c>
      <c r="I59" s="177"/>
      <c r="J59" s="239">
        <f>AD59</f>
        <v>2030</v>
      </c>
      <c r="K59" s="81"/>
      <c r="L59" s="366">
        <v>1</v>
      </c>
      <c r="M59" s="206">
        <f ca="1">VLOOKUP($AD59,INDIRECT("'"&amp;$B59&amp;"'!"&amp;"$P$39:$AD$42"),3,FALSE)</f>
        <v>12.7</v>
      </c>
      <c r="N59" s="81"/>
      <c r="O59" s="783">
        <f ca="1">VLOOKUP($AD59,INDIRECT("'"&amp;$B59&amp;"'!"&amp;"$P$39:$AD$42"),6,FALSE)/1000</f>
        <v>2.4585000000000004</v>
      </c>
      <c r="P59" s="783">
        <f ca="1">VLOOKUP($AD59,INDIRECT("'"&amp;$B59&amp;"'!"&amp;"$P$39:$AD$42"),7,FALSE)/1000</f>
        <v>1.49E-2</v>
      </c>
      <c r="Q59" s="81">
        <f ca="1">VLOOKUP($AD59,INDIRECT("'"&amp;$B59&amp;"'!"&amp;"$P$39:$AD$42"),8,FALSE)</f>
        <v>5.0701388888888888</v>
      </c>
      <c r="R59" s="333"/>
      <c r="S59" s="333"/>
      <c r="T59" s="333"/>
      <c r="U59" s="206">
        <f t="shared" ref="U59" ca="1" si="49">1/M59*1.01</f>
        <v>7.9527559055118116E-2</v>
      </c>
      <c r="V59" s="206"/>
      <c r="W59" s="331"/>
      <c r="X59" s="75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32"/>
    </row>
    <row r="60" spans="2:32">
      <c r="B60" s="393" t="s">
        <v>1127</v>
      </c>
      <c r="D60" s="223" t="str">
        <f ca="1">IF(T57=0,"*",IF(T60&gt;0,"IND"&amp;RIGHT(H57,4)&amp;RIGHT(G57,3)&amp;"N"&amp;RIGHT(E57,1),""))</f>
        <v/>
      </c>
      <c r="E60" s="223"/>
      <c r="F60" s="239" t="s">
        <v>1274</v>
      </c>
      <c r="G60" s="176" t="str">
        <f>$AI$20</f>
        <v>INDGWH</v>
      </c>
      <c r="H60" s="177"/>
      <c r="I60" s="177"/>
      <c r="K60" s="81"/>
      <c r="L60" s="206"/>
      <c r="M60" s="206"/>
      <c r="N60" s="81"/>
      <c r="O60" s="783"/>
      <c r="P60" s="783"/>
      <c r="Q60" s="81"/>
      <c r="R60" s="333"/>
      <c r="S60" s="333"/>
      <c r="T60" s="333"/>
      <c r="U60" s="206">
        <f t="shared" ref="U60" ca="1" si="50">1-1/M59*1.01</f>
        <v>0.9204724409448819</v>
      </c>
      <c r="V60" s="333"/>
      <c r="W60" s="331"/>
      <c r="X60" s="758"/>
      <c r="Y60" s="81"/>
      <c r="Z60" s="81"/>
      <c r="AA60" s="81"/>
      <c r="AB60" s="81"/>
      <c r="AD60" s="81"/>
      <c r="AE60" s="81"/>
      <c r="AF60" s="232"/>
    </row>
    <row r="61" spans="2:32">
      <c r="B61" s="393" t="s">
        <v>1127</v>
      </c>
      <c r="D61" s="223" t="str">
        <f ca="1">IF(T57=0,"*",IF(T61&gt;0,"IND"&amp;RIGHT(H57,4)&amp;RIGHT(G57,3)&amp;"N"&amp;RIGHT(E57,1),""))</f>
        <v/>
      </c>
      <c r="E61" s="223"/>
      <c r="F61" s="239" t="s">
        <v>1274</v>
      </c>
      <c r="G61" s="176" t="s">
        <v>500</v>
      </c>
      <c r="H61" s="177" t="str">
        <f>$AI$14</f>
        <v>IGDMT</v>
      </c>
      <c r="I61" s="177"/>
      <c r="J61" s="239">
        <f>AD61</f>
        <v>2050</v>
      </c>
      <c r="K61" s="81"/>
      <c r="L61" s="366">
        <v>1</v>
      </c>
      <c r="M61" s="206">
        <f ca="1">VLOOKUP($AD61,INDIRECT("'"&amp;$B61&amp;"'!"&amp;"$P$39:$AD$42"),3,FALSE)</f>
        <v>13.8</v>
      </c>
      <c r="N61" s="81"/>
      <c r="O61" s="783">
        <f ca="1">VLOOKUP($AD61,INDIRECT("'"&amp;$B61&amp;"'!"&amp;"$P$39:$AD$42"),6,FALSE)/1000</f>
        <v>2.3094999999999999</v>
      </c>
      <c r="P61" s="783">
        <f ca="1">VLOOKUP($AD61,INDIRECT("'"&amp;$B61&amp;"'!"&amp;"$P$39:$AD$42"),7,FALSE)/1000</f>
        <v>1.49E-2</v>
      </c>
      <c r="Q61" s="81">
        <f ca="1">VLOOKUP($AD61,INDIRECT("'"&amp;$B61&amp;"'!"&amp;"$P$39:$AD$42"),8,FALSE)</f>
        <v>4.8838888888888903</v>
      </c>
      <c r="R61" s="333"/>
      <c r="S61" s="333"/>
      <c r="T61" s="333"/>
      <c r="U61" s="206">
        <f t="shared" ref="U61" ca="1" si="51">1/M61*1.01</f>
        <v>7.3188405797101452E-2</v>
      </c>
      <c r="V61" s="206"/>
      <c r="W61" s="331"/>
      <c r="X61" s="75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32"/>
    </row>
    <row r="62" spans="2:32" ht="15" thickBot="1">
      <c r="B62" s="846" t="s">
        <v>1127</v>
      </c>
      <c r="C62" s="847"/>
      <c r="D62" s="223" t="str">
        <f ca="1">IF(T57=0,"*",IF(T62&gt;0,"IND"&amp;RIGHT(H57,4)&amp;RIGHT(G57,3)&amp;"N"&amp;RIGHT(E57,1),""))</f>
        <v/>
      </c>
      <c r="E62" s="792"/>
      <c r="F62" s="239" t="s">
        <v>1274</v>
      </c>
      <c r="G62" s="848" t="str">
        <f>$AI$20</f>
        <v>INDGWH</v>
      </c>
      <c r="H62" s="848"/>
      <c r="I62" s="848"/>
      <c r="K62" s="849"/>
      <c r="L62" s="850"/>
      <c r="M62" s="850"/>
      <c r="N62" s="849"/>
      <c r="O62" s="851"/>
      <c r="P62" s="851"/>
      <c r="Q62" s="849"/>
      <c r="R62" s="852"/>
      <c r="S62" s="852"/>
      <c r="T62" s="852"/>
      <c r="U62" s="206">
        <f t="shared" ref="U62" ca="1" si="52">1-1/M61*1.01</f>
        <v>0.92681159420289849</v>
      </c>
      <c r="V62" s="856"/>
      <c r="W62" s="853"/>
      <c r="X62" s="854"/>
      <c r="Y62" s="849"/>
      <c r="Z62" s="849"/>
      <c r="AA62" s="849"/>
      <c r="AB62" s="849"/>
      <c r="AC62" s="847"/>
      <c r="AD62" s="849"/>
      <c r="AE62" s="849"/>
      <c r="AF62" s="855"/>
    </row>
    <row r="63" spans="2:32">
      <c r="B63" s="393" t="s">
        <v>1045</v>
      </c>
      <c r="D63" s="223" t="str">
        <f ca="1">IF(T63=0,"*",IF(T63&gt;0,"IND"&amp;RIGHT(H63,4)&amp;RIGHT(G63,3)&amp;"N"&amp;RIGHT(E63,1),""))</f>
        <v>*</v>
      </c>
      <c r="E63" s="278" t="str">
        <f>"Industrial heating technology "&amp;$AJ$12&amp;" "&amp;RIGHT(H63,2)&amp;" - Hotdisc - new 1"</f>
        <v>Industrial heating technology Glass &amp; Concrete HT - Hotdisc - new 1</v>
      </c>
      <c r="F63" s="239" t="s">
        <v>1274</v>
      </c>
      <c r="G63" s="892" t="s">
        <v>1130</v>
      </c>
      <c r="H63" s="177" t="str">
        <f>$AI$13</f>
        <v>IGDHT</v>
      </c>
      <c r="I63" s="176" t="str">
        <f t="shared" ref="I63:I94" si="53">$AI$20</f>
        <v>INDGWH</v>
      </c>
      <c r="J63" s="239">
        <f t="shared" ref="J63:J94" si="54">IF(AD63=2020,2011,AD63)</f>
        <v>2011</v>
      </c>
      <c r="K63" s="332">
        <f>J63</f>
        <v>2011</v>
      </c>
      <c r="L63" s="759">
        <f t="shared" ref="L63:L80" ca="1" si="55">VLOOKUP($AD63,INDIRECT("'"&amp;$B63&amp;"'!"&amp;"$P$39:$AD$42"),3,FALSE)</f>
        <v>0.9</v>
      </c>
      <c r="M63" s="759"/>
      <c r="N63" s="332">
        <f ca="1">VLOOKUP($AD63,INDIRECT("'"&amp;$B63&amp;"'!"&amp;"$P$39:$AD$42"),5,FALSE)</f>
        <v>20</v>
      </c>
      <c r="O63" s="785">
        <f t="shared" ref="O63:O80" ca="1" si="56">VLOOKUP($AD63,INDIRECT("'"&amp;$B63&amp;"'!"&amp;"$P$39:$AD$42"),6,FALSE)/1000</f>
        <v>3.7250000000000001</v>
      </c>
      <c r="P63" s="785">
        <f t="shared" ref="P63:P80" ca="1" si="57">VLOOKUP($AD63,INDIRECT("'"&amp;$B63&amp;"'!"&amp;"$P$39:$AD$42"),7,FALSE)/1000</f>
        <v>2.98E-3</v>
      </c>
      <c r="Q63" s="332">
        <f t="shared" ref="Q63:Q80" ca="1" si="58">VLOOKUP($AD63,INDIRECT("'"&amp;$B63&amp;"'!"&amp;"$P$39:$AD$42"),8,FALSE)</f>
        <v>2.4315972222222224</v>
      </c>
      <c r="R63" s="332">
        <v>3.1536000000000002E-2</v>
      </c>
      <c r="S63" s="759">
        <v>0.5</v>
      </c>
      <c r="T63" s="206">
        <f ca="1">IF(HLOOKUP($T$2,INDIRECT("'"&amp;$B63&amp;"'!"&amp;"$P$6:$AE$19"),IF(H63=$AI$13,6,IF(H63=$AI$14,9,14)),FALSE)&lt;0.03,0,HLOOKUP($T$2,INDIRECT("'"&amp;$B63&amp;"'!"&amp;"$P$6:$AE$19"),IF(H63=$AI$13,6,IF(H63=$AI$14,9,14)),FALSE))</f>
        <v>0</v>
      </c>
      <c r="U63" s="832"/>
      <c r="V63" s="759">
        <f ca="1">IF(IF(RIGHT(H63,2)="MT",(1-L63)+$W$2,IF(RIGHT(H63,2)="HT",(1-L63)+$W$1,IF(RIGHT(H63,2)="RH",(1-L63)+$W$3,"")))&lt;0,0,IF(RIGHT(H63,2)="MT",(1-L63)+$W$2,IF(RIGHT(H63,2)="HT",(1-L63)+$W$1,IF(RIGHT(H63,2)="RH",(1-L63)+$W$3,""))))</f>
        <v>0.39999999999999997</v>
      </c>
      <c r="W63" s="331"/>
      <c r="X63" s="845">
        <f t="shared" ref="X63:X94" ca="1" si="59">IF(VLOOKUP($AD63,INDIRECT("'"&amp;$B63&amp;"'!"&amp;"$P$39:$AD$42"),11,FALSE)="Cf. the utilized electricity",0,VLOOKUP($AD63,INDIRECT("'"&amp;$B63&amp;"'!"&amp;"$P$39:$AD$42"),11,FALSE))</f>
        <v>8.3000000000000007</v>
      </c>
      <c r="Y63" s="332">
        <f t="shared" ref="Y63:Y80" ca="1" si="60">VLOOKUP($AD63,INDIRECT("'"&amp;$B63&amp;"'!"&amp;"$P$39:$AD$42"),12,FALSE)</f>
        <v>56</v>
      </c>
      <c r="Z63" s="332">
        <f t="shared" ref="Z63:Z80" ca="1" si="61">VLOOKUP($AD63,INDIRECT("'"&amp;$B63&amp;"'!"&amp;"$P$39:$AD$42"),13,FALSE)</f>
        <v>0.1</v>
      </c>
      <c r="AA63" s="332">
        <f t="shared" ref="AA63:AA80" ca="1" si="62">VLOOKUP($AD63,INDIRECT("'"&amp;$B63&amp;"'!"&amp;"$P$39:$AD$42"),14,FALSE)</f>
        <v>1</v>
      </c>
      <c r="AB63" s="332">
        <f t="shared" ref="AB63:AB80" ca="1" si="63">VLOOKUP($AD63,INDIRECT("'"&amp;$B63&amp;"'!"&amp;"$P$39:$AD$42"),15,FALSE)</f>
        <v>0.28999999999999998</v>
      </c>
      <c r="AD63" s="332">
        <v>2020</v>
      </c>
      <c r="AE63" s="332"/>
      <c r="AF63" s="232"/>
    </row>
    <row r="64" spans="2:32">
      <c r="B64" s="393" t="s">
        <v>1045</v>
      </c>
      <c r="D64" s="223" t="str">
        <f ca="1">IF(T63=0,"*",IF(T64&gt;0,"IND"&amp;RIGHT(H63,4)&amp;RIGHT(G63,3)&amp;"N"&amp;RIGHT(E63,1),""))</f>
        <v>*</v>
      </c>
      <c r="E64" s="223"/>
      <c r="F64" s="239" t="s">
        <v>1274</v>
      </c>
      <c r="H64" s="177"/>
      <c r="I64" s="176" t="str">
        <f t="shared" si="53"/>
        <v>INDGWH</v>
      </c>
      <c r="J64" s="239">
        <f t="shared" si="54"/>
        <v>2030</v>
      </c>
      <c r="K64" s="81"/>
      <c r="L64" s="206">
        <f t="shared" ca="1" si="55"/>
        <v>0.91</v>
      </c>
      <c r="M64" s="206"/>
      <c r="N64" s="81"/>
      <c r="O64" s="783">
        <f t="shared" ca="1" si="56"/>
        <v>3.4642500000000003</v>
      </c>
      <c r="P64" s="783">
        <f t="shared" ca="1" si="57"/>
        <v>2.98E-3</v>
      </c>
      <c r="Q64" s="81">
        <f t="shared" ca="1" si="58"/>
        <v>2.4729861111111116</v>
      </c>
      <c r="R64" s="333"/>
      <c r="S64" s="333"/>
      <c r="T64" s="333"/>
      <c r="U64" s="333"/>
      <c r="V64" s="759">
        <f ca="1">IF(IF(RIGHT(H63,2)="MT",(1-L64)+$W$2,IF(RIGHT(H63,2)="HT",(1-L64)+$W$1,IF(RIGHT(H63,2)="RH",(1-L64)+$W$3,"")))&lt;0,0,IF(RIGHT(H63,2)="MT",(1-L64)+$W$2,IF(RIGHT(H63,2)="HT",(1-L64)+$W$1,IF(RIGHT(H63,2)="RH",(1-L64)+$W$3,""))))</f>
        <v>0.38999999999999996</v>
      </c>
      <c r="W64" s="331"/>
      <c r="X64" s="758">
        <f t="shared" ca="1" si="59"/>
        <v>8.3000000000000007</v>
      </c>
      <c r="Y64" s="81">
        <f t="shared" ca="1" si="60"/>
        <v>45</v>
      </c>
      <c r="Z64" s="81">
        <f t="shared" ca="1" si="61"/>
        <v>0.1</v>
      </c>
      <c r="AA64" s="81">
        <f t="shared" ca="1" si="62"/>
        <v>1</v>
      </c>
      <c r="AB64" s="81">
        <f t="shared" ca="1" si="63"/>
        <v>0.28999999999999998</v>
      </c>
      <c r="AD64" s="81">
        <v>2030</v>
      </c>
      <c r="AE64" s="81"/>
      <c r="AF64" s="232"/>
    </row>
    <row r="65" spans="2:32">
      <c r="B65" s="393" t="s">
        <v>1045</v>
      </c>
      <c r="D65" s="223" t="str">
        <f ca="1">IF(T63=0,"*",IF(T65&gt;0,"IND"&amp;RIGHT(H63,4)&amp;RIGHT(G63,3)&amp;"N"&amp;RIGHT(E63,1),""))</f>
        <v>*</v>
      </c>
      <c r="E65" s="223"/>
      <c r="F65" s="239" t="s">
        <v>1274</v>
      </c>
      <c r="H65" s="177"/>
      <c r="I65" s="176" t="str">
        <f t="shared" si="53"/>
        <v>INDGWH</v>
      </c>
      <c r="J65" s="239">
        <f t="shared" si="54"/>
        <v>2050</v>
      </c>
      <c r="K65" s="81"/>
      <c r="L65" s="206">
        <f t="shared" ca="1" si="55"/>
        <v>0.93</v>
      </c>
      <c r="M65" s="206"/>
      <c r="N65" s="81"/>
      <c r="O65" s="783">
        <f t="shared" ca="1" si="56"/>
        <v>3.3525</v>
      </c>
      <c r="P65" s="783">
        <f t="shared" ca="1" si="57"/>
        <v>2.98E-3</v>
      </c>
      <c r="Q65" s="81">
        <f t="shared" ca="1" si="58"/>
        <v>2.4936805555555561</v>
      </c>
      <c r="R65" s="333"/>
      <c r="S65" s="333"/>
      <c r="T65" s="333"/>
      <c r="U65" s="333"/>
      <c r="V65" s="759">
        <f ca="1">IF(IF(RIGHT(H63,2)="MT",(1-L65)+$W$2,IF(RIGHT(H63,2)="HT",(1-L65)+$W$1,IF(RIGHT(H63,2)="RH",(1-L65)+$W$3,"")))&lt;0,0,IF(RIGHT(H63,2)="MT",(1-L65)+$W$2,IF(RIGHT(H63,2)="HT",(1-L65)+$W$1,IF(RIGHT(H63,2)="RH",(1-L65)+$W$3,""))))</f>
        <v>0.36999999999999994</v>
      </c>
      <c r="W65" s="331"/>
      <c r="X65" s="758">
        <f t="shared" ca="1" si="59"/>
        <v>8.3000000000000007</v>
      </c>
      <c r="Y65" s="81">
        <f t="shared" ca="1" si="60"/>
        <v>11</v>
      </c>
      <c r="Z65" s="81">
        <f t="shared" ca="1" si="61"/>
        <v>0.1</v>
      </c>
      <c r="AA65" s="81">
        <f t="shared" ca="1" si="62"/>
        <v>1</v>
      </c>
      <c r="AB65" s="81">
        <f t="shared" ca="1" si="63"/>
        <v>0.28999999999999998</v>
      </c>
      <c r="AD65" s="81">
        <v>2050</v>
      </c>
      <c r="AE65" s="81"/>
      <c r="AF65" s="232"/>
    </row>
    <row r="66" spans="2:32">
      <c r="B66" s="393" t="s">
        <v>1047</v>
      </c>
      <c r="D66" s="223" t="str">
        <f ca="1">IF(T66=0,"*",IF(T66&gt;0,"IND"&amp;RIGHT(H66,4)&amp;RIGHT(G66,3)&amp;"N"&amp;RIGHT(E66,1),""))</f>
        <v>*</v>
      </c>
      <c r="E66" s="278" t="str">
        <f>"Industrial heating technology "&amp;$AJ$12&amp;" "&amp;RIGHT(H66,2)&amp;" - Dielectric heating - new 6"</f>
        <v>Industrial heating technology Glass &amp; Concrete MT - Dielectric heating - new 6</v>
      </c>
      <c r="F66" s="239" t="s">
        <v>1274</v>
      </c>
      <c r="G66" s="176" t="s">
        <v>500</v>
      </c>
      <c r="H66" s="177" t="str">
        <f>$AI$14</f>
        <v>IGDMT</v>
      </c>
      <c r="I66" s="176" t="str">
        <f t="shared" si="53"/>
        <v>INDGWH</v>
      </c>
      <c r="J66" s="239">
        <f t="shared" si="54"/>
        <v>2011</v>
      </c>
      <c r="K66" s="332">
        <f>J66</f>
        <v>2011</v>
      </c>
      <c r="L66" s="206">
        <f t="shared" ca="1" si="55"/>
        <v>0.95</v>
      </c>
      <c r="M66" s="206"/>
      <c r="N66" s="81">
        <f ca="1">VLOOKUP($AD66,INDIRECT("'"&amp;$B66&amp;"'!"&amp;"$P$39:$AD$42"),5,FALSE)</f>
        <v>30</v>
      </c>
      <c r="O66" s="783">
        <f t="shared" ca="1" si="56"/>
        <v>20.115000000000002</v>
      </c>
      <c r="P66" s="783">
        <f t="shared" ca="1" si="57"/>
        <v>0</v>
      </c>
      <c r="Q66" s="81">
        <f t="shared" ca="1" si="58"/>
        <v>94.828152777777774</v>
      </c>
      <c r="R66" s="81">
        <v>3.1536000000000002E-2</v>
      </c>
      <c r="S66" s="206">
        <v>0.5</v>
      </c>
      <c r="T66" s="206">
        <f ca="1">IF(HLOOKUP($T$2,INDIRECT("'"&amp;$B66&amp;"'!"&amp;"$P$6:$AE$19"),IF(H66=$AI$13,6,IF(H66=$AI$14,9,14)),FALSE)&lt;0.03,0,HLOOKUP($T$2,INDIRECT("'"&amp;$B66&amp;"'!"&amp;"$P$6:$AE$19"),IF(H66=$AI$13,6,IF(H66=$AI$14,9,14)),FALSE))</f>
        <v>0</v>
      </c>
      <c r="U66" s="832"/>
      <c r="V66" s="759">
        <f ca="1">IF(IF(RIGHT(H66,2)="MT",(1-L66)+$W$2,IF(RIGHT(H66,2)="HT",(1-L66)+$W$1,IF(RIGHT(H66,2)="RH",(1-L66)+$W$3,"")))&lt;0,0,IF(RIGHT(H66,2)="MT",(1-L66)+$W$2,IF(RIGHT(H66,2)="HT",(1-L66)+$W$1,IF(RIGHT(H66,2)="RH",(1-L66)+$W$3,""))))</f>
        <v>0.25000000000000006</v>
      </c>
      <c r="W66" s="331"/>
      <c r="X66" s="758">
        <f t="shared" ca="1" si="59"/>
        <v>0</v>
      </c>
      <c r="Y66" s="81">
        <f t="shared" ca="1" si="60"/>
        <v>0</v>
      </c>
      <c r="Z66" s="81">
        <f t="shared" ca="1" si="61"/>
        <v>0</v>
      </c>
      <c r="AA66" s="81">
        <f t="shared" ca="1" si="62"/>
        <v>0</v>
      </c>
      <c r="AB66" s="81">
        <f t="shared" ca="1" si="63"/>
        <v>0</v>
      </c>
      <c r="AD66" s="81">
        <v>2020</v>
      </c>
      <c r="AE66" s="81"/>
      <c r="AF66" s="232"/>
    </row>
    <row r="67" spans="2:32">
      <c r="B67" s="393" t="s">
        <v>1047</v>
      </c>
      <c r="D67" s="223" t="str">
        <f ca="1">IF(T66=0,"*",IF(T67&gt;0,"IND"&amp;RIGHT(H66,4)&amp;RIGHT(G66,3)&amp;"N"&amp;RIGHT(E66,1),""))</f>
        <v>*</v>
      </c>
      <c r="E67" s="223"/>
      <c r="F67" s="239" t="s">
        <v>1274</v>
      </c>
      <c r="H67" s="177"/>
      <c r="I67" s="176" t="str">
        <f t="shared" si="53"/>
        <v>INDGWH</v>
      </c>
      <c r="J67" s="239">
        <f t="shared" si="54"/>
        <v>2030</v>
      </c>
      <c r="K67" s="81"/>
      <c r="L67" s="206">
        <f t="shared" ca="1" si="55"/>
        <v>0.95</v>
      </c>
      <c r="M67" s="206"/>
      <c r="N67" s="81"/>
      <c r="O67" s="783">
        <f t="shared" ca="1" si="56"/>
        <v>19.511550000000003</v>
      </c>
      <c r="P67" s="783">
        <f t="shared" ca="1" si="57"/>
        <v>0</v>
      </c>
      <c r="Q67" s="81">
        <f t="shared" ca="1" si="58"/>
        <v>94.832291666666663</v>
      </c>
      <c r="R67" s="333"/>
      <c r="S67" s="333"/>
      <c r="T67" s="333"/>
      <c r="U67" s="333"/>
      <c r="V67" s="759">
        <f ca="1">IF(IF(RIGHT(H66,2)="MT",(1-L67)+$W$2,IF(RIGHT(H66,2)="HT",(1-L67)+$W$1,IF(RIGHT(H66,2)="RH",(1-L67)+$W$3,"")))&lt;0,0,IF(RIGHT(H66,2)="MT",(1-L67)+$W$2,IF(RIGHT(H66,2)="HT",(1-L67)+$W$1,IF(RIGHT(H66,2)="RH",(1-L67)+$W$3,""))))</f>
        <v>0.25000000000000006</v>
      </c>
      <c r="W67" s="331"/>
      <c r="X67" s="758">
        <f t="shared" ca="1" si="59"/>
        <v>0</v>
      </c>
      <c r="Y67" s="81">
        <f t="shared" ca="1" si="60"/>
        <v>0</v>
      </c>
      <c r="Z67" s="81">
        <f t="shared" ca="1" si="61"/>
        <v>0</v>
      </c>
      <c r="AA67" s="81">
        <f t="shared" ca="1" si="62"/>
        <v>0</v>
      </c>
      <c r="AB67" s="81">
        <f t="shared" ca="1" si="63"/>
        <v>0</v>
      </c>
      <c r="AD67" s="81">
        <v>2030</v>
      </c>
      <c r="AE67" s="81"/>
      <c r="AF67" s="232"/>
    </row>
    <row r="68" spans="2:32">
      <c r="B68" s="393" t="s">
        <v>1047</v>
      </c>
      <c r="D68" s="223" t="str">
        <f ca="1">IF(T66=0,"*",IF(T68&gt;0,"IND"&amp;RIGHT(H66,4)&amp;RIGHT(G66,3)&amp;"N"&amp;RIGHT(E66,1),""))</f>
        <v>*</v>
      </c>
      <c r="E68" s="223"/>
      <c r="F68" s="239" t="s">
        <v>1274</v>
      </c>
      <c r="H68" s="177"/>
      <c r="I68" s="176" t="str">
        <f t="shared" si="53"/>
        <v>INDGWH</v>
      </c>
      <c r="J68" s="239">
        <f t="shared" si="54"/>
        <v>2050</v>
      </c>
      <c r="K68" s="81"/>
      <c r="L68" s="206">
        <f t="shared" ca="1" si="55"/>
        <v>0.95</v>
      </c>
      <c r="M68" s="206"/>
      <c r="N68" s="81"/>
      <c r="O68" s="783">
        <f t="shared" ca="1" si="56"/>
        <v>18.1035</v>
      </c>
      <c r="P68" s="783">
        <f t="shared" ca="1" si="57"/>
        <v>0</v>
      </c>
      <c r="Q68" s="81">
        <f t="shared" ca="1" si="58"/>
        <v>94.834361111111107</v>
      </c>
      <c r="R68" s="333"/>
      <c r="S68" s="333"/>
      <c r="T68" s="333"/>
      <c r="U68" s="333"/>
      <c r="V68" s="759">
        <f ca="1">IF(IF(RIGHT(H66,2)="MT",(1-L68)+$W$2,IF(RIGHT(H66,2)="HT",(1-L68)+$W$1,IF(RIGHT(H66,2)="RH",(1-L68)+$W$3,"")))&lt;0,0,IF(RIGHT(H66,2)="MT",(1-L68)+$W$2,IF(RIGHT(H66,2)="HT",(1-L68)+$W$1,IF(RIGHT(H66,2)="RH",(1-L68)+$W$3,""))))</f>
        <v>0.25000000000000006</v>
      </c>
      <c r="W68" s="331"/>
      <c r="X68" s="758">
        <f t="shared" ca="1" si="59"/>
        <v>0</v>
      </c>
      <c r="Y68" s="81">
        <f t="shared" ca="1" si="60"/>
        <v>0</v>
      </c>
      <c r="Z68" s="81">
        <f t="shared" ca="1" si="61"/>
        <v>0</v>
      </c>
      <c r="AA68" s="81">
        <f t="shared" ca="1" si="62"/>
        <v>0</v>
      </c>
      <c r="AB68" s="81">
        <f t="shared" ca="1" si="63"/>
        <v>0</v>
      </c>
      <c r="AD68" s="81">
        <v>2050</v>
      </c>
      <c r="AE68" s="81"/>
      <c r="AF68" s="232"/>
    </row>
    <row r="69" spans="2:32">
      <c r="B69" s="393" t="s">
        <v>1131</v>
      </c>
      <c r="D69" s="223" t="str">
        <f ca="1">IF(T69=0,"*",IF(T69&gt;0,"IND"&amp;RIGHT(H69,4)&amp;RIGHT(G69,3)&amp;"N"&amp;RIGHT(E69,1),""))</f>
        <v>*</v>
      </c>
      <c r="E69" s="278" t="str">
        <f>"Industrial heating technology "&amp;$AJ$12&amp;" "&amp;RIGHT(H69,2)&amp;" - Infrared heating - new 7"</f>
        <v>Industrial heating technology Glass &amp; Concrete MT - Infrared heating - new 7</v>
      </c>
      <c r="F69" s="239" t="s">
        <v>1274</v>
      </c>
      <c r="G69" s="176" t="s">
        <v>500</v>
      </c>
      <c r="H69" s="177" t="str">
        <f>$AI$14</f>
        <v>IGDMT</v>
      </c>
      <c r="I69" s="176" t="str">
        <f t="shared" si="53"/>
        <v>INDGWH</v>
      </c>
      <c r="J69" s="239">
        <f t="shared" si="54"/>
        <v>2011</v>
      </c>
      <c r="K69" s="332">
        <f>J69</f>
        <v>2011</v>
      </c>
      <c r="L69" s="206">
        <f t="shared" ca="1" si="55"/>
        <v>0.96</v>
      </c>
      <c r="M69" s="206"/>
      <c r="N69" s="81">
        <f ca="1">VLOOKUP($AD69,INDIRECT("'"&amp;$B69&amp;"'!"&amp;"$P$39:$AD$42"),5,FALSE)</f>
        <v>30</v>
      </c>
      <c r="O69" s="783">
        <f t="shared" ca="1" si="56"/>
        <v>2.6074999999999999</v>
      </c>
      <c r="P69" s="783">
        <f t="shared" ca="1" si="57"/>
        <v>0</v>
      </c>
      <c r="Q69" s="81">
        <f t="shared" ca="1" si="58"/>
        <v>242.27606944444443</v>
      </c>
      <c r="R69" s="81">
        <v>3.1536000000000002E-2</v>
      </c>
      <c r="S69" s="206">
        <v>0.5</v>
      </c>
      <c r="T69" s="206">
        <f ca="1">IF(HLOOKUP($T$2,INDIRECT("'"&amp;$B69&amp;"'!"&amp;"$P$6:$AE$19"),IF(H69=$AI$13,6,IF(H69=$AI$14,9,14)),FALSE)&lt;0.03,0,HLOOKUP($T$2,INDIRECT("'"&amp;$B69&amp;"'!"&amp;"$P$6:$AE$19"),IF(H69=$AI$13,6,IF(H69=$AI$14,9,14)),FALSE))</f>
        <v>0</v>
      </c>
      <c r="U69" s="832"/>
      <c r="V69" s="759">
        <f ca="1">IF(IF(RIGHT(H69,2)="MT",(1-L69)+$W$2,IF(RIGHT(H69,2)="HT",(1-L69)+$W$1,IF(RIGHT(H69,2)="RH",(1-L69)+$W$3,"")))&lt;0,0,IF(RIGHT(H69,2)="MT",(1-L69)+$W$2,IF(RIGHT(H69,2)="HT",(1-L69)+$W$1,IF(RIGHT(H69,2)="RH",(1-L69)+$W$3,""))))</f>
        <v>0.24000000000000005</v>
      </c>
      <c r="W69" s="331"/>
      <c r="X69" s="758">
        <f t="shared" ca="1" si="59"/>
        <v>0</v>
      </c>
      <c r="Y69" s="81">
        <f t="shared" ca="1" si="60"/>
        <v>0</v>
      </c>
      <c r="Z69" s="81">
        <f t="shared" ca="1" si="61"/>
        <v>0</v>
      </c>
      <c r="AA69" s="81">
        <f t="shared" ca="1" si="62"/>
        <v>0</v>
      </c>
      <c r="AB69" s="81">
        <f t="shared" ca="1" si="63"/>
        <v>0</v>
      </c>
      <c r="AD69" s="81">
        <v>2020</v>
      </c>
      <c r="AE69" s="81"/>
      <c r="AF69" s="232"/>
    </row>
    <row r="70" spans="2:32">
      <c r="B70" s="393" t="s">
        <v>1131</v>
      </c>
      <c r="D70" s="223" t="str">
        <f ca="1">IF(T69=0,"*",IF(T70&gt;0,"IND"&amp;RIGHT(H69,4)&amp;RIGHT(G69,3)&amp;"N"&amp;RIGHT(E69,1),""))</f>
        <v>*</v>
      </c>
      <c r="E70" s="223"/>
      <c r="F70" s="239" t="s">
        <v>1274</v>
      </c>
      <c r="H70" s="177"/>
      <c r="I70" s="176" t="str">
        <f t="shared" si="53"/>
        <v>INDGWH</v>
      </c>
      <c r="J70" s="239">
        <f t="shared" si="54"/>
        <v>2030</v>
      </c>
      <c r="K70" s="81"/>
      <c r="L70" s="206">
        <f t="shared" ca="1" si="55"/>
        <v>0.96</v>
      </c>
      <c r="M70" s="206"/>
      <c r="N70" s="81"/>
      <c r="O70" s="783">
        <f t="shared" ca="1" si="56"/>
        <v>2.5330000000000004</v>
      </c>
      <c r="P70" s="783">
        <f t="shared" ca="1" si="57"/>
        <v>0</v>
      </c>
      <c r="Q70" s="81">
        <f t="shared" ca="1" si="58"/>
        <v>242.28020833333332</v>
      </c>
      <c r="R70" s="333"/>
      <c r="S70" s="333"/>
      <c r="T70" s="333"/>
      <c r="U70" s="333"/>
      <c r="V70" s="759">
        <f ca="1">IF(IF(RIGHT(H69,2)="MT",(1-L70)+$W$2,IF(RIGHT(H69,2)="HT",(1-L70)+$W$1,IF(RIGHT(H69,2)="RH",(1-L70)+$W$3,"")))&lt;0,0,IF(RIGHT(H69,2)="MT",(1-L70)+$W$2,IF(RIGHT(H69,2)="HT",(1-L70)+$W$1,IF(RIGHT(H69,2)="RH",(1-L70)+$W$3,""))))</f>
        <v>0.24000000000000005</v>
      </c>
      <c r="W70" s="331"/>
      <c r="X70" s="758">
        <f t="shared" ca="1" si="59"/>
        <v>0</v>
      </c>
      <c r="Y70" s="81">
        <f t="shared" ca="1" si="60"/>
        <v>0</v>
      </c>
      <c r="Z70" s="81">
        <f t="shared" ca="1" si="61"/>
        <v>0</v>
      </c>
      <c r="AA70" s="81">
        <f t="shared" ca="1" si="62"/>
        <v>0</v>
      </c>
      <c r="AB70" s="81">
        <f t="shared" ca="1" si="63"/>
        <v>0</v>
      </c>
      <c r="AD70" s="81">
        <v>2030</v>
      </c>
      <c r="AE70" s="81"/>
      <c r="AF70" s="232"/>
    </row>
    <row r="71" spans="2:32">
      <c r="B71" s="393" t="s">
        <v>1131</v>
      </c>
      <c r="D71" s="223" t="str">
        <f ca="1">IF(T69=0,"*",IF(T71&gt;0,"IND"&amp;RIGHT(H69,4)&amp;RIGHT(G69,3)&amp;"N"&amp;RIGHT(E69,1),""))</f>
        <v>*</v>
      </c>
      <c r="E71" s="223"/>
      <c r="F71" s="239" t="s">
        <v>1274</v>
      </c>
      <c r="H71" s="177"/>
      <c r="I71" s="177" t="str">
        <f t="shared" si="53"/>
        <v>INDGWH</v>
      </c>
      <c r="J71" s="239">
        <f t="shared" si="54"/>
        <v>2050</v>
      </c>
      <c r="K71" s="81"/>
      <c r="L71" s="206">
        <f t="shared" ca="1" si="55"/>
        <v>0.96</v>
      </c>
      <c r="M71" s="206"/>
      <c r="N71" s="81"/>
      <c r="O71" s="783">
        <f t="shared" ca="1" si="56"/>
        <v>2.3467500000000001</v>
      </c>
      <c r="P71" s="783">
        <f t="shared" ca="1" si="57"/>
        <v>0</v>
      </c>
      <c r="Q71" s="81">
        <f t="shared" ca="1" si="58"/>
        <v>242.28227777777775</v>
      </c>
      <c r="R71" s="333"/>
      <c r="S71" s="333"/>
      <c r="T71" s="333"/>
      <c r="U71" s="333"/>
      <c r="V71" s="759">
        <f ca="1">IF(IF(RIGHT(H69,2)="MT",(1-L71)+$W$2,IF(RIGHT(H69,2)="HT",(1-L71)+$W$1,IF(RIGHT(H69,2)="RH",(1-L71)+$W$3,"")))&lt;0,0,IF(RIGHT(H69,2)="MT",(1-L71)+$W$2,IF(RIGHT(H69,2)="HT",(1-L71)+$W$1,IF(RIGHT(H69,2)="RH",(1-L71)+$W$3,""))))</f>
        <v>0.24000000000000005</v>
      </c>
      <c r="W71" s="331"/>
      <c r="X71" s="758">
        <f t="shared" ca="1" si="59"/>
        <v>0</v>
      </c>
      <c r="Y71" s="81">
        <f t="shared" ca="1" si="60"/>
        <v>0</v>
      </c>
      <c r="Z71" s="81">
        <f t="shared" ca="1" si="61"/>
        <v>0</v>
      </c>
      <c r="AA71" s="81">
        <f t="shared" ca="1" si="62"/>
        <v>0</v>
      </c>
      <c r="AB71" s="81">
        <f t="shared" ca="1" si="63"/>
        <v>0</v>
      </c>
      <c r="AD71" s="81">
        <v>2050</v>
      </c>
      <c r="AE71" s="81"/>
      <c r="AF71" s="232"/>
    </row>
    <row r="72" spans="2:32">
      <c r="B72" s="393" t="s">
        <v>1132</v>
      </c>
      <c r="D72" s="223" t="str">
        <f ca="1">IF(T72=0,"*",IF(T72&gt;0,"IND"&amp;RIGHT(H72,4)&amp;RIGHT(G72,3)&amp;"N"&amp;RIGHT(E72,1),""))</f>
        <v>INDGDHTELCN8</v>
      </c>
      <c r="E72" s="278" t="str">
        <f>"Industrial heating technology "&amp;$AJ$12&amp;" "&amp;RIGHT(H72,2)&amp;" - Electric boiler (Steam) - new 8"</f>
        <v>Industrial heating technology Glass &amp; Concrete HT - Electric boiler (Steam) - new 8</v>
      </c>
      <c r="F72" s="239" t="s">
        <v>1274</v>
      </c>
      <c r="G72" s="176" t="s">
        <v>500</v>
      </c>
      <c r="H72" s="177" t="str">
        <f>$AI$13</f>
        <v>IGDHT</v>
      </c>
      <c r="I72" s="177" t="str">
        <f t="shared" si="53"/>
        <v>INDGWH</v>
      </c>
      <c r="J72" s="239">
        <f t="shared" si="54"/>
        <v>2011</v>
      </c>
      <c r="K72" s="332">
        <f>J72</f>
        <v>2011</v>
      </c>
      <c r="L72" s="206">
        <f t="shared" ca="1" si="55"/>
        <v>0.99</v>
      </c>
      <c r="M72" s="206"/>
      <c r="N72" s="81">
        <f ca="1">VLOOKUP($AD72,INDIRECT("'"&amp;$B72&amp;"'!"&amp;"$P$39:$AD$42"),5,FALSE)</f>
        <v>25</v>
      </c>
      <c r="O72" s="783">
        <f t="shared" ca="1" si="56"/>
        <v>0.59599999999999997</v>
      </c>
      <c r="P72" s="783">
        <f t="shared" ca="1" si="57"/>
        <v>7.9714999999999994E-3</v>
      </c>
      <c r="Q72" s="81">
        <f t="shared" ca="1" si="58"/>
        <v>1.7900694444444445</v>
      </c>
      <c r="R72" s="81">
        <v>3.1536000000000002E-2</v>
      </c>
      <c r="S72" s="206">
        <v>0.5</v>
      </c>
      <c r="T72" s="206">
        <f ca="1">IF(HLOOKUP($T$2,INDIRECT("'"&amp;$B72&amp;"'!"&amp;"$P$6:$AE$19"),IF(H72=$AI$13,6,IF(H72=$AI$14,9,14)),FALSE)&lt;0.03,0,HLOOKUP($T$2,INDIRECT("'"&amp;$B72&amp;"'!"&amp;"$P$6:$AE$19"),IF(H72=$AI$13,6,IF(H72=$AI$14,9,14)),FALSE))</f>
        <v>1</v>
      </c>
      <c r="U72" s="832"/>
      <c r="V72" s="759">
        <f ca="1">IF(IF(RIGHT(H72,2)="MT",(1-L72)+$W$2,IF(RIGHT(H72,2)="HT",(1-L72)+$W$1,IF(RIGHT(H72,2)="RH",(1-L72)+$W$3,"")))&lt;0,0,IF(RIGHT(H72,2)="MT",(1-L72)+$W$2,IF(RIGHT(H72,2)="HT",(1-L72)+$W$1,IF(RIGHT(H72,2)="RH",(1-L72)+$W$3,""))))</f>
        <v>0.31</v>
      </c>
      <c r="W72" s="331"/>
      <c r="X72" s="758">
        <f t="shared" ca="1" si="59"/>
        <v>0</v>
      </c>
      <c r="Y72" s="81">
        <f t="shared" ca="1" si="60"/>
        <v>0</v>
      </c>
      <c r="Z72" s="81">
        <f t="shared" ca="1" si="61"/>
        <v>0</v>
      </c>
      <c r="AA72" s="81">
        <f t="shared" ca="1" si="62"/>
        <v>0</v>
      </c>
      <c r="AB72" s="81">
        <f t="shared" ca="1" si="63"/>
        <v>0</v>
      </c>
      <c r="AD72" s="81">
        <v>2020</v>
      </c>
      <c r="AE72" s="81"/>
      <c r="AF72" s="232"/>
    </row>
    <row r="73" spans="2:32">
      <c r="B73" s="393" t="s">
        <v>1132</v>
      </c>
      <c r="D73" s="223" t="str">
        <f ca="1">IF(T72=0,"*",IF(T73&gt;0,"IND"&amp;RIGHT(H72,4)&amp;RIGHT(G72,3)&amp;"N"&amp;RIGHT(E72,1),""))</f>
        <v/>
      </c>
      <c r="E73" s="223"/>
      <c r="F73" s="239" t="s">
        <v>1274</v>
      </c>
      <c r="H73" s="177"/>
      <c r="I73" s="177" t="str">
        <f t="shared" si="53"/>
        <v>INDGWH</v>
      </c>
      <c r="J73" s="239">
        <f t="shared" si="54"/>
        <v>2030</v>
      </c>
      <c r="K73" s="81"/>
      <c r="L73" s="206">
        <f t="shared" ca="1" si="55"/>
        <v>0.99</v>
      </c>
      <c r="M73" s="206"/>
      <c r="N73" s="81"/>
      <c r="O73" s="783">
        <f t="shared" ca="1" si="56"/>
        <v>0.52150000000000007</v>
      </c>
      <c r="P73" s="783">
        <f t="shared" ca="1" si="57"/>
        <v>7.5989999999999999E-3</v>
      </c>
      <c r="Q73" s="81">
        <f t="shared" ca="1" si="58"/>
        <v>1.8107638888888888</v>
      </c>
      <c r="R73" s="333"/>
      <c r="S73" s="333"/>
      <c r="T73" s="333"/>
      <c r="U73" s="333"/>
      <c r="V73" s="759">
        <f ca="1">IF(IF(RIGHT(H72,2)="MT",(1-L73)+$W$2,IF(RIGHT(H72,2)="HT",(1-L73)+$W$1,IF(RIGHT(H72,2)="RH",(1-L73)+$W$3,"")))&lt;0,0,IF(RIGHT(H72,2)="MT",(1-L73)+$W$2,IF(RIGHT(H72,2)="HT",(1-L73)+$W$1,IF(RIGHT(H72,2)="RH",(1-L73)+$W$3,""))))</f>
        <v>0.31</v>
      </c>
      <c r="W73" s="331"/>
      <c r="X73" s="758">
        <f t="shared" ca="1" si="59"/>
        <v>0</v>
      </c>
      <c r="Y73" s="81">
        <f t="shared" ca="1" si="60"/>
        <v>0</v>
      </c>
      <c r="Z73" s="81">
        <f t="shared" ca="1" si="61"/>
        <v>0</v>
      </c>
      <c r="AA73" s="81">
        <f t="shared" ca="1" si="62"/>
        <v>0</v>
      </c>
      <c r="AB73" s="81">
        <f t="shared" ca="1" si="63"/>
        <v>0</v>
      </c>
      <c r="AD73" s="81">
        <v>2030</v>
      </c>
      <c r="AE73" s="81"/>
      <c r="AF73" s="232"/>
    </row>
    <row r="74" spans="2:32">
      <c r="B74" s="393" t="s">
        <v>1132</v>
      </c>
      <c r="D74" s="223" t="str">
        <f ca="1">IF(T72=0,"*",IF(T74&gt;0,"IND"&amp;RIGHT(H72,4)&amp;RIGHT(G72,3)&amp;"N"&amp;RIGHT(E72,1),""))</f>
        <v/>
      </c>
      <c r="E74" s="223"/>
      <c r="F74" s="239" t="s">
        <v>1274</v>
      </c>
      <c r="H74" s="177"/>
      <c r="I74" s="177" t="str">
        <f t="shared" si="53"/>
        <v>INDGWH</v>
      </c>
      <c r="J74" s="239">
        <f t="shared" si="54"/>
        <v>2050</v>
      </c>
      <c r="K74" s="81"/>
      <c r="L74" s="206">
        <f t="shared" ca="1" si="55"/>
        <v>0.99</v>
      </c>
      <c r="M74" s="206"/>
      <c r="N74" s="81"/>
      <c r="O74" s="783">
        <f t="shared" ca="1" si="56"/>
        <v>0.52150000000000007</v>
      </c>
      <c r="P74" s="783">
        <f t="shared" ca="1" si="57"/>
        <v>6.8539999999999998E-3</v>
      </c>
      <c r="Q74" s="81">
        <f t="shared" ca="1" si="58"/>
        <v>1.6141666666666665</v>
      </c>
      <c r="R74" s="333"/>
      <c r="S74" s="333"/>
      <c r="T74" s="333"/>
      <c r="U74" s="333"/>
      <c r="V74" s="759">
        <f ca="1">IF(IF(RIGHT(H72,2)="MT",(1-L74)+$W$2,IF(RIGHT(H72,2)="HT",(1-L74)+$W$1,IF(RIGHT(H72,2)="RH",(1-L74)+$W$3,"")))&lt;0,0,IF(RIGHT(H72,2)="MT",(1-L74)+$W$2,IF(RIGHT(H72,2)="HT",(1-L74)+$W$1,IF(RIGHT(H72,2)="RH",(1-L74)+$W$3,""))))</f>
        <v>0.31</v>
      </c>
      <c r="W74" s="331"/>
      <c r="X74" s="758">
        <f t="shared" ca="1" si="59"/>
        <v>0</v>
      </c>
      <c r="Y74" s="81">
        <f t="shared" ca="1" si="60"/>
        <v>0</v>
      </c>
      <c r="Z74" s="81">
        <f t="shared" ca="1" si="61"/>
        <v>0</v>
      </c>
      <c r="AA74" s="81">
        <f t="shared" ca="1" si="62"/>
        <v>0</v>
      </c>
      <c r="AB74" s="81">
        <f t="shared" ca="1" si="63"/>
        <v>0</v>
      </c>
      <c r="AD74" s="81">
        <v>2050</v>
      </c>
      <c r="AE74" s="81"/>
      <c r="AF74" s="232"/>
    </row>
    <row r="75" spans="2:32">
      <c r="B75" s="393" t="s">
        <v>1132</v>
      </c>
      <c r="D75" s="223" t="str">
        <f ca="1">IF(T75=0,"*",IF(T75&gt;0,"IND"&amp;RIGHT(H75,4)&amp;RIGHT(G75,3)&amp;"N"&amp;RIGHT(E75,1),""))</f>
        <v>INDGDMTELCN8</v>
      </c>
      <c r="E75" s="278" t="str">
        <f>"Industrial heating technology "&amp;$AJ$12&amp;" "&amp;RIGHT(H75,2)&amp;" - Electric boiler (Steam) - new 8"</f>
        <v>Industrial heating technology Glass &amp; Concrete MT - Electric boiler (Steam) - new 8</v>
      </c>
      <c r="F75" s="239" t="s">
        <v>1274</v>
      </c>
      <c r="G75" s="176" t="s">
        <v>500</v>
      </c>
      <c r="H75" s="177" t="str">
        <f>$AI$14</f>
        <v>IGDMT</v>
      </c>
      <c r="I75" s="177" t="str">
        <f t="shared" si="53"/>
        <v>INDGWH</v>
      </c>
      <c r="J75" s="239">
        <f t="shared" si="54"/>
        <v>2011</v>
      </c>
      <c r="K75" s="332">
        <f>J75</f>
        <v>2011</v>
      </c>
      <c r="L75" s="206">
        <f t="shared" ca="1" si="55"/>
        <v>0.99</v>
      </c>
      <c r="M75" s="206"/>
      <c r="N75" s="81">
        <f ca="1">VLOOKUP($AD75,INDIRECT("'"&amp;$B75&amp;"'!"&amp;"$P$39:$AD$42"),5,FALSE)</f>
        <v>25</v>
      </c>
      <c r="O75" s="783">
        <f t="shared" ca="1" si="56"/>
        <v>0.59599999999999997</v>
      </c>
      <c r="P75" s="783">
        <f t="shared" ca="1" si="57"/>
        <v>7.9714999999999994E-3</v>
      </c>
      <c r="Q75" s="81">
        <f t="shared" ca="1" si="58"/>
        <v>1.7900694444444445</v>
      </c>
      <c r="R75" s="81">
        <v>3.1536000000000002E-2</v>
      </c>
      <c r="S75" s="206">
        <v>0.5</v>
      </c>
      <c r="T75" s="206">
        <f ca="1">IF(HLOOKUP($T$2,INDIRECT("'"&amp;$B75&amp;"'!"&amp;"$P$6:$AE$19"),IF(H75=$AI$13,6,IF(H75=$AI$14,9,14)),FALSE)&lt;0.03,0,HLOOKUP($T$2,INDIRECT("'"&amp;$B75&amp;"'!"&amp;"$P$6:$AE$19"),IF(H75=$AI$13,6,IF(H75=$AI$14,9,14)),FALSE))</f>
        <v>1</v>
      </c>
      <c r="U75" s="832"/>
      <c r="V75" s="759">
        <f ca="1">IF(IF(RIGHT(H75,2)="MT",(1-L75)+$W$2,IF(RIGHT(H75,2)="HT",(1-L75)+$W$1,IF(RIGHT(H75,2)="RH",(1-L75)+$W$3,"")))&lt;0,0,IF(RIGHT(H75,2)="MT",(1-L75)+$W$2,IF(RIGHT(H75,2)="HT",(1-L75)+$W$1,IF(RIGHT(H75,2)="RH",(1-L75)+$W$3,""))))</f>
        <v>0.21000000000000002</v>
      </c>
      <c r="W75" s="331"/>
      <c r="X75" s="758">
        <f t="shared" ca="1" si="59"/>
        <v>0</v>
      </c>
      <c r="Y75" s="81">
        <f t="shared" ca="1" si="60"/>
        <v>0</v>
      </c>
      <c r="Z75" s="81">
        <f t="shared" ca="1" si="61"/>
        <v>0</v>
      </c>
      <c r="AA75" s="81">
        <f t="shared" ca="1" si="62"/>
        <v>0</v>
      </c>
      <c r="AB75" s="81">
        <f t="shared" ca="1" si="63"/>
        <v>0</v>
      </c>
      <c r="AD75" s="81">
        <v>2020</v>
      </c>
      <c r="AE75" s="81"/>
      <c r="AF75" s="232"/>
    </row>
    <row r="76" spans="2:32">
      <c r="B76" s="393" t="s">
        <v>1132</v>
      </c>
      <c r="D76" s="223" t="str">
        <f ca="1">IF(T75=0,"*",IF(T76&gt;0,"IND"&amp;RIGHT(H75,4)&amp;RIGHT(G75,3)&amp;"N"&amp;RIGHT(E75,1),""))</f>
        <v/>
      </c>
      <c r="E76" s="223"/>
      <c r="F76" s="239" t="s">
        <v>1274</v>
      </c>
      <c r="H76" s="177"/>
      <c r="I76" s="177" t="str">
        <f t="shared" si="53"/>
        <v>INDGWH</v>
      </c>
      <c r="J76" s="239">
        <f t="shared" si="54"/>
        <v>2030</v>
      </c>
      <c r="K76" s="81"/>
      <c r="L76" s="206">
        <f t="shared" ca="1" si="55"/>
        <v>0.99</v>
      </c>
      <c r="M76" s="206"/>
      <c r="N76" s="81"/>
      <c r="O76" s="783">
        <f t="shared" ca="1" si="56"/>
        <v>0.52150000000000007</v>
      </c>
      <c r="P76" s="783">
        <f t="shared" ca="1" si="57"/>
        <v>7.5989999999999999E-3</v>
      </c>
      <c r="Q76" s="81">
        <f t="shared" ca="1" si="58"/>
        <v>1.8107638888888888</v>
      </c>
      <c r="R76" s="333"/>
      <c r="S76" s="333"/>
      <c r="T76" s="333"/>
      <c r="U76" s="333"/>
      <c r="V76" s="759">
        <f ca="1">IF(IF(RIGHT(H75,2)="MT",(1-L76)+$W$2,IF(RIGHT(H75,2)="HT",(1-L76)+$W$1,IF(RIGHT(H75,2)="RH",(1-L76)+$W$3,"")))&lt;0,0,IF(RIGHT(H75,2)="MT",(1-L76)+$W$2,IF(RIGHT(H75,2)="HT",(1-L76)+$W$1,IF(RIGHT(H75,2)="RH",(1-L76)+$W$3,""))))</f>
        <v>0.21000000000000002</v>
      </c>
      <c r="W76" s="331"/>
      <c r="X76" s="758">
        <f t="shared" ca="1" si="59"/>
        <v>0</v>
      </c>
      <c r="Y76" s="81">
        <f t="shared" ca="1" si="60"/>
        <v>0</v>
      </c>
      <c r="Z76" s="81">
        <f t="shared" ca="1" si="61"/>
        <v>0</v>
      </c>
      <c r="AA76" s="81">
        <f t="shared" ca="1" si="62"/>
        <v>0</v>
      </c>
      <c r="AB76" s="81">
        <f t="shared" ca="1" si="63"/>
        <v>0</v>
      </c>
      <c r="AD76" s="81">
        <v>2030</v>
      </c>
      <c r="AE76" s="81"/>
      <c r="AF76" s="232"/>
    </row>
    <row r="77" spans="2:32">
      <c r="B77" s="393" t="s">
        <v>1132</v>
      </c>
      <c r="D77" s="223" t="str">
        <f ca="1">IF(T75=0,"*",IF(T77&gt;0,"IND"&amp;RIGHT(H75,4)&amp;RIGHT(G75,3)&amp;"N"&amp;RIGHT(E75,1),""))</f>
        <v/>
      </c>
      <c r="E77" s="223"/>
      <c r="F77" s="239" t="s">
        <v>1274</v>
      </c>
      <c r="H77" s="177"/>
      <c r="I77" s="177" t="str">
        <f t="shared" si="53"/>
        <v>INDGWH</v>
      </c>
      <c r="J77" s="239">
        <f t="shared" si="54"/>
        <v>2050</v>
      </c>
      <c r="K77" s="81"/>
      <c r="L77" s="206">
        <f t="shared" ca="1" si="55"/>
        <v>0.99</v>
      </c>
      <c r="M77" s="206"/>
      <c r="N77" s="81"/>
      <c r="O77" s="783">
        <f t="shared" ca="1" si="56"/>
        <v>0.52150000000000007</v>
      </c>
      <c r="P77" s="783">
        <f t="shared" ca="1" si="57"/>
        <v>6.8539999999999998E-3</v>
      </c>
      <c r="Q77" s="81">
        <f t="shared" ca="1" si="58"/>
        <v>1.6141666666666665</v>
      </c>
      <c r="R77" s="333"/>
      <c r="S77" s="333"/>
      <c r="T77" s="333"/>
      <c r="U77" s="333"/>
      <c r="V77" s="759">
        <f ca="1">IF(IF(RIGHT(H75,2)="MT",(1-L77)+$W$2,IF(RIGHT(H75,2)="HT",(1-L77)+$W$1,IF(RIGHT(H75,2)="RH",(1-L77)+$W$3,"")))&lt;0,0,IF(RIGHT(H75,2)="MT",(1-L77)+$W$2,IF(RIGHT(H75,2)="HT",(1-L77)+$W$1,IF(RIGHT(H75,2)="RH",(1-L77)+$W$3,""))))</f>
        <v>0.21000000000000002</v>
      </c>
      <c r="W77" s="331"/>
      <c r="X77" s="758">
        <f t="shared" ca="1" si="59"/>
        <v>0</v>
      </c>
      <c r="Y77" s="81">
        <f t="shared" ca="1" si="60"/>
        <v>0</v>
      </c>
      <c r="Z77" s="81">
        <f t="shared" ca="1" si="61"/>
        <v>0</v>
      </c>
      <c r="AA77" s="81">
        <f t="shared" ca="1" si="62"/>
        <v>0</v>
      </c>
      <c r="AB77" s="81">
        <f t="shared" ca="1" si="63"/>
        <v>0</v>
      </c>
      <c r="AD77" s="81">
        <v>2050</v>
      </c>
      <c r="AE77" s="766"/>
      <c r="AF77" s="232"/>
    </row>
    <row r="78" spans="2:32">
      <c r="B78" s="393" t="s">
        <v>1132</v>
      </c>
      <c r="D78" s="223" t="str">
        <f ca="1">IF(T78=0,"*",IF(T78&gt;0,"IND"&amp;RIGHT(H78,4)&amp;RIGHT(G78,3)&amp;"N"&amp;RIGHT(E78,1),""))</f>
        <v>INDGDRHELCN8</v>
      </c>
      <c r="E78" s="278" t="str">
        <f>"Industrial heating technology "&amp;$AJ$12&amp;" "&amp;RIGHT(H78,2)&amp;" - Electric boiler (Steam) - new 8"</f>
        <v>Industrial heating technology Glass &amp; Concrete RH - Electric boiler (Steam) - new 8</v>
      </c>
      <c r="F78" s="239" t="s">
        <v>1274</v>
      </c>
      <c r="G78" s="176" t="s">
        <v>500</v>
      </c>
      <c r="H78" s="177" t="str">
        <f>$AI$15</f>
        <v>IGDRH</v>
      </c>
      <c r="I78" s="177" t="str">
        <f t="shared" si="53"/>
        <v>INDGWH</v>
      </c>
      <c r="J78" s="239">
        <f t="shared" si="54"/>
        <v>2011</v>
      </c>
      <c r="K78" s="332">
        <f>J78</f>
        <v>2011</v>
      </c>
      <c r="L78" s="206">
        <f t="shared" ca="1" si="55"/>
        <v>0.99</v>
      </c>
      <c r="M78" s="206"/>
      <c r="N78" s="81">
        <f ca="1">VLOOKUP($AD78,INDIRECT("'"&amp;$B78&amp;"'!"&amp;"$P$39:$AD$42"),5,FALSE)</f>
        <v>25</v>
      </c>
      <c r="O78" s="783">
        <f t="shared" ca="1" si="56"/>
        <v>0.59599999999999997</v>
      </c>
      <c r="P78" s="783">
        <f t="shared" ca="1" si="57"/>
        <v>7.9714999999999994E-3</v>
      </c>
      <c r="Q78" s="81">
        <f t="shared" ca="1" si="58"/>
        <v>1.7900694444444445</v>
      </c>
      <c r="R78" s="81">
        <v>3.1536000000000002E-2</v>
      </c>
      <c r="S78" s="206">
        <v>0.5</v>
      </c>
      <c r="T78" s="206">
        <f ca="1">IF(HLOOKUP($T$2,INDIRECT("'"&amp;$B78&amp;"'!"&amp;"$P$6:$AE$19"),IF(H78=$AI$13,6,IF(H78=$AI$14,9,14)),FALSE)&lt;0.03,0,HLOOKUP($T$2,INDIRECT("'"&amp;$B78&amp;"'!"&amp;"$P$6:$AE$19"),IF(H78=$AI$13,6,IF(H78=$AI$14,9,14)),FALSE))</f>
        <v>1</v>
      </c>
      <c r="U78" s="832"/>
      <c r="V78" s="759">
        <f ca="1">IF(IF(RIGHT(H78,2)="MT",(1-L78)+$W$2,IF(RIGHT(H78,2)="HT",(1-L78)+$W$1,IF(RIGHT(H78,2)="RH",(1-L78)+$W$3,"")))&lt;0,0,IF(RIGHT(H78,2)="MT",(1-L78)+$W$2,IF(RIGHT(H78,2)="HT",(1-L78)+$W$1,IF(RIGHT(H78,2)="RH",(1-L78)+$W$3,""))))</f>
        <v>1.0000000000000009E-2</v>
      </c>
      <c r="W78" s="331"/>
      <c r="X78" s="758">
        <f t="shared" ca="1" si="59"/>
        <v>0</v>
      </c>
      <c r="Y78" s="81">
        <f t="shared" ca="1" si="60"/>
        <v>0</v>
      </c>
      <c r="Z78" s="81">
        <f t="shared" ca="1" si="61"/>
        <v>0</v>
      </c>
      <c r="AA78" s="81">
        <f t="shared" ca="1" si="62"/>
        <v>0</v>
      </c>
      <c r="AB78" s="81">
        <f t="shared" ca="1" si="63"/>
        <v>0</v>
      </c>
      <c r="AC78" s="329"/>
      <c r="AD78" s="81">
        <v>2020</v>
      </c>
      <c r="AE78" s="81"/>
      <c r="AF78" s="770"/>
    </row>
    <row r="79" spans="2:32">
      <c r="B79" s="393" t="s">
        <v>1132</v>
      </c>
      <c r="D79" s="223" t="str">
        <f ca="1">IF(T78=0,"*",IF(T79&gt;0,"IND"&amp;RIGHT(H78,4)&amp;RIGHT(G78,3)&amp;"N"&amp;RIGHT(E78,1),""))</f>
        <v/>
      </c>
      <c r="E79" s="223"/>
      <c r="F79" s="239" t="s">
        <v>1274</v>
      </c>
      <c r="H79" s="177"/>
      <c r="I79" s="177" t="str">
        <f t="shared" si="53"/>
        <v>INDGWH</v>
      </c>
      <c r="J79" s="239">
        <f t="shared" si="54"/>
        <v>2030</v>
      </c>
      <c r="K79" s="81"/>
      <c r="L79" s="206">
        <f t="shared" ca="1" si="55"/>
        <v>0.99</v>
      </c>
      <c r="M79" s="206"/>
      <c r="N79" s="81"/>
      <c r="O79" s="783">
        <f t="shared" ca="1" si="56"/>
        <v>0.52150000000000007</v>
      </c>
      <c r="P79" s="783">
        <f t="shared" ca="1" si="57"/>
        <v>7.5989999999999999E-3</v>
      </c>
      <c r="Q79" s="81">
        <f t="shared" ca="1" si="58"/>
        <v>1.8107638888888888</v>
      </c>
      <c r="R79" s="333"/>
      <c r="S79" s="333"/>
      <c r="T79" s="333"/>
      <c r="U79" s="333"/>
      <c r="V79" s="759">
        <f ca="1">IF(IF(RIGHT(H78,2)="MT",(1-L79)+$W$2,IF(RIGHT(H78,2)="HT",(1-L79)+$W$1,IF(RIGHT(H78,2)="RH",(1-L79)+$W$3,"")))&lt;0,0,IF(RIGHT(H78,2)="MT",(1-L79)+$W$2,IF(RIGHT(H78,2)="HT",(1-L79)+$W$1,IF(RIGHT(H78,2)="RH",(1-L79)+$W$3,""))))</f>
        <v>1.0000000000000009E-2</v>
      </c>
      <c r="W79" s="331"/>
      <c r="X79" s="758">
        <f t="shared" ca="1" si="59"/>
        <v>0</v>
      </c>
      <c r="Y79" s="81">
        <f t="shared" ca="1" si="60"/>
        <v>0</v>
      </c>
      <c r="Z79" s="81">
        <f t="shared" ca="1" si="61"/>
        <v>0</v>
      </c>
      <c r="AA79" s="81">
        <f t="shared" ca="1" si="62"/>
        <v>0</v>
      </c>
      <c r="AB79" s="81">
        <f t="shared" ca="1" si="63"/>
        <v>0</v>
      </c>
      <c r="AC79" s="55"/>
      <c r="AD79" s="81">
        <v>2030</v>
      </c>
      <c r="AE79" s="81"/>
      <c r="AF79" s="760"/>
    </row>
    <row r="80" spans="2:32">
      <c r="B80" s="393" t="s">
        <v>1132</v>
      </c>
      <c r="D80" s="223" t="str">
        <f ca="1">IF(T78=0,"*",IF(T80&gt;0,"IND"&amp;RIGHT(H78,4)&amp;RIGHT(G78,3)&amp;"N"&amp;RIGHT(E78,1),""))</f>
        <v/>
      </c>
      <c r="E80" s="223"/>
      <c r="F80" s="239" t="s">
        <v>1274</v>
      </c>
      <c r="H80" s="177"/>
      <c r="I80" s="177" t="str">
        <f t="shared" si="53"/>
        <v>INDGWH</v>
      </c>
      <c r="J80" s="239">
        <f t="shared" si="54"/>
        <v>2050</v>
      </c>
      <c r="K80" s="766"/>
      <c r="L80" s="206">
        <f t="shared" ca="1" si="55"/>
        <v>0.99</v>
      </c>
      <c r="M80" s="834"/>
      <c r="N80" s="766"/>
      <c r="O80" s="784">
        <f t="shared" ca="1" si="56"/>
        <v>0.52150000000000007</v>
      </c>
      <c r="P80" s="784">
        <f t="shared" ca="1" si="57"/>
        <v>6.8539999999999998E-3</v>
      </c>
      <c r="Q80" s="766">
        <f t="shared" ca="1" si="58"/>
        <v>1.6141666666666665</v>
      </c>
      <c r="R80" s="333"/>
      <c r="S80" s="333"/>
      <c r="T80" s="333"/>
      <c r="U80" s="333"/>
      <c r="V80" s="759">
        <f ca="1">IF(IF(RIGHT(H78,2)="MT",(1-L80)+$W$2,IF(RIGHT(H78,2)="HT",(1-L80)+$W$1,IF(RIGHT(H78,2)="RH",(1-L80)+$W$3,"")))&lt;0,0,IF(RIGHT(H78,2)="MT",(1-L80)+$W$2,IF(RIGHT(H78,2)="HT",(1-L80)+$W$1,IF(RIGHT(H78,2)="RH",(1-L80)+$W$3,""))))</f>
        <v>1.0000000000000009E-2</v>
      </c>
      <c r="W80" s="331"/>
      <c r="X80" s="758">
        <f t="shared" ca="1" si="59"/>
        <v>0</v>
      </c>
      <c r="Y80" s="766">
        <f t="shared" ca="1" si="60"/>
        <v>0</v>
      </c>
      <c r="Z80" s="766">
        <f t="shared" ca="1" si="61"/>
        <v>0</v>
      </c>
      <c r="AA80" s="766">
        <f t="shared" ca="1" si="62"/>
        <v>0</v>
      </c>
      <c r="AB80" s="766">
        <f t="shared" ca="1" si="63"/>
        <v>0</v>
      </c>
      <c r="AC80" s="55"/>
      <c r="AD80" s="766">
        <v>2050</v>
      </c>
      <c r="AE80" s="81"/>
      <c r="AF80" s="760"/>
    </row>
    <row r="81" spans="1:33">
      <c r="B81" s="776" t="s">
        <v>1132</v>
      </c>
      <c r="C81" s="329"/>
      <c r="D81" s="223" t="str">
        <f ca="1">IF(T81=0,"*",IF(T81&gt;0,"IND"&amp;RIGHT(H81,4)&amp;RIGHT(G81,3)&amp;"N"&amp;RIGHT(E81,1),""))</f>
        <v>INDGDMTELCN9</v>
      </c>
      <c r="E81" s="767" t="str">
        <f>"Industrial heating technology "&amp;$AJ$12&amp;" "&amp;RIGHT(H81,2)&amp;" - Electric boiler (Hot Water) - new 9"</f>
        <v>Industrial heating technology Glass &amp; Concrete MT - Electric boiler (Hot Water) - new 9</v>
      </c>
      <c r="F81" s="239" t="s">
        <v>1274</v>
      </c>
      <c r="G81" s="768" t="s">
        <v>500</v>
      </c>
      <c r="H81" s="768" t="str">
        <f>$AI$14</f>
        <v>IGDMT</v>
      </c>
      <c r="I81" s="768" t="str">
        <f t="shared" si="53"/>
        <v>INDGWH</v>
      </c>
      <c r="J81" s="239">
        <f t="shared" si="54"/>
        <v>2011</v>
      </c>
      <c r="K81" s="332">
        <f>J81</f>
        <v>2011</v>
      </c>
      <c r="L81" s="206">
        <f t="shared" ref="L81:L86" ca="1" si="64">VLOOKUP($AD81,INDIRECT("'"&amp;$B81&amp;"'!"&amp;"$P$118:$AD$121"),3,FALSE)</f>
        <v>0.99</v>
      </c>
      <c r="M81" s="206"/>
      <c r="N81" s="81">
        <f ca="1">VLOOKUP($AD81,INDIRECT("'"&amp;$B81&amp;"'!"&amp;"$P$118:$AD$121"),5,FALSE)</f>
        <v>25</v>
      </c>
      <c r="O81" s="783">
        <f t="shared" ref="O81:O86" ca="1" si="65">VLOOKUP($AD81,INDIRECT("'"&amp;$B81&amp;"'!"&amp;"$P$118:$AD$121"),6,FALSE)/1000</f>
        <v>0.52150000000000007</v>
      </c>
      <c r="P81" s="783">
        <f t="shared" ref="P81:P86" ca="1" si="66">VLOOKUP($AD81,INDIRECT("'"&amp;$B81&amp;"'!"&amp;"$P$118:$AD$121"),7,FALSE)/1000</f>
        <v>7.9714999999999994E-3</v>
      </c>
      <c r="Q81" s="81">
        <f t="shared" ref="Q81:Q86" ca="1" si="67">VLOOKUP($AD81,INDIRECT("'"&amp;$B81&amp;"'!"&amp;"$P$118:$AD$121"),8,FALSE)</f>
        <v>1.7900694444444445</v>
      </c>
      <c r="R81" s="81">
        <v>3.1536000000000002E-2</v>
      </c>
      <c r="S81" s="206">
        <v>0.5</v>
      </c>
      <c r="T81" s="206">
        <f ca="1">IF(HLOOKUP($T$2,INDIRECT("'"&amp;$B81&amp;"'!"&amp;"$P$6:$AE$19"),IF(H81=$AI$13,6,IF(H81=$AI$14,9,14)),FALSE)&lt;0.03,0,HLOOKUP($T$2,INDIRECT("'"&amp;$B81&amp;"'!"&amp;"$P$6:$AE$19"),IF(H81=$AI$13,6,IF(H81=$AI$14,9,14)),FALSE))</f>
        <v>1</v>
      </c>
      <c r="U81" s="833"/>
      <c r="V81" s="759">
        <f ca="1">IF(IF(RIGHT(H81,2)="MT",(1-L81)+$W$2,IF(RIGHT(H81,2)="HT",(1-L81)+$W$1,IF(RIGHT(H81,2)="RH",(1-L81)+$W$3,"")))&lt;0,0,IF(RIGHT(H81,2)="MT",(1-L81)+$W$2,IF(RIGHT(H81,2)="HT",(1-L81)+$W$1,IF(RIGHT(H81,2)="RH",(1-L81)+$W$3,""))))</f>
        <v>0.21000000000000002</v>
      </c>
      <c r="W81" s="769"/>
      <c r="X81" s="758">
        <f t="shared" ca="1" si="59"/>
        <v>0</v>
      </c>
      <c r="Y81" s="758">
        <f t="shared" ref="Y81:Y86" ca="1" si="68">VLOOKUP($AD81,INDIRECT("'"&amp;$B81&amp;"'!"&amp;"$P$118:$AD$121"),12,FALSE)</f>
        <v>0</v>
      </c>
      <c r="Z81" s="758">
        <f t="shared" ref="Z81:Z86" ca="1" si="69">VLOOKUP($AD81,INDIRECT("'"&amp;$B81&amp;"'!"&amp;"$P$118:$AD$121"),13,FALSE)</f>
        <v>0</v>
      </c>
      <c r="AA81" s="758">
        <f t="shared" ref="AA81:AA86" ca="1" si="70">VLOOKUP($AD81,INDIRECT("'"&amp;$B81&amp;"'!"&amp;"$P$118:$AD$121"),14,FALSE)</f>
        <v>0</v>
      </c>
      <c r="AB81" s="758">
        <f t="shared" ref="AB81:AB86" ca="1" si="71">VLOOKUP($AD81,INDIRECT("'"&amp;$B81&amp;"'!"&amp;"$P$118:$AD$121"),15,FALSE)</f>
        <v>0</v>
      </c>
      <c r="AC81" s="55"/>
      <c r="AD81" s="81">
        <v>2020</v>
      </c>
      <c r="AE81" s="81"/>
      <c r="AF81" s="760"/>
    </row>
    <row r="82" spans="1:33">
      <c r="B82" s="393" t="s">
        <v>1132</v>
      </c>
      <c r="C82" s="55"/>
      <c r="D82" s="223" t="str">
        <f ca="1">IF(T81=0,"*",IF(T82&gt;0,"IND"&amp;RIGHT(H81,4)&amp;RIGHT(G81,3)&amp;"N"&amp;RIGHT(E81,1),""))</f>
        <v/>
      </c>
      <c r="E82" s="278"/>
      <c r="F82" s="239" t="s">
        <v>1274</v>
      </c>
      <c r="G82" s="55"/>
      <c r="H82" s="177"/>
      <c r="I82" s="177" t="str">
        <f t="shared" si="53"/>
        <v>INDGWH</v>
      </c>
      <c r="J82" s="239">
        <f t="shared" si="54"/>
        <v>2030</v>
      </c>
      <c r="K82" s="81"/>
      <c r="L82" s="206">
        <f t="shared" ca="1" si="64"/>
        <v>0.99</v>
      </c>
      <c r="M82" s="206"/>
      <c r="N82" s="81"/>
      <c r="O82" s="783">
        <f t="shared" ca="1" si="65"/>
        <v>0.44700000000000001</v>
      </c>
      <c r="P82" s="783">
        <f t="shared" ca="1" si="66"/>
        <v>7.5989999999999999E-3</v>
      </c>
      <c r="Q82" s="81">
        <f t="shared" ca="1" si="67"/>
        <v>1.8107638888888888</v>
      </c>
      <c r="R82" s="333"/>
      <c r="S82" s="333"/>
      <c r="T82" s="333"/>
      <c r="U82" s="333"/>
      <c r="V82" s="759">
        <f ca="1">IF(IF(RIGHT(H81,2)="MT",(1-L82)+$W$2,IF(RIGHT(H81,2)="HT",(1-L82)+$W$1,IF(RIGHT(H81,2)="RH",(1-L82)+$W$3,"")))&lt;0,0,IF(RIGHT(H81,2)="MT",(1-L82)+$W$2,IF(RIGHT(H81,2)="HT",(1-L82)+$W$1,IF(RIGHT(H81,2)="RH",(1-L82)+$W$3,""))))</f>
        <v>0.21000000000000002</v>
      </c>
      <c r="W82" s="331"/>
      <c r="X82" s="758">
        <f t="shared" ca="1" si="59"/>
        <v>0</v>
      </c>
      <c r="Y82" s="758">
        <f t="shared" ca="1" si="68"/>
        <v>0</v>
      </c>
      <c r="Z82" s="758">
        <f t="shared" ca="1" si="69"/>
        <v>0</v>
      </c>
      <c r="AA82" s="758">
        <f t="shared" ca="1" si="70"/>
        <v>0</v>
      </c>
      <c r="AB82" s="758">
        <f t="shared" ca="1" si="71"/>
        <v>0</v>
      </c>
      <c r="AC82" s="55"/>
      <c r="AD82" s="81">
        <v>2030</v>
      </c>
      <c r="AE82" s="81"/>
      <c r="AF82" s="760"/>
    </row>
    <row r="83" spans="1:33">
      <c r="B83" s="393" t="s">
        <v>1132</v>
      </c>
      <c r="C83" s="55"/>
      <c r="D83" s="223" t="str">
        <f ca="1">IF(T81=0,"*",IF(T83&gt;0,"IND"&amp;RIGHT(H81,4)&amp;RIGHT(G81,3)&amp;"N"&amp;RIGHT(E81,1),""))</f>
        <v/>
      </c>
      <c r="E83" s="278"/>
      <c r="F83" s="239" t="s">
        <v>1274</v>
      </c>
      <c r="G83" s="55"/>
      <c r="H83" s="177"/>
      <c r="I83" s="177" t="str">
        <f t="shared" si="53"/>
        <v>INDGWH</v>
      </c>
      <c r="J83" s="239">
        <f t="shared" si="54"/>
        <v>2050</v>
      </c>
      <c r="K83" s="81"/>
      <c r="L83" s="206">
        <f t="shared" ca="1" si="64"/>
        <v>0.99</v>
      </c>
      <c r="M83" s="206"/>
      <c r="N83" s="81"/>
      <c r="O83" s="783">
        <f t="shared" ca="1" si="65"/>
        <v>0.44700000000000001</v>
      </c>
      <c r="P83" s="783">
        <f t="shared" ca="1" si="66"/>
        <v>6.8539999999999998E-3</v>
      </c>
      <c r="Q83" s="81">
        <f t="shared" ca="1" si="67"/>
        <v>1.6141666666666665</v>
      </c>
      <c r="R83" s="333"/>
      <c r="S83" s="333"/>
      <c r="T83" s="333"/>
      <c r="U83" s="333"/>
      <c r="V83" s="759">
        <f ca="1">IF(IF(RIGHT(H81,2)="MT",(1-L83)+$W$2,IF(RIGHT(H81,2)="HT",(1-L83)+$W$1,IF(RIGHT(H81,2)="RH",(1-L83)+$W$3,"")))&lt;0,0,IF(RIGHT(H81,2)="MT",(1-L83)+$W$2,IF(RIGHT(H81,2)="HT",(1-L83)+$W$1,IF(RIGHT(H81,2)="RH",(1-L83)+$W$3,""))))</f>
        <v>0.21000000000000002</v>
      </c>
      <c r="W83" s="331"/>
      <c r="X83" s="758">
        <f t="shared" ca="1" si="59"/>
        <v>0</v>
      </c>
      <c r="Y83" s="758">
        <f t="shared" ca="1" si="68"/>
        <v>0</v>
      </c>
      <c r="Z83" s="758">
        <f t="shared" ca="1" si="69"/>
        <v>0</v>
      </c>
      <c r="AA83" s="758">
        <f t="shared" ca="1" si="70"/>
        <v>0</v>
      </c>
      <c r="AB83" s="758">
        <f t="shared" ca="1" si="71"/>
        <v>0</v>
      </c>
      <c r="AC83" s="211"/>
      <c r="AD83" s="81">
        <v>2050</v>
      </c>
      <c r="AE83" s="81"/>
      <c r="AF83" s="765"/>
    </row>
    <row r="84" spans="1:33">
      <c r="B84" s="393" t="s">
        <v>1132</v>
      </c>
      <c r="C84" s="55"/>
      <c r="D84" s="223" t="str">
        <f ca="1">IF(T84=0,"*",IF(T84&gt;0,"IND"&amp;RIGHT(H84,4)&amp;RIGHT(G84,3)&amp;"N"&amp;RIGHT(E84,1),""))</f>
        <v>INDGDRHELCN9</v>
      </c>
      <c r="E84" s="278" t="str">
        <f>"Industrial heating technology "&amp;$AJ$12&amp;" "&amp;RIGHT(H84,2)&amp;" - Electric boiler (Hot Water) - new 9"</f>
        <v>Industrial heating technology Glass &amp; Concrete RH - Electric boiler (Hot Water) - new 9</v>
      </c>
      <c r="F84" s="239" t="s">
        <v>1274</v>
      </c>
      <c r="G84" s="177" t="s">
        <v>500</v>
      </c>
      <c r="H84" s="177" t="str">
        <f>$AI$15</f>
        <v>IGDRH</v>
      </c>
      <c r="I84" s="177" t="str">
        <f t="shared" si="53"/>
        <v>INDGWH</v>
      </c>
      <c r="J84" s="239">
        <f t="shared" si="54"/>
        <v>2011</v>
      </c>
      <c r="K84" s="332">
        <f>J84</f>
        <v>2011</v>
      </c>
      <c r="L84" s="206">
        <f t="shared" ca="1" si="64"/>
        <v>0.99</v>
      </c>
      <c r="M84" s="206"/>
      <c r="N84" s="81">
        <f ca="1">VLOOKUP($AD84,INDIRECT("'"&amp;$B84&amp;"'!"&amp;"$P$118:$AD$121"),5,FALSE)</f>
        <v>25</v>
      </c>
      <c r="O84" s="783">
        <f t="shared" ca="1" si="65"/>
        <v>0.52150000000000007</v>
      </c>
      <c r="P84" s="783">
        <f t="shared" ca="1" si="66"/>
        <v>7.9714999999999994E-3</v>
      </c>
      <c r="Q84" s="81">
        <f t="shared" ca="1" si="67"/>
        <v>1.7900694444444445</v>
      </c>
      <c r="R84" s="81">
        <v>3.1536000000000002E-2</v>
      </c>
      <c r="S84" s="206">
        <v>0.5</v>
      </c>
      <c r="T84" s="206">
        <f ca="1">IF(HLOOKUP($T$2,INDIRECT("'"&amp;$B84&amp;"'!"&amp;"$P$6:$AE$19"),IF(H84=$AI$13,6,IF(H84=$AI$14,9,14)),FALSE)&lt;0.03,0,HLOOKUP($T$2,INDIRECT("'"&amp;$B84&amp;"'!"&amp;"$P$6:$AE$19"),IF(H84=$AI$13,6,IF(H84=$AI$14,9,14)),FALSE))</f>
        <v>1</v>
      </c>
      <c r="U84" s="832"/>
      <c r="V84" s="759">
        <f ca="1">IF(IF(RIGHT(H84,2)="MT",(1-L84)+$W$2,IF(RIGHT(H84,2)="HT",(1-L84)+$W$1,IF(RIGHT(H84,2)="RH",(1-L84)+$W$3,"")))&lt;0,0,IF(RIGHT(H84,2)="MT",(1-L84)+$W$2,IF(RIGHT(H84,2)="HT",(1-L84)+$W$1,IF(RIGHT(H84,2)="RH",(1-L84)+$W$3,""))))</f>
        <v>1.0000000000000009E-2</v>
      </c>
      <c r="W84" s="331"/>
      <c r="X84" s="758">
        <f t="shared" ca="1" si="59"/>
        <v>0</v>
      </c>
      <c r="Y84" s="758">
        <f t="shared" ca="1" si="68"/>
        <v>0</v>
      </c>
      <c r="Z84" s="758">
        <f t="shared" ca="1" si="69"/>
        <v>0</v>
      </c>
      <c r="AA84" s="758">
        <f t="shared" ca="1" si="70"/>
        <v>0</v>
      </c>
      <c r="AB84" s="758">
        <f t="shared" ca="1" si="71"/>
        <v>0</v>
      </c>
      <c r="AD84" s="81">
        <v>2020</v>
      </c>
      <c r="AE84" s="332"/>
      <c r="AF84" s="232"/>
    </row>
    <row r="85" spans="1:33">
      <c r="B85" s="393" t="s">
        <v>1132</v>
      </c>
      <c r="C85" s="55"/>
      <c r="D85" s="223" t="str">
        <f ca="1">IF(T84=0,"*",IF(T85&gt;0,"IND"&amp;RIGHT(H84,4)&amp;RIGHT(G84,3)&amp;"N"&amp;RIGHT(E84,1),""))</f>
        <v/>
      </c>
      <c r="E85" s="278"/>
      <c r="F85" s="239" t="s">
        <v>1274</v>
      </c>
      <c r="G85" s="55"/>
      <c r="H85" s="177"/>
      <c r="I85" s="177" t="str">
        <f t="shared" si="53"/>
        <v>INDGWH</v>
      </c>
      <c r="J85" s="239">
        <f t="shared" si="54"/>
        <v>2030</v>
      </c>
      <c r="K85" s="81"/>
      <c r="L85" s="206">
        <f t="shared" ca="1" si="64"/>
        <v>0.99</v>
      </c>
      <c r="M85" s="206"/>
      <c r="N85" s="81"/>
      <c r="O85" s="783">
        <f t="shared" ca="1" si="65"/>
        <v>0.44700000000000001</v>
      </c>
      <c r="P85" s="783">
        <f t="shared" ca="1" si="66"/>
        <v>7.5989999999999999E-3</v>
      </c>
      <c r="Q85" s="81">
        <f t="shared" ca="1" si="67"/>
        <v>1.8107638888888888</v>
      </c>
      <c r="R85" s="333"/>
      <c r="S85" s="333"/>
      <c r="T85" s="333"/>
      <c r="U85" s="333"/>
      <c r="V85" s="759">
        <f ca="1">IF(IF(RIGHT(H84,2)="MT",(1-L85)+$W$2,IF(RIGHT(H84,2)="HT",(1-L85)+$W$1,IF(RIGHT(H84,2)="RH",(1-L85)+$W$3,"")))&lt;0,0,IF(RIGHT(H84,2)="MT",(1-L85)+$W$2,IF(RIGHT(H84,2)="HT",(1-L85)+$W$1,IF(RIGHT(H84,2)="RH",(1-L85)+$W$3,""))))</f>
        <v>1.0000000000000009E-2</v>
      </c>
      <c r="W85" s="331"/>
      <c r="X85" s="758">
        <f t="shared" ca="1" si="59"/>
        <v>0</v>
      </c>
      <c r="Y85" s="758">
        <f t="shared" ca="1" si="68"/>
        <v>0</v>
      </c>
      <c r="Z85" s="758">
        <f t="shared" ca="1" si="69"/>
        <v>0</v>
      </c>
      <c r="AA85" s="758">
        <f t="shared" ca="1" si="70"/>
        <v>0</v>
      </c>
      <c r="AB85" s="758">
        <f t="shared" ca="1" si="71"/>
        <v>0</v>
      </c>
      <c r="AD85" s="81">
        <v>2030</v>
      </c>
      <c r="AE85" s="81"/>
      <c r="AF85" s="232"/>
    </row>
    <row r="86" spans="1:33">
      <c r="B86" s="390" t="s">
        <v>1132</v>
      </c>
      <c r="C86" s="211"/>
      <c r="D86" s="223" t="str">
        <f ca="1">IF(T84=0,"*",IF(T86&gt;0,"IND"&amp;RIGHT(H84,4)&amp;RIGHT(G84,3)&amp;"N"&amp;RIGHT(E84,1),""))</f>
        <v/>
      </c>
      <c r="E86" s="761"/>
      <c r="F86" s="239" t="s">
        <v>1274</v>
      </c>
      <c r="G86" s="211"/>
      <c r="H86" s="762"/>
      <c r="I86" s="762" t="str">
        <f t="shared" si="53"/>
        <v>INDGWH</v>
      </c>
      <c r="J86" s="239">
        <f t="shared" si="54"/>
        <v>2050</v>
      </c>
      <c r="K86" s="81"/>
      <c r="L86" s="206">
        <f t="shared" ca="1" si="64"/>
        <v>0.99</v>
      </c>
      <c r="M86" s="206"/>
      <c r="N86" s="81"/>
      <c r="O86" s="783">
        <f t="shared" ca="1" si="65"/>
        <v>0.44700000000000001</v>
      </c>
      <c r="P86" s="783">
        <f t="shared" ca="1" si="66"/>
        <v>6.8539999999999998E-3</v>
      </c>
      <c r="Q86" s="81">
        <f t="shared" ca="1" si="67"/>
        <v>1.6141666666666665</v>
      </c>
      <c r="R86" s="763"/>
      <c r="S86" s="763"/>
      <c r="T86" s="763"/>
      <c r="U86" s="763"/>
      <c r="V86" s="759">
        <f ca="1">IF(IF(RIGHT(H84,2)="MT",(1-L86)+$W$2,IF(RIGHT(H84,2)="HT",(1-L86)+$W$1,IF(RIGHT(H84,2)="RH",(1-L86)+$W$3,"")))&lt;0,0,IF(RIGHT(H84,2)="MT",(1-L86)+$W$2,IF(RIGHT(H84,2)="HT",(1-L86)+$W$1,IF(RIGHT(H84,2)="RH",(1-L86)+$W$3,""))))</f>
        <v>1.0000000000000009E-2</v>
      </c>
      <c r="W86" s="764"/>
      <c r="X86" s="758">
        <f t="shared" ca="1" si="59"/>
        <v>0</v>
      </c>
      <c r="Y86" s="758">
        <f t="shared" ca="1" si="68"/>
        <v>0</v>
      </c>
      <c r="Z86" s="758">
        <f t="shared" ca="1" si="69"/>
        <v>0</v>
      </c>
      <c r="AA86" s="758">
        <f t="shared" ca="1" si="70"/>
        <v>0</v>
      </c>
      <c r="AB86" s="758">
        <f t="shared" ca="1" si="71"/>
        <v>0</v>
      </c>
      <c r="AD86" s="81">
        <v>2050</v>
      </c>
      <c r="AE86" s="81"/>
      <c r="AF86" s="232"/>
    </row>
    <row r="87" spans="1:33">
      <c r="B87" s="393" t="s">
        <v>1133</v>
      </c>
      <c r="D87" s="223" t="str">
        <f ca="1">IF(T87=0,"*",IF(T87&gt;0,"IND"&amp;RIGHT(H87,4)&amp;RIGHT(G87,3)&amp;"N"&amp;RIGHT(E87,1),""))</f>
        <v>INDGDHTWCHN1</v>
      </c>
      <c r="E87" s="278" t="str">
        <f>"Industrial heating technology "&amp;$AJ$12&amp;" "&amp;RIGHT(H87,2)&amp;" - Wood chip boiler (Steam) - new 1"</f>
        <v>Industrial heating technology Glass &amp; Concrete HT - Wood chip boiler (Steam) - new 1</v>
      </c>
      <c r="F87" s="239" t="s">
        <v>1274</v>
      </c>
      <c r="G87" s="176" t="s">
        <v>499</v>
      </c>
      <c r="H87" s="177" t="str">
        <f>$AI$13</f>
        <v>IGDHT</v>
      </c>
      <c r="I87" s="177" t="str">
        <f t="shared" si="53"/>
        <v>INDGWH</v>
      </c>
      <c r="J87" s="239">
        <f t="shared" si="54"/>
        <v>2011</v>
      </c>
      <c r="K87" s="332">
        <f>J87</f>
        <v>2011</v>
      </c>
      <c r="L87" s="206">
        <f t="shared" ref="L87:L95" ca="1" si="72">VLOOKUP($AD87,INDIRECT("'"&amp;$B87&amp;"'!"&amp;"$P$39:$AD$42"),3,FALSE)</f>
        <v>0.89</v>
      </c>
      <c r="M87" s="759"/>
      <c r="N87" s="332">
        <f ca="1">VLOOKUP($AD87,INDIRECT("'"&amp;$B87&amp;"'!"&amp;"$P$39:$AD$42"),5,FALSE)</f>
        <v>25</v>
      </c>
      <c r="O87" s="785">
        <f t="shared" ref="O87:O95" ca="1" si="73">VLOOKUP($AD87,INDIRECT("'"&amp;$B87&amp;"'!"&amp;"$P$39:$AD$42"),6,FALSE)/1000</f>
        <v>4.6054545454545455</v>
      </c>
      <c r="P87" s="785">
        <f t="shared" ref="P87:P95" ca="1" si="74">VLOOKUP($AD87,INDIRECT("'"&amp;$B87&amp;"'!"&amp;"$P$39:$AD$42"),7,FALSE)/1000</f>
        <v>0.25106499999999998</v>
      </c>
      <c r="Q87" s="332">
        <f t="shared" ref="Q87:Q95" ca="1" si="75">VLOOKUP($AD87,INDIRECT("'"&amp;$B87&amp;"'!"&amp;"$P$39:$AD$42"),8,FALSE)</f>
        <v>5.7509861111111107</v>
      </c>
      <c r="R87" s="332">
        <v>3.1536000000000002E-2</v>
      </c>
      <c r="S87" s="759">
        <v>0.5</v>
      </c>
      <c r="T87" s="206">
        <f ca="1">IF(HLOOKUP($T$2,INDIRECT("'"&amp;$B87&amp;"'!"&amp;"$P$6:$AE$19"),IF(H87=$AI$13,6,IF(H87=$AI$14,9,14)),FALSE)&lt;0.03,0,HLOOKUP($T$2,INDIRECT("'"&amp;$B87&amp;"'!"&amp;"$P$6:$AE$19"),IF(H87=$AI$13,6,IF(H87=$AI$14,9,14)),FALSE))</f>
        <v>1</v>
      </c>
      <c r="U87" s="832"/>
      <c r="V87" s="759">
        <f ca="1">IF(IF(RIGHT(H87,2)="MT",(1-L87)+$W$2,IF(RIGHT(H87,2)="HT",(1-L87)+$W$1,IF(RIGHT(H87,2)="RH",(1-L87)+$W$3,"")))&lt;0,0,IF(RIGHT(H87,2)="MT",(1-L87)+$W$2,IF(RIGHT(H87,2)="HT",(1-L87)+$W$1,IF(RIGHT(H87,2)="RH",(1-L87)+$W$3,""))))</f>
        <v>0.41</v>
      </c>
      <c r="W87" s="331"/>
      <c r="X87" s="758">
        <f t="shared" ca="1" si="59"/>
        <v>11</v>
      </c>
      <c r="Y87" s="332">
        <f t="shared" ref="Y87:Y95" ca="1" si="76">VLOOKUP($AD87,INDIRECT("'"&amp;$B87&amp;"'!"&amp;"$P$39:$AD$42"),12,FALSE)</f>
        <v>63</v>
      </c>
      <c r="Z87" s="332">
        <f t="shared" ref="Z87:Z95" ca="1" si="77">VLOOKUP($AD87,INDIRECT("'"&amp;$B87&amp;"'!"&amp;"$P$39:$AD$42"),13,FALSE)</f>
        <v>11</v>
      </c>
      <c r="AA87" s="332">
        <f t="shared" ref="AA87:AA95" ca="1" si="78">VLOOKUP($AD87,INDIRECT("'"&amp;$B87&amp;"'!"&amp;"$P$39:$AD$42"),14,FALSE)</f>
        <v>3</v>
      </c>
      <c r="AB87" s="332">
        <f t="shared" ref="AB87:AB95" ca="1" si="79">VLOOKUP($AD87,INDIRECT("'"&amp;$B87&amp;"'!"&amp;"$P$39:$AD$42"),15,FALSE)</f>
        <v>10</v>
      </c>
      <c r="AD87" s="332">
        <v>2020</v>
      </c>
      <c r="AE87" s="81"/>
      <c r="AF87" s="232"/>
    </row>
    <row r="88" spans="1:33">
      <c r="B88" s="393" t="s">
        <v>1133</v>
      </c>
      <c r="D88" s="223" t="str">
        <f ca="1">IF(T87=0,"*",IF(T88&gt;0,"IND"&amp;RIGHT(H87,4)&amp;RIGHT(G87,3)&amp;"N"&amp;RIGHT(E87,1),""))</f>
        <v/>
      </c>
      <c r="E88" s="223"/>
      <c r="F88" s="239" t="s">
        <v>1274</v>
      </c>
      <c r="H88" s="177"/>
      <c r="I88" s="177" t="str">
        <f t="shared" si="53"/>
        <v>INDGWH</v>
      </c>
      <c r="J88" s="239">
        <f t="shared" si="54"/>
        <v>2030</v>
      </c>
      <c r="K88" s="81"/>
      <c r="L88" s="206">
        <f t="shared" ca="1" si="72"/>
        <v>0.89</v>
      </c>
      <c r="M88" s="206"/>
      <c r="N88" s="81"/>
      <c r="O88" s="783">
        <f t="shared" ca="1" si="73"/>
        <v>4.4022727272727264</v>
      </c>
      <c r="P88" s="783">
        <f t="shared" ca="1" si="74"/>
        <v>0.267455</v>
      </c>
      <c r="Q88" s="81">
        <f t="shared" ca="1" si="75"/>
        <v>5.8461805555555557</v>
      </c>
      <c r="R88" s="333"/>
      <c r="S88" s="333"/>
      <c r="T88" s="333"/>
      <c r="U88" s="333"/>
      <c r="V88" s="759">
        <f ca="1">IF(IF(RIGHT(H87,2)="MT",(1-L88)+$W$2,IF(RIGHT(H87,2)="HT",(1-L88)+$W$1,IF(RIGHT(H87,2)="RH",(1-L88)+$W$3,"")))&lt;0,0,IF(RIGHT(H87,2)="MT",(1-L88)+$W$2,IF(RIGHT(H87,2)="HT",(1-L88)+$W$1,IF(RIGHT(H87,2)="RH",(1-L88)+$W$3,""))))</f>
        <v>0.41</v>
      </c>
      <c r="W88" s="331"/>
      <c r="X88" s="758">
        <f t="shared" ca="1" si="59"/>
        <v>11</v>
      </c>
      <c r="Y88" s="81">
        <f t="shared" ca="1" si="76"/>
        <v>49</v>
      </c>
      <c r="Z88" s="81">
        <f t="shared" ca="1" si="77"/>
        <v>8</v>
      </c>
      <c r="AA88" s="81">
        <f t="shared" ca="1" si="78"/>
        <v>3</v>
      </c>
      <c r="AB88" s="81">
        <f t="shared" ca="1" si="79"/>
        <v>10</v>
      </c>
      <c r="AD88" s="81">
        <v>2030</v>
      </c>
      <c r="AE88" s="81"/>
      <c r="AF88" s="232"/>
    </row>
    <row r="89" spans="1:33">
      <c r="B89" s="393" t="s">
        <v>1133</v>
      </c>
      <c r="D89" s="223" t="str">
        <f ca="1">IF(T87=0,"*",IF(T89&gt;0,"IND"&amp;RIGHT(H87,4)&amp;RIGHT(G87,3)&amp;"N"&amp;RIGHT(E87,1),""))</f>
        <v/>
      </c>
      <c r="E89" s="223"/>
      <c r="F89" s="239" t="s">
        <v>1274</v>
      </c>
      <c r="H89" s="177"/>
      <c r="I89" s="177" t="str">
        <f t="shared" si="53"/>
        <v>INDGWH</v>
      </c>
      <c r="J89" s="239">
        <f t="shared" si="54"/>
        <v>2050</v>
      </c>
      <c r="K89" s="81"/>
      <c r="L89" s="206">
        <f t="shared" ca="1" si="72"/>
        <v>0.9</v>
      </c>
      <c r="M89" s="206"/>
      <c r="N89" s="81"/>
      <c r="O89" s="783">
        <f t="shared" ca="1" si="73"/>
        <v>3.9959090909090902</v>
      </c>
      <c r="P89" s="783">
        <f t="shared" ca="1" si="74"/>
        <v>0.25106499999999998</v>
      </c>
      <c r="Q89" s="81">
        <f t="shared" ca="1" si="75"/>
        <v>5.8937777777777782</v>
      </c>
      <c r="R89" s="333"/>
      <c r="S89" s="333"/>
      <c r="T89" s="333"/>
      <c r="U89" s="333"/>
      <c r="V89" s="759">
        <f ca="1">IF(IF(RIGHT(H87,2)="MT",(1-L89)+$W$2,IF(RIGHT(H87,2)="HT",(1-L89)+$W$1,IF(RIGHT(H87,2)="RH",(1-L89)+$W$3,"")))&lt;0,0,IF(RIGHT(H87,2)="MT",(1-L89)+$W$2,IF(RIGHT(H87,2)="HT",(1-L89)+$W$1,IF(RIGHT(H87,2)="RH",(1-L89)+$W$3,""))))</f>
        <v>0.39999999999999997</v>
      </c>
      <c r="W89" s="331"/>
      <c r="X89" s="758">
        <f t="shared" ca="1" si="59"/>
        <v>11</v>
      </c>
      <c r="Y89" s="81">
        <f t="shared" ca="1" si="76"/>
        <v>41</v>
      </c>
      <c r="Z89" s="81">
        <f t="shared" ca="1" si="77"/>
        <v>4</v>
      </c>
      <c r="AA89" s="81">
        <f t="shared" ca="1" si="78"/>
        <v>1</v>
      </c>
      <c r="AB89" s="81">
        <f t="shared" ca="1" si="79"/>
        <v>10</v>
      </c>
      <c r="AD89" s="81">
        <v>2050</v>
      </c>
      <c r="AE89" s="81"/>
      <c r="AF89" s="232"/>
    </row>
    <row r="90" spans="1:33" s="241" customFormat="1">
      <c r="A90" s="239"/>
      <c r="B90" s="393" t="s">
        <v>1133</v>
      </c>
      <c r="C90" s="239"/>
      <c r="D90" s="223" t="str">
        <f ca="1">IF(T90=0,"*",IF(T90&gt;0,"IND"&amp;RIGHT(H90,4)&amp;RIGHT(G90,3)&amp;"N"&amp;RIGHT(E90,1),""))</f>
        <v>INDGDMTWCHN1</v>
      </c>
      <c r="E90" s="278" t="str">
        <f>"Industrial heating technology "&amp;$AJ$12&amp;" "&amp;RIGHT(H90,2)&amp;" - Wood chip boiler (Steam) - new 1"</f>
        <v>Industrial heating technology Glass &amp; Concrete MT - Wood chip boiler (Steam) - new 1</v>
      </c>
      <c r="F90" s="239" t="s">
        <v>1274</v>
      </c>
      <c r="G90" s="176" t="s">
        <v>499</v>
      </c>
      <c r="H90" s="177" t="str">
        <f>$AI$14</f>
        <v>IGDMT</v>
      </c>
      <c r="I90" s="177" t="str">
        <f t="shared" si="53"/>
        <v>INDGWH</v>
      </c>
      <c r="J90" s="239">
        <f t="shared" si="54"/>
        <v>2011</v>
      </c>
      <c r="K90" s="332">
        <f>J90</f>
        <v>2011</v>
      </c>
      <c r="L90" s="206">
        <f t="shared" ca="1" si="72"/>
        <v>0.89</v>
      </c>
      <c r="M90" s="206"/>
      <c r="N90" s="81">
        <f ca="1">VLOOKUP($AD90,INDIRECT("'"&amp;$B90&amp;"'!"&amp;"$P$39:$AD$42"),5,FALSE)</f>
        <v>25</v>
      </c>
      <c r="O90" s="783">
        <f t="shared" ca="1" si="73"/>
        <v>4.6054545454545455</v>
      </c>
      <c r="P90" s="783">
        <f t="shared" ca="1" si="74"/>
        <v>0.25106499999999998</v>
      </c>
      <c r="Q90" s="81">
        <f t="shared" ca="1" si="75"/>
        <v>5.7509861111111107</v>
      </c>
      <c r="R90" s="81">
        <v>3.1536000000000002E-2</v>
      </c>
      <c r="S90" s="206">
        <v>0.5</v>
      </c>
      <c r="T90" s="206">
        <f ca="1">IF(HLOOKUP($T$2,INDIRECT("'"&amp;$B90&amp;"'!"&amp;"$P$6:$AE$19"),IF(H90=$AI$13,6,IF(H90=$AI$14,9,14)),FALSE)&lt;0.03,0,HLOOKUP($T$2,INDIRECT("'"&amp;$B90&amp;"'!"&amp;"$P$6:$AE$19"),IF(H90=$AI$13,6,IF(H90=$AI$14,9,14)),FALSE))</f>
        <v>0.97</v>
      </c>
      <c r="U90" s="832"/>
      <c r="V90" s="759">
        <f ca="1">IF(IF(RIGHT(H90,2)="MT",(1-L90)+$W$2,IF(RIGHT(H90,2)="HT",(1-L90)+$W$1,IF(RIGHT(H90,2)="RH",(1-L90)+$W$3,"")))&lt;0,0,IF(RIGHT(H90,2)="MT",(1-L90)+$W$2,IF(RIGHT(H90,2)="HT",(1-L90)+$W$1,IF(RIGHT(H90,2)="RH",(1-L90)+$W$3,""))))</f>
        <v>0.31</v>
      </c>
      <c r="W90" s="331"/>
      <c r="X90" s="758">
        <f t="shared" ca="1" si="59"/>
        <v>11</v>
      </c>
      <c r="Y90" s="81">
        <f t="shared" ca="1" si="76"/>
        <v>63</v>
      </c>
      <c r="Z90" s="81">
        <f t="shared" ca="1" si="77"/>
        <v>11</v>
      </c>
      <c r="AA90" s="81">
        <f t="shared" ca="1" si="78"/>
        <v>3</v>
      </c>
      <c r="AB90" s="81">
        <f t="shared" ca="1" si="79"/>
        <v>10</v>
      </c>
      <c r="AC90" s="239"/>
      <c r="AD90" s="81">
        <v>2020</v>
      </c>
      <c r="AE90" s="81"/>
      <c r="AF90" s="232"/>
      <c r="AG90" s="239"/>
    </row>
    <row r="91" spans="1:33" s="241" customFormat="1">
      <c r="A91" s="239"/>
      <c r="B91" s="393" t="s">
        <v>1133</v>
      </c>
      <c r="C91" s="239"/>
      <c r="D91" s="223" t="str">
        <f ca="1">IF(T90=0,"*",IF(T91&gt;0,"IND"&amp;RIGHT(H90,4)&amp;RIGHT(G90,3)&amp;"N"&amp;RIGHT(E90,1),""))</f>
        <v/>
      </c>
      <c r="E91" s="223"/>
      <c r="F91" s="239" t="s">
        <v>1274</v>
      </c>
      <c r="G91" s="239"/>
      <c r="H91" s="177"/>
      <c r="I91" s="177" t="str">
        <f t="shared" si="53"/>
        <v>INDGWH</v>
      </c>
      <c r="J91" s="239">
        <f t="shared" si="54"/>
        <v>2030</v>
      </c>
      <c r="K91" s="81"/>
      <c r="L91" s="206">
        <f t="shared" ca="1" si="72"/>
        <v>0.89</v>
      </c>
      <c r="M91" s="206"/>
      <c r="N91" s="81"/>
      <c r="O91" s="783">
        <f t="shared" ca="1" si="73"/>
        <v>4.4022727272727264</v>
      </c>
      <c r="P91" s="783">
        <f t="shared" ca="1" si="74"/>
        <v>0.267455</v>
      </c>
      <c r="Q91" s="81">
        <f t="shared" ca="1" si="75"/>
        <v>5.8461805555555557</v>
      </c>
      <c r="R91" s="333"/>
      <c r="S91" s="333"/>
      <c r="T91" s="333"/>
      <c r="U91" s="333"/>
      <c r="V91" s="759">
        <f ca="1">IF(IF(RIGHT(H90,2)="MT",(1-L91)+$W$2,IF(RIGHT(H90,2)="HT",(1-L91)+$W$1,IF(RIGHT(H90,2)="RH",(1-L91)+$W$3,"")))&lt;0,0,IF(RIGHT(H90,2)="MT",(1-L91)+$W$2,IF(RIGHT(H90,2)="HT",(1-L91)+$W$1,IF(RIGHT(H90,2)="RH",(1-L91)+$W$3,""))))</f>
        <v>0.31</v>
      </c>
      <c r="W91" s="331"/>
      <c r="X91" s="758">
        <f t="shared" ca="1" si="59"/>
        <v>11</v>
      </c>
      <c r="Y91" s="81">
        <f t="shared" ca="1" si="76"/>
        <v>49</v>
      </c>
      <c r="Z91" s="81">
        <f t="shared" ca="1" si="77"/>
        <v>8</v>
      </c>
      <c r="AA91" s="81">
        <f t="shared" ca="1" si="78"/>
        <v>3</v>
      </c>
      <c r="AB91" s="81">
        <f t="shared" ca="1" si="79"/>
        <v>10</v>
      </c>
      <c r="AC91" s="239"/>
      <c r="AD91" s="81">
        <v>2030</v>
      </c>
      <c r="AE91" s="81"/>
      <c r="AF91" s="232"/>
    </row>
    <row r="92" spans="1:33" s="241" customFormat="1">
      <c r="A92" s="239"/>
      <c r="B92" s="393" t="s">
        <v>1133</v>
      </c>
      <c r="C92" s="239"/>
      <c r="D92" s="223" t="str">
        <f ca="1">IF(T90=0,"*",IF(T92&gt;0,"IND"&amp;RIGHT(H90,4)&amp;RIGHT(G90,3)&amp;"N"&amp;RIGHT(E90,1),""))</f>
        <v/>
      </c>
      <c r="E92" s="223"/>
      <c r="F92" s="239" t="s">
        <v>1274</v>
      </c>
      <c r="G92" s="239"/>
      <c r="H92" s="177"/>
      <c r="I92" s="177" t="str">
        <f t="shared" si="53"/>
        <v>INDGWH</v>
      </c>
      <c r="J92" s="239">
        <f t="shared" si="54"/>
        <v>2050</v>
      </c>
      <c r="K92" s="81"/>
      <c r="L92" s="206">
        <f t="shared" ca="1" si="72"/>
        <v>0.9</v>
      </c>
      <c r="M92" s="206"/>
      <c r="N92" s="81"/>
      <c r="O92" s="783">
        <f t="shared" ca="1" si="73"/>
        <v>3.9959090909090902</v>
      </c>
      <c r="P92" s="783">
        <f t="shared" ca="1" si="74"/>
        <v>0.25106499999999998</v>
      </c>
      <c r="Q92" s="81">
        <f t="shared" ca="1" si="75"/>
        <v>5.8937777777777782</v>
      </c>
      <c r="R92" s="333"/>
      <c r="S92" s="333"/>
      <c r="T92" s="333"/>
      <c r="U92" s="333"/>
      <c r="V92" s="759">
        <f ca="1">IF(IF(RIGHT(H90,2)="MT",(1-L92)+$W$2,IF(RIGHT(H90,2)="HT",(1-L92)+$W$1,IF(RIGHT(H90,2)="RH",(1-L92)+$W$3,"")))&lt;0,0,IF(RIGHT(H90,2)="MT",(1-L92)+$W$2,IF(RIGHT(H90,2)="HT",(1-L92)+$W$1,IF(RIGHT(H90,2)="RH",(1-L92)+$W$3,""))))</f>
        <v>0.3</v>
      </c>
      <c r="W92" s="331"/>
      <c r="X92" s="758">
        <f t="shared" ca="1" si="59"/>
        <v>11</v>
      </c>
      <c r="Y92" s="81">
        <f t="shared" ca="1" si="76"/>
        <v>41</v>
      </c>
      <c r="Z92" s="81">
        <f t="shared" ca="1" si="77"/>
        <v>4</v>
      </c>
      <c r="AA92" s="81">
        <f t="shared" ca="1" si="78"/>
        <v>1</v>
      </c>
      <c r="AB92" s="81">
        <f t="shared" ca="1" si="79"/>
        <v>10</v>
      </c>
      <c r="AC92" s="239"/>
      <c r="AD92" s="81">
        <v>2050</v>
      </c>
      <c r="AE92" s="766"/>
      <c r="AF92" s="232"/>
    </row>
    <row r="93" spans="1:33" s="241" customFormat="1">
      <c r="A93" s="239"/>
      <c r="B93" s="393" t="s">
        <v>1133</v>
      </c>
      <c r="C93" s="239"/>
      <c r="D93" s="223" t="str">
        <f ca="1">IF(T93=0,"*",IF(T93&gt;0,"IND"&amp;RIGHT(H93,4)&amp;RIGHT(G93,3)&amp;"N"&amp;RIGHT(E93,1),""))</f>
        <v>INDGDRHWCHN1</v>
      </c>
      <c r="E93" s="278" t="str">
        <f>"Industrial heating technology "&amp;$AJ$12&amp;" "&amp;RIGHT(H93,2)&amp;" - Wood chip boiler (Steam) - new 1"</f>
        <v>Industrial heating technology Glass &amp; Concrete RH - Wood chip boiler (Steam) - new 1</v>
      </c>
      <c r="F93" s="239" t="s">
        <v>1274</v>
      </c>
      <c r="G93" s="176" t="s">
        <v>499</v>
      </c>
      <c r="H93" s="177" t="str">
        <f>$AI$15</f>
        <v>IGDRH</v>
      </c>
      <c r="I93" s="177" t="str">
        <f t="shared" si="53"/>
        <v>INDGWH</v>
      </c>
      <c r="J93" s="239">
        <f t="shared" si="54"/>
        <v>2011</v>
      </c>
      <c r="K93" s="332">
        <f>J93</f>
        <v>2011</v>
      </c>
      <c r="L93" s="206">
        <f t="shared" ca="1" si="72"/>
        <v>0.89</v>
      </c>
      <c r="M93" s="206"/>
      <c r="N93" s="81">
        <f ca="1">VLOOKUP($AD93,INDIRECT("'"&amp;$B93&amp;"'!"&amp;"$P$39:$AD$42"),5,FALSE)</f>
        <v>25</v>
      </c>
      <c r="O93" s="783">
        <f t="shared" ca="1" si="73"/>
        <v>4.6054545454545455</v>
      </c>
      <c r="P93" s="783">
        <f t="shared" ca="1" si="74"/>
        <v>0.25106499999999998</v>
      </c>
      <c r="Q93" s="81">
        <f t="shared" ca="1" si="75"/>
        <v>5.7509861111111107</v>
      </c>
      <c r="R93" s="81">
        <v>3.1536000000000002E-2</v>
      </c>
      <c r="S93" s="206">
        <v>0.5</v>
      </c>
      <c r="T93" s="206">
        <f ca="1">IF(HLOOKUP($T$2,INDIRECT("'"&amp;$B93&amp;"'!"&amp;"$P$6:$AE$19"),IF(H93=$AI$13,6,IF(H93=$AI$14,9,14)),FALSE)&lt;0.03,0,HLOOKUP($T$2,INDIRECT("'"&amp;$B93&amp;"'!"&amp;"$P$6:$AE$19"),IF(H93=$AI$13,6,IF(H93=$AI$14,9,14)),FALSE))</f>
        <v>1</v>
      </c>
      <c r="U93" s="832"/>
      <c r="V93" s="759">
        <f ca="1">IF(IF(RIGHT(H93,2)="MT",(1-L93)+$W$2,IF(RIGHT(H93,2)="HT",(1-L93)+$W$1,IF(RIGHT(H93,2)="RH",(1-L93)+$W$3,"")))&lt;0,0,IF(RIGHT(H93,2)="MT",(1-L93)+$W$2,IF(RIGHT(H93,2)="HT",(1-L93)+$W$1,IF(RIGHT(H93,2)="RH",(1-L93)+$W$3,""))))</f>
        <v>0.10999999999999999</v>
      </c>
      <c r="W93" s="331"/>
      <c r="X93" s="758">
        <f t="shared" ca="1" si="59"/>
        <v>11</v>
      </c>
      <c r="Y93" s="81">
        <f t="shared" ca="1" si="76"/>
        <v>63</v>
      </c>
      <c r="Z93" s="81">
        <f t="shared" ca="1" si="77"/>
        <v>11</v>
      </c>
      <c r="AA93" s="81">
        <f t="shared" ca="1" si="78"/>
        <v>3</v>
      </c>
      <c r="AB93" s="81">
        <f t="shared" ca="1" si="79"/>
        <v>10</v>
      </c>
      <c r="AC93" s="329"/>
      <c r="AD93" s="81">
        <v>2020</v>
      </c>
      <c r="AE93" s="81"/>
      <c r="AF93" s="770"/>
    </row>
    <row r="94" spans="1:33" s="241" customFormat="1">
      <c r="A94" s="239"/>
      <c r="B94" s="393" t="s">
        <v>1133</v>
      </c>
      <c r="C94" s="239"/>
      <c r="D94" s="223" t="str">
        <f ca="1">IF(T93=0,"*",IF(T94&gt;0,"IND"&amp;RIGHT(H93,4)&amp;RIGHT(G93,3)&amp;"N"&amp;RIGHT(E93,1),""))</f>
        <v/>
      </c>
      <c r="E94" s="223"/>
      <c r="F94" s="239" t="s">
        <v>1274</v>
      </c>
      <c r="G94" s="239"/>
      <c r="H94" s="177"/>
      <c r="I94" s="177" t="str">
        <f t="shared" si="53"/>
        <v>INDGWH</v>
      </c>
      <c r="J94" s="239">
        <f t="shared" si="54"/>
        <v>2030</v>
      </c>
      <c r="K94" s="81"/>
      <c r="L94" s="206">
        <f t="shared" ca="1" si="72"/>
        <v>0.89</v>
      </c>
      <c r="M94" s="206"/>
      <c r="N94" s="81"/>
      <c r="O94" s="783">
        <f t="shared" ca="1" si="73"/>
        <v>4.4022727272727264</v>
      </c>
      <c r="P94" s="783">
        <f t="shared" ca="1" si="74"/>
        <v>0.267455</v>
      </c>
      <c r="Q94" s="81">
        <f t="shared" ca="1" si="75"/>
        <v>5.8461805555555557</v>
      </c>
      <c r="R94" s="333"/>
      <c r="S94" s="333"/>
      <c r="T94" s="333"/>
      <c r="U94" s="333"/>
      <c r="V94" s="759">
        <f ca="1">IF(IF(RIGHT(H93,2)="MT",(1-L94)+$W$2,IF(RIGHT(H93,2)="HT",(1-L94)+$W$1,IF(RIGHT(H93,2)="RH",(1-L94)+$W$3,"")))&lt;0,0,IF(RIGHT(H93,2)="MT",(1-L94)+$W$2,IF(RIGHT(H93,2)="HT",(1-L94)+$W$1,IF(RIGHT(H93,2)="RH",(1-L94)+$W$3,""))))</f>
        <v>0.10999999999999999</v>
      </c>
      <c r="W94" s="331"/>
      <c r="X94" s="758">
        <f t="shared" ca="1" si="59"/>
        <v>11</v>
      </c>
      <c r="Y94" s="81">
        <f t="shared" ca="1" si="76"/>
        <v>49</v>
      </c>
      <c r="Z94" s="81">
        <f t="shared" ca="1" si="77"/>
        <v>8</v>
      </c>
      <c r="AA94" s="81">
        <f t="shared" ca="1" si="78"/>
        <v>3</v>
      </c>
      <c r="AB94" s="81">
        <f t="shared" ca="1" si="79"/>
        <v>10</v>
      </c>
      <c r="AC94" s="55"/>
      <c r="AD94" s="81">
        <v>2030</v>
      </c>
      <c r="AE94" s="81"/>
      <c r="AF94" s="760"/>
    </row>
    <row r="95" spans="1:33" s="241" customFormat="1">
      <c r="A95" s="239"/>
      <c r="B95" s="393" t="s">
        <v>1133</v>
      </c>
      <c r="C95" s="239"/>
      <c r="D95" s="223" t="str">
        <f ca="1">IF(T93=0,"*",IF(T95&gt;0,"IND"&amp;RIGHT(H93,4)&amp;RIGHT(G93,3)&amp;"N"&amp;RIGHT(E93,1),""))</f>
        <v/>
      </c>
      <c r="E95" s="223"/>
      <c r="F95" s="239" t="s">
        <v>1274</v>
      </c>
      <c r="G95" s="239"/>
      <c r="H95" s="177"/>
      <c r="I95" s="177" t="str">
        <f t="shared" ref="I95:I126" si="80">$AI$20</f>
        <v>INDGWH</v>
      </c>
      <c r="J95" s="239">
        <f t="shared" ref="J95:J126" si="81">IF(AD95=2020,2011,AD95)</f>
        <v>2050</v>
      </c>
      <c r="K95" s="766"/>
      <c r="L95" s="206">
        <f t="shared" ca="1" si="72"/>
        <v>0.9</v>
      </c>
      <c r="M95" s="834"/>
      <c r="N95" s="766"/>
      <c r="O95" s="784">
        <f t="shared" ca="1" si="73"/>
        <v>3.9959090909090902</v>
      </c>
      <c r="P95" s="784">
        <f t="shared" ca="1" si="74"/>
        <v>0.25106499999999998</v>
      </c>
      <c r="Q95" s="766">
        <f t="shared" ca="1" si="75"/>
        <v>5.8937777777777782</v>
      </c>
      <c r="R95" s="333"/>
      <c r="S95" s="333"/>
      <c r="T95" s="333"/>
      <c r="U95" s="333"/>
      <c r="V95" s="759">
        <f ca="1">IF(IF(RIGHT(H93,2)="MT",(1-L95)+$W$2,IF(RIGHT(H93,2)="HT",(1-L95)+$W$1,IF(RIGHT(H93,2)="RH",(1-L95)+$W$3,"")))&lt;0,0,IF(RIGHT(H93,2)="MT",(1-L95)+$W$2,IF(RIGHT(H93,2)="HT",(1-L95)+$W$1,IF(RIGHT(H93,2)="RH",(1-L95)+$W$3,""))))</f>
        <v>9.9999999999999978E-2</v>
      </c>
      <c r="W95" s="331"/>
      <c r="X95" s="758">
        <f t="shared" ref="X95:X126" ca="1" si="82">IF(VLOOKUP($AD95,INDIRECT("'"&amp;$B95&amp;"'!"&amp;"$P$39:$AD$42"),11,FALSE)="Cf. the utilized electricity",0,VLOOKUP($AD95,INDIRECT("'"&amp;$B95&amp;"'!"&amp;"$P$39:$AD$42"),11,FALSE))</f>
        <v>11</v>
      </c>
      <c r="Y95" s="766">
        <f t="shared" ca="1" si="76"/>
        <v>41</v>
      </c>
      <c r="Z95" s="766">
        <f t="shared" ca="1" si="77"/>
        <v>4</v>
      </c>
      <c r="AA95" s="766">
        <f t="shared" ca="1" si="78"/>
        <v>1</v>
      </c>
      <c r="AB95" s="766">
        <f t="shared" ca="1" si="79"/>
        <v>10</v>
      </c>
      <c r="AC95" s="55"/>
      <c r="AD95" s="766">
        <v>2050</v>
      </c>
      <c r="AE95" s="81"/>
      <c r="AF95" s="760"/>
    </row>
    <row r="96" spans="1:33">
      <c r="B96" s="776" t="s">
        <v>1133</v>
      </c>
      <c r="C96" s="329"/>
      <c r="D96" s="223" t="str">
        <f ca="1">IF(T96=0,"*",IF(T96&gt;0,"IND"&amp;RIGHT(H96,4)&amp;RIGHT(G96,3)&amp;"N"&amp;RIGHT(E96,1),""))</f>
        <v>INDGDMTWCHN2</v>
      </c>
      <c r="E96" s="767" t="str">
        <f>"Industrial heating technology "&amp;$AJ$12&amp;" "&amp;RIGHT(H96,2)&amp;" - Wood chip boiler (Steam - condensing) - new 2"</f>
        <v>Industrial heating technology Glass &amp; Concrete MT - Wood chip boiler (Steam - condensing) - new 2</v>
      </c>
      <c r="F96" s="239" t="s">
        <v>1274</v>
      </c>
      <c r="G96" s="768" t="s">
        <v>499</v>
      </c>
      <c r="H96" s="768" t="str">
        <f>$AI$14</f>
        <v>IGDMT</v>
      </c>
      <c r="I96" s="768" t="str">
        <f t="shared" si="80"/>
        <v>INDGWH</v>
      </c>
      <c r="J96" s="239">
        <f t="shared" si="81"/>
        <v>2011</v>
      </c>
      <c r="K96" s="332">
        <f>J96</f>
        <v>2011</v>
      </c>
      <c r="L96" s="206">
        <f t="shared" ref="L96:L101" ca="1" si="83">VLOOKUP($AD96,INDIRECT("'"&amp;$B96&amp;"'!"&amp;"$P$118:$AD$121"),3,FALSE)</f>
        <v>1.1618960947726835</v>
      </c>
      <c r="M96" s="206"/>
      <c r="N96" s="81">
        <f ca="1">VLOOKUP($AD96,INDIRECT("'"&amp;$B96&amp;"'!"&amp;"$P$118:$AD$121"),5,FALSE)</f>
        <v>25</v>
      </c>
      <c r="O96" s="783">
        <f t="shared" ref="O96:O101" ca="1" si="84">VLOOKUP($AD96,INDIRECT("'"&amp;$B96&amp;"'!"&amp;"$P$118:$AD$121"),6,FALSE)/1000</f>
        <v>5.0660000000000007</v>
      </c>
      <c r="P96" s="783">
        <f t="shared" ref="P96:P101" ca="1" si="85">VLOOKUP($AD96,INDIRECT("'"&amp;$B96&amp;"'!"&amp;"$P$118:$AD$121"),7,FALSE)/1000</f>
        <v>0.27564999999999995</v>
      </c>
      <c r="Q96" s="81">
        <f t="shared" ref="Q96:Q101" ca="1" si="86">VLOOKUP($AD96,INDIRECT("'"&amp;$B96&amp;"'!"&amp;"$P$118:$AD$121"),8,FALSE)</f>
        <v>5.7509861111111107</v>
      </c>
      <c r="R96" s="81">
        <v>3.1536000000000002E-2</v>
      </c>
      <c r="S96" s="206">
        <v>0.5</v>
      </c>
      <c r="T96" s="206">
        <f ca="1">IF(HLOOKUP($T$2,INDIRECT("'"&amp;$B96&amp;"'!"&amp;"$P$6:$AE$19"),IF(H96=$AI$13,6,IF(H96=$AI$14,9,14)),FALSE)&lt;0.03,0,HLOOKUP($T$2,INDIRECT("'"&amp;$B96&amp;"'!"&amp;"$P$6:$AE$19"),IF(H96=$AI$13,6,IF(H96=$AI$14,9,14)),FALSE))</f>
        <v>0.97</v>
      </c>
      <c r="U96" s="833"/>
      <c r="V96" s="759">
        <f ca="1">IF(IF(RIGHT(H96,2)="MT",(1-L96)+$W$2,IF(RIGHT(H96,2)="HT",(1-L96)+$W$1,IF(RIGHT(H96,2)="RH",(1-L96)+$W$3,"")))&lt;0,0,IF(RIGHT(H96,2)="MT",(1-L96)+$W$2,IF(RIGHT(H96,2)="HT",(1-L96)+$W$1,IF(RIGHT(H96,2)="RH",(1-L96)+$W$3,""))))</f>
        <v>3.8103905227316492E-2</v>
      </c>
      <c r="W96" s="769"/>
      <c r="X96" s="758">
        <f t="shared" ca="1" si="82"/>
        <v>11</v>
      </c>
      <c r="Y96" s="758">
        <f t="shared" ref="Y96:Y101" ca="1" si="87">VLOOKUP($AD96,INDIRECT("'"&amp;$B96&amp;"'!"&amp;"$P$118:$AD$121"),12,FALSE)</f>
        <v>63</v>
      </c>
      <c r="Z96" s="758">
        <f t="shared" ref="Z96:Z101" ca="1" si="88">VLOOKUP($AD96,INDIRECT("'"&amp;$B96&amp;"'!"&amp;"$P$118:$AD$121"),13,FALSE)</f>
        <v>11</v>
      </c>
      <c r="AA96" s="758">
        <f t="shared" ref="AA96:AA101" ca="1" si="89">VLOOKUP($AD96,INDIRECT("'"&amp;$B96&amp;"'!"&amp;"$P$118:$AD$121"),14,FALSE)</f>
        <v>3</v>
      </c>
      <c r="AB96" s="758">
        <f t="shared" ref="AB96:AB101" ca="1" si="90">VLOOKUP($AD96,INDIRECT("'"&amp;$B96&amp;"'!"&amp;"$P$118:$AD$121"),15,FALSE)</f>
        <v>10</v>
      </c>
      <c r="AC96" s="55"/>
      <c r="AD96" s="81">
        <v>2020</v>
      </c>
      <c r="AE96" s="81"/>
      <c r="AF96" s="760"/>
      <c r="AG96" s="241"/>
    </row>
    <row r="97" spans="2:32">
      <c r="B97" s="393" t="s">
        <v>1133</v>
      </c>
      <c r="C97" s="55"/>
      <c r="D97" s="223" t="str">
        <f ca="1">IF(T96=0,"*",IF(T97&gt;0,"IND"&amp;RIGHT(H96,4)&amp;RIGHT(G96,3)&amp;"N"&amp;RIGHT(E96,1),""))</f>
        <v/>
      </c>
      <c r="E97" s="278"/>
      <c r="F97" s="239" t="s">
        <v>1274</v>
      </c>
      <c r="G97" s="55"/>
      <c r="H97" s="177"/>
      <c r="I97" s="177" t="str">
        <f t="shared" si="80"/>
        <v>INDGWH</v>
      </c>
      <c r="J97" s="239">
        <f t="shared" si="81"/>
        <v>2030</v>
      </c>
      <c r="K97" s="81"/>
      <c r="L97" s="206">
        <f t="shared" ca="1" si="83"/>
        <v>1.1618960947726835</v>
      </c>
      <c r="M97" s="206"/>
      <c r="N97" s="81"/>
      <c r="O97" s="783">
        <f t="shared" ca="1" si="84"/>
        <v>4.8425000000000002</v>
      </c>
      <c r="P97" s="783">
        <f t="shared" ca="1" si="85"/>
        <v>0.267455</v>
      </c>
      <c r="Q97" s="81">
        <f t="shared" ca="1" si="86"/>
        <v>5.8461805555555557</v>
      </c>
      <c r="R97" s="333"/>
      <c r="S97" s="333"/>
      <c r="T97" s="333"/>
      <c r="U97" s="333"/>
      <c r="V97" s="759">
        <f ca="1">IF(IF(RIGHT(H96,2)="MT",(1-L97)+$W$2,IF(RIGHT(H96,2)="HT",(1-L97)+$W$1,IF(RIGHT(H96,2)="RH",(1-L97)+$W$3,"")))&lt;0,0,IF(RIGHT(H96,2)="MT",(1-L97)+$W$2,IF(RIGHT(H96,2)="HT",(1-L97)+$W$1,IF(RIGHT(H96,2)="RH",(1-L97)+$W$3,""))))</f>
        <v>3.8103905227316492E-2</v>
      </c>
      <c r="W97" s="331"/>
      <c r="X97" s="758">
        <f t="shared" ca="1" si="82"/>
        <v>11</v>
      </c>
      <c r="Y97" s="758">
        <f t="shared" ca="1" si="87"/>
        <v>49</v>
      </c>
      <c r="Z97" s="758">
        <f t="shared" ca="1" si="88"/>
        <v>8</v>
      </c>
      <c r="AA97" s="758">
        <f t="shared" ca="1" si="89"/>
        <v>3</v>
      </c>
      <c r="AB97" s="758">
        <f t="shared" ca="1" si="90"/>
        <v>10</v>
      </c>
      <c r="AC97" s="55"/>
      <c r="AD97" s="81">
        <v>2030</v>
      </c>
      <c r="AE97" s="81"/>
      <c r="AF97" s="760"/>
    </row>
    <row r="98" spans="2:32">
      <c r="B98" s="393" t="s">
        <v>1133</v>
      </c>
      <c r="C98" s="55"/>
      <c r="D98" s="223" t="str">
        <f ca="1">IF(T96=0,"*",IF(T98&gt;0,"IND"&amp;RIGHT(H96,4)&amp;RIGHT(G96,3)&amp;"N"&amp;RIGHT(E96,1),""))</f>
        <v/>
      </c>
      <c r="E98" s="278"/>
      <c r="F98" s="239" t="s">
        <v>1274</v>
      </c>
      <c r="G98" s="55"/>
      <c r="H98" s="177"/>
      <c r="I98" s="177" t="str">
        <f t="shared" si="80"/>
        <v>INDGWH</v>
      </c>
      <c r="J98" s="239">
        <f t="shared" si="81"/>
        <v>2050</v>
      </c>
      <c r="K98" s="81"/>
      <c r="L98" s="206">
        <f t="shared" ca="1" si="83"/>
        <v>1.1618960947726835</v>
      </c>
      <c r="M98" s="206"/>
      <c r="N98" s="81"/>
      <c r="O98" s="783">
        <f t="shared" ca="1" si="84"/>
        <v>4.3955000000000002</v>
      </c>
      <c r="P98" s="783">
        <f t="shared" ca="1" si="85"/>
        <v>0.25106499999999998</v>
      </c>
      <c r="Q98" s="81">
        <f t="shared" ca="1" si="86"/>
        <v>5.8937777777777782</v>
      </c>
      <c r="R98" s="333"/>
      <c r="S98" s="333"/>
      <c r="T98" s="333"/>
      <c r="U98" s="333"/>
      <c r="V98" s="759">
        <f ca="1">IF(IF(RIGHT(H96,2)="MT",(1-L98)+$W$2,IF(RIGHT(H96,2)="HT",(1-L98)+$W$1,IF(RIGHT(H96,2)="RH",(1-L98)+$W$3,"")))&lt;0,0,IF(RIGHT(H96,2)="MT",(1-L98)+$W$2,IF(RIGHT(H96,2)="HT",(1-L98)+$W$1,IF(RIGHT(H96,2)="RH",(1-L98)+$W$3,""))))</f>
        <v>3.8103905227316492E-2</v>
      </c>
      <c r="W98" s="331"/>
      <c r="X98" s="758">
        <f t="shared" ca="1" si="82"/>
        <v>11</v>
      </c>
      <c r="Y98" s="758">
        <f t="shared" ca="1" si="87"/>
        <v>41</v>
      </c>
      <c r="Z98" s="758">
        <f t="shared" ca="1" si="88"/>
        <v>4</v>
      </c>
      <c r="AA98" s="758">
        <f t="shared" ca="1" si="89"/>
        <v>1</v>
      </c>
      <c r="AB98" s="758">
        <f t="shared" ca="1" si="90"/>
        <v>10</v>
      </c>
      <c r="AC98" s="211"/>
      <c r="AD98" s="81">
        <v>2050</v>
      </c>
      <c r="AE98" s="81"/>
      <c r="AF98" s="765"/>
    </row>
    <row r="99" spans="2:32">
      <c r="B99" s="393" t="s">
        <v>1133</v>
      </c>
      <c r="C99" s="55"/>
      <c r="D99" s="223" t="str">
        <f ca="1">IF(T99=0,"*",IF(T99&gt;0,"IND"&amp;RIGHT(H99,4)&amp;RIGHT(G99,3)&amp;"N"&amp;RIGHT(E99,1),""))</f>
        <v>INDGDRHWCHN2</v>
      </c>
      <c r="E99" s="278" t="str">
        <f>"Industrial heating technology "&amp;$AJ$12&amp;" "&amp;RIGHT(H99,2)&amp;" - Wood chip boiler (Steam - condensing) - new 2"</f>
        <v>Industrial heating technology Glass &amp; Concrete RH - Wood chip boiler (Steam - condensing) - new 2</v>
      </c>
      <c r="F99" s="239" t="s">
        <v>1274</v>
      </c>
      <c r="G99" s="177" t="s">
        <v>499</v>
      </c>
      <c r="H99" s="177" t="str">
        <f>$AI$15</f>
        <v>IGDRH</v>
      </c>
      <c r="I99" s="177" t="str">
        <f t="shared" si="80"/>
        <v>INDGWH</v>
      </c>
      <c r="J99" s="239">
        <f t="shared" si="81"/>
        <v>2011</v>
      </c>
      <c r="K99" s="332">
        <f>J99</f>
        <v>2011</v>
      </c>
      <c r="L99" s="206">
        <f t="shared" ca="1" si="83"/>
        <v>1.1618960947726835</v>
      </c>
      <c r="M99" s="206"/>
      <c r="N99" s="81">
        <f ca="1">VLOOKUP($AD99,INDIRECT("'"&amp;$B99&amp;"'!"&amp;"$P$118:$AD$121"),5,FALSE)</f>
        <v>25</v>
      </c>
      <c r="O99" s="783">
        <f t="shared" ca="1" si="84"/>
        <v>5.0660000000000007</v>
      </c>
      <c r="P99" s="783">
        <f t="shared" ca="1" si="85"/>
        <v>0.27564999999999995</v>
      </c>
      <c r="Q99" s="81">
        <f t="shared" ca="1" si="86"/>
        <v>5.7509861111111107</v>
      </c>
      <c r="R99" s="81">
        <v>3.1536000000000002E-2</v>
      </c>
      <c r="S99" s="206">
        <v>0.5</v>
      </c>
      <c r="T99" s="206">
        <f ca="1">IF(HLOOKUP($T$2,INDIRECT("'"&amp;$B99&amp;"'!"&amp;"$P$6:$AE$19"),IF(H99=$AI$13,6,IF(H99=$AI$14,9,14)),FALSE)&lt;0.03,0,HLOOKUP($T$2,INDIRECT("'"&amp;$B99&amp;"'!"&amp;"$P$6:$AE$19"),IF(H99=$AI$13,6,IF(H99=$AI$14,9,14)),FALSE))</f>
        <v>1</v>
      </c>
      <c r="U99" s="832"/>
      <c r="V99" s="759">
        <f ca="1">IF(IF(RIGHT(H99,2)="MT",(1-L99)+$W$2,IF(RIGHT(H99,2)="HT",(1-L99)+$W$1,IF(RIGHT(H99,2)="RH",(1-L99)+$W$3,"")))&lt;0,0,IF(RIGHT(H99,2)="MT",(1-L99)+$W$2,IF(RIGHT(H99,2)="HT",(1-L99)+$W$1,IF(RIGHT(H99,2)="RH",(1-L99)+$W$3,""))))</f>
        <v>0</v>
      </c>
      <c r="W99" s="331"/>
      <c r="X99" s="758">
        <f t="shared" ca="1" si="82"/>
        <v>11</v>
      </c>
      <c r="Y99" s="758">
        <f t="shared" ca="1" si="87"/>
        <v>63</v>
      </c>
      <c r="Z99" s="758">
        <f t="shared" ca="1" si="88"/>
        <v>11</v>
      </c>
      <c r="AA99" s="758">
        <f t="shared" ca="1" si="89"/>
        <v>3</v>
      </c>
      <c r="AB99" s="758">
        <f t="shared" ca="1" si="90"/>
        <v>10</v>
      </c>
      <c r="AC99" s="329"/>
      <c r="AD99" s="81">
        <v>2020</v>
      </c>
      <c r="AE99" s="81"/>
      <c r="AF99" s="770"/>
    </row>
    <row r="100" spans="2:32">
      <c r="B100" s="393" t="s">
        <v>1133</v>
      </c>
      <c r="C100" s="55"/>
      <c r="D100" s="223" t="str">
        <f ca="1">IF(T99=0,"*",IF(T100&gt;0,"IND"&amp;RIGHT(H99,4)&amp;RIGHT(G99,3)&amp;"N"&amp;RIGHT(E99,1),""))</f>
        <v/>
      </c>
      <c r="E100" s="278"/>
      <c r="F100" s="239" t="s">
        <v>1274</v>
      </c>
      <c r="G100" s="55"/>
      <c r="H100" s="177"/>
      <c r="I100" s="177" t="str">
        <f t="shared" si="80"/>
        <v>INDGWH</v>
      </c>
      <c r="J100" s="239">
        <f t="shared" si="81"/>
        <v>2030</v>
      </c>
      <c r="K100" s="81"/>
      <c r="L100" s="206">
        <f t="shared" ca="1" si="83"/>
        <v>1.1618960947726835</v>
      </c>
      <c r="M100" s="206"/>
      <c r="N100" s="81"/>
      <c r="O100" s="783">
        <f t="shared" ca="1" si="84"/>
        <v>4.8425000000000002</v>
      </c>
      <c r="P100" s="783">
        <f t="shared" ca="1" si="85"/>
        <v>0.267455</v>
      </c>
      <c r="Q100" s="81">
        <f t="shared" ca="1" si="86"/>
        <v>5.8461805555555557</v>
      </c>
      <c r="R100" s="333"/>
      <c r="S100" s="333"/>
      <c r="T100" s="333"/>
      <c r="U100" s="333"/>
      <c r="V100" s="759">
        <f ca="1">IF(IF(RIGHT(H99,2)="MT",(1-L100)+$W$2,IF(RIGHT(H99,2)="HT",(1-L100)+$W$1,IF(RIGHT(H99,2)="RH",(1-L100)+$W$3,"")))&lt;0,0,IF(RIGHT(H99,2)="MT",(1-L100)+$W$2,IF(RIGHT(H99,2)="HT",(1-L100)+$W$1,IF(RIGHT(H99,2)="RH",(1-L100)+$W$3,""))))</f>
        <v>0</v>
      </c>
      <c r="W100" s="331"/>
      <c r="X100" s="758">
        <f t="shared" ca="1" si="82"/>
        <v>11</v>
      </c>
      <c r="Y100" s="758">
        <f t="shared" ca="1" si="87"/>
        <v>49</v>
      </c>
      <c r="Z100" s="758">
        <f t="shared" ca="1" si="88"/>
        <v>8</v>
      </c>
      <c r="AA100" s="758">
        <f t="shared" ca="1" si="89"/>
        <v>3</v>
      </c>
      <c r="AB100" s="758">
        <f t="shared" ca="1" si="90"/>
        <v>10</v>
      </c>
      <c r="AC100" s="55"/>
      <c r="AD100" s="81">
        <v>2030</v>
      </c>
      <c r="AE100" s="81"/>
      <c r="AF100" s="760"/>
    </row>
    <row r="101" spans="2:32">
      <c r="B101" s="390" t="s">
        <v>1133</v>
      </c>
      <c r="C101" s="211"/>
      <c r="D101" s="223" t="str">
        <f ca="1">IF(T99=0,"*",IF(T101&gt;0,"IND"&amp;RIGHT(H99,4)&amp;RIGHT(G99,3)&amp;"N"&amp;RIGHT(E99,1),""))</f>
        <v/>
      </c>
      <c r="E101" s="761"/>
      <c r="F101" s="239" t="s">
        <v>1274</v>
      </c>
      <c r="G101" s="211"/>
      <c r="H101" s="762"/>
      <c r="I101" s="762" t="str">
        <f t="shared" si="80"/>
        <v>INDGWH</v>
      </c>
      <c r="J101" s="239">
        <f t="shared" si="81"/>
        <v>2050</v>
      </c>
      <c r="K101" s="81"/>
      <c r="L101" s="206">
        <f t="shared" ca="1" si="83"/>
        <v>1.1618960947726835</v>
      </c>
      <c r="M101" s="206"/>
      <c r="N101" s="81"/>
      <c r="O101" s="783">
        <f t="shared" ca="1" si="84"/>
        <v>4.3955000000000002</v>
      </c>
      <c r="P101" s="783">
        <f t="shared" ca="1" si="85"/>
        <v>0.25106499999999998</v>
      </c>
      <c r="Q101" s="81">
        <f t="shared" ca="1" si="86"/>
        <v>5.8937777777777782</v>
      </c>
      <c r="R101" s="763"/>
      <c r="S101" s="763"/>
      <c r="T101" s="763"/>
      <c r="U101" s="763"/>
      <c r="V101" s="759">
        <f ca="1">IF(IF(RIGHT(H99,2)="MT",(1-L101)+$W$2,IF(RIGHT(H99,2)="HT",(1-L101)+$W$1,IF(RIGHT(H99,2)="RH",(1-L101)+$W$3,"")))&lt;0,0,IF(RIGHT(H99,2)="MT",(1-L101)+$W$2,IF(RIGHT(H99,2)="HT",(1-L101)+$W$1,IF(RIGHT(H99,2)="RH",(1-L101)+$W$3,""))))</f>
        <v>0</v>
      </c>
      <c r="W101" s="764"/>
      <c r="X101" s="758">
        <f t="shared" ca="1" si="82"/>
        <v>11</v>
      </c>
      <c r="Y101" s="758">
        <f t="shared" ca="1" si="87"/>
        <v>41</v>
      </c>
      <c r="Z101" s="758">
        <f t="shared" ca="1" si="88"/>
        <v>4</v>
      </c>
      <c r="AA101" s="758">
        <f t="shared" ca="1" si="89"/>
        <v>1</v>
      </c>
      <c r="AB101" s="758">
        <f t="shared" ca="1" si="90"/>
        <v>10</v>
      </c>
      <c r="AC101" s="55"/>
      <c r="AD101" s="81">
        <v>2050</v>
      </c>
      <c r="AE101" s="81"/>
      <c r="AF101" s="760"/>
    </row>
    <row r="102" spans="2:32">
      <c r="B102" s="777" t="s">
        <v>1133</v>
      </c>
      <c r="C102" s="772"/>
      <c r="D102" s="223" t="str">
        <f ca="1">IF(T102=0,"*",IF(T102&gt;0,"IND"&amp;RIGHT(H102,4)&amp;RIGHT(G102,3)&amp;"N"&amp;RIGHT(E102,1),""))</f>
        <v>INDGDMTWCHN3</v>
      </c>
      <c r="E102" s="767" t="str">
        <f>"Industrial heating technology "&amp;$AJ$12&amp;" "&amp;RIGHT(H102,2)&amp;" - Wood chip boiler (Hot Water) - new 3"</f>
        <v>Industrial heating technology Glass &amp; Concrete MT - Wood chip boiler (Hot Water) - new 3</v>
      </c>
      <c r="F102" s="239" t="s">
        <v>1274</v>
      </c>
      <c r="G102" s="768" t="s">
        <v>499</v>
      </c>
      <c r="H102" s="768" t="str">
        <f>$AI$14</f>
        <v>IGDMT</v>
      </c>
      <c r="I102" s="768" t="str">
        <f t="shared" si="80"/>
        <v>INDGWH</v>
      </c>
      <c r="J102" s="239">
        <f t="shared" si="81"/>
        <v>2011</v>
      </c>
      <c r="K102" s="332">
        <f>J102</f>
        <v>2011</v>
      </c>
      <c r="L102" s="206">
        <f t="shared" ref="L102:L107" ca="1" si="91">VLOOKUP($AD102,INDIRECT("'"&amp;$B102&amp;"'!"&amp;"$P$200:$AD$203"),3,FALSE)</f>
        <v>0.9</v>
      </c>
      <c r="M102" s="206"/>
      <c r="N102" s="81">
        <f ca="1">VLOOKUP($AD102,INDIRECT("'"&amp;$B102&amp;"'!"&amp;"$P$200:$AD$203"),5,FALSE)</f>
        <v>25</v>
      </c>
      <c r="O102" s="783">
        <f t="shared" ref="O102:O107" ca="1" si="92">VLOOKUP($AD102,INDIRECT("'"&amp;$B102&amp;"'!"&amp;"$P$200:$AD$203"),6,FALSE)/1000</f>
        <v>4.6054545454545437</v>
      </c>
      <c r="P102" s="783">
        <f t="shared" ref="P102:P107" ca="1" si="93">VLOOKUP($AD102,INDIRECT("'"&amp;$B102&amp;"'!"&amp;"$P$200:$AD$203"),7,FALSE)/1000</f>
        <v>0.25106499999999998</v>
      </c>
      <c r="Q102" s="81">
        <f t="shared" ref="Q102:Q107" ca="1" si="94">VLOOKUP($AD102,INDIRECT("'"&amp;$B102&amp;"'!"&amp;"$P$200:$AD$203"),8,FALSE)</f>
        <v>5.7509861111111107</v>
      </c>
      <c r="R102" s="81">
        <v>3.1536000000000002E-2</v>
      </c>
      <c r="S102" s="206">
        <v>0.5</v>
      </c>
      <c r="T102" s="206">
        <f ca="1">IF(HLOOKUP($T$2,INDIRECT("'"&amp;$B102&amp;"'!"&amp;"$P$6:$AE$19"),IF(H102=$AI$13,6,IF(H102=$AI$14,9,14)),FALSE)&lt;0.03,0,HLOOKUP($T$2,INDIRECT("'"&amp;$B102&amp;"'!"&amp;"$P$6:$AE$19"),IF(H102=$AI$13,6,IF(H102=$AI$14,9,14)),FALSE))</f>
        <v>0.97</v>
      </c>
      <c r="U102" s="833"/>
      <c r="V102" s="759">
        <f ca="1">IF(IF(RIGHT(H102,2)="MT",(1-L102)+$W$2,IF(RIGHT(H102,2)="HT",(1-L102)+$W$1,IF(RIGHT(H102,2)="RH",(1-L102)+$W$3,"")))&lt;0,0,IF(RIGHT(H102,2)="MT",(1-L102)+$W$2,IF(RIGHT(H102,2)="HT",(1-L102)+$W$1,IF(RIGHT(H102,2)="RH",(1-L102)+$W$3,""))))</f>
        <v>0.3</v>
      </c>
      <c r="W102" s="769"/>
      <c r="X102" s="758">
        <f t="shared" ca="1" si="82"/>
        <v>11</v>
      </c>
      <c r="Y102" s="758">
        <f t="shared" ref="Y102:Y107" ca="1" si="95">VLOOKUP($AD102,INDIRECT("'"&amp;$B102&amp;"'!"&amp;"$P$200:$AD$203"),12,FALSE)</f>
        <v>63</v>
      </c>
      <c r="Z102" s="758">
        <f t="shared" ref="Z102:Z107" ca="1" si="96">VLOOKUP($AD102,INDIRECT("'"&amp;$B102&amp;"'!"&amp;"$P$200:$AD$203"),13,FALSE)</f>
        <v>11</v>
      </c>
      <c r="AA102" s="758">
        <f t="shared" ref="AA102:AA107" ca="1" si="97">VLOOKUP($AD102,INDIRECT("'"&amp;$B102&amp;"'!"&amp;"$P$200:$AD$203"),14,FALSE)</f>
        <v>3</v>
      </c>
      <c r="AB102" s="758">
        <f t="shared" ref="AB102:AB107" ca="1" si="98">VLOOKUP($AD102,INDIRECT("'"&amp;$B102&amp;"'!"&amp;"$P$200:$AD$203"),15,FALSE)</f>
        <v>10</v>
      </c>
      <c r="AC102" s="55"/>
      <c r="AD102" s="81">
        <v>2020</v>
      </c>
      <c r="AE102" s="81"/>
      <c r="AF102" s="760"/>
    </row>
    <row r="103" spans="2:32">
      <c r="B103" s="778" t="s">
        <v>1133</v>
      </c>
      <c r="C103" s="241"/>
      <c r="D103" s="223" t="str">
        <f ca="1">IF(T102=0,"*",IF(T103&gt;0,"IND"&amp;RIGHT(H102,4)&amp;RIGHT(G102,3)&amp;"N"&amp;RIGHT(E102,1),""))</f>
        <v/>
      </c>
      <c r="E103" s="278"/>
      <c r="F103" s="239" t="s">
        <v>1274</v>
      </c>
      <c r="G103" s="55"/>
      <c r="H103" s="177"/>
      <c r="I103" s="177" t="str">
        <f t="shared" si="80"/>
        <v>INDGWH</v>
      </c>
      <c r="J103" s="239">
        <f t="shared" si="81"/>
        <v>2030</v>
      </c>
      <c r="K103" s="81"/>
      <c r="L103" s="206">
        <f t="shared" ca="1" si="91"/>
        <v>0.9</v>
      </c>
      <c r="M103" s="206"/>
      <c r="N103" s="81"/>
      <c r="O103" s="783">
        <f t="shared" ca="1" si="92"/>
        <v>4.4022727272727282</v>
      </c>
      <c r="P103" s="783">
        <f t="shared" ca="1" si="93"/>
        <v>0.267455</v>
      </c>
      <c r="Q103" s="81">
        <f t="shared" ca="1" si="94"/>
        <v>5.8461805555555557</v>
      </c>
      <c r="R103" s="333"/>
      <c r="S103" s="333"/>
      <c r="T103" s="333"/>
      <c r="U103" s="333"/>
      <c r="V103" s="759">
        <f ca="1">IF(IF(RIGHT(H102,2)="MT",(1-L103)+$W$2,IF(RIGHT(H102,2)="HT",(1-L103)+$W$1,IF(RIGHT(H102,2)="RH",(1-L103)+$W$3,"")))&lt;0,0,IF(RIGHT(H102,2)="MT",(1-L103)+$W$2,IF(RIGHT(H102,2)="HT",(1-L103)+$W$1,IF(RIGHT(H102,2)="RH",(1-L103)+$W$3,""))))</f>
        <v>0.3</v>
      </c>
      <c r="W103" s="331"/>
      <c r="X103" s="758">
        <f t="shared" ca="1" si="82"/>
        <v>11</v>
      </c>
      <c r="Y103" s="758">
        <f t="shared" ca="1" si="95"/>
        <v>49</v>
      </c>
      <c r="Z103" s="758">
        <f t="shared" ca="1" si="96"/>
        <v>8</v>
      </c>
      <c r="AA103" s="758">
        <f t="shared" ca="1" si="97"/>
        <v>3</v>
      </c>
      <c r="AB103" s="758">
        <f t="shared" ca="1" si="98"/>
        <v>10</v>
      </c>
      <c r="AC103" s="55"/>
      <c r="AD103" s="81">
        <v>2030</v>
      </c>
      <c r="AE103" s="81"/>
      <c r="AF103" s="760"/>
    </row>
    <row r="104" spans="2:32">
      <c r="B104" s="778" t="s">
        <v>1133</v>
      </c>
      <c r="C104" s="241"/>
      <c r="D104" s="223" t="str">
        <f ca="1">IF(T102=0,"*",IF(T104&gt;0,"IND"&amp;RIGHT(H102,4)&amp;RIGHT(G102,3)&amp;"N"&amp;RIGHT(E102,1),""))</f>
        <v/>
      </c>
      <c r="E104" s="278"/>
      <c r="F104" s="239" t="s">
        <v>1274</v>
      </c>
      <c r="G104" s="55"/>
      <c r="H104" s="177"/>
      <c r="I104" s="177" t="str">
        <f t="shared" si="80"/>
        <v>INDGWH</v>
      </c>
      <c r="J104" s="239">
        <f t="shared" si="81"/>
        <v>2050</v>
      </c>
      <c r="K104" s="81"/>
      <c r="L104" s="206">
        <f t="shared" ca="1" si="91"/>
        <v>0.91</v>
      </c>
      <c r="M104" s="206"/>
      <c r="N104" s="81"/>
      <c r="O104" s="783">
        <f t="shared" ca="1" si="92"/>
        <v>3.9959090909090884</v>
      </c>
      <c r="P104" s="783">
        <f t="shared" ca="1" si="93"/>
        <v>0.25106499999999998</v>
      </c>
      <c r="Q104" s="81">
        <f t="shared" ca="1" si="94"/>
        <v>5.8937777777777782</v>
      </c>
      <c r="R104" s="333"/>
      <c r="S104" s="333"/>
      <c r="T104" s="333"/>
      <c r="U104" s="333"/>
      <c r="V104" s="759">
        <f ca="1">IF(IF(RIGHT(H102,2)="MT",(1-L104)+$W$2,IF(RIGHT(H102,2)="HT",(1-L104)+$W$1,IF(RIGHT(H102,2)="RH",(1-L104)+$W$3,"")))&lt;0,0,IF(RIGHT(H102,2)="MT",(1-L104)+$W$2,IF(RIGHT(H102,2)="HT",(1-L104)+$W$1,IF(RIGHT(H102,2)="RH",(1-L104)+$W$3,""))))</f>
        <v>0.28999999999999998</v>
      </c>
      <c r="W104" s="331"/>
      <c r="X104" s="758">
        <f t="shared" ca="1" si="82"/>
        <v>11</v>
      </c>
      <c r="Y104" s="758">
        <f t="shared" ca="1" si="95"/>
        <v>41</v>
      </c>
      <c r="Z104" s="758">
        <f t="shared" ca="1" si="96"/>
        <v>4</v>
      </c>
      <c r="AA104" s="758">
        <f t="shared" ca="1" si="97"/>
        <v>1</v>
      </c>
      <c r="AB104" s="758">
        <f t="shared" ca="1" si="98"/>
        <v>10</v>
      </c>
      <c r="AC104" s="211"/>
      <c r="AD104" s="81">
        <v>2050</v>
      </c>
      <c r="AE104" s="81"/>
      <c r="AF104" s="765"/>
    </row>
    <row r="105" spans="2:32">
      <c r="B105" s="778" t="s">
        <v>1133</v>
      </c>
      <c r="C105" s="241"/>
      <c r="D105" s="223" t="str">
        <f ca="1">IF(T105=0,"*",IF(T105&gt;0,"IND"&amp;RIGHT(H105,4)&amp;RIGHT(G105,3)&amp;"N"&amp;RIGHT(E105,1),""))</f>
        <v>INDGDRHWCHN3</v>
      </c>
      <c r="E105" s="278" t="str">
        <f>"Industrial heating technology "&amp;$AJ$12&amp;" "&amp;RIGHT(H105,2)&amp;" - Wood chip boiler (Hot Water) - new 3"</f>
        <v>Industrial heating technology Glass &amp; Concrete RH - Wood chip boiler (Hot Water) - new 3</v>
      </c>
      <c r="F105" s="239" t="s">
        <v>1274</v>
      </c>
      <c r="G105" s="177" t="s">
        <v>499</v>
      </c>
      <c r="H105" s="177" t="str">
        <f>$AI$15</f>
        <v>IGDRH</v>
      </c>
      <c r="I105" s="177" t="str">
        <f t="shared" si="80"/>
        <v>INDGWH</v>
      </c>
      <c r="J105" s="239">
        <f t="shared" si="81"/>
        <v>2011</v>
      </c>
      <c r="K105" s="332">
        <f>J105</f>
        <v>2011</v>
      </c>
      <c r="L105" s="206">
        <f t="shared" ca="1" si="91"/>
        <v>0.9</v>
      </c>
      <c r="M105" s="206"/>
      <c r="N105" s="81">
        <f ca="1">VLOOKUP($AD105,INDIRECT("'"&amp;$B105&amp;"'!"&amp;"$P$200:$AD$203"),5,FALSE)</f>
        <v>25</v>
      </c>
      <c r="O105" s="783">
        <f t="shared" ca="1" si="92"/>
        <v>4.6054545454545437</v>
      </c>
      <c r="P105" s="783">
        <f t="shared" ca="1" si="93"/>
        <v>0.25106499999999998</v>
      </c>
      <c r="Q105" s="81">
        <f t="shared" ca="1" si="94"/>
        <v>5.7509861111111107</v>
      </c>
      <c r="R105" s="81">
        <v>3.1536000000000002E-2</v>
      </c>
      <c r="S105" s="206">
        <v>0.5</v>
      </c>
      <c r="T105" s="206">
        <f ca="1">IF(HLOOKUP($T$2,INDIRECT("'"&amp;$B105&amp;"'!"&amp;"$P$6:$AE$19"),IF(H105=$AI$13,6,IF(H105=$AI$14,9,14)),FALSE)&lt;0.03,0,HLOOKUP($T$2,INDIRECT("'"&amp;$B105&amp;"'!"&amp;"$P$6:$AE$19"),IF(H105=$AI$13,6,IF(H105=$AI$14,9,14)),FALSE))</f>
        <v>1</v>
      </c>
      <c r="U105" s="833"/>
      <c r="V105" s="759">
        <f ca="1">IF(IF(RIGHT(H105,2)="MT",(1-L105)+$W$2,IF(RIGHT(H105,2)="HT",(1-L105)+$W$1,IF(RIGHT(H105,2)="RH",(1-L105)+$W$3,"")))&lt;0,0,IF(RIGHT(H105,2)="MT",(1-L105)+$W$2,IF(RIGHT(H105,2)="HT",(1-L105)+$W$1,IF(RIGHT(H105,2)="RH",(1-L105)+$W$3,""))))</f>
        <v>9.9999999999999978E-2</v>
      </c>
      <c r="W105" s="769"/>
      <c r="X105" s="758">
        <f t="shared" ca="1" si="82"/>
        <v>11</v>
      </c>
      <c r="Y105" s="758">
        <f t="shared" ca="1" si="95"/>
        <v>63</v>
      </c>
      <c r="Z105" s="758">
        <f t="shared" ca="1" si="96"/>
        <v>11</v>
      </c>
      <c r="AA105" s="758">
        <f t="shared" ca="1" si="97"/>
        <v>3</v>
      </c>
      <c r="AB105" s="758">
        <f t="shared" ca="1" si="98"/>
        <v>10</v>
      </c>
      <c r="AC105" s="329"/>
      <c r="AD105" s="81">
        <v>2020</v>
      </c>
      <c r="AE105" s="81"/>
      <c r="AF105" s="770"/>
    </row>
    <row r="106" spans="2:32">
      <c r="B106" s="778" t="s">
        <v>1133</v>
      </c>
      <c r="C106" s="241"/>
      <c r="D106" s="223" t="str">
        <f ca="1">IF(T105=0,"*",IF(T106&gt;0,"IND"&amp;RIGHT(H105,4)&amp;RIGHT(G105,3)&amp;"N"&amp;RIGHT(E105,1),""))</f>
        <v/>
      </c>
      <c r="E106" s="278"/>
      <c r="F106" s="239" t="s">
        <v>1274</v>
      </c>
      <c r="G106" s="55"/>
      <c r="H106" s="177"/>
      <c r="I106" s="177" t="str">
        <f t="shared" si="80"/>
        <v>INDGWH</v>
      </c>
      <c r="J106" s="239">
        <f t="shared" si="81"/>
        <v>2030</v>
      </c>
      <c r="K106" s="81"/>
      <c r="L106" s="206">
        <f t="shared" ca="1" si="91"/>
        <v>0.9</v>
      </c>
      <c r="M106" s="206"/>
      <c r="N106" s="81"/>
      <c r="O106" s="783">
        <f t="shared" ca="1" si="92"/>
        <v>4.4022727272727282</v>
      </c>
      <c r="P106" s="783">
        <f t="shared" ca="1" si="93"/>
        <v>0.267455</v>
      </c>
      <c r="Q106" s="81">
        <f t="shared" ca="1" si="94"/>
        <v>5.8461805555555557</v>
      </c>
      <c r="R106" s="333"/>
      <c r="S106" s="333"/>
      <c r="T106" s="333"/>
      <c r="U106" s="333"/>
      <c r="V106" s="759">
        <f ca="1">IF(IF(RIGHT(H105,2)="MT",(1-L106)+$W$2,IF(RIGHT(H105,2)="HT",(1-L106)+$W$1,IF(RIGHT(H105,2)="RH",(1-L106)+$W$3,"")))&lt;0,0,IF(RIGHT(H105,2)="MT",(1-L106)+$W$2,IF(RIGHT(H105,2)="HT",(1-L106)+$W$1,IF(RIGHT(H105,2)="RH",(1-L106)+$W$3,""))))</f>
        <v>9.9999999999999978E-2</v>
      </c>
      <c r="W106" s="331"/>
      <c r="X106" s="758">
        <f t="shared" ca="1" si="82"/>
        <v>11</v>
      </c>
      <c r="Y106" s="758">
        <f t="shared" ca="1" si="95"/>
        <v>49</v>
      </c>
      <c r="Z106" s="758">
        <f t="shared" ca="1" si="96"/>
        <v>8</v>
      </c>
      <c r="AA106" s="758">
        <f t="shared" ca="1" si="97"/>
        <v>3</v>
      </c>
      <c r="AB106" s="758">
        <f t="shared" ca="1" si="98"/>
        <v>10</v>
      </c>
      <c r="AC106" s="55"/>
      <c r="AD106" s="81">
        <v>2030</v>
      </c>
      <c r="AE106" s="81"/>
      <c r="AF106" s="760"/>
    </row>
    <row r="107" spans="2:32">
      <c r="B107" s="779" t="s">
        <v>1133</v>
      </c>
      <c r="C107" s="773"/>
      <c r="D107" s="223" t="str">
        <f ca="1">IF(T105=0,"*",IF(T107&gt;0,"IND"&amp;RIGHT(H105,4)&amp;RIGHT(G105,3)&amp;"N"&amp;RIGHT(E105,1),""))</f>
        <v/>
      </c>
      <c r="E107" s="761"/>
      <c r="F107" s="239" t="s">
        <v>1274</v>
      </c>
      <c r="G107" s="211"/>
      <c r="H107" s="762"/>
      <c r="I107" s="762" t="str">
        <f t="shared" si="80"/>
        <v>INDGWH</v>
      </c>
      <c r="J107" s="239">
        <f t="shared" si="81"/>
        <v>2050</v>
      </c>
      <c r="K107" s="81"/>
      <c r="L107" s="206">
        <f t="shared" ca="1" si="91"/>
        <v>0.91</v>
      </c>
      <c r="M107" s="206"/>
      <c r="N107" s="81"/>
      <c r="O107" s="783">
        <f t="shared" ca="1" si="92"/>
        <v>3.9959090909090884</v>
      </c>
      <c r="P107" s="783">
        <f t="shared" ca="1" si="93"/>
        <v>0.25106499999999998</v>
      </c>
      <c r="Q107" s="81">
        <f t="shared" ca="1" si="94"/>
        <v>5.8937777777777782</v>
      </c>
      <c r="R107" s="333"/>
      <c r="S107" s="333"/>
      <c r="T107" s="333"/>
      <c r="U107" s="333"/>
      <c r="V107" s="759">
        <f ca="1">IF(IF(RIGHT(H105,2)="MT",(1-L107)+$W$2,IF(RIGHT(H105,2)="HT",(1-L107)+$W$1,IF(RIGHT(H105,2)="RH",(1-L107)+$W$3,"")))&lt;0,0,IF(RIGHT(H105,2)="MT",(1-L107)+$W$2,IF(RIGHT(H105,2)="HT",(1-L107)+$W$1,IF(RIGHT(H105,2)="RH",(1-L107)+$W$3,""))))</f>
        <v>8.9999999999999969E-2</v>
      </c>
      <c r="W107" s="331"/>
      <c r="X107" s="758">
        <f t="shared" ca="1" si="82"/>
        <v>11</v>
      </c>
      <c r="Y107" s="758">
        <f t="shared" ca="1" si="95"/>
        <v>41</v>
      </c>
      <c r="Z107" s="758">
        <f t="shared" ca="1" si="96"/>
        <v>4</v>
      </c>
      <c r="AA107" s="758">
        <f t="shared" ca="1" si="97"/>
        <v>1</v>
      </c>
      <c r="AB107" s="758">
        <f t="shared" ca="1" si="98"/>
        <v>10</v>
      </c>
      <c r="AC107" s="55"/>
      <c r="AD107" s="81">
        <v>2050</v>
      </c>
      <c r="AE107" s="81"/>
      <c r="AF107" s="760"/>
    </row>
    <row r="108" spans="2:32">
      <c r="B108" s="777" t="s">
        <v>1133</v>
      </c>
      <c r="C108" s="772"/>
      <c r="D108" s="223" t="str">
        <f ca="1">IF(T108=0,"*",IF(T108&gt;0,"IND"&amp;RIGHT(H108,4)&amp;RIGHT(G108,3)&amp;"N"&amp;RIGHT(E108,1),""))</f>
        <v>INDGDMTWCHN4</v>
      </c>
      <c r="E108" s="767" t="str">
        <f>"Industrial heating technology "&amp;$AJ$12&amp;" "&amp;RIGHT(H108,2)&amp;" - Wood chip boiler (Hot Water - condensing) - new 4"</f>
        <v>Industrial heating technology Glass &amp; Concrete MT - Wood chip boiler (Hot Water - condensing) - new 4</v>
      </c>
      <c r="F108" s="239" t="s">
        <v>1274</v>
      </c>
      <c r="G108" s="768" t="s">
        <v>499</v>
      </c>
      <c r="H108" s="768" t="str">
        <f>$AI$14</f>
        <v>IGDMT</v>
      </c>
      <c r="I108" s="768" t="str">
        <f t="shared" si="80"/>
        <v>INDGWH</v>
      </c>
      <c r="J108" s="239">
        <f t="shared" si="81"/>
        <v>2011</v>
      </c>
      <c r="K108" s="332">
        <f>J108</f>
        <v>2011</v>
      </c>
      <c r="L108" s="206">
        <f t="shared" ref="L108:L113" ca="1" si="99">VLOOKUP($AD108,INDIRECT("'"&amp;$B108&amp;"'!"&amp;"$P$279:$AD$282"),3,FALSE)</f>
        <v>1.1618960947726835</v>
      </c>
      <c r="M108" s="206"/>
      <c r="N108" s="81">
        <f ca="1">VLOOKUP($AD108,INDIRECT("'"&amp;$B108&amp;"'!"&amp;"$P$279:$AD$282"),5,FALSE)</f>
        <v>25</v>
      </c>
      <c r="O108" s="783">
        <f t="shared" ref="O108:O113" ca="1" si="100">VLOOKUP($AD108,INDIRECT("'"&amp;$B108&amp;"'!"&amp;"$P$279:$AD$282"),6,FALSE)/1000</f>
        <v>5.0660000000000007</v>
      </c>
      <c r="P108" s="783">
        <f t="shared" ref="P108:P113" ca="1" si="101">VLOOKUP($AD108,INDIRECT("'"&amp;$B108&amp;"'!"&amp;"$P$279:$AD$282"),7,FALSE)/1000</f>
        <v>0.27564999999999995</v>
      </c>
      <c r="Q108" s="81">
        <f t="shared" ref="Q108:Q113" ca="1" si="102">VLOOKUP($AD108,INDIRECT("'"&amp;$B108&amp;"'!"&amp;"$P$279:$AD$282"),8,FALSE)</f>
        <v>5.7509861111111107</v>
      </c>
      <c r="R108" s="81">
        <v>3.1536000000000002E-2</v>
      </c>
      <c r="S108" s="206">
        <v>0.5</v>
      </c>
      <c r="T108" s="206">
        <f ca="1">IF(HLOOKUP($T$2,INDIRECT("'"&amp;$B108&amp;"'!"&amp;"$P$6:$AE$19"),IF(H108=$AI$13,6,IF(H108=$AI$14,9,14)),FALSE)&lt;0.03,0,HLOOKUP($T$2,INDIRECT("'"&amp;$B108&amp;"'!"&amp;"$P$6:$AE$19"),IF(H108=$AI$13,6,IF(H108=$AI$14,9,14)),FALSE))</f>
        <v>0.97</v>
      </c>
      <c r="U108" s="833"/>
      <c r="V108" s="759">
        <f ca="1">IF(IF(RIGHT(H108,2)="MT",(1-L108)+$W$2,IF(RIGHT(H108,2)="HT",(1-L108)+$W$1,IF(RIGHT(H108,2)="RH",(1-L108)+$W$3,"")))&lt;0,0,IF(RIGHT(H108,2)="MT",(1-L108)+$W$2,IF(RIGHT(H108,2)="HT",(1-L108)+$W$1,IF(RIGHT(H108,2)="RH",(1-L108)+$W$3,""))))</f>
        <v>3.8103905227316492E-2</v>
      </c>
      <c r="W108" s="769"/>
      <c r="X108" s="758">
        <f t="shared" ca="1" si="82"/>
        <v>11</v>
      </c>
      <c r="Y108" s="758">
        <f t="shared" ref="Y108:Y113" ca="1" si="103">VLOOKUP($AD108,INDIRECT("'"&amp;$B108&amp;"'!"&amp;"$P$279:$AD$282"),12,FALSE)</f>
        <v>63</v>
      </c>
      <c r="Z108" s="758">
        <f t="shared" ref="Z108:Z113" ca="1" si="104">VLOOKUP($AD108,INDIRECT("'"&amp;$B108&amp;"'!"&amp;"$P$279:$AD$282"),13,FALSE)</f>
        <v>11</v>
      </c>
      <c r="AA108" s="758">
        <f t="shared" ref="AA108:AA113" ca="1" si="105">VLOOKUP($AD108,INDIRECT("'"&amp;$B108&amp;"'!"&amp;"$P$279:$AD$282"),14,FALSE)</f>
        <v>3</v>
      </c>
      <c r="AB108" s="758">
        <f t="shared" ref="AB108:AB113" ca="1" si="106">VLOOKUP($AD108,INDIRECT("'"&amp;$B108&amp;"'!"&amp;"$P$279:$AD$282"),15,FALSE)</f>
        <v>10</v>
      </c>
      <c r="AC108" s="55"/>
      <c r="AD108" s="81">
        <v>2020</v>
      </c>
      <c r="AE108" s="81"/>
      <c r="AF108" s="760"/>
    </row>
    <row r="109" spans="2:32">
      <c r="B109" s="778" t="s">
        <v>1133</v>
      </c>
      <c r="C109" s="241"/>
      <c r="D109" s="223" t="str">
        <f ca="1">IF(T108=0,"*",IF(T109&gt;0,"IND"&amp;RIGHT(H108,4)&amp;RIGHT(G108,3)&amp;"N"&amp;RIGHT(E108,1),""))</f>
        <v/>
      </c>
      <c r="E109" s="278"/>
      <c r="F109" s="239" t="s">
        <v>1274</v>
      </c>
      <c r="G109" s="55"/>
      <c r="H109" s="177"/>
      <c r="I109" s="177" t="str">
        <f t="shared" si="80"/>
        <v>INDGWH</v>
      </c>
      <c r="J109" s="239">
        <f t="shared" si="81"/>
        <v>2030</v>
      </c>
      <c r="K109" s="81"/>
      <c r="L109" s="206">
        <f t="shared" ca="1" si="99"/>
        <v>1.1618960947726835</v>
      </c>
      <c r="M109" s="206"/>
      <c r="N109" s="81"/>
      <c r="O109" s="783">
        <f t="shared" ca="1" si="100"/>
        <v>4.8425000000000002</v>
      </c>
      <c r="P109" s="783">
        <f t="shared" ca="1" si="101"/>
        <v>0.267455</v>
      </c>
      <c r="Q109" s="81">
        <f t="shared" ca="1" si="102"/>
        <v>5.8461805555555557</v>
      </c>
      <c r="R109" s="333"/>
      <c r="S109" s="333"/>
      <c r="T109" s="333"/>
      <c r="U109" s="333"/>
      <c r="V109" s="759">
        <f ca="1">IF(IF(RIGHT(H108,2)="MT",(1-L109)+$W$2,IF(RIGHT(H108,2)="HT",(1-L109)+$W$1,IF(RIGHT(H108,2)="RH",(1-L109)+$W$3,"")))&lt;0,0,IF(RIGHT(H108,2)="MT",(1-L109)+$W$2,IF(RIGHT(H108,2)="HT",(1-L109)+$W$1,IF(RIGHT(H108,2)="RH",(1-L109)+$W$3,""))))</f>
        <v>3.8103905227316492E-2</v>
      </c>
      <c r="W109" s="331"/>
      <c r="X109" s="758">
        <f t="shared" ca="1" si="82"/>
        <v>11</v>
      </c>
      <c r="Y109" s="758">
        <f t="shared" ca="1" si="103"/>
        <v>49</v>
      </c>
      <c r="Z109" s="758">
        <f t="shared" ca="1" si="104"/>
        <v>8</v>
      </c>
      <c r="AA109" s="758">
        <f t="shared" ca="1" si="105"/>
        <v>3</v>
      </c>
      <c r="AB109" s="758">
        <f t="shared" ca="1" si="106"/>
        <v>10</v>
      </c>
      <c r="AC109" s="55"/>
      <c r="AD109" s="81">
        <v>2030</v>
      </c>
      <c r="AE109" s="81"/>
      <c r="AF109" s="760"/>
    </row>
    <row r="110" spans="2:32">
      <c r="B110" s="778" t="s">
        <v>1133</v>
      </c>
      <c r="C110" s="241"/>
      <c r="D110" s="223" t="str">
        <f ca="1">IF(T108=0,"*",IF(T110&gt;0,"IND"&amp;RIGHT(H108,4)&amp;RIGHT(G108,3)&amp;"N"&amp;RIGHT(E108,1),""))</f>
        <v/>
      </c>
      <c r="E110" s="278"/>
      <c r="F110" s="239" t="s">
        <v>1274</v>
      </c>
      <c r="G110" s="55"/>
      <c r="H110" s="177"/>
      <c r="I110" s="177" t="str">
        <f t="shared" si="80"/>
        <v>INDGWH</v>
      </c>
      <c r="J110" s="239">
        <f t="shared" si="81"/>
        <v>2050</v>
      </c>
      <c r="K110" s="81"/>
      <c r="L110" s="206">
        <f t="shared" ca="1" si="99"/>
        <v>1.1618960947726835</v>
      </c>
      <c r="M110" s="206"/>
      <c r="N110" s="81"/>
      <c r="O110" s="783">
        <f t="shared" ca="1" si="100"/>
        <v>4.3955000000000002</v>
      </c>
      <c r="P110" s="783">
        <f t="shared" ca="1" si="101"/>
        <v>0.25106499999999998</v>
      </c>
      <c r="Q110" s="81">
        <f t="shared" ca="1" si="102"/>
        <v>5.8937777777777782</v>
      </c>
      <c r="R110" s="333"/>
      <c r="S110" s="333"/>
      <c r="T110" s="333"/>
      <c r="U110" s="333"/>
      <c r="V110" s="759">
        <f ca="1">IF(IF(RIGHT(H108,2)="MT",(1-L110)+$W$2,IF(RIGHT(H108,2)="HT",(1-L110)+$W$1,IF(RIGHT(H108,2)="RH",(1-L110)+$W$3,"")))&lt;0,0,IF(RIGHT(H108,2)="MT",(1-L110)+$W$2,IF(RIGHT(H108,2)="HT",(1-L110)+$W$1,IF(RIGHT(H108,2)="RH",(1-L110)+$W$3,""))))</f>
        <v>3.8103905227316492E-2</v>
      </c>
      <c r="W110" s="331"/>
      <c r="X110" s="758">
        <f t="shared" ca="1" si="82"/>
        <v>11</v>
      </c>
      <c r="Y110" s="758">
        <f t="shared" ca="1" si="103"/>
        <v>41</v>
      </c>
      <c r="Z110" s="758">
        <f t="shared" ca="1" si="104"/>
        <v>4</v>
      </c>
      <c r="AA110" s="758">
        <f t="shared" ca="1" si="105"/>
        <v>1</v>
      </c>
      <c r="AB110" s="758">
        <f t="shared" ca="1" si="106"/>
        <v>10</v>
      </c>
      <c r="AC110" s="211"/>
      <c r="AD110" s="81">
        <v>2050</v>
      </c>
      <c r="AE110" s="81"/>
      <c r="AF110" s="765"/>
    </row>
    <row r="111" spans="2:32">
      <c r="B111" s="778" t="s">
        <v>1133</v>
      </c>
      <c r="C111" s="241"/>
      <c r="D111" s="223" t="str">
        <f ca="1">IF(T111=0,"*",IF(T111&gt;0,"IND"&amp;RIGHT(H111,4)&amp;RIGHT(G111,3)&amp;"N"&amp;RIGHT(E111,1),""))</f>
        <v>INDGDRHWCHN4</v>
      </c>
      <c r="E111" s="278" t="str">
        <f>"Industrial heating technology "&amp;$AJ$12&amp;" "&amp;RIGHT(H111,2)&amp;" - Wood chip boiler (Hot Water- condensing) - new 4"</f>
        <v>Industrial heating technology Glass &amp; Concrete RH - Wood chip boiler (Hot Water- condensing) - new 4</v>
      </c>
      <c r="F111" s="239" t="s">
        <v>1274</v>
      </c>
      <c r="G111" s="177" t="s">
        <v>499</v>
      </c>
      <c r="H111" s="177" t="str">
        <f>$AI$15</f>
        <v>IGDRH</v>
      </c>
      <c r="I111" s="177" t="str">
        <f t="shared" si="80"/>
        <v>INDGWH</v>
      </c>
      <c r="J111" s="239">
        <f t="shared" si="81"/>
        <v>2011</v>
      </c>
      <c r="K111" s="332">
        <f>J111</f>
        <v>2011</v>
      </c>
      <c r="L111" s="206">
        <f t="shared" ca="1" si="99"/>
        <v>1.1618960947726835</v>
      </c>
      <c r="M111" s="206"/>
      <c r="N111" s="81">
        <f ca="1">VLOOKUP($AD111,INDIRECT("'"&amp;$B111&amp;"'!"&amp;"$P$279:$AD$282"),5,FALSE)</f>
        <v>25</v>
      </c>
      <c r="O111" s="783">
        <f t="shared" ca="1" si="100"/>
        <v>5.0660000000000007</v>
      </c>
      <c r="P111" s="783">
        <f t="shared" ca="1" si="101"/>
        <v>0.27564999999999995</v>
      </c>
      <c r="Q111" s="81">
        <f t="shared" ca="1" si="102"/>
        <v>5.7509861111111107</v>
      </c>
      <c r="R111" s="81">
        <v>3.1536000000000002E-2</v>
      </c>
      <c r="S111" s="206">
        <v>0.5</v>
      </c>
      <c r="T111" s="206">
        <f ca="1">IF(HLOOKUP($T$2,INDIRECT("'"&amp;$B111&amp;"'!"&amp;"$P$6:$AE$19"),IF(H111=$AI$13,6,IF(H111=$AI$14,9,14)),FALSE)&lt;0.03,0,HLOOKUP($T$2,INDIRECT("'"&amp;$B111&amp;"'!"&amp;"$P$6:$AE$19"),IF(H111=$AI$13,6,IF(H111=$AI$14,9,14)),FALSE))</f>
        <v>1</v>
      </c>
      <c r="U111" s="833"/>
      <c r="V111" s="759">
        <f ca="1">IF(IF(RIGHT(H111,2)="MT",(1-L111)+$W$2,IF(RIGHT(H111,2)="HT",(1-L111)+$W$1,IF(RIGHT(H111,2)="RH",(1-L111)+$W$3,"")))&lt;0,0,IF(RIGHT(H111,2)="MT",(1-L111)+$W$2,IF(RIGHT(H111,2)="HT",(1-L111)+$W$1,IF(RIGHT(H111,2)="RH",(1-L111)+$W$3,""))))</f>
        <v>0</v>
      </c>
      <c r="W111" s="769"/>
      <c r="X111" s="758">
        <f t="shared" ca="1" si="82"/>
        <v>11</v>
      </c>
      <c r="Y111" s="758">
        <f t="shared" ca="1" si="103"/>
        <v>63</v>
      </c>
      <c r="Z111" s="758">
        <f t="shared" ca="1" si="104"/>
        <v>11</v>
      </c>
      <c r="AA111" s="758">
        <f t="shared" ca="1" si="105"/>
        <v>3</v>
      </c>
      <c r="AB111" s="758">
        <f t="shared" ca="1" si="106"/>
        <v>10</v>
      </c>
      <c r="AD111" s="81">
        <v>2020</v>
      </c>
      <c r="AE111" s="81"/>
      <c r="AF111" s="232"/>
    </row>
    <row r="112" spans="2:32">
      <c r="B112" s="778" t="s">
        <v>1133</v>
      </c>
      <c r="C112" s="241"/>
      <c r="D112" s="223" t="str">
        <f ca="1">IF(T111=0,"*",IF(T112&gt;0,"IND"&amp;RIGHT(H111,4)&amp;RIGHT(G111,3)&amp;"N"&amp;RIGHT(E111,1),""))</f>
        <v/>
      </c>
      <c r="E112" s="278"/>
      <c r="F112" s="239" t="s">
        <v>1274</v>
      </c>
      <c r="G112" s="55"/>
      <c r="H112" s="177"/>
      <c r="I112" s="177" t="str">
        <f t="shared" si="80"/>
        <v>INDGWH</v>
      </c>
      <c r="J112" s="239">
        <f t="shared" si="81"/>
        <v>2030</v>
      </c>
      <c r="K112" s="81"/>
      <c r="L112" s="206">
        <f t="shared" ca="1" si="99"/>
        <v>1.1618960947726835</v>
      </c>
      <c r="M112" s="206"/>
      <c r="N112" s="81"/>
      <c r="O112" s="783">
        <f t="shared" ca="1" si="100"/>
        <v>4.8425000000000002</v>
      </c>
      <c r="P112" s="783">
        <f t="shared" ca="1" si="101"/>
        <v>0.267455</v>
      </c>
      <c r="Q112" s="81">
        <f t="shared" ca="1" si="102"/>
        <v>5.8461805555555557</v>
      </c>
      <c r="R112" s="333"/>
      <c r="S112" s="333"/>
      <c r="T112" s="333"/>
      <c r="U112" s="333"/>
      <c r="V112" s="759">
        <f ca="1">IF(IF(RIGHT(H111,2)="MT",(1-L112)+$W$2,IF(RIGHT(H111,2)="HT",(1-L112)+$W$1,IF(RIGHT(H111,2)="RH",(1-L112)+$W$3,"")))&lt;0,0,IF(RIGHT(H111,2)="MT",(1-L112)+$W$2,IF(RIGHT(H111,2)="HT",(1-L112)+$W$1,IF(RIGHT(H111,2)="RH",(1-L112)+$W$3,""))))</f>
        <v>0</v>
      </c>
      <c r="W112" s="331"/>
      <c r="X112" s="758">
        <f t="shared" ca="1" si="82"/>
        <v>11</v>
      </c>
      <c r="Y112" s="758">
        <f t="shared" ca="1" si="103"/>
        <v>49</v>
      </c>
      <c r="Z112" s="758">
        <f t="shared" ca="1" si="104"/>
        <v>8</v>
      </c>
      <c r="AA112" s="758">
        <f t="shared" ca="1" si="105"/>
        <v>3</v>
      </c>
      <c r="AB112" s="758">
        <f t="shared" ca="1" si="106"/>
        <v>10</v>
      </c>
      <c r="AD112" s="81">
        <v>2030</v>
      </c>
      <c r="AE112" s="81"/>
      <c r="AF112" s="232"/>
    </row>
    <row r="113" spans="2:32">
      <c r="B113" s="779" t="s">
        <v>1133</v>
      </c>
      <c r="C113" s="773"/>
      <c r="D113" s="223" t="str">
        <f ca="1">IF(T111=0,"*",IF(T113&gt;0,"IND"&amp;RIGHT(H111,4)&amp;RIGHT(G111,3)&amp;"N"&amp;RIGHT(E111,1),""))</f>
        <v/>
      </c>
      <c r="E113" s="761"/>
      <c r="F113" s="239" t="s">
        <v>1274</v>
      </c>
      <c r="G113" s="211"/>
      <c r="H113" s="762"/>
      <c r="I113" s="762" t="str">
        <f t="shared" si="80"/>
        <v>INDGWH</v>
      </c>
      <c r="J113" s="239">
        <f t="shared" si="81"/>
        <v>2050</v>
      </c>
      <c r="K113" s="81"/>
      <c r="L113" s="206">
        <f t="shared" ca="1" si="99"/>
        <v>1.1618960947726835</v>
      </c>
      <c r="M113" s="206"/>
      <c r="N113" s="81"/>
      <c r="O113" s="783">
        <f t="shared" ca="1" si="100"/>
        <v>4.3955000000000002</v>
      </c>
      <c r="P113" s="783">
        <f t="shared" ca="1" si="101"/>
        <v>0.25106499999999998</v>
      </c>
      <c r="Q113" s="81">
        <f t="shared" ca="1" si="102"/>
        <v>5.8937777777777782</v>
      </c>
      <c r="R113" s="333"/>
      <c r="S113" s="333"/>
      <c r="T113" s="333"/>
      <c r="U113" s="333"/>
      <c r="V113" s="759">
        <f ca="1">IF(IF(RIGHT(H111,2)="MT",(1-L113)+$W$2,IF(RIGHT(H111,2)="HT",(1-L113)+$W$1,IF(RIGHT(H111,2)="RH",(1-L113)+$W$3,"")))&lt;0,0,IF(RIGHT(H111,2)="MT",(1-L113)+$W$2,IF(RIGHT(H111,2)="HT",(1-L113)+$W$1,IF(RIGHT(H111,2)="RH",(1-L113)+$W$3,""))))</f>
        <v>0</v>
      </c>
      <c r="W113" s="774"/>
      <c r="X113" s="758">
        <f t="shared" ca="1" si="82"/>
        <v>11</v>
      </c>
      <c r="Y113" s="758">
        <f t="shared" ca="1" si="103"/>
        <v>41</v>
      </c>
      <c r="Z113" s="758">
        <f t="shared" ca="1" si="104"/>
        <v>4</v>
      </c>
      <c r="AA113" s="758">
        <f t="shared" ca="1" si="105"/>
        <v>1</v>
      </c>
      <c r="AB113" s="758">
        <f t="shared" ca="1" si="106"/>
        <v>10</v>
      </c>
      <c r="AD113" s="81">
        <v>2050</v>
      </c>
      <c r="AE113" s="81"/>
      <c r="AF113" s="232"/>
    </row>
    <row r="114" spans="2:32">
      <c r="B114" s="778" t="s">
        <v>1139</v>
      </c>
      <c r="C114" s="241"/>
      <c r="D114" s="223" t="str">
        <f ca="1">IF(T114=0,"*",IF(T114&gt;0,"IND"&amp;RIGHT(H114,4)&amp;RIGHT(G114,3)&amp;"N"&amp;RIGHT(E114,1),""))</f>
        <v>*</v>
      </c>
      <c r="E114" s="278" t="str">
        <f>"Industrial heating technology "&amp;$AJ$12&amp;" "&amp;RIGHT(H114,2)&amp;" - Direct electric heating - new 10"</f>
        <v>Industrial heating technology Glass &amp; Concrete HT - Direct electric heating - new 10</v>
      </c>
      <c r="F114" s="239" t="s">
        <v>1274</v>
      </c>
      <c r="G114" s="176" t="s">
        <v>500</v>
      </c>
      <c r="H114" s="177" t="str">
        <f>$AI$13</f>
        <v>IGDHT</v>
      </c>
      <c r="I114" s="177" t="str">
        <f t="shared" si="80"/>
        <v>INDGWH</v>
      </c>
      <c r="J114" s="239">
        <f t="shared" si="81"/>
        <v>2011</v>
      </c>
      <c r="K114" s="332">
        <f>J114</f>
        <v>2011</v>
      </c>
      <c r="L114" s="206">
        <f t="shared" ref="L114:L128" ca="1" si="107">VLOOKUP($AD114,INDIRECT("'"&amp;$B114&amp;"'!"&amp;"$P$39:$AD$42"),3,FALSE)</f>
        <v>1</v>
      </c>
      <c r="M114" s="206"/>
      <c r="N114" s="81">
        <f ca="1">VLOOKUP($AD114,INDIRECT("'"&amp;$B114&amp;"'!"&amp;"$P$39:$AD$42"),5,FALSE)</f>
        <v>12.5</v>
      </c>
      <c r="O114" s="783">
        <f t="shared" ref="O114:O128" ca="1" si="108">VLOOKUP($AD114,INDIRECT("'"&amp;$B114&amp;"'!"&amp;"$P$39:$AD$42"),6,FALSE)/1000</f>
        <v>0.44700000000000001</v>
      </c>
      <c r="P114" s="783">
        <f t="shared" ref="P114:P128" ca="1" si="109">VLOOKUP($AD114,INDIRECT("'"&amp;$B114&amp;"'!"&amp;"$P$39:$AD$42"),7,FALSE)/1000</f>
        <v>0</v>
      </c>
      <c r="Q114" s="81">
        <f t="shared" ref="Q114:Q128" ca="1" si="110">VLOOKUP($AD114,INDIRECT("'"&amp;$B114&amp;"'!"&amp;"$P$39:$AD$42"),8,FALSE)</f>
        <v>0.37767361111111114</v>
      </c>
      <c r="R114" s="81">
        <v>3.1536000000000002E-2</v>
      </c>
      <c r="S114" s="206">
        <v>0.5</v>
      </c>
      <c r="T114" s="206">
        <f ca="1">IF(HLOOKUP($T$2,INDIRECT("'"&amp;$B114&amp;"'!"&amp;"$P$6:$AE$19"),IF(H114=$AI$13,6,IF(H114=$AI$14,9,14)),FALSE)&lt;0.03,0,HLOOKUP($T$2,INDIRECT("'"&amp;$B114&amp;"'!"&amp;"$P$6:$AE$19"),IF(H114=$AI$13,6,IF(H114=$AI$14,9,14)),FALSE))</f>
        <v>0</v>
      </c>
      <c r="U114" s="832"/>
      <c r="V114" s="759">
        <f ca="1">IF(IF(RIGHT(H114,2)="MT",(1-L114)+$W$2,IF(RIGHT(H114,2)="HT",(1-L114)+$W$1,IF(RIGHT(H114,2)="RH",(1-L114)+$W$3,"")))&lt;0,0,IF(RIGHT(H114,2)="MT",(1-L114)+$W$2,IF(RIGHT(H114,2)="HT",(1-L114)+$W$1,IF(RIGHT(H114,2)="RH",(1-L114)+$W$3,""))))</f>
        <v>0.3</v>
      </c>
      <c r="W114" s="331"/>
      <c r="X114" s="758">
        <f t="shared" ca="1" si="82"/>
        <v>0</v>
      </c>
      <c r="Y114" s="81">
        <f t="shared" ref="Y114:Y128" ca="1" si="111">VLOOKUP($AD114,INDIRECT("'"&amp;$B114&amp;"'!"&amp;"$P$39:$AD$42"),12,FALSE)</f>
        <v>0</v>
      </c>
      <c r="Z114" s="81">
        <f t="shared" ref="Z114:Z128" ca="1" si="112">VLOOKUP($AD114,INDIRECT("'"&amp;$B114&amp;"'!"&amp;"$P$39:$AD$42"),13,FALSE)</f>
        <v>0</v>
      </c>
      <c r="AA114" s="81">
        <f t="shared" ref="AA114:AA128" ca="1" si="113">VLOOKUP($AD114,INDIRECT("'"&amp;$B114&amp;"'!"&amp;"$P$39:$AD$42"),14,FALSE)</f>
        <v>0</v>
      </c>
      <c r="AB114" s="81">
        <f t="shared" ref="AB114:AB128" ca="1" si="114">VLOOKUP($AD114,INDIRECT("'"&amp;$B114&amp;"'!"&amp;"$P$39:$AD$42"),15,FALSE)</f>
        <v>0</v>
      </c>
      <c r="AD114" s="81">
        <v>2020</v>
      </c>
      <c r="AE114" s="81"/>
      <c r="AF114" s="232"/>
    </row>
    <row r="115" spans="2:32">
      <c r="B115" s="778" t="s">
        <v>1139</v>
      </c>
      <c r="C115" s="241"/>
      <c r="D115" s="223" t="str">
        <f ca="1">IF(T114=0,"*",IF(T115&gt;0,"IND"&amp;RIGHT(H114,4)&amp;RIGHT(G114,3)&amp;"N"&amp;RIGHT(E114,1),""))</f>
        <v>*</v>
      </c>
      <c r="E115" s="223"/>
      <c r="F115" s="239" t="s">
        <v>1274</v>
      </c>
      <c r="H115" s="177"/>
      <c r="I115" s="177" t="str">
        <f t="shared" si="80"/>
        <v>INDGWH</v>
      </c>
      <c r="J115" s="239">
        <f t="shared" si="81"/>
        <v>2030</v>
      </c>
      <c r="K115" s="81"/>
      <c r="L115" s="206">
        <f t="shared" ca="1" si="107"/>
        <v>1</v>
      </c>
      <c r="M115" s="206"/>
      <c r="N115" s="81"/>
      <c r="O115" s="783">
        <f t="shared" ca="1" si="108"/>
        <v>0.44700000000000001</v>
      </c>
      <c r="P115" s="783">
        <f t="shared" ca="1" si="109"/>
        <v>0</v>
      </c>
      <c r="Q115" s="81">
        <f t="shared" ca="1" si="110"/>
        <v>0.38802083333333331</v>
      </c>
      <c r="R115" s="333"/>
      <c r="S115" s="333"/>
      <c r="T115" s="333"/>
      <c r="U115" s="333"/>
      <c r="V115" s="759">
        <f ca="1">IF(IF(RIGHT(H114,2)="MT",(1-L115)+$W$2,IF(RIGHT(H114,2)="HT",(1-L115)+$W$1,IF(RIGHT(H114,2)="RH",(1-L115)+$W$3,"")))&lt;0,0,IF(RIGHT(H114,2)="MT",(1-L115)+$W$2,IF(RIGHT(H114,2)="HT",(1-L115)+$W$1,IF(RIGHT(H114,2)="RH",(1-L115)+$W$3,""))))</f>
        <v>0.3</v>
      </c>
      <c r="W115" s="331"/>
      <c r="X115" s="758">
        <f t="shared" ca="1" si="82"/>
        <v>0</v>
      </c>
      <c r="Y115" s="81">
        <f t="shared" ca="1" si="111"/>
        <v>0</v>
      </c>
      <c r="Z115" s="81">
        <f t="shared" ca="1" si="112"/>
        <v>0</v>
      </c>
      <c r="AA115" s="81">
        <f t="shared" ca="1" si="113"/>
        <v>0</v>
      </c>
      <c r="AB115" s="81">
        <f t="shared" ca="1" si="114"/>
        <v>0</v>
      </c>
      <c r="AD115" s="81">
        <v>2030</v>
      </c>
      <c r="AE115" s="81"/>
      <c r="AF115" s="232"/>
    </row>
    <row r="116" spans="2:32">
      <c r="B116" s="778" t="s">
        <v>1139</v>
      </c>
      <c r="C116" s="241"/>
      <c r="D116" s="223" t="str">
        <f ca="1">IF(T114=0,"*",IF(T116&gt;0,"IND"&amp;RIGHT(H114,4)&amp;RIGHT(G114,3)&amp;"N"&amp;RIGHT(E114,1),""))</f>
        <v>*</v>
      </c>
      <c r="E116" s="223"/>
      <c r="F116" s="239" t="s">
        <v>1274</v>
      </c>
      <c r="H116" s="177"/>
      <c r="I116" s="177" t="str">
        <f t="shared" si="80"/>
        <v>INDGWH</v>
      </c>
      <c r="J116" s="239">
        <f t="shared" si="81"/>
        <v>2050</v>
      </c>
      <c r="K116" s="81"/>
      <c r="L116" s="206">
        <f t="shared" ca="1" si="107"/>
        <v>1</v>
      </c>
      <c r="M116" s="206"/>
      <c r="N116" s="81"/>
      <c r="O116" s="783">
        <f t="shared" ca="1" si="108"/>
        <v>0.44700000000000001</v>
      </c>
      <c r="P116" s="783">
        <f t="shared" ca="1" si="109"/>
        <v>0</v>
      </c>
      <c r="Q116" s="81">
        <f t="shared" ca="1" si="110"/>
        <v>0.39319444444444446</v>
      </c>
      <c r="R116" s="333"/>
      <c r="S116" s="333"/>
      <c r="T116" s="333"/>
      <c r="U116" s="333"/>
      <c r="V116" s="759">
        <f ca="1">IF(IF(RIGHT(H114,2)="MT",(1-L116)+$W$2,IF(RIGHT(H114,2)="HT",(1-L116)+$W$1,IF(RIGHT(H114,2)="RH",(1-L116)+$W$3,"")))&lt;0,0,IF(RIGHT(H114,2)="MT",(1-L116)+$W$2,IF(RIGHT(H114,2)="HT",(1-L116)+$W$1,IF(RIGHT(H114,2)="RH",(1-L116)+$W$3,""))))</f>
        <v>0.3</v>
      </c>
      <c r="W116" s="331"/>
      <c r="X116" s="758">
        <f t="shared" ca="1" si="82"/>
        <v>0</v>
      </c>
      <c r="Y116" s="81">
        <f t="shared" ca="1" si="111"/>
        <v>0</v>
      </c>
      <c r="Z116" s="81">
        <f t="shared" ca="1" si="112"/>
        <v>0</v>
      </c>
      <c r="AA116" s="81">
        <f t="shared" ca="1" si="113"/>
        <v>0</v>
      </c>
      <c r="AB116" s="81">
        <f t="shared" ca="1" si="114"/>
        <v>0</v>
      </c>
      <c r="AC116" s="211"/>
      <c r="AD116" s="81">
        <v>2050</v>
      </c>
      <c r="AE116" s="81"/>
      <c r="AF116" s="765"/>
    </row>
    <row r="117" spans="2:32">
      <c r="B117" s="778" t="s">
        <v>1139</v>
      </c>
      <c r="C117" s="241"/>
      <c r="D117" s="223" t="str">
        <f ca="1">IF(T117=0,"*",IF(T117&gt;0,"IND"&amp;RIGHT(H117,4)&amp;RIGHT(G117,3)&amp;"N"&amp;RIGHT(E117,1),""))</f>
        <v>*</v>
      </c>
      <c r="E117" s="278" t="str">
        <f>"Industrial heating technology "&amp;$AJ$12&amp;" "&amp;RIGHT(H117,2)&amp;" - Direct electric heating - new 10"</f>
        <v>Industrial heating technology Glass &amp; Concrete MT - Direct electric heating - new 10</v>
      </c>
      <c r="F117" s="239" t="s">
        <v>1274</v>
      </c>
      <c r="G117" s="176" t="s">
        <v>500</v>
      </c>
      <c r="H117" s="177" t="str">
        <f>$AI$14</f>
        <v>IGDMT</v>
      </c>
      <c r="I117" s="177" t="str">
        <f t="shared" si="80"/>
        <v>INDGWH</v>
      </c>
      <c r="J117" s="239">
        <f t="shared" si="81"/>
        <v>2011</v>
      </c>
      <c r="K117" s="332">
        <f>J117</f>
        <v>2011</v>
      </c>
      <c r="L117" s="206">
        <f t="shared" ca="1" si="107"/>
        <v>1</v>
      </c>
      <c r="M117" s="206"/>
      <c r="N117" s="81">
        <f ca="1">VLOOKUP($AD117,INDIRECT("'"&amp;$B117&amp;"'!"&amp;"$P$39:$AD$42"),5,FALSE)</f>
        <v>12.5</v>
      </c>
      <c r="O117" s="783">
        <f t="shared" ca="1" si="108"/>
        <v>0.44700000000000001</v>
      </c>
      <c r="P117" s="783">
        <f t="shared" ca="1" si="109"/>
        <v>0</v>
      </c>
      <c r="Q117" s="81">
        <f t="shared" ca="1" si="110"/>
        <v>0.37767361111111114</v>
      </c>
      <c r="R117" s="81">
        <v>3.1536000000000002E-2</v>
      </c>
      <c r="S117" s="206">
        <v>0.5</v>
      </c>
      <c r="T117" s="206">
        <f ca="1">IF(HLOOKUP($T$2,INDIRECT("'"&amp;$B117&amp;"'!"&amp;"$P$6:$AE$19"),IF(H117=$AI$13,6,IF(H117=$AI$14,9,14)),FALSE)&lt;0.03,0,HLOOKUP($T$2,INDIRECT("'"&amp;$B117&amp;"'!"&amp;"$P$6:$AE$19"),IF(H117=$AI$13,6,IF(H117=$AI$14,9,14)),FALSE))</f>
        <v>0</v>
      </c>
      <c r="U117" s="832"/>
      <c r="V117" s="759">
        <f ca="1">IF(IF(RIGHT(H117,2)="MT",(1-L117)+$W$2,IF(RIGHT(H117,2)="HT",(1-L117)+$W$1,IF(RIGHT(H117,2)="RH",(1-L117)+$W$3,"")))&lt;0,0,IF(RIGHT(H117,2)="MT",(1-L117)+$W$2,IF(RIGHT(H117,2)="HT",(1-L117)+$W$1,IF(RIGHT(H117,2)="RH",(1-L117)+$W$3,""))))</f>
        <v>0.2</v>
      </c>
      <c r="W117" s="331"/>
      <c r="X117" s="758">
        <f t="shared" ca="1" si="82"/>
        <v>0</v>
      </c>
      <c r="Y117" s="81">
        <f t="shared" ca="1" si="111"/>
        <v>0</v>
      </c>
      <c r="Z117" s="81">
        <f t="shared" ca="1" si="112"/>
        <v>0</v>
      </c>
      <c r="AA117" s="81">
        <f t="shared" ca="1" si="113"/>
        <v>0</v>
      </c>
      <c r="AB117" s="81">
        <f t="shared" ca="1" si="114"/>
        <v>0</v>
      </c>
      <c r="AD117" s="81">
        <v>2020</v>
      </c>
      <c r="AE117" s="332"/>
      <c r="AF117" s="232"/>
    </row>
    <row r="118" spans="2:32">
      <c r="B118" s="778" t="s">
        <v>1139</v>
      </c>
      <c r="C118" s="241"/>
      <c r="D118" s="223" t="str">
        <f ca="1">IF(T117=0,"*",IF(T118&gt;0,"IND"&amp;RIGHT(H117,4)&amp;RIGHT(G117,3)&amp;"N"&amp;RIGHT(E117,1),""))</f>
        <v>*</v>
      </c>
      <c r="E118" s="223"/>
      <c r="F118" s="239" t="s">
        <v>1274</v>
      </c>
      <c r="H118" s="177"/>
      <c r="I118" s="177" t="str">
        <f t="shared" si="80"/>
        <v>INDGWH</v>
      </c>
      <c r="J118" s="239">
        <f t="shared" si="81"/>
        <v>2030</v>
      </c>
      <c r="K118" s="81"/>
      <c r="L118" s="206">
        <f t="shared" ca="1" si="107"/>
        <v>1</v>
      </c>
      <c r="M118" s="206"/>
      <c r="N118" s="81"/>
      <c r="O118" s="783">
        <f t="shared" ca="1" si="108"/>
        <v>0.44700000000000001</v>
      </c>
      <c r="P118" s="783">
        <f t="shared" ca="1" si="109"/>
        <v>0</v>
      </c>
      <c r="Q118" s="81">
        <f t="shared" ca="1" si="110"/>
        <v>0.38802083333333331</v>
      </c>
      <c r="R118" s="333"/>
      <c r="S118" s="333"/>
      <c r="T118" s="333"/>
      <c r="U118" s="333"/>
      <c r="V118" s="759">
        <f ca="1">IF(IF(RIGHT(H117,2)="MT",(1-L118)+$W$2,IF(RIGHT(H117,2)="HT",(1-L118)+$W$1,IF(RIGHT(H117,2)="RH",(1-L118)+$W$3,"")))&lt;0,0,IF(RIGHT(H117,2)="MT",(1-L118)+$W$2,IF(RIGHT(H117,2)="HT",(1-L118)+$W$1,IF(RIGHT(H117,2)="RH",(1-L118)+$W$3,""))))</f>
        <v>0.2</v>
      </c>
      <c r="W118" s="331"/>
      <c r="X118" s="758">
        <f t="shared" ca="1" si="82"/>
        <v>0</v>
      </c>
      <c r="Y118" s="81">
        <f t="shared" ca="1" si="111"/>
        <v>0</v>
      </c>
      <c r="Z118" s="81">
        <f t="shared" ca="1" si="112"/>
        <v>0</v>
      </c>
      <c r="AA118" s="81">
        <f t="shared" ca="1" si="113"/>
        <v>0</v>
      </c>
      <c r="AB118" s="81">
        <f t="shared" ca="1" si="114"/>
        <v>0</v>
      </c>
      <c r="AD118" s="81">
        <v>2030</v>
      </c>
      <c r="AE118" s="81"/>
      <c r="AF118" s="232"/>
    </row>
    <row r="119" spans="2:32">
      <c r="B119" s="779" t="s">
        <v>1139</v>
      </c>
      <c r="C119" s="773"/>
      <c r="D119" s="223" t="str">
        <f ca="1">IF(T117=0,"*",IF(T119&gt;0,"IND"&amp;RIGHT(H117,4)&amp;RIGHT(G117,3)&amp;"N"&amp;RIGHT(E117,1),""))</f>
        <v>*</v>
      </c>
      <c r="E119" s="761"/>
      <c r="F119" s="239" t="s">
        <v>1274</v>
      </c>
      <c r="G119" s="211"/>
      <c r="H119" s="762"/>
      <c r="I119" s="762" t="str">
        <f t="shared" si="80"/>
        <v>INDGWH</v>
      </c>
      <c r="J119" s="239">
        <f t="shared" si="81"/>
        <v>2050</v>
      </c>
      <c r="K119" s="81"/>
      <c r="L119" s="206">
        <f t="shared" ca="1" si="107"/>
        <v>1</v>
      </c>
      <c r="M119" s="206"/>
      <c r="N119" s="81"/>
      <c r="O119" s="783">
        <f t="shared" ca="1" si="108"/>
        <v>0.44700000000000001</v>
      </c>
      <c r="P119" s="783">
        <f t="shared" ca="1" si="109"/>
        <v>0</v>
      </c>
      <c r="Q119" s="81">
        <f t="shared" ca="1" si="110"/>
        <v>0.39319444444444446</v>
      </c>
      <c r="R119" s="763"/>
      <c r="S119" s="763"/>
      <c r="T119" s="763"/>
      <c r="U119" s="763"/>
      <c r="V119" s="759">
        <f ca="1">IF(IF(RIGHT(H117,2)="MT",(1-L119)+$W$2,IF(RIGHT(H117,2)="HT",(1-L119)+$W$1,IF(RIGHT(H117,2)="RH",(1-L119)+$W$3,"")))&lt;0,0,IF(RIGHT(H117,2)="MT",(1-L119)+$W$2,IF(RIGHT(H117,2)="HT",(1-L119)+$W$1,IF(RIGHT(H117,2)="RH",(1-L119)+$W$3,""))))</f>
        <v>0.2</v>
      </c>
      <c r="W119" s="764"/>
      <c r="X119" s="758">
        <f t="shared" ca="1" si="82"/>
        <v>0</v>
      </c>
      <c r="Y119" s="81">
        <f t="shared" ca="1" si="111"/>
        <v>0</v>
      </c>
      <c r="Z119" s="81">
        <f t="shared" ca="1" si="112"/>
        <v>0</v>
      </c>
      <c r="AA119" s="81">
        <f t="shared" ca="1" si="113"/>
        <v>0</v>
      </c>
      <c r="AB119" s="81">
        <f t="shared" ca="1" si="114"/>
        <v>0</v>
      </c>
      <c r="AD119" s="81">
        <v>2050</v>
      </c>
      <c r="AE119" s="81"/>
      <c r="AF119" s="232"/>
    </row>
    <row r="120" spans="2:32">
      <c r="B120" s="778" t="s">
        <v>1134</v>
      </c>
      <c r="C120" s="241"/>
      <c r="D120" s="223" t="str">
        <f ca="1">IF(T120=0,"*",IF(T120&gt;0,"IND"&amp;RIGHT(H120,4)&amp;RIGHT(G120,3)&amp;"N"&amp;RIGHT(E120,1),""))</f>
        <v>INDGDHTDSEN1</v>
      </c>
      <c r="E120" s="278" t="str">
        <f>"Industrial heating technology "&amp;$AJ$12&amp;" "&amp;RIGHT(H120,2)&amp;" - Oil boiler (Steam) - new 1"</f>
        <v>Industrial heating technology Glass &amp; Concrete HT - Oil boiler (Steam) - new 1</v>
      </c>
      <c r="F120" s="239" t="s">
        <v>1274</v>
      </c>
      <c r="G120" s="176" t="s">
        <v>1437</v>
      </c>
      <c r="H120" s="177" t="str">
        <f>$AI$13</f>
        <v>IGDHT</v>
      </c>
      <c r="I120" s="177" t="str">
        <f t="shared" si="80"/>
        <v>INDGWH</v>
      </c>
      <c r="J120" s="239">
        <f t="shared" si="81"/>
        <v>2011</v>
      </c>
      <c r="K120" s="332">
        <f>J120</f>
        <v>2011</v>
      </c>
      <c r="L120" s="206">
        <f t="shared" ca="1" si="107"/>
        <v>0.94</v>
      </c>
      <c r="M120" s="759"/>
      <c r="N120" s="332">
        <f ca="1">VLOOKUP($AD120,INDIRECT("'"&amp;$B120&amp;"'!"&amp;"$P$39:$AD$42"),5,FALSE)</f>
        <v>25</v>
      </c>
      <c r="O120" s="785">
        <f t="shared" ca="1" si="108"/>
        <v>0.40975</v>
      </c>
      <c r="P120" s="785">
        <f t="shared" ca="1" si="109"/>
        <v>1.341E-2</v>
      </c>
      <c r="Q120" s="332">
        <f t="shared" ca="1" si="110"/>
        <v>2.0694444444444446</v>
      </c>
      <c r="R120" s="332">
        <v>3.1536000000000002E-2</v>
      </c>
      <c r="S120" s="759">
        <v>0.5</v>
      </c>
      <c r="T120" s="206">
        <f ca="1">IF(HLOOKUP($T$2,INDIRECT("'"&amp;$B120&amp;"'!"&amp;"$P$6:$AE$19"),IF(H120=$AI$13,6,IF(H120=$AI$14,9,14)),FALSE)&lt;0.03,0,HLOOKUP($T$2,INDIRECT("'"&amp;$B120&amp;"'!"&amp;"$P$6:$AE$19"),IF(H120=$AI$13,6,IF(H120=$AI$14,9,14)),FALSE))</f>
        <v>1</v>
      </c>
      <c r="U120" s="832"/>
      <c r="V120" s="759">
        <f ca="1">IF(IF(RIGHT(H120,2)="MT",(1-L120)+$W$2,IF(RIGHT(H120,2)="HT",(1-L120)+$W$1,IF(RIGHT(H120,2)="RH",(1-L120)+$W$3,"")))&lt;0,0,IF(RIGHT(H120,2)="MT",(1-L120)+$W$2,IF(RIGHT(H120,2)="HT",(1-L120)+$W$1,IF(RIGHT(H120,2)="RH",(1-L120)+$W$3,""))))</f>
        <v>0.36000000000000004</v>
      </c>
      <c r="W120" s="331"/>
      <c r="X120" s="758">
        <f t="shared" ca="1" si="82"/>
        <v>0.5</v>
      </c>
      <c r="Y120" s="332">
        <f t="shared" ca="1" si="111"/>
        <v>25</v>
      </c>
      <c r="Z120" s="332">
        <f t="shared" ca="1" si="112"/>
        <v>0</v>
      </c>
      <c r="AA120" s="332">
        <f t="shared" ca="1" si="113"/>
        <v>0</v>
      </c>
      <c r="AB120" s="332">
        <f t="shared" ca="1" si="114"/>
        <v>0.1</v>
      </c>
      <c r="AD120" s="332">
        <v>2020</v>
      </c>
      <c r="AE120" s="81"/>
      <c r="AF120" s="232"/>
    </row>
    <row r="121" spans="2:32">
      <c r="B121" s="778" t="s">
        <v>1134</v>
      </c>
      <c r="C121" s="241"/>
      <c r="D121" s="223" t="str">
        <f ca="1">IF(T120=0,"*",IF(T121&gt;0,"IND"&amp;RIGHT(H120,4)&amp;RIGHT(G120,3)&amp;"N"&amp;RIGHT(E120,1),""))</f>
        <v/>
      </c>
      <c r="E121" s="223"/>
      <c r="F121" s="239" t="s">
        <v>1274</v>
      </c>
      <c r="H121" s="177"/>
      <c r="I121" s="177" t="str">
        <f t="shared" si="80"/>
        <v>INDGWH</v>
      </c>
      <c r="J121" s="239">
        <f t="shared" si="81"/>
        <v>2030</v>
      </c>
      <c r="K121" s="81"/>
      <c r="L121" s="206">
        <f t="shared" ca="1" si="107"/>
        <v>0.95</v>
      </c>
      <c r="M121" s="206"/>
      <c r="N121" s="81"/>
      <c r="O121" s="783">
        <f t="shared" ca="1" si="108"/>
        <v>0.3469940346244772</v>
      </c>
      <c r="P121" s="783">
        <f t="shared" ca="1" si="109"/>
        <v>1.2664999999999999E-2</v>
      </c>
      <c r="Q121" s="81">
        <f t="shared" ca="1" si="110"/>
        <v>1.8625</v>
      </c>
      <c r="R121" s="333"/>
      <c r="S121" s="333"/>
      <c r="T121" s="333"/>
      <c r="U121" s="333"/>
      <c r="V121" s="759">
        <f ca="1">IF(IF(RIGHT(H120,2)="MT",(1-L121)+$W$2,IF(RIGHT(H120,2)="HT",(1-L121)+$W$1,IF(RIGHT(H120,2)="RH",(1-L121)+$W$3,"")))&lt;0,0,IF(RIGHT(H120,2)="MT",(1-L121)+$W$2,IF(RIGHT(H120,2)="HT",(1-L121)+$W$1,IF(RIGHT(H120,2)="RH",(1-L121)+$W$3,""))))</f>
        <v>0.35000000000000003</v>
      </c>
      <c r="W121" s="331"/>
      <c r="X121" s="758">
        <f t="shared" ca="1" si="82"/>
        <v>0.5</v>
      </c>
      <c r="Y121" s="81">
        <f t="shared" ca="1" si="111"/>
        <v>20</v>
      </c>
      <c r="Z121" s="81">
        <f t="shared" ca="1" si="112"/>
        <v>0</v>
      </c>
      <c r="AA121" s="81">
        <f t="shared" ca="1" si="113"/>
        <v>0</v>
      </c>
      <c r="AB121" s="81">
        <f t="shared" ca="1" si="114"/>
        <v>0.1</v>
      </c>
      <c r="AD121" s="81">
        <v>2030</v>
      </c>
      <c r="AE121" s="81"/>
      <c r="AF121" s="232"/>
    </row>
    <row r="122" spans="2:32">
      <c r="B122" s="778" t="s">
        <v>1134</v>
      </c>
      <c r="C122" s="241"/>
      <c r="D122" s="223" t="str">
        <f ca="1">IF(T120=0,"*",IF(T122&gt;0,"IND"&amp;RIGHT(H120,4)&amp;RIGHT(G120,3)&amp;"N"&amp;RIGHT(E120,1),""))</f>
        <v/>
      </c>
      <c r="E122" s="223"/>
      <c r="F122" s="239" t="s">
        <v>1274</v>
      </c>
      <c r="H122" s="177"/>
      <c r="I122" s="177" t="str">
        <f t="shared" si="80"/>
        <v>INDGWH</v>
      </c>
      <c r="J122" s="239">
        <f t="shared" si="81"/>
        <v>2050</v>
      </c>
      <c r="K122" s="81"/>
      <c r="L122" s="206">
        <f t="shared" ca="1" si="107"/>
        <v>0.96</v>
      </c>
      <c r="M122" s="206"/>
      <c r="N122" s="81"/>
      <c r="O122" s="783">
        <f t="shared" ca="1" si="108"/>
        <v>0.32813985758696651</v>
      </c>
      <c r="P122" s="783">
        <f t="shared" ca="1" si="109"/>
        <v>1.1175000000000001E-2</v>
      </c>
      <c r="Q122" s="81">
        <f t="shared" ca="1" si="110"/>
        <v>1.8625</v>
      </c>
      <c r="R122" s="333"/>
      <c r="S122" s="333"/>
      <c r="T122" s="333"/>
      <c r="U122" s="333"/>
      <c r="V122" s="759">
        <f ca="1">IF(IF(RIGHT(H120,2)="MT",(1-L122)+$W$2,IF(RIGHT(H120,2)="HT",(1-L122)+$W$1,IF(RIGHT(H120,2)="RH",(1-L122)+$W$3,"")))&lt;0,0,IF(RIGHT(H120,2)="MT",(1-L122)+$W$2,IF(RIGHT(H120,2)="HT",(1-L122)+$W$1,IF(RIGHT(H120,2)="RH",(1-L122)+$W$3,""))))</f>
        <v>0.34</v>
      </c>
      <c r="W122" s="331"/>
      <c r="X122" s="758">
        <f t="shared" ca="1" si="82"/>
        <v>0.5</v>
      </c>
      <c r="Y122" s="81">
        <f t="shared" ca="1" si="111"/>
        <v>15</v>
      </c>
      <c r="Z122" s="81">
        <f t="shared" ca="1" si="112"/>
        <v>0</v>
      </c>
      <c r="AA122" s="81">
        <f t="shared" ca="1" si="113"/>
        <v>0</v>
      </c>
      <c r="AB122" s="81">
        <f t="shared" ca="1" si="114"/>
        <v>0.1</v>
      </c>
      <c r="AD122" s="81">
        <v>2050</v>
      </c>
      <c r="AE122" s="81"/>
      <c r="AF122" s="232"/>
    </row>
    <row r="123" spans="2:32">
      <c r="B123" s="778" t="s">
        <v>1134</v>
      </c>
      <c r="C123" s="241"/>
      <c r="D123" s="223" t="str">
        <f ca="1">IF(T123=0,"*",IF(T123&gt;0,"IND"&amp;RIGHT(H123,4)&amp;RIGHT(G123,3)&amp;"N"&amp;RIGHT(E123,1),""))</f>
        <v>INDGDMTDSEN1</v>
      </c>
      <c r="E123" s="278" t="str">
        <f>"Industrial heating technology "&amp;$AJ$12&amp;" "&amp;RIGHT(H123,2)&amp;" - Oil boiler (Steam) - new 1"</f>
        <v>Industrial heating technology Glass &amp; Concrete MT - Oil boiler (Steam) - new 1</v>
      </c>
      <c r="F123" s="239" t="s">
        <v>1274</v>
      </c>
      <c r="G123" s="176" t="s">
        <v>1437</v>
      </c>
      <c r="H123" s="177" t="str">
        <f>$AI$14</f>
        <v>IGDMT</v>
      </c>
      <c r="I123" s="177" t="str">
        <f t="shared" si="80"/>
        <v>INDGWH</v>
      </c>
      <c r="J123" s="239">
        <f t="shared" si="81"/>
        <v>2011</v>
      </c>
      <c r="K123" s="332">
        <f>J123</f>
        <v>2011</v>
      </c>
      <c r="L123" s="206">
        <f t="shared" ca="1" si="107"/>
        <v>0.94</v>
      </c>
      <c r="M123" s="206"/>
      <c r="N123" s="81">
        <f ca="1">VLOOKUP($AD123,INDIRECT("'"&amp;$B123&amp;"'!"&amp;"$P$39:$AD$42"),5,FALSE)</f>
        <v>25</v>
      </c>
      <c r="O123" s="783">
        <f t="shared" ca="1" si="108"/>
        <v>0.40975</v>
      </c>
      <c r="P123" s="783">
        <f t="shared" ca="1" si="109"/>
        <v>1.341E-2</v>
      </c>
      <c r="Q123" s="81">
        <f t="shared" ca="1" si="110"/>
        <v>2.0694444444444446</v>
      </c>
      <c r="R123" s="81">
        <v>3.1536000000000002E-2</v>
      </c>
      <c r="S123" s="206">
        <v>0.5</v>
      </c>
      <c r="T123" s="206">
        <f ca="1">IF(HLOOKUP($T$2,INDIRECT("'"&amp;$B123&amp;"'!"&amp;"$P$6:$AE$19"),IF(H123=$AI$13,6,IF(H123=$AI$14,9,14)),FALSE)&lt;0.03,0,HLOOKUP($T$2,INDIRECT("'"&amp;$B123&amp;"'!"&amp;"$P$6:$AE$19"),IF(H123=$AI$13,6,IF(H123=$AI$14,9,14)),FALSE))</f>
        <v>0.97</v>
      </c>
      <c r="U123" s="832"/>
      <c r="V123" s="759">
        <f ca="1">IF(IF(RIGHT(H123,2)="MT",(1-L123)+$W$2,IF(RIGHT(H123,2)="HT",(1-L123)+$W$1,IF(RIGHT(H123,2)="RH",(1-L123)+$W$3,"")))&lt;0,0,IF(RIGHT(H123,2)="MT",(1-L123)+$W$2,IF(RIGHT(H123,2)="HT",(1-L123)+$W$1,IF(RIGHT(H123,2)="RH",(1-L123)+$W$3,""))))</f>
        <v>0.26000000000000006</v>
      </c>
      <c r="W123" s="331"/>
      <c r="X123" s="758">
        <f t="shared" ca="1" si="82"/>
        <v>0.5</v>
      </c>
      <c r="Y123" s="81">
        <f t="shared" ca="1" si="111"/>
        <v>25</v>
      </c>
      <c r="Z123" s="81">
        <f t="shared" ca="1" si="112"/>
        <v>0</v>
      </c>
      <c r="AA123" s="81">
        <f t="shared" ca="1" si="113"/>
        <v>0</v>
      </c>
      <c r="AB123" s="81">
        <f t="shared" ca="1" si="114"/>
        <v>0.1</v>
      </c>
      <c r="AD123" s="81">
        <v>2020</v>
      </c>
      <c r="AE123" s="81"/>
      <c r="AF123" s="232"/>
    </row>
    <row r="124" spans="2:32">
      <c r="B124" s="778" t="s">
        <v>1134</v>
      </c>
      <c r="C124" s="241"/>
      <c r="D124" s="223" t="str">
        <f ca="1">IF(T123=0,"*",IF(T124&gt;0,"IND"&amp;RIGHT(H123,4)&amp;RIGHT(G123,3)&amp;"N"&amp;RIGHT(E123,1),""))</f>
        <v/>
      </c>
      <c r="E124" s="223"/>
      <c r="F124" s="239" t="s">
        <v>1274</v>
      </c>
      <c r="H124" s="177"/>
      <c r="I124" s="177" t="str">
        <f t="shared" si="80"/>
        <v>INDGWH</v>
      </c>
      <c r="J124" s="239">
        <f t="shared" si="81"/>
        <v>2030</v>
      </c>
      <c r="K124" s="81"/>
      <c r="L124" s="206">
        <f t="shared" ca="1" si="107"/>
        <v>0.95</v>
      </c>
      <c r="M124" s="206"/>
      <c r="N124" s="81"/>
      <c r="O124" s="783">
        <f t="shared" ca="1" si="108"/>
        <v>0.3469940346244772</v>
      </c>
      <c r="P124" s="783">
        <f t="shared" ca="1" si="109"/>
        <v>1.2664999999999999E-2</v>
      </c>
      <c r="Q124" s="81">
        <f t="shared" ca="1" si="110"/>
        <v>1.8625</v>
      </c>
      <c r="R124" s="333"/>
      <c r="S124" s="333"/>
      <c r="T124" s="333"/>
      <c r="U124" s="333"/>
      <c r="V124" s="759">
        <f ca="1">IF(IF(RIGHT(H123,2)="MT",(1-L124)+$W$2,IF(RIGHT(H123,2)="HT",(1-L124)+$W$1,IF(RIGHT(H123,2)="RH",(1-L124)+$W$3,"")))&lt;0,0,IF(RIGHT(H123,2)="MT",(1-L124)+$W$2,IF(RIGHT(H123,2)="HT",(1-L124)+$W$1,IF(RIGHT(H123,2)="RH",(1-L124)+$W$3,""))))</f>
        <v>0.25000000000000006</v>
      </c>
      <c r="W124" s="331"/>
      <c r="X124" s="758">
        <f t="shared" ca="1" si="82"/>
        <v>0.5</v>
      </c>
      <c r="Y124" s="81">
        <f t="shared" ca="1" si="111"/>
        <v>20</v>
      </c>
      <c r="Z124" s="81">
        <f t="shared" ca="1" si="112"/>
        <v>0</v>
      </c>
      <c r="AA124" s="81">
        <f t="shared" ca="1" si="113"/>
        <v>0</v>
      </c>
      <c r="AB124" s="81">
        <f t="shared" ca="1" si="114"/>
        <v>0.1</v>
      </c>
      <c r="AD124" s="81">
        <v>2030</v>
      </c>
      <c r="AE124" s="81"/>
      <c r="AF124" s="232"/>
    </row>
    <row r="125" spans="2:32">
      <c r="B125" s="778" t="s">
        <v>1134</v>
      </c>
      <c r="C125" s="241"/>
      <c r="D125" s="223" t="str">
        <f ca="1">IF(T123=0,"*",IF(T125&gt;0,"IND"&amp;RIGHT(H123,4)&amp;RIGHT(G123,3)&amp;"N"&amp;RIGHT(E123,1),""))</f>
        <v/>
      </c>
      <c r="E125" s="223"/>
      <c r="F125" s="239" t="s">
        <v>1274</v>
      </c>
      <c r="H125" s="177"/>
      <c r="I125" s="177" t="str">
        <f t="shared" si="80"/>
        <v>INDGWH</v>
      </c>
      <c r="J125" s="239">
        <f t="shared" si="81"/>
        <v>2050</v>
      </c>
      <c r="K125" s="81"/>
      <c r="L125" s="206">
        <f t="shared" ca="1" si="107"/>
        <v>0.96</v>
      </c>
      <c r="M125" s="206"/>
      <c r="N125" s="81"/>
      <c r="O125" s="783">
        <f t="shared" ca="1" si="108"/>
        <v>0.32813985758696651</v>
      </c>
      <c r="P125" s="783">
        <f t="shared" ca="1" si="109"/>
        <v>1.1175000000000001E-2</v>
      </c>
      <c r="Q125" s="81">
        <f t="shared" ca="1" si="110"/>
        <v>1.8625</v>
      </c>
      <c r="R125" s="333"/>
      <c r="S125" s="333"/>
      <c r="T125" s="333"/>
      <c r="U125" s="333"/>
      <c r="V125" s="759">
        <f ca="1">IF(IF(RIGHT(H123,2)="MT",(1-L125)+$W$2,IF(RIGHT(H123,2)="HT",(1-L125)+$W$1,IF(RIGHT(H123,2)="RH",(1-L125)+$W$3,"")))&lt;0,0,IF(RIGHT(H123,2)="MT",(1-L125)+$W$2,IF(RIGHT(H123,2)="HT",(1-L125)+$W$1,IF(RIGHT(H123,2)="RH",(1-L125)+$W$3,""))))</f>
        <v>0.24000000000000005</v>
      </c>
      <c r="W125" s="331"/>
      <c r="X125" s="758">
        <f t="shared" ca="1" si="82"/>
        <v>0.5</v>
      </c>
      <c r="Y125" s="81">
        <f t="shared" ca="1" si="111"/>
        <v>15</v>
      </c>
      <c r="Z125" s="81">
        <f t="shared" ca="1" si="112"/>
        <v>0</v>
      </c>
      <c r="AA125" s="81">
        <f t="shared" ca="1" si="113"/>
        <v>0</v>
      </c>
      <c r="AB125" s="81">
        <f t="shared" ca="1" si="114"/>
        <v>0.1</v>
      </c>
      <c r="AC125" s="211"/>
      <c r="AD125" s="81">
        <v>2050</v>
      </c>
      <c r="AE125" s="81"/>
      <c r="AF125" s="765"/>
    </row>
    <row r="126" spans="2:32">
      <c r="B126" s="778" t="s">
        <v>1134</v>
      </c>
      <c r="C126" s="241"/>
      <c r="D126" s="223" t="str">
        <f ca="1">IF(T126=0,"*",IF(T126&gt;0,"IND"&amp;RIGHT(H126,4)&amp;RIGHT(G126,3)&amp;"N"&amp;RIGHT(E126,1),""))</f>
        <v>INDGDRHDSEN1</v>
      </c>
      <c r="E126" s="278" t="str">
        <f>"Industrial heating technology "&amp;$AJ$12&amp;" "&amp;RIGHT(H126,2)&amp;" - Oil boiler (Steam) - new 1"</f>
        <v>Industrial heating technology Glass &amp; Concrete RH - Oil boiler (Steam) - new 1</v>
      </c>
      <c r="F126" s="239" t="s">
        <v>1274</v>
      </c>
      <c r="G126" s="176" t="s">
        <v>1437</v>
      </c>
      <c r="H126" s="177" t="str">
        <f>$AI$15</f>
        <v>IGDRH</v>
      </c>
      <c r="I126" s="177" t="str">
        <f t="shared" si="80"/>
        <v>INDGWH</v>
      </c>
      <c r="J126" s="239">
        <f t="shared" si="81"/>
        <v>2011</v>
      </c>
      <c r="K126" s="332">
        <f>J126</f>
        <v>2011</v>
      </c>
      <c r="L126" s="206">
        <f t="shared" ca="1" si="107"/>
        <v>0.94</v>
      </c>
      <c r="M126" s="206"/>
      <c r="N126" s="81">
        <f ca="1">VLOOKUP($AD126,INDIRECT("'"&amp;$B126&amp;"'!"&amp;"$P$39:$AD$42"),5,FALSE)</f>
        <v>25</v>
      </c>
      <c r="O126" s="783">
        <f t="shared" ca="1" si="108"/>
        <v>0.40975</v>
      </c>
      <c r="P126" s="783">
        <f t="shared" ca="1" si="109"/>
        <v>1.341E-2</v>
      </c>
      <c r="Q126" s="81">
        <f t="shared" ca="1" si="110"/>
        <v>2.0694444444444446</v>
      </c>
      <c r="R126" s="81">
        <v>3.1536000000000002E-2</v>
      </c>
      <c r="S126" s="206">
        <v>0.5</v>
      </c>
      <c r="T126" s="206">
        <f ca="1">IF(HLOOKUP($T$2,INDIRECT("'"&amp;$B126&amp;"'!"&amp;"$P$6:$AE$19"),IF(H126=$AI$13,6,IF(H126=$AI$14,9,14)),FALSE)&lt;0.03,0,HLOOKUP($T$2,INDIRECT("'"&amp;$B126&amp;"'!"&amp;"$P$6:$AE$19"),IF(H126=$AI$13,6,IF(H126=$AI$14,9,14)),FALSE))</f>
        <v>1</v>
      </c>
      <c r="U126" s="832"/>
      <c r="V126" s="759">
        <f ca="1">IF(IF(RIGHT(H126,2)="MT",(1-L126)+$W$2,IF(RIGHT(H126,2)="HT",(1-L126)+$W$1,IF(RIGHT(H126,2)="RH",(1-L126)+$W$3,"")))&lt;0,0,IF(RIGHT(H126,2)="MT",(1-L126)+$W$2,IF(RIGHT(H126,2)="HT",(1-L126)+$W$1,IF(RIGHT(H126,2)="RH",(1-L126)+$W$3,""))))</f>
        <v>6.0000000000000053E-2</v>
      </c>
      <c r="W126" s="331"/>
      <c r="X126" s="758">
        <f t="shared" ca="1" si="82"/>
        <v>0.5</v>
      </c>
      <c r="Y126" s="81">
        <f t="shared" ca="1" si="111"/>
        <v>25</v>
      </c>
      <c r="Z126" s="81">
        <f t="shared" ca="1" si="112"/>
        <v>0</v>
      </c>
      <c r="AA126" s="81">
        <f t="shared" ca="1" si="113"/>
        <v>0</v>
      </c>
      <c r="AB126" s="81">
        <f t="shared" ca="1" si="114"/>
        <v>0.1</v>
      </c>
      <c r="AC126" s="329"/>
      <c r="AD126" s="81">
        <v>2020</v>
      </c>
      <c r="AE126" s="81"/>
      <c r="AF126" s="770"/>
    </row>
    <row r="127" spans="2:32">
      <c r="B127" s="778" t="s">
        <v>1134</v>
      </c>
      <c r="C127" s="241"/>
      <c r="D127" s="223" t="str">
        <f ca="1">IF(T126=0,"*",IF(T127&gt;0,"IND"&amp;RIGHT(H126,4)&amp;RIGHT(G126,3)&amp;"N"&amp;RIGHT(E126,1),""))</f>
        <v/>
      </c>
      <c r="E127" s="223"/>
      <c r="F127" s="239" t="s">
        <v>1274</v>
      </c>
      <c r="H127" s="177"/>
      <c r="I127" s="177" t="str">
        <f t="shared" ref="I127:I158" si="115">$AI$20</f>
        <v>INDGWH</v>
      </c>
      <c r="J127" s="239">
        <f t="shared" ref="J127:J158" si="116">IF(AD127=2020,2011,AD127)</f>
        <v>2030</v>
      </c>
      <c r="K127" s="81"/>
      <c r="L127" s="206">
        <f t="shared" ca="1" si="107"/>
        <v>0.95</v>
      </c>
      <c r="M127" s="206"/>
      <c r="N127" s="81"/>
      <c r="O127" s="783">
        <f t="shared" ca="1" si="108"/>
        <v>0.3469940346244772</v>
      </c>
      <c r="P127" s="783">
        <f t="shared" ca="1" si="109"/>
        <v>1.2664999999999999E-2</v>
      </c>
      <c r="Q127" s="81">
        <f t="shared" ca="1" si="110"/>
        <v>1.8625</v>
      </c>
      <c r="R127" s="333"/>
      <c r="S127" s="333"/>
      <c r="T127" s="333"/>
      <c r="U127" s="333"/>
      <c r="V127" s="759">
        <f ca="1">IF(IF(RIGHT(H126,2)="MT",(1-L127)+$W$2,IF(RIGHT(H126,2)="HT",(1-L127)+$W$1,IF(RIGHT(H126,2)="RH",(1-L127)+$W$3,"")))&lt;0,0,IF(RIGHT(H126,2)="MT",(1-L127)+$W$2,IF(RIGHT(H126,2)="HT",(1-L127)+$W$1,IF(RIGHT(H126,2)="RH",(1-L127)+$W$3,""))))</f>
        <v>5.0000000000000044E-2</v>
      </c>
      <c r="W127" s="331"/>
      <c r="X127" s="758">
        <f t="shared" ref="X127:X158" ca="1" si="117">IF(VLOOKUP($AD127,INDIRECT("'"&amp;$B127&amp;"'!"&amp;"$P$39:$AD$42"),11,FALSE)="Cf. the utilized electricity",0,VLOOKUP($AD127,INDIRECT("'"&amp;$B127&amp;"'!"&amp;"$P$39:$AD$42"),11,FALSE))</f>
        <v>0.5</v>
      </c>
      <c r="Y127" s="81">
        <f t="shared" ca="1" si="111"/>
        <v>20</v>
      </c>
      <c r="Z127" s="81">
        <f t="shared" ca="1" si="112"/>
        <v>0</v>
      </c>
      <c r="AA127" s="81">
        <f t="shared" ca="1" si="113"/>
        <v>0</v>
      </c>
      <c r="AB127" s="81">
        <f t="shared" ca="1" si="114"/>
        <v>0.1</v>
      </c>
      <c r="AC127" s="55"/>
      <c r="AD127" s="81">
        <v>2030</v>
      </c>
      <c r="AE127" s="81"/>
      <c r="AF127" s="760"/>
    </row>
    <row r="128" spans="2:32">
      <c r="B128" s="779" t="s">
        <v>1134</v>
      </c>
      <c r="C128" s="773"/>
      <c r="D128" s="223" t="str">
        <f ca="1">IF(T126=0,"*",IF(T128&gt;0,"IND"&amp;RIGHT(H126,4)&amp;RIGHT(G126,3)&amp;"N"&amp;RIGHT(E126,1),""))</f>
        <v/>
      </c>
      <c r="E128" s="761"/>
      <c r="F128" s="239" t="s">
        <v>1274</v>
      </c>
      <c r="G128" s="211"/>
      <c r="H128" s="762"/>
      <c r="I128" s="762" t="str">
        <f t="shared" si="115"/>
        <v>INDGWH</v>
      </c>
      <c r="J128" s="239">
        <f t="shared" si="116"/>
        <v>2050</v>
      </c>
      <c r="K128" s="81"/>
      <c r="L128" s="206">
        <f t="shared" ca="1" si="107"/>
        <v>0.96</v>
      </c>
      <c r="M128" s="206"/>
      <c r="N128" s="81"/>
      <c r="O128" s="783">
        <f t="shared" ca="1" si="108"/>
        <v>0.32813985758696651</v>
      </c>
      <c r="P128" s="783">
        <f t="shared" ca="1" si="109"/>
        <v>1.1175000000000001E-2</v>
      </c>
      <c r="Q128" s="81">
        <f t="shared" ca="1" si="110"/>
        <v>1.8625</v>
      </c>
      <c r="R128" s="763"/>
      <c r="S128" s="763"/>
      <c r="T128" s="763"/>
      <c r="U128" s="763"/>
      <c r="V128" s="759">
        <f ca="1">IF(IF(RIGHT(H126,2)="MT",(1-L128)+$W$2,IF(RIGHT(H126,2)="HT",(1-L128)+$W$1,IF(RIGHT(H126,2)="RH",(1-L128)+$W$3,"")))&lt;0,0,IF(RIGHT(H126,2)="MT",(1-L128)+$W$2,IF(RIGHT(H126,2)="HT",(1-L128)+$W$1,IF(RIGHT(H126,2)="RH",(1-L128)+$W$3,""))))</f>
        <v>4.0000000000000036E-2</v>
      </c>
      <c r="W128" s="764"/>
      <c r="X128" s="758">
        <f t="shared" ca="1" si="117"/>
        <v>0.5</v>
      </c>
      <c r="Y128" s="81">
        <f t="shared" ca="1" si="111"/>
        <v>15</v>
      </c>
      <c r="Z128" s="81">
        <f t="shared" ca="1" si="112"/>
        <v>0</v>
      </c>
      <c r="AA128" s="81">
        <f t="shared" ca="1" si="113"/>
        <v>0</v>
      </c>
      <c r="AB128" s="81">
        <f t="shared" ca="1" si="114"/>
        <v>0.1</v>
      </c>
      <c r="AC128" s="55"/>
      <c r="AD128" s="81">
        <v>2050</v>
      </c>
      <c r="AE128" s="81"/>
      <c r="AF128" s="760"/>
    </row>
    <row r="129" spans="2:32">
      <c r="B129" s="778" t="s">
        <v>1134</v>
      </c>
      <c r="C129" s="241"/>
      <c r="D129" s="223" t="str">
        <f ca="1">IF(T129=0,"*",IF(T129&gt;0,"IND"&amp;RIGHT(H129,4)&amp;RIGHT(G129,3)&amp;"N"&amp;RIGHT(E129,1),""))</f>
        <v>INDGDMTDSEN2</v>
      </c>
      <c r="E129" s="767" t="str">
        <f>"Industrial heating technology "&amp;$AJ$12&amp;" "&amp;RIGHT(H129,2)&amp;" - Oil boiler (Steam - condensing) - new 2"</f>
        <v>Industrial heating technology Glass &amp; Concrete MT - Oil boiler (Steam - condensing) - new 2</v>
      </c>
      <c r="F129" s="239" t="s">
        <v>1274</v>
      </c>
      <c r="G129" s="176" t="s">
        <v>1437</v>
      </c>
      <c r="H129" s="768" t="str">
        <f>$AI$14</f>
        <v>IGDMT</v>
      </c>
      <c r="I129" s="768" t="str">
        <f t="shared" si="115"/>
        <v>INDGWH</v>
      </c>
      <c r="J129" s="239">
        <f t="shared" si="116"/>
        <v>2011</v>
      </c>
      <c r="K129" s="332">
        <f>J129</f>
        <v>2011</v>
      </c>
      <c r="L129" s="206">
        <f t="shared" ref="L129:L134" ca="1" si="118">VLOOKUP($AD129,INDIRECT("'"&amp;$B129&amp;"'!"&amp;"$P$118:$AD$121"),3,FALSE)</f>
        <v>0.95</v>
      </c>
      <c r="M129" s="206"/>
      <c r="N129" s="81">
        <f ca="1">VLOOKUP($AD129,INDIRECT("'"&amp;$B129&amp;"'!"&amp;"$P$118:$AD$121"),5,FALSE)</f>
        <v>25</v>
      </c>
      <c r="O129" s="783">
        <f t="shared" ref="O129:O134" ca="1" si="119">VLOOKUP($AD129,INDIRECT("'"&amp;$B129&amp;"'!"&amp;"$P$118:$AD$121"),6,FALSE)/1000</f>
        <v>0.32780000000000004</v>
      </c>
      <c r="P129" s="783">
        <f t="shared" ref="P129:P134" ca="1" si="120">VLOOKUP($AD129,INDIRECT("'"&amp;$B129&amp;"'!"&amp;"$P$118:$AD$121"),7,FALSE)/1000</f>
        <v>1.341E-2</v>
      </c>
      <c r="Q129" s="81">
        <f t="shared" ref="Q129:Q134" ca="1" si="121">VLOOKUP($AD129,INDIRECT("'"&amp;$B129&amp;"'!"&amp;"$P$118:$AD$121"),8,FALSE)</f>
        <v>2.0694444444444446</v>
      </c>
      <c r="R129" s="81">
        <v>3.1536000000000002E-2</v>
      </c>
      <c r="S129" s="206">
        <v>0.5</v>
      </c>
      <c r="T129" s="206">
        <f ca="1">IF(HLOOKUP($T$2,INDIRECT("'"&amp;$B129&amp;"'!"&amp;"$P$6:$AE$19"),IF(H129=$AI$13,6,IF(H129=$AI$14,9,14)),FALSE)&lt;0.03,0,HLOOKUP($T$2,INDIRECT("'"&amp;$B129&amp;"'!"&amp;"$P$6:$AE$19"),IF(H129=$AI$13,6,IF(H129=$AI$14,9,14)),FALSE))</f>
        <v>0.97</v>
      </c>
      <c r="U129" s="833"/>
      <c r="V129" s="759">
        <f ca="1">IF(IF(RIGHT(H129,2)="MT",(1-L129)+$W$2,IF(RIGHT(H129,2)="HT",(1-L129)+$W$1,IF(RIGHT(H129,2)="RH",(1-L129)+$W$3,"")))&lt;0,0,IF(RIGHT(H129,2)="MT",(1-L129)+$W$2,IF(RIGHT(H129,2)="HT",(1-L129)+$W$1,IF(RIGHT(H129,2)="RH",(1-L129)+$W$3,""))))</f>
        <v>0.25000000000000006</v>
      </c>
      <c r="W129" s="769"/>
      <c r="X129" s="758">
        <f t="shared" ca="1" si="117"/>
        <v>0.5</v>
      </c>
      <c r="Y129" s="758">
        <f t="shared" ref="Y129:Y134" ca="1" si="122">VLOOKUP($AD129,INDIRECT("'"&amp;$B129&amp;"'!"&amp;"$P$118:$AD$121"),12,FALSE)</f>
        <v>25</v>
      </c>
      <c r="Z129" s="758">
        <f t="shared" ref="Z129:Z134" ca="1" si="123">VLOOKUP($AD129,INDIRECT("'"&amp;$B129&amp;"'!"&amp;"$P$118:$AD$121"),13,FALSE)</f>
        <v>0</v>
      </c>
      <c r="AA129" s="758">
        <f t="shared" ref="AA129:AA134" ca="1" si="124">VLOOKUP($AD129,INDIRECT("'"&amp;$B129&amp;"'!"&amp;"$P$118:$AD$121"),14,FALSE)</f>
        <v>0</v>
      </c>
      <c r="AB129" s="758">
        <f t="shared" ref="AB129:AB134" ca="1" si="125">VLOOKUP($AD129,INDIRECT("'"&amp;$B129&amp;"'!"&amp;"$P$118:$AD$121"),15,FALSE)</f>
        <v>0.1</v>
      </c>
      <c r="AC129" s="55"/>
      <c r="AD129" s="81">
        <v>2020</v>
      </c>
      <c r="AE129" s="81"/>
      <c r="AF129" s="760"/>
    </row>
    <row r="130" spans="2:32">
      <c r="B130" s="778" t="s">
        <v>1134</v>
      </c>
      <c r="C130" s="241"/>
      <c r="D130" s="223" t="str">
        <f ca="1">IF(T129=0,"*",IF(T130&gt;0,"IND"&amp;RIGHT(H129,4)&amp;RIGHT(G129,3)&amp;"N"&amp;RIGHT(E129,1),""))</f>
        <v/>
      </c>
      <c r="E130" s="278"/>
      <c r="F130" s="239" t="s">
        <v>1274</v>
      </c>
      <c r="G130" s="55"/>
      <c r="H130" s="177"/>
      <c r="I130" s="177" t="str">
        <f t="shared" si="115"/>
        <v>INDGWH</v>
      </c>
      <c r="J130" s="239">
        <f t="shared" si="116"/>
        <v>2030</v>
      </c>
      <c r="K130" s="81"/>
      <c r="L130" s="206">
        <f t="shared" ca="1" si="118"/>
        <v>0.96</v>
      </c>
      <c r="M130" s="206"/>
      <c r="N130" s="81"/>
      <c r="O130" s="783">
        <f t="shared" ca="1" si="119"/>
        <v>0.27759522769958173</v>
      </c>
      <c r="P130" s="783">
        <f t="shared" ca="1" si="120"/>
        <v>1.2664999999999999E-2</v>
      </c>
      <c r="Q130" s="81">
        <f t="shared" ca="1" si="121"/>
        <v>1.8625</v>
      </c>
      <c r="R130" s="333"/>
      <c r="S130" s="333"/>
      <c r="T130" s="333"/>
      <c r="U130" s="333"/>
      <c r="V130" s="759">
        <f ca="1">IF(IF(RIGHT(H129,2)="MT",(1-L130)+$W$2,IF(RIGHT(H129,2)="HT",(1-L130)+$W$1,IF(RIGHT(H129,2)="RH",(1-L130)+$W$3,"")))&lt;0,0,IF(RIGHT(H129,2)="MT",(1-L130)+$W$2,IF(RIGHT(H129,2)="HT",(1-L130)+$W$1,IF(RIGHT(H129,2)="RH",(1-L130)+$W$3,""))))</f>
        <v>0.24000000000000005</v>
      </c>
      <c r="W130" s="331"/>
      <c r="X130" s="758">
        <f t="shared" ca="1" si="117"/>
        <v>0.5</v>
      </c>
      <c r="Y130" s="758">
        <f t="shared" ca="1" si="122"/>
        <v>20</v>
      </c>
      <c r="Z130" s="758">
        <f t="shared" ca="1" si="123"/>
        <v>0</v>
      </c>
      <c r="AA130" s="758">
        <f t="shared" ca="1" si="124"/>
        <v>0</v>
      </c>
      <c r="AB130" s="758">
        <f t="shared" ca="1" si="125"/>
        <v>0.1</v>
      </c>
      <c r="AC130" s="55"/>
      <c r="AD130" s="81">
        <v>2030</v>
      </c>
      <c r="AE130" s="81"/>
      <c r="AF130" s="760"/>
    </row>
    <row r="131" spans="2:32">
      <c r="B131" s="778" t="s">
        <v>1134</v>
      </c>
      <c r="C131" s="241"/>
      <c r="D131" s="223" t="str">
        <f ca="1">IF(T129=0,"*",IF(T131&gt;0,"IND"&amp;RIGHT(H129,4)&amp;RIGHT(G129,3)&amp;"N"&amp;RIGHT(E129,1),""))</f>
        <v/>
      </c>
      <c r="E131" s="278"/>
      <c r="F131" s="239" t="s">
        <v>1274</v>
      </c>
      <c r="G131" s="55"/>
      <c r="H131" s="177"/>
      <c r="I131" s="177" t="str">
        <f t="shared" si="115"/>
        <v>INDGWH</v>
      </c>
      <c r="J131" s="239">
        <f t="shared" si="116"/>
        <v>2050</v>
      </c>
      <c r="K131" s="81"/>
      <c r="L131" s="206">
        <f t="shared" ca="1" si="118"/>
        <v>0.97</v>
      </c>
      <c r="M131" s="206"/>
      <c r="N131" s="81"/>
      <c r="O131" s="783">
        <f t="shared" ca="1" si="119"/>
        <v>0.26251188606957326</v>
      </c>
      <c r="P131" s="783">
        <f t="shared" ca="1" si="120"/>
        <v>1.1175000000000001E-2</v>
      </c>
      <c r="Q131" s="81">
        <f t="shared" ca="1" si="121"/>
        <v>1.8625</v>
      </c>
      <c r="R131" s="333"/>
      <c r="S131" s="333"/>
      <c r="T131" s="333"/>
      <c r="U131" s="333"/>
      <c r="V131" s="759">
        <f ca="1">IF(IF(RIGHT(H129,2)="MT",(1-L131)+$W$2,IF(RIGHT(H129,2)="HT",(1-L131)+$W$1,IF(RIGHT(H129,2)="RH",(1-L131)+$W$3,"")))&lt;0,0,IF(RIGHT(H129,2)="MT",(1-L131)+$W$2,IF(RIGHT(H129,2)="HT",(1-L131)+$W$1,IF(RIGHT(H129,2)="RH",(1-L131)+$W$3,""))))</f>
        <v>0.23000000000000004</v>
      </c>
      <c r="W131" s="331"/>
      <c r="X131" s="758">
        <f t="shared" ca="1" si="117"/>
        <v>0.5</v>
      </c>
      <c r="Y131" s="758">
        <f t="shared" ca="1" si="122"/>
        <v>15</v>
      </c>
      <c r="Z131" s="758">
        <f t="shared" ca="1" si="123"/>
        <v>0</v>
      </c>
      <c r="AA131" s="758">
        <f t="shared" ca="1" si="124"/>
        <v>0</v>
      </c>
      <c r="AB131" s="758">
        <f t="shared" ca="1" si="125"/>
        <v>0.1</v>
      </c>
      <c r="AC131" s="211"/>
      <c r="AD131" s="81">
        <v>2050</v>
      </c>
      <c r="AE131" s="81"/>
      <c r="AF131" s="765"/>
    </row>
    <row r="132" spans="2:32">
      <c r="B132" s="778" t="s">
        <v>1134</v>
      </c>
      <c r="C132" s="241"/>
      <c r="D132" s="223" t="str">
        <f ca="1">IF(T132=0,"*",IF(T132&gt;0,"IND"&amp;RIGHT(H132,4)&amp;RIGHT(G132,3)&amp;"N"&amp;RIGHT(E132,1),""))</f>
        <v>INDGDRHDSEN2</v>
      </c>
      <c r="E132" s="278" t="str">
        <f>"Industrial heating technology "&amp;$AJ$12&amp;" "&amp;RIGHT(H132,2)&amp;" - Oil boiler (Steam - condensing) - new 2"</f>
        <v>Industrial heating technology Glass &amp; Concrete RH - Oil boiler (Steam - condensing) - new 2</v>
      </c>
      <c r="F132" s="239" t="s">
        <v>1274</v>
      </c>
      <c r="G132" s="176" t="s">
        <v>1437</v>
      </c>
      <c r="H132" s="177" t="str">
        <f>$AI$15</f>
        <v>IGDRH</v>
      </c>
      <c r="I132" s="177" t="str">
        <f t="shared" si="115"/>
        <v>INDGWH</v>
      </c>
      <c r="J132" s="239">
        <f t="shared" si="116"/>
        <v>2011</v>
      </c>
      <c r="K132" s="332">
        <f>J132</f>
        <v>2011</v>
      </c>
      <c r="L132" s="206">
        <f t="shared" ca="1" si="118"/>
        <v>0.95</v>
      </c>
      <c r="M132" s="206"/>
      <c r="N132" s="81">
        <f ca="1">VLOOKUP($AD132,INDIRECT("'"&amp;$B132&amp;"'!"&amp;"$P$118:$AD$121"),5,FALSE)</f>
        <v>25</v>
      </c>
      <c r="O132" s="783">
        <f t="shared" ca="1" si="119"/>
        <v>0.32780000000000004</v>
      </c>
      <c r="P132" s="783">
        <f t="shared" ca="1" si="120"/>
        <v>1.341E-2</v>
      </c>
      <c r="Q132" s="81">
        <f t="shared" ca="1" si="121"/>
        <v>2.0694444444444446</v>
      </c>
      <c r="R132" s="81">
        <v>3.1536000000000002E-2</v>
      </c>
      <c r="S132" s="206">
        <v>0.5</v>
      </c>
      <c r="T132" s="206">
        <f ca="1">IF(HLOOKUP($T$2,INDIRECT("'"&amp;$B132&amp;"'!"&amp;"$P$6:$AE$19"),IF(H132=$AI$13,6,IF(H132=$AI$14,9,14)),FALSE)&lt;0.03,0,HLOOKUP($T$2,INDIRECT("'"&amp;$B132&amp;"'!"&amp;"$P$6:$AE$19"),IF(H132=$AI$13,6,IF(H132=$AI$14,9,14)),FALSE))</f>
        <v>1</v>
      </c>
      <c r="U132" s="832"/>
      <c r="V132" s="759">
        <f ca="1">IF(IF(RIGHT(H132,2)="MT",(1-L132)+$W$2,IF(RIGHT(H132,2)="HT",(1-L132)+$W$1,IF(RIGHT(H132,2)="RH",(1-L132)+$W$3,"")))&lt;0,0,IF(RIGHT(H132,2)="MT",(1-L132)+$W$2,IF(RIGHT(H132,2)="HT",(1-L132)+$W$1,IF(RIGHT(H132,2)="RH",(1-L132)+$W$3,""))))</f>
        <v>5.0000000000000044E-2</v>
      </c>
      <c r="W132" s="331"/>
      <c r="X132" s="758">
        <f t="shared" ca="1" si="117"/>
        <v>0.5</v>
      </c>
      <c r="Y132" s="758">
        <f t="shared" ca="1" si="122"/>
        <v>25</v>
      </c>
      <c r="Z132" s="758">
        <f t="shared" ca="1" si="123"/>
        <v>0</v>
      </c>
      <c r="AA132" s="758">
        <f t="shared" ca="1" si="124"/>
        <v>0</v>
      </c>
      <c r="AB132" s="758">
        <f t="shared" ca="1" si="125"/>
        <v>0.1</v>
      </c>
      <c r="AD132" s="81">
        <v>2020</v>
      </c>
      <c r="AE132" s="332"/>
      <c r="AF132" s="232"/>
    </row>
    <row r="133" spans="2:32">
      <c r="B133" s="778" t="s">
        <v>1134</v>
      </c>
      <c r="C133" s="241"/>
      <c r="D133" s="223" t="str">
        <f ca="1">IF(T132=0,"*",IF(T133&gt;0,"IND"&amp;RIGHT(H132,4)&amp;RIGHT(G132,3)&amp;"N"&amp;RIGHT(E132,1),""))</f>
        <v/>
      </c>
      <c r="E133" s="278"/>
      <c r="F133" s="239" t="s">
        <v>1274</v>
      </c>
      <c r="G133" s="55"/>
      <c r="H133" s="177"/>
      <c r="I133" s="177" t="str">
        <f t="shared" si="115"/>
        <v>INDGWH</v>
      </c>
      <c r="J133" s="239">
        <f t="shared" si="116"/>
        <v>2030</v>
      </c>
      <c r="K133" s="81"/>
      <c r="L133" s="206">
        <f t="shared" ca="1" si="118"/>
        <v>0.96</v>
      </c>
      <c r="M133" s="206"/>
      <c r="N133" s="81"/>
      <c r="O133" s="783">
        <f t="shared" ca="1" si="119"/>
        <v>0.27759522769958173</v>
      </c>
      <c r="P133" s="783">
        <f t="shared" ca="1" si="120"/>
        <v>1.2664999999999999E-2</v>
      </c>
      <c r="Q133" s="81">
        <f t="shared" ca="1" si="121"/>
        <v>1.8625</v>
      </c>
      <c r="R133" s="333"/>
      <c r="S133" s="333"/>
      <c r="T133" s="333"/>
      <c r="U133" s="333"/>
      <c r="V133" s="759">
        <f ca="1">IF(IF(RIGHT(H132,2)="MT",(1-L133)+$W$2,IF(RIGHT(H132,2)="HT",(1-L133)+$W$1,IF(RIGHT(H132,2)="RH",(1-L133)+$W$3,"")))&lt;0,0,IF(RIGHT(H132,2)="MT",(1-L133)+$W$2,IF(RIGHT(H132,2)="HT",(1-L133)+$W$1,IF(RIGHT(H132,2)="RH",(1-L133)+$W$3,""))))</f>
        <v>4.0000000000000036E-2</v>
      </c>
      <c r="W133" s="331"/>
      <c r="X133" s="758">
        <f t="shared" ca="1" si="117"/>
        <v>0.5</v>
      </c>
      <c r="Y133" s="758">
        <f t="shared" ca="1" si="122"/>
        <v>20</v>
      </c>
      <c r="Z133" s="758">
        <f t="shared" ca="1" si="123"/>
        <v>0</v>
      </c>
      <c r="AA133" s="758">
        <f t="shared" ca="1" si="124"/>
        <v>0</v>
      </c>
      <c r="AB133" s="758">
        <f t="shared" ca="1" si="125"/>
        <v>0.1</v>
      </c>
      <c r="AD133" s="81">
        <v>2030</v>
      </c>
      <c r="AE133" s="81"/>
      <c r="AF133" s="232"/>
    </row>
    <row r="134" spans="2:32">
      <c r="B134" s="779" t="s">
        <v>1134</v>
      </c>
      <c r="C134" s="773"/>
      <c r="D134" s="223" t="str">
        <f ca="1">IF(T132=0,"*",IF(T134&gt;0,"IND"&amp;RIGHT(H132,4)&amp;RIGHT(G132,3)&amp;"N"&amp;RIGHT(E132,1),""))</f>
        <v/>
      </c>
      <c r="E134" s="761"/>
      <c r="F134" s="239" t="s">
        <v>1274</v>
      </c>
      <c r="G134" s="211"/>
      <c r="H134" s="762"/>
      <c r="I134" s="762" t="str">
        <f t="shared" si="115"/>
        <v>INDGWH</v>
      </c>
      <c r="J134" s="239">
        <f t="shared" si="116"/>
        <v>2050</v>
      </c>
      <c r="K134" s="81"/>
      <c r="L134" s="206">
        <f t="shared" ca="1" si="118"/>
        <v>0.97</v>
      </c>
      <c r="M134" s="206"/>
      <c r="N134" s="81"/>
      <c r="O134" s="783">
        <f t="shared" ca="1" si="119"/>
        <v>0.26251188606957326</v>
      </c>
      <c r="P134" s="783">
        <f t="shared" ca="1" si="120"/>
        <v>1.1175000000000001E-2</v>
      </c>
      <c r="Q134" s="81">
        <f t="shared" ca="1" si="121"/>
        <v>1.8625</v>
      </c>
      <c r="R134" s="763"/>
      <c r="S134" s="763"/>
      <c r="T134" s="763"/>
      <c r="U134" s="763"/>
      <c r="V134" s="759">
        <f ca="1">IF(IF(RIGHT(H132,2)="MT",(1-L134)+$W$2,IF(RIGHT(H132,2)="HT",(1-L134)+$W$1,IF(RIGHT(H132,2)="RH",(1-L134)+$W$3,"")))&lt;0,0,IF(RIGHT(H132,2)="MT",(1-L134)+$W$2,IF(RIGHT(H132,2)="HT",(1-L134)+$W$1,IF(RIGHT(H132,2)="RH",(1-L134)+$W$3,""))))</f>
        <v>3.0000000000000027E-2</v>
      </c>
      <c r="W134" s="764"/>
      <c r="X134" s="758">
        <f t="shared" ca="1" si="117"/>
        <v>0.5</v>
      </c>
      <c r="Y134" s="758">
        <f t="shared" ca="1" si="122"/>
        <v>15</v>
      </c>
      <c r="Z134" s="758">
        <f t="shared" ca="1" si="123"/>
        <v>0</v>
      </c>
      <c r="AA134" s="758">
        <f t="shared" ca="1" si="124"/>
        <v>0</v>
      </c>
      <c r="AB134" s="758">
        <f t="shared" ca="1" si="125"/>
        <v>0.1</v>
      </c>
      <c r="AD134" s="81">
        <v>2050</v>
      </c>
      <c r="AE134" s="81"/>
      <c r="AF134" s="232"/>
    </row>
    <row r="135" spans="2:32">
      <c r="B135" s="778" t="s">
        <v>1135</v>
      </c>
      <c r="C135" s="241"/>
      <c r="D135" s="223" t="str">
        <f ca="1">IF(T135=0,"*",IF(T135&gt;0,"IND"&amp;RIGHT(H135,4)&amp;RIGHT(G135,3)&amp;"N"&amp;RIGHT(E135,1),""))</f>
        <v>INDGDHTDH2N1</v>
      </c>
      <c r="E135" s="278" t="str">
        <f>"Industrial heating technology "&amp;$AJ$12&amp;" "&amp;RIGHT(H135,2)&amp;" - Gas boiler (Steam) - new 1"</f>
        <v>Industrial heating technology Glass &amp; Concrete HT - Gas boiler (Steam) - new 1</v>
      </c>
      <c r="F135" s="239" t="s">
        <v>1274</v>
      </c>
      <c r="G135" s="176" t="s">
        <v>1438</v>
      </c>
      <c r="H135" s="177" t="str">
        <f>$AI$13</f>
        <v>IGDHT</v>
      </c>
      <c r="I135" s="177" t="str">
        <f t="shared" si="115"/>
        <v>INDGWH</v>
      </c>
      <c r="J135" s="239">
        <f t="shared" si="116"/>
        <v>2011</v>
      </c>
      <c r="K135" s="332">
        <f>J135</f>
        <v>2011</v>
      </c>
      <c r="L135" s="206">
        <f t="shared" ref="L135:L143" ca="1" si="126">VLOOKUP($AD135,INDIRECT("'"&amp;$B135&amp;"'!"&amp;"$P$39:$AD$42"),3,FALSE)</f>
        <v>0.92</v>
      </c>
      <c r="M135" s="759"/>
      <c r="N135" s="332">
        <f ca="1">VLOOKUP($AD135,INDIRECT("'"&amp;$B135&amp;"'!"&amp;"$P$39:$AD$42"),5,FALSE)</f>
        <v>25</v>
      </c>
      <c r="O135" s="785">
        <f t="shared" ref="O135:O143" ca="1" si="127">VLOOKUP($AD135,INDIRECT("'"&amp;$B135&amp;"'!"&amp;"$P$39:$AD$42"),6,FALSE)/1000</f>
        <v>0.40636363636363632</v>
      </c>
      <c r="P135" s="785">
        <f t="shared" ref="P135:P143" ca="1" si="128">VLOOKUP($AD135,INDIRECT("'"&amp;$B135&amp;"'!"&amp;"$P$39:$AD$42"),7,FALSE)/1000</f>
        <v>1.49E-2</v>
      </c>
      <c r="Q135" s="332">
        <f t="shared" ref="Q135:Q143" ca="1" si="129">VLOOKUP($AD135,INDIRECT("'"&amp;$B135&amp;"'!"&amp;"$P$39:$AD$42"),8,FALSE)</f>
        <v>2.276388888888889</v>
      </c>
      <c r="R135" s="332">
        <v>3.1536000000000002E-2</v>
      </c>
      <c r="S135" s="759">
        <v>0.5</v>
      </c>
      <c r="T135" s="206">
        <f ca="1">IF(HLOOKUP($T$2,INDIRECT("'"&amp;$B135&amp;"'!"&amp;"$P$6:$AE$19"),IF(H135=$AI$13,6,IF(H135=$AI$14,9,14)),FALSE)&lt;0.03,0,HLOOKUP($T$2,INDIRECT("'"&amp;$B135&amp;"'!"&amp;"$P$6:$AE$19"),IF(H135=$AI$13,6,IF(H135=$AI$14,9,14)),FALSE))</f>
        <v>1</v>
      </c>
      <c r="U135" s="832"/>
      <c r="V135" s="759">
        <f ca="1">IF(IF(RIGHT(H135,2)="MT",(1-L135)+$W$2,IF(RIGHT(H135,2)="HT",(1-L135)+$W$1,IF(RIGHT(H135,2)="RH",(1-L135)+$W$3,"")))&lt;0,0,IF(RIGHT(H135,2)="MT",(1-L135)+$W$2,IF(RIGHT(H135,2)="HT",(1-L135)+$W$1,IF(RIGHT(H135,2)="RH",(1-L135)+$W$3,""))))</f>
        <v>0.37999999999999995</v>
      </c>
      <c r="W135" s="331"/>
      <c r="X135" s="758">
        <f t="shared" ca="1" si="117"/>
        <v>0.3</v>
      </c>
      <c r="Y135" s="332">
        <f t="shared" ref="Y135:Y143" ca="1" si="130">VLOOKUP($AD135,INDIRECT("'"&amp;$B135&amp;"'!"&amp;"$P$39:$AD$42"),12,FALSE)</f>
        <v>9</v>
      </c>
      <c r="Z135" s="332">
        <f t="shared" ref="Z135:Z143" ca="1" si="131">VLOOKUP($AD135,INDIRECT("'"&amp;$B135&amp;"'!"&amp;"$P$39:$AD$42"),13,FALSE)</f>
        <v>3</v>
      </c>
      <c r="AA135" s="332">
        <f t="shared" ref="AA135:AA143" ca="1" si="132">VLOOKUP($AD135,INDIRECT("'"&amp;$B135&amp;"'!"&amp;"$P$39:$AD$42"),14,FALSE)</f>
        <v>1</v>
      </c>
      <c r="AB135" s="332">
        <f t="shared" ref="AB135:AB143" ca="1" si="133">VLOOKUP($AD135,INDIRECT("'"&amp;$B135&amp;"'!"&amp;"$P$39:$AD$42"),15,FALSE)</f>
        <v>0.1</v>
      </c>
      <c r="AD135" s="332">
        <v>2020</v>
      </c>
      <c r="AE135" s="81"/>
      <c r="AF135" s="232"/>
    </row>
    <row r="136" spans="2:32">
      <c r="B136" s="778" t="s">
        <v>1135</v>
      </c>
      <c r="C136" s="241"/>
      <c r="D136" s="223" t="str">
        <f ca="1">IF(T135=0,"*",IF(T136&gt;0,"IND"&amp;RIGHT(H135,4)&amp;RIGHT(G135,3)&amp;"N"&amp;RIGHT(E135,1),""))</f>
        <v/>
      </c>
      <c r="E136" s="223"/>
      <c r="F136" s="239" t="s">
        <v>1274</v>
      </c>
      <c r="H136" s="177"/>
      <c r="I136" s="177" t="str">
        <f t="shared" si="115"/>
        <v>INDGWH</v>
      </c>
      <c r="J136" s="239">
        <f t="shared" si="116"/>
        <v>2030</v>
      </c>
      <c r="K136" s="81"/>
      <c r="L136" s="206">
        <f t="shared" ca="1" si="126"/>
        <v>0.93</v>
      </c>
      <c r="M136" s="206"/>
      <c r="N136" s="81"/>
      <c r="O136" s="783">
        <f t="shared" ca="1" si="127"/>
        <v>0.33863636363636368</v>
      </c>
      <c r="P136" s="783">
        <f t="shared" ca="1" si="128"/>
        <v>1.4154999999999999E-2</v>
      </c>
      <c r="Q136" s="81">
        <f t="shared" ca="1" si="129"/>
        <v>2.0694444444444446</v>
      </c>
      <c r="R136" s="333"/>
      <c r="S136" s="333"/>
      <c r="T136" s="333"/>
      <c r="U136" s="333"/>
      <c r="V136" s="759">
        <f ca="1">IF(IF(RIGHT(H135,2)="MT",(1-L136)+$W$2,IF(RIGHT(H135,2)="HT",(1-L136)+$W$1,IF(RIGHT(H135,2)="RH",(1-L136)+$W$3,"")))&lt;0,0,IF(RIGHT(H135,2)="MT",(1-L136)+$W$2,IF(RIGHT(H135,2)="HT",(1-L136)+$W$1,IF(RIGHT(H135,2)="RH",(1-L136)+$W$3,""))))</f>
        <v>0.36999999999999994</v>
      </c>
      <c r="W136" s="331"/>
      <c r="X136" s="758">
        <f t="shared" ca="1" si="117"/>
        <v>0.3</v>
      </c>
      <c r="Y136" s="81">
        <f t="shared" ca="1" si="130"/>
        <v>7</v>
      </c>
      <c r="Z136" s="81">
        <f t="shared" ca="1" si="131"/>
        <v>2</v>
      </c>
      <c r="AA136" s="81">
        <f t="shared" ca="1" si="132"/>
        <v>1</v>
      </c>
      <c r="AB136" s="81">
        <f t="shared" ca="1" si="133"/>
        <v>0.1</v>
      </c>
      <c r="AD136" s="81">
        <v>2030</v>
      </c>
      <c r="AE136" s="81"/>
      <c r="AF136" s="232"/>
    </row>
    <row r="137" spans="2:32">
      <c r="B137" s="778" t="s">
        <v>1135</v>
      </c>
      <c r="C137" s="241"/>
      <c r="D137" s="223" t="str">
        <f ca="1">IF(T135=0,"*",IF(T137&gt;0,"IND"&amp;RIGHT(H135,4)&amp;RIGHT(G135,3)&amp;"N"&amp;RIGHT(E135,1),""))</f>
        <v/>
      </c>
      <c r="E137" s="223"/>
      <c r="F137" s="239" t="s">
        <v>1274</v>
      </c>
      <c r="H137" s="177"/>
      <c r="I137" s="177" t="str">
        <f t="shared" si="115"/>
        <v>INDGWH</v>
      </c>
      <c r="J137" s="239">
        <f t="shared" si="116"/>
        <v>2050</v>
      </c>
      <c r="K137" s="81"/>
      <c r="L137" s="206">
        <f t="shared" ca="1" si="126"/>
        <v>0.94</v>
      </c>
      <c r="M137" s="206"/>
      <c r="N137" s="81"/>
      <c r="O137" s="783">
        <f t="shared" ca="1" si="127"/>
        <v>0.33863636363636368</v>
      </c>
      <c r="P137" s="783">
        <f t="shared" ca="1" si="128"/>
        <v>1.2664999999999999E-2</v>
      </c>
      <c r="Q137" s="81">
        <f t="shared" ca="1" si="129"/>
        <v>2.0694444444444446</v>
      </c>
      <c r="R137" s="333"/>
      <c r="S137" s="333"/>
      <c r="T137" s="333"/>
      <c r="U137" s="333"/>
      <c r="V137" s="759">
        <f ca="1">IF(IF(RIGHT(H135,2)="MT",(1-L137)+$W$2,IF(RIGHT(H135,2)="HT",(1-L137)+$W$1,IF(RIGHT(H135,2)="RH",(1-L137)+$W$3,"")))&lt;0,0,IF(RIGHT(H135,2)="MT",(1-L137)+$W$2,IF(RIGHT(H135,2)="HT",(1-L137)+$W$1,IF(RIGHT(H135,2)="RH",(1-L137)+$W$3,""))))</f>
        <v>0.36000000000000004</v>
      </c>
      <c r="W137" s="331"/>
      <c r="X137" s="758">
        <f t="shared" ca="1" si="117"/>
        <v>0.3</v>
      </c>
      <c r="Y137" s="81">
        <f t="shared" ca="1" si="130"/>
        <v>6</v>
      </c>
      <c r="Z137" s="81">
        <f t="shared" ca="1" si="131"/>
        <v>2</v>
      </c>
      <c r="AA137" s="81">
        <f t="shared" ca="1" si="132"/>
        <v>1</v>
      </c>
      <c r="AB137" s="81">
        <f t="shared" ca="1" si="133"/>
        <v>0.1</v>
      </c>
      <c r="AD137" s="81">
        <v>2050</v>
      </c>
      <c r="AE137" s="81"/>
      <c r="AF137" s="232"/>
    </row>
    <row r="138" spans="2:32">
      <c r="B138" s="778" t="s">
        <v>1135</v>
      </c>
      <c r="C138" s="241"/>
      <c r="D138" s="223" t="str">
        <f ca="1">IF(T138=0,"*",IF(T138&gt;0,"IND"&amp;RIGHT(H138,4)&amp;RIGHT(G138,3)&amp;"N"&amp;RIGHT(E138,1),""))</f>
        <v>INDGDMTDH2N1</v>
      </c>
      <c r="E138" s="278" t="str">
        <f>"Industrial heating technology "&amp;$AJ$12&amp;" "&amp;RIGHT(H138,2)&amp;" - Gas boiler (Steam) - new 1"</f>
        <v>Industrial heating technology Glass &amp; Concrete MT - Gas boiler (Steam) - new 1</v>
      </c>
      <c r="F138" s="239" t="s">
        <v>1274</v>
      </c>
      <c r="G138" s="176" t="s">
        <v>1438</v>
      </c>
      <c r="H138" s="177" t="str">
        <f>$AI$14</f>
        <v>IGDMT</v>
      </c>
      <c r="I138" s="177" t="str">
        <f t="shared" si="115"/>
        <v>INDGWH</v>
      </c>
      <c r="J138" s="239">
        <f t="shared" si="116"/>
        <v>2011</v>
      </c>
      <c r="K138" s="332">
        <f>J138</f>
        <v>2011</v>
      </c>
      <c r="L138" s="206">
        <f t="shared" ca="1" si="126"/>
        <v>0.92</v>
      </c>
      <c r="M138" s="206"/>
      <c r="N138" s="81">
        <f ca="1">VLOOKUP($AD138,INDIRECT("'"&amp;$B138&amp;"'!"&amp;"$P$39:$AD$42"),5,FALSE)</f>
        <v>25</v>
      </c>
      <c r="O138" s="783">
        <f t="shared" ca="1" si="127"/>
        <v>0.40636363636363632</v>
      </c>
      <c r="P138" s="783">
        <f t="shared" ca="1" si="128"/>
        <v>1.49E-2</v>
      </c>
      <c r="Q138" s="81">
        <f t="shared" ca="1" si="129"/>
        <v>2.276388888888889</v>
      </c>
      <c r="R138" s="81">
        <v>3.1536000000000002E-2</v>
      </c>
      <c r="S138" s="206">
        <v>0.5</v>
      </c>
      <c r="T138" s="206">
        <f ca="1">IF(HLOOKUP($T$2,INDIRECT("'"&amp;$B138&amp;"'!"&amp;"$P$6:$AE$19"),IF(H138=$AI$13,6,IF(H138=$AI$14,9,14)),FALSE)&lt;0.03,0,HLOOKUP($T$2,INDIRECT("'"&amp;$B138&amp;"'!"&amp;"$P$6:$AE$19"),IF(H138=$AI$13,6,IF(H138=$AI$14,9,14)),FALSE))</f>
        <v>0.97</v>
      </c>
      <c r="U138" s="832"/>
      <c r="V138" s="759">
        <f ca="1">IF(IF(RIGHT(H138,2)="MT",(1-L138)+$W$2,IF(RIGHT(H138,2)="HT",(1-L138)+$W$1,IF(RIGHT(H138,2)="RH",(1-L138)+$W$3,"")))&lt;0,0,IF(RIGHT(H138,2)="MT",(1-L138)+$W$2,IF(RIGHT(H138,2)="HT",(1-L138)+$W$1,IF(RIGHT(H138,2)="RH",(1-L138)+$W$3,""))))</f>
        <v>0.27999999999999997</v>
      </c>
      <c r="W138" s="331"/>
      <c r="X138" s="758">
        <f t="shared" ca="1" si="117"/>
        <v>0.3</v>
      </c>
      <c r="Y138" s="81">
        <f t="shared" ca="1" si="130"/>
        <v>9</v>
      </c>
      <c r="Z138" s="81">
        <f t="shared" ca="1" si="131"/>
        <v>3</v>
      </c>
      <c r="AA138" s="81">
        <f t="shared" ca="1" si="132"/>
        <v>1</v>
      </c>
      <c r="AB138" s="81">
        <f t="shared" ca="1" si="133"/>
        <v>0.1</v>
      </c>
      <c r="AD138" s="81">
        <v>2020</v>
      </c>
      <c r="AE138" s="81"/>
      <c r="AF138" s="232"/>
    </row>
    <row r="139" spans="2:32">
      <c r="B139" s="778" t="s">
        <v>1135</v>
      </c>
      <c r="C139" s="241"/>
      <c r="D139" s="223" t="str">
        <f ca="1">IF(T138=0,"*",IF(T139&gt;0,"IND"&amp;RIGHT(H138,4)&amp;RIGHT(G138,3)&amp;"N"&amp;RIGHT(E138,1),""))</f>
        <v/>
      </c>
      <c r="E139" s="223"/>
      <c r="F139" s="239" t="s">
        <v>1274</v>
      </c>
      <c r="H139" s="177"/>
      <c r="I139" s="177" t="str">
        <f t="shared" si="115"/>
        <v>INDGWH</v>
      </c>
      <c r="J139" s="239">
        <f t="shared" si="116"/>
        <v>2030</v>
      </c>
      <c r="K139" s="81"/>
      <c r="L139" s="206">
        <f t="shared" ca="1" si="126"/>
        <v>0.93</v>
      </c>
      <c r="M139" s="206"/>
      <c r="N139" s="81"/>
      <c r="O139" s="783">
        <f t="shared" ca="1" si="127"/>
        <v>0.33863636363636368</v>
      </c>
      <c r="P139" s="783">
        <f t="shared" ca="1" si="128"/>
        <v>1.4154999999999999E-2</v>
      </c>
      <c r="Q139" s="81">
        <f t="shared" ca="1" si="129"/>
        <v>2.0694444444444446</v>
      </c>
      <c r="R139" s="333"/>
      <c r="S139" s="333"/>
      <c r="T139" s="333"/>
      <c r="U139" s="333"/>
      <c r="V139" s="759">
        <f ca="1">IF(IF(RIGHT(H138,2)="MT",(1-L139)+$W$2,IF(RIGHT(H138,2)="HT",(1-L139)+$W$1,IF(RIGHT(H138,2)="RH",(1-L139)+$W$3,"")))&lt;0,0,IF(RIGHT(H138,2)="MT",(1-L139)+$W$2,IF(RIGHT(H138,2)="HT",(1-L139)+$W$1,IF(RIGHT(H138,2)="RH",(1-L139)+$W$3,""))))</f>
        <v>0.26999999999999996</v>
      </c>
      <c r="W139" s="331"/>
      <c r="X139" s="758">
        <f t="shared" ca="1" si="117"/>
        <v>0.3</v>
      </c>
      <c r="Y139" s="81">
        <f t="shared" ca="1" si="130"/>
        <v>7</v>
      </c>
      <c r="Z139" s="81">
        <f t="shared" ca="1" si="131"/>
        <v>2</v>
      </c>
      <c r="AA139" s="81">
        <f t="shared" ca="1" si="132"/>
        <v>1</v>
      </c>
      <c r="AB139" s="81">
        <f t="shared" ca="1" si="133"/>
        <v>0.1</v>
      </c>
      <c r="AD139" s="81">
        <v>2030</v>
      </c>
      <c r="AE139" s="81"/>
      <c r="AF139" s="232"/>
    </row>
    <row r="140" spans="2:32">
      <c r="B140" s="778" t="s">
        <v>1135</v>
      </c>
      <c r="C140" s="241"/>
      <c r="D140" s="223" t="str">
        <f ca="1">IF(T138=0,"*",IF(T140&gt;0,"IND"&amp;RIGHT(H138,4)&amp;RIGHT(G138,3)&amp;"N"&amp;RIGHT(E138,1),""))</f>
        <v/>
      </c>
      <c r="E140" s="223"/>
      <c r="F140" s="239" t="s">
        <v>1274</v>
      </c>
      <c r="H140" s="177"/>
      <c r="I140" s="177" t="str">
        <f t="shared" si="115"/>
        <v>INDGWH</v>
      </c>
      <c r="J140" s="239">
        <f t="shared" si="116"/>
        <v>2050</v>
      </c>
      <c r="K140" s="81"/>
      <c r="L140" s="206">
        <f t="shared" ca="1" si="126"/>
        <v>0.94</v>
      </c>
      <c r="M140" s="206"/>
      <c r="N140" s="81"/>
      <c r="O140" s="783">
        <f t="shared" ca="1" si="127"/>
        <v>0.33863636363636368</v>
      </c>
      <c r="P140" s="783">
        <f t="shared" ca="1" si="128"/>
        <v>1.2664999999999999E-2</v>
      </c>
      <c r="Q140" s="81">
        <f t="shared" ca="1" si="129"/>
        <v>2.0694444444444446</v>
      </c>
      <c r="R140" s="333"/>
      <c r="S140" s="333"/>
      <c r="T140" s="333"/>
      <c r="U140" s="333"/>
      <c r="V140" s="759">
        <f ca="1">IF(IF(RIGHT(H138,2)="MT",(1-L140)+$W$2,IF(RIGHT(H138,2)="HT",(1-L140)+$W$1,IF(RIGHT(H138,2)="RH",(1-L140)+$W$3,"")))&lt;0,0,IF(RIGHT(H138,2)="MT",(1-L140)+$W$2,IF(RIGHT(H138,2)="HT",(1-L140)+$W$1,IF(RIGHT(H138,2)="RH",(1-L140)+$W$3,""))))</f>
        <v>0.26000000000000006</v>
      </c>
      <c r="W140" s="331"/>
      <c r="X140" s="758">
        <f t="shared" ca="1" si="117"/>
        <v>0.3</v>
      </c>
      <c r="Y140" s="81">
        <f t="shared" ca="1" si="130"/>
        <v>6</v>
      </c>
      <c r="Z140" s="81">
        <f t="shared" ca="1" si="131"/>
        <v>2</v>
      </c>
      <c r="AA140" s="81">
        <f t="shared" ca="1" si="132"/>
        <v>1</v>
      </c>
      <c r="AB140" s="81">
        <f t="shared" ca="1" si="133"/>
        <v>0.1</v>
      </c>
      <c r="AC140" s="211"/>
      <c r="AD140" s="81">
        <v>2050</v>
      </c>
      <c r="AE140" s="81"/>
      <c r="AF140" s="765"/>
    </row>
    <row r="141" spans="2:32">
      <c r="B141" s="778" t="s">
        <v>1135</v>
      </c>
      <c r="C141" s="241"/>
      <c r="D141" s="223" t="str">
        <f ca="1">IF(T141=0,"*",IF(T141&gt;0,"IND"&amp;RIGHT(H141,4)&amp;RIGHT(G141,3)&amp;"N"&amp;RIGHT(E141,1),""))</f>
        <v>INDGDRHDH2N1</v>
      </c>
      <c r="E141" s="278" t="str">
        <f>"Industrial heating technology "&amp;$AJ$12&amp;" "&amp;RIGHT(H141,2)&amp;" - Gas boiler (Steam) - new 1"</f>
        <v>Industrial heating technology Glass &amp; Concrete RH - Gas boiler (Steam) - new 1</v>
      </c>
      <c r="F141" s="239" t="s">
        <v>1274</v>
      </c>
      <c r="G141" s="176" t="s">
        <v>1438</v>
      </c>
      <c r="H141" s="177" t="str">
        <f>$AI$15</f>
        <v>IGDRH</v>
      </c>
      <c r="I141" s="177" t="str">
        <f t="shared" si="115"/>
        <v>INDGWH</v>
      </c>
      <c r="J141" s="239">
        <f t="shared" si="116"/>
        <v>2011</v>
      </c>
      <c r="K141" s="332">
        <f>J141</f>
        <v>2011</v>
      </c>
      <c r="L141" s="206">
        <f t="shared" ca="1" si="126"/>
        <v>0.92</v>
      </c>
      <c r="M141" s="206"/>
      <c r="N141" s="81">
        <f ca="1">VLOOKUP($AD141,INDIRECT("'"&amp;$B141&amp;"'!"&amp;"$P$39:$AD$42"),5,FALSE)</f>
        <v>25</v>
      </c>
      <c r="O141" s="783">
        <f t="shared" ca="1" si="127"/>
        <v>0.40636363636363632</v>
      </c>
      <c r="P141" s="783">
        <f t="shared" ca="1" si="128"/>
        <v>1.49E-2</v>
      </c>
      <c r="Q141" s="81">
        <f t="shared" ca="1" si="129"/>
        <v>2.276388888888889</v>
      </c>
      <c r="R141" s="81">
        <v>3.1536000000000002E-2</v>
      </c>
      <c r="S141" s="206">
        <v>0.5</v>
      </c>
      <c r="T141" s="206">
        <f ca="1">IF(HLOOKUP($T$2,INDIRECT("'"&amp;$B141&amp;"'!"&amp;"$P$6:$AE$19"),IF(H141=$AI$13,6,IF(H141=$AI$14,9,14)),FALSE)&lt;0.03,0,HLOOKUP($T$2,INDIRECT("'"&amp;$B141&amp;"'!"&amp;"$P$6:$AE$19"),IF(H141=$AI$13,6,IF(H141=$AI$14,9,14)),FALSE))</f>
        <v>1</v>
      </c>
      <c r="U141" s="832"/>
      <c r="V141" s="759">
        <f ca="1">IF(IF(RIGHT(H141,2)="MT",(1-L141)+$W$2,IF(RIGHT(H141,2)="HT",(1-L141)+$W$1,IF(RIGHT(H141,2)="RH",(1-L141)+$W$3,"")))&lt;0,0,IF(RIGHT(H141,2)="MT",(1-L141)+$W$2,IF(RIGHT(H141,2)="HT",(1-L141)+$W$1,IF(RIGHT(H141,2)="RH",(1-L141)+$W$3,""))))</f>
        <v>7.999999999999996E-2</v>
      </c>
      <c r="W141" s="331"/>
      <c r="X141" s="758">
        <f t="shared" ca="1" si="117"/>
        <v>0.3</v>
      </c>
      <c r="Y141" s="81">
        <f t="shared" ca="1" si="130"/>
        <v>9</v>
      </c>
      <c r="Z141" s="81">
        <f t="shared" ca="1" si="131"/>
        <v>3</v>
      </c>
      <c r="AA141" s="81">
        <f t="shared" ca="1" si="132"/>
        <v>1</v>
      </c>
      <c r="AB141" s="81">
        <f t="shared" ca="1" si="133"/>
        <v>0.1</v>
      </c>
      <c r="AC141" s="329"/>
      <c r="AD141" s="81">
        <v>2020</v>
      </c>
      <c r="AE141" s="81"/>
      <c r="AF141" s="770"/>
    </row>
    <row r="142" spans="2:32">
      <c r="B142" s="778" t="s">
        <v>1135</v>
      </c>
      <c r="C142" s="241"/>
      <c r="D142" s="223" t="str">
        <f ca="1">IF(T141=0,"*",IF(T142&gt;0,"IND"&amp;RIGHT(H141,4)&amp;RIGHT(G141,3)&amp;"N"&amp;RIGHT(E141,1),""))</f>
        <v/>
      </c>
      <c r="E142" s="223"/>
      <c r="F142" s="239" t="s">
        <v>1274</v>
      </c>
      <c r="H142" s="177"/>
      <c r="I142" s="177" t="str">
        <f t="shared" si="115"/>
        <v>INDGWH</v>
      </c>
      <c r="J142" s="239">
        <f t="shared" si="116"/>
        <v>2030</v>
      </c>
      <c r="K142" s="81"/>
      <c r="L142" s="206">
        <f t="shared" ca="1" si="126"/>
        <v>0.93</v>
      </c>
      <c r="M142" s="206"/>
      <c r="N142" s="81"/>
      <c r="O142" s="783">
        <f t="shared" ca="1" si="127"/>
        <v>0.33863636363636368</v>
      </c>
      <c r="P142" s="783">
        <f t="shared" ca="1" si="128"/>
        <v>1.4154999999999999E-2</v>
      </c>
      <c r="Q142" s="81">
        <f t="shared" ca="1" si="129"/>
        <v>2.0694444444444446</v>
      </c>
      <c r="R142" s="333"/>
      <c r="S142" s="333"/>
      <c r="T142" s="333"/>
      <c r="U142" s="333"/>
      <c r="V142" s="759">
        <f ca="1">IF(IF(RIGHT(H141,2)="MT",(1-L142)+$W$2,IF(RIGHT(H141,2)="HT",(1-L142)+$W$1,IF(RIGHT(H141,2)="RH",(1-L142)+$W$3,"")))&lt;0,0,IF(RIGHT(H141,2)="MT",(1-L142)+$W$2,IF(RIGHT(H141,2)="HT",(1-L142)+$W$1,IF(RIGHT(H141,2)="RH",(1-L142)+$W$3,""))))</f>
        <v>6.9999999999999951E-2</v>
      </c>
      <c r="W142" s="331"/>
      <c r="X142" s="758">
        <f t="shared" ca="1" si="117"/>
        <v>0.3</v>
      </c>
      <c r="Y142" s="81">
        <f t="shared" ca="1" si="130"/>
        <v>7</v>
      </c>
      <c r="Z142" s="81">
        <f t="shared" ca="1" si="131"/>
        <v>2</v>
      </c>
      <c r="AA142" s="81">
        <f t="shared" ca="1" si="132"/>
        <v>1</v>
      </c>
      <c r="AB142" s="81">
        <f t="shared" ca="1" si="133"/>
        <v>0.1</v>
      </c>
      <c r="AC142" s="55"/>
      <c r="AD142" s="81">
        <v>2030</v>
      </c>
      <c r="AE142" s="81"/>
      <c r="AF142" s="760"/>
    </row>
    <row r="143" spans="2:32">
      <c r="B143" s="779" t="s">
        <v>1135</v>
      </c>
      <c r="C143" s="773"/>
      <c r="D143" s="223" t="str">
        <f ca="1">IF(T141=0,"*",IF(T143&gt;0,"IND"&amp;RIGHT(H141,4)&amp;RIGHT(G141,3)&amp;"N"&amp;RIGHT(E141,1),""))</f>
        <v/>
      </c>
      <c r="E143" s="761"/>
      <c r="F143" s="239" t="s">
        <v>1274</v>
      </c>
      <c r="G143" s="211"/>
      <c r="H143" s="762"/>
      <c r="I143" s="762" t="str">
        <f t="shared" si="115"/>
        <v>INDGWH</v>
      </c>
      <c r="J143" s="239">
        <f t="shared" si="116"/>
        <v>2050</v>
      </c>
      <c r="K143" s="81"/>
      <c r="L143" s="206">
        <f t="shared" ca="1" si="126"/>
        <v>0.94</v>
      </c>
      <c r="M143" s="206"/>
      <c r="N143" s="81"/>
      <c r="O143" s="783">
        <f t="shared" ca="1" si="127"/>
        <v>0.33863636363636368</v>
      </c>
      <c r="P143" s="783">
        <f t="shared" ca="1" si="128"/>
        <v>1.2664999999999999E-2</v>
      </c>
      <c r="Q143" s="81">
        <f t="shared" ca="1" si="129"/>
        <v>2.0694444444444446</v>
      </c>
      <c r="R143" s="763"/>
      <c r="S143" s="763"/>
      <c r="T143" s="763"/>
      <c r="U143" s="763"/>
      <c r="V143" s="759">
        <f ca="1">IF(IF(RIGHT(H141,2)="MT",(1-L143)+$W$2,IF(RIGHT(H141,2)="HT",(1-L143)+$W$1,IF(RIGHT(H141,2)="RH",(1-L143)+$W$3,"")))&lt;0,0,IF(RIGHT(H141,2)="MT",(1-L143)+$W$2,IF(RIGHT(H141,2)="HT",(1-L143)+$W$1,IF(RIGHT(H141,2)="RH",(1-L143)+$W$3,""))))</f>
        <v>6.0000000000000053E-2</v>
      </c>
      <c r="W143" s="764"/>
      <c r="X143" s="758">
        <f t="shared" ca="1" si="117"/>
        <v>0.3</v>
      </c>
      <c r="Y143" s="81">
        <f t="shared" ca="1" si="130"/>
        <v>6</v>
      </c>
      <c r="Z143" s="81">
        <f t="shared" ca="1" si="131"/>
        <v>2</v>
      </c>
      <c r="AA143" s="81">
        <f t="shared" ca="1" si="132"/>
        <v>1</v>
      </c>
      <c r="AB143" s="81">
        <f t="shared" ca="1" si="133"/>
        <v>0.1</v>
      </c>
      <c r="AC143" s="55"/>
      <c r="AD143" s="81">
        <v>2050</v>
      </c>
      <c r="AE143" s="81"/>
      <c r="AF143" s="760"/>
    </row>
    <row r="144" spans="2:32">
      <c r="B144" s="778" t="s">
        <v>1135</v>
      </c>
      <c r="C144" s="241"/>
      <c r="D144" s="223" t="str">
        <f ca="1">IF(T144=0,"*",IF(T144&gt;0,"IND"&amp;RIGHT(H144,4)&amp;RIGHT(G144,3)&amp;"N"&amp;RIGHT(E144,1),""))</f>
        <v>INDGDMTDH2N2</v>
      </c>
      <c r="E144" s="767" t="str">
        <f>"Industrial heating technology "&amp;$AJ$12&amp;" "&amp;RIGHT(H144,2)&amp;" - Gas boiler (Steam - condensing) - new 2"</f>
        <v>Industrial heating technology Glass &amp; Concrete MT - Gas boiler (Steam - condensing) - new 2</v>
      </c>
      <c r="F144" s="239" t="s">
        <v>1274</v>
      </c>
      <c r="G144" s="176" t="s">
        <v>1438</v>
      </c>
      <c r="H144" s="768" t="str">
        <f>$AI$14</f>
        <v>IGDMT</v>
      </c>
      <c r="I144" s="768" t="str">
        <f t="shared" si="115"/>
        <v>INDGWH</v>
      </c>
      <c r="J144" s="239">
        <f t="shared" si="116"/>
        <v>2011</v>
      </c>
      <c r="K144" s="332">
        <f>J144</f>
        <v>2011</v>
      </c>
      <c r="L144" s="206">
        <f t="shared" ref="L144:L149" ca="1" si="134">VLOOKUP($AD144,INDIRECT("'"&amp;$B144&amp;"'!"&amp;"$P$118:$AD$121"),3,FALSE)</f>
        <v>1.01</v>
      </c>
      <c r="M144" s="206"/>
      <c r="N144" s="81">
        <f ca="1">VLOOKUP($AD144,INDIRECT("'"&amp;$B144&amp;"'!"&amp;"$P$118:$AD$121"),5,FALSE)</f>
        <v>25</v>
      </c>
      <c r="O144" s="783">
        <f t="shared" ref="O144:O149" ca="1" si="135">VLOOKUP($AD144,INDIRECT("'"&amp;$B144&amp;"'!"&amp;"$P$118:$AD$121"),6,FALSE)/1000</f>
        <v>0.44700000000000001</v>
      </c>
      <c r="P144" s="783">
        <f t="shared" ref="P144:P149" ca="1" si="136">VLOOKUP($AD144,INDIRECT("'"&amp;$B144&amp;"'!"&amp;"$P$118:$AD$121"),7,FALSE)/1000</f>
        <v>1.49E-2</v>
      </c>
      <c r="Q144" s="81">
        <f t="shared" ref="Q144:Q149" ca="1" si="137">VLOOKUP($AD144,INDIRECT("'"&amp;$B144&amp;"'!"&amp;"$P$118:$AD$121"),8,FALSE)</f>
        <v>2.276388888888889</v>
      </c>
      <c r="R144" s="81">
        <v>3.1536000000000002E-2</v>
      </c>
      <c r="S144" s="206">
        <v>0.5</v>
      </c>
      <c r="T144" s="206">
        <f ca="1">IF(HLOOKUP($T$2,INDIRECT("'"&amp;$B144&amp;"'!"&amp;"$P$6:$AE$19"),IF(H144=$AI$13,6,IF(H144=$AI$14,9,14)),FALSE)&lt;0.03,0,HLOOKUP($T$2,INDIRECT("'"&amp;$B144&amp;"'!"&amp;"$P$6:$AE$19"),IF(H144=$AI$13,6,IF(H144=$AI$14,9,14)),FALSE))</f>
        <v>0.97</v>
      </c>
      <c r="U144" s="833"/>
      <c r="V144" s="759">
        <f ca="1">IF(IF(RIGHT(H144,2)="MT",(1-L144)+$W$2,IF(RIGHT(H144,2)="HT",(1-L144)+$W$1,IF(RIGHT(H144,2)="RH",(1-L144)+$W$3,"")))&lt;0,0,IF(RIGHT(H144,2)="MT",(1-L144)+$W$2,IF(RIGHT(H144,2)="HT",(1-L144)+$W$1,IF(RIGHT(H144,2)="RH",(1-L144)+$W$3,""))))</f>
        <v>0.19</v>
      </c>
      <c r="W144" s="769"/>
      <c r="X144" s="758">
        <f t="shared" ca="1" si="117"/>
        <v>0.3</v>
      </c>
      <c r="Y144" s="758">
        <f t="shared" ref="Y144:Y149" ca="1" si="138">VLOOKUP($AD144,INDIRECT("'"&amp;$B144&amp;"'!"&amp;"$P$118:$AD$121"),12,FALSE)</f>
        <v>9</v>
      </c>
      <c r="Z144" s="758">
        <f t="shared" ref="Z144:Z149" ca="1" si="139">VLOOKUP($AD144,INDIRECT("'"&amp;$B144&amp;"'!"&amp;"$P$118:$AD$121"),13,FALSE)</f>
        <v>3</v>
      </c>
      <c r="AA144" s="758">
        <f t="shared" ref="AA144:AA149" ca="1" si="140">VLOOKUP($AD144,INDIRECT("'"&amp;$B144&amp;"'!"&amp;"$P$118:$AD$121"),14,FALSE)</f>
        <v>1</v>
      </c>
      <c r="AB144" s="758">
        <f t="shared" ref="AB144:AB149" ca="1" si="141">VLOOKUP($AD144,INDIRECT("'"&amp;$B144&amp;"'!"&amp;"$P$118:$AD$121"),15,FALSE)</f>
        <v>0.1</v>
      </c>
      <c r="AC144" s="55"/>
      <c r="AD144" s="81">
        <v>2020</v>
      </c>
      <c r="AE144" s="81"/>
      <c r="AF144" s="760"/>
    </row>
    <row r="145" spans="1:32">
      <c r="B145" s="778" t="s">
        <v>1135</v>
      </c>
      <c r="C145" s="241"/>
      <c r="D145" s="223" t="str">
        <f ca="1">IF(T144=0,"*",IF(T145&gt;0,"IND"&amp;RIGHT(H144,4)&amp;RIGHT(G144,3)&amp;"N"&amp;RIGHT(E144,1),""))</f>
        <v/>
      </c>
      <c r="E145" s="278"/>
      <c r="F145" s="239" t="s">
        <v>1274</v>
      </c>
      <c r="G145" s="55"/>
      <c r="H145" s="177"/>
      <c r="I145" s="177" t="str">
        <f t="shared" si="115"/>
        <v>INDGWH</v>
      </c>
      <c r="J145" s="239">
        <f t="shared" si="116"/>
        <v>2030</v>
      </c>
      <c r="K145" s="81"/>
      <c r="L145" s="206">
        <f t="shared" ca="1" si="134"/>
        <v>1.03</v>
      </c>
      <c r="M145" s="206"/>
      <c r="N145" s="81"/>
      <c r="O145" s="783">
        <f t="shared" ca="1" si="135"/>
        <v>0.37250000000000005</v>
      </c>
      <c r="P145" s="783">
        <f t="shared" ca="1" si="136"/>
        <v>1.4154999999999999E-2</v>
      </c>
      <c r="Q145" s="81">
        <f t="shared" ca="1" si="137"/>
        <v>2.0694444444444446</v>
      </c>
      <c r="R145" s="333"/>
      <c r="S145" s="333"/>
      <c r="T145" s="333"/>
      <c r="U145" s="333"/>
      <c r="V145" s="759">
        <f ca="1">IF(IF(RIGHT(H144,2)="MT",(1-L145)+$W$2,IF(RIGHT(H144,2)="HT",(1-L145)+$W$1,IF(RIGHT(H144,2)="RH",(1-L145)+$W$3,"")))&lt;0,0,IF(RIGHT(H144,2)="MT",(1-L145)+$W$2,IF(RIGHT(H144,2)="HT",(1-L145)+$W$1,IF(RIGHT(H144,2)="RH",(1-L145)+$W$3,""))))</f>
        <v>0.16999999999999998</v>
      </c>
      <c r="W145" s="331"/>
      <c r="X145" s="758">
        <f t="shared" ca="1" si="117"/>
        <v>0.3</v>
      </c>
      <c r="Y145" s="758">
        <f t="shared" ca="1" si="138"/>
        <v>7</v>
      </c>
      <c r="Z145" s="758">
        <f t="shared" ca="1" si="139"/>
        <v>2</v>
      </c>
      <c r="AA145" s="758">
        <f t="shared" ca="1" si="140"/>
        <v>1</v>
      </c>
      <c r="AB145" s="758">
        <f t="shared" ca="1" si="141"/>
        <v>0.1</v>
      </c>
      <c r="AC145" s="55"/>
      <c r="AD145" s="81">
        <v>2030</v>
      </c>
      <c r="AE145" s="81"/>
      <c r="AF145" s="760"/>
    </row>
    <row r="146" spans="1:32">
      <c r="A146" s="241"/>
      <c r="B146" s="778" t="s">
        <v>1135</v>
      </c>
      <c r="C146" s="241"/>
      <c r="D146" s="223" t="str">
        <f ca="1">IF(T144=0,"*",IF(T146&gt;0,"IND"&amp;RIGHT(H144,4)&amp;RIGHT(G144,3)&amp;"N"&amp;RIGHT(E144,1),""))</f>
        <v/>
      </c>
      <c r="E146" s="278"/>
      <c r="F146" s="239" t="s">
        <v>1274</v>
      </c>
      <c r="G146" s="55"/>
      <c r="H146" s="177"/>
      <c r="I146" s="177" t="str">
        <f t="shared" si="115"/>
        <v>INDGWH</v>
      </c>
      <c r="J146" s="239">
        <f t="shared" si="116"/>
        <v>2050</v>
      </c>
      <c r="K146" s="81"/>
      <c r="L146" s="206">
        <f t="shared" ca="1" si="134"/>
        <v>1.03</v>
      </c>
      <c r="M146" s="206"/>
      <c r="N146" s="81"/>
      <c r="O146" s="783">
        <f t="shared" ca="1" si="135"/>
        <v>0.37250000000000005</v>
      </c>
      <c r="P146" s="783">
        <f t="shared" ca="1" si="136"/>
        <v>1.2664999999999999E-2</v>
      </c>
      <c r="Q146" s="81">
        <f t="shared" ca="1" si="137"/>
        <v>2.0694444444444446</v>
      </c>
      <c r="R146" s="333"/>
      <c r="S146" s="333"/>
      <c r="T146" s="333"/>
      <c r="U146" s="333"/>
      <c r="V146" s="759">
        <f ca="1">IF(IF(RIGHT(H144,2)="MT",(1-L146)+$W$2,IF(RIGHT(H144,2)="HT",(1-L146)+$W$1,IF(RIGHT(H144,2)="RH",(1-L146)+$W$3,"")))&lt;0,0,IF(RIGHT(H144,2)="MT",(1-L146)+$W$2,IF(RIGHT(H144,2)="HT",(1-L146)+$W$1,IF(RIGHT(H144,2)="RH",(1-L146)+$W$3,""))))</f>
        <v>0.16999999999999998</v>
      </c>
      <c r="W146" s="331"/>
      <c r="X146" s="758">
        <f t="shared" ca="1" si="117"/>
        <v>0.3</v>
      </c>
      <c r="Y146" s="758">
        <f t="shared" ca="1" si="138"/>
        <v>6</v>
      </c>
      <c r="Z146" s="758">
        <f t="shared" ca="1" si="139"/>
        <v>2</v>
      </c>
      <c r="AA146" s="758">
        <f t="shared" ca="1" si="140"/>
        <v>1</v>
      </c>
      <c r="AB146" s="758">
        <f t="shared" ca="1" si="141"/>
        <v>0.1</v>
      </c>
      <c r="AC146" s="211"/>
      <c r="AD146" s="81">
        <v>2050</v>
      </c>
      <c r="AE146" s="81"/>
      <c r="AF146" s="765"/>
    </row>
    <row r="147" spans="1:32">
      <c r="A147" s="241"/>
      <c r="B147" s="778" t="s">
        <v>1135</v>
      </c>
      <c r="C147" s="241"/>
      <c r="D147" s="223" t="str">
        <f ca="1">IF(T147=0,"*",IF(T147&gt;0,"IND"&amp;RIGHT(H147,4)&amp;RIGHT(G147,3)&amp;"N"&amp;RIGHT(E147,1),""))</f>
        <v>INDGDRHDH2N2</v>
      </c>
      <c r="E147" s="278" t="str">
        <f>"Industrial heating technology "&amp;$AJ$12&amp;" "&amp;RIGHT(H147,2)&amp;" - Gas boiler (Steam - condensing) - new 2"</f>
        <v>Industrial heating technology Glass &amp; Concrete RH - Gas boiler (Steam - condensing) - new 2</v>
      </c>
      <c r="F147" s="239" t="s">
        <v>1274</v>
      </c>
      <c r="G147" s="176" t="s">
        <v>1438</v>
      </c>
      <c r="H147" s="177" t="str">
        <f>$AI$15</f>
        <v>IGDRH</v>
      </c>
      <c r="I147" s="177" t="str">
        <f t="shared" si="115"/>
        <v>INDGWH</v>
      </c>
      <c r="J147" s="239">
        <f t="shared" si="116"/>
        <v>2011</v>
      </c>
      <c r="K147" s="332">
        <f>J147</f>
        <v>2011</v>
      </c>
      <c r="L147" s="206">
        <f t="shared" ca="1" si="134"/>
        <v>1.01</v>
      </c>
      <c r="M147" s="206"/>
      <c r="N147" s="81">
        <f ca="1">VLOOKUP($AD147,INDIRECT("'"&amp;$B147&amp;"'!"&amp;"$P$118:$AD$121"),5,FALSE)</f>
        <v>25</v>
      </c>
      <c r="O147" s="783">
        <f t="shared" ca="1" si="135"/>
        <v>0.44700000000000001</v>
      </c>
      <c r="P147" s="783">
        <f t="shared" ca="1" si="136"/>
        <v>1.49E-2</v>
      </c>
      <c r="Q147" s="81">
        <f t="shared" ca="1" si="137"/>
        <v>2.276388888888889</v>
      </c>
      <c r="R147" s="81">
        <v>3.1536000000000002E-2</v>
      </c>
      <c r="S147" s="206">
        <v>0.5</v>
      </c>
      <c r="T147" s="206">
        <f ca="1">IF(HLOOKUP($T$2,INDIRECT("'"&amp;$B147&amp;"'!"&amp;"$P$6:$AE$19"),IF(H147=$AI$13,6,IF(H147=$AI$14,9,14)),FALSE)&lt;0.03,0,HLOOKUP($T$2,INDIRECT("'"&amp;$B147&amp;"'!"&amp;"$P$6:$AE$19"),IF(H147=$AI$13,6,IF(H147=$AI$14,9,14)),FALSE))</f>
        <v>1</v>
      </c>
      <c r="U147" s="832"/>
      <c r="V147" s="759">
        <f ca="1">IF(IF(RIGHT(H147,2)="MT",(1-L147)+$W$2,IF(RIGHT(H147,2)="HT",(1-L147)+$W$1,IF(RIGHT(H147,2)="RH",(1-L147)+$W$3,"")))&lt;0,0,IF(RIGHT(H147,2)="MT",(1-L147)+$W$2,IF(RIGHT(H147,2)="HT",(1-L147)+$W$1,IF(RIGHT(H147,2)="RH",(1-L147)+$W$3,""))))</f>
        <v>0</v>
      </c>
      <c r="W147" s="331"/>
      <c r="X147" s="758">
        <f t="shared" ca="1" si="117"/>
        <v>0.3</v>
      </c>
      <c r="Y147" s="758">
        <f t="shared" ca="1" si="138"/>
        <v>9</v>
      </c>
      <c r="Z147" s="758">
        <f t="shared" ca="1" si="139"/>
        <v>3</v>
      </c>
      <c r="AA147" s="758">
        <f t="shared" ca="1" si="140"/>
        <v>1</v>
      </c>
      <c r="AB147" s="758">
        <f t="shared" ca="1" si="141"/>
        <v>0.1</v>
      </c>
      <c r="AC147" s="329"/>
      <c r="AD147" s="81">
        <v>2020</v>
      </c>
      <c r="AE147" s="81"/>
      <c r="AF147" s="770"/>
    </row>
    <row r="148" spans="1:32">
      <c r="A148" s="241"/>
      <c r="B148" s="778" t="s">
        <v>1135</v>
      </c>
      <c r="C148" s="241"/>
      <c r="D148" s="223" t="str">
        <f ca="1">IF(T147=0,"*",IF(T148&gt;0,"IND"&amp;RIGHT(H147,4)&amp;RIGHT(G147,3)&amp;"N"&amp;RIGHT(E147,1),""))</f>
        <v/>
      </c>
      <c r="E148" s="278"/>
      <c r="F148" s="239" t="s">
        <v>1274</v>
      </c>
      <c r="G148" s="55"/>
      <c r="H148" s="177"/>
      <c r="I148" s="177" t="str">
        <f t="shared" si="115"/>
        <v>INDGWH</v>
      </c>
      <c r="J148" s="239">
        <f t="shared" si="116"/>
        <v>2030</v>
      </c>
      <c r="K148" s="81"/>
      <c r="L148" s="206">
        <f t="shared" ca="1" si="134"/>
        <v>1.03</v>
      </c>
      <c r="M148" s="206"/>
      <c r="N148" s="81"/>
      <c r="O148" s="783">
        <f t="shared" ca="1" si="135"/>
        <v>0.37250000000000005</v>
      </c>
      <c r="P148" s="783">
        <f t="shared" ca="1" si="136"/>
        <v>1.4154999999999999E-2</v>
      </c>
      <c r="Q148" s="81">
        <f t="shared" ca="1" si="137"/>
        <v>2.0694444444444446</v>
      </c>
      <c r="R148" s="333"/>
      <c r="S148" s="333"/>
      <c r="T148" s="333"/>
      <c r="U148" s="333"/>
      <c r="V148" s="759">
        <f ca="1">IF(IF(RIGHT(H147,2)="MT",(1-L148)+$W$2,IF(RIGHT(H147,2)="HT",(1-L148)+$W$1,IF(RIGHT(H147,2)="RH",(1-L148)+$W$3,"")))&lt;0,0,IF(RIGHT(H147,2)="MT",(1-L148)+$W$2,IF(RIGHT(H147,2)="HT",(1-L148)+$W$1,IF(RIGHT(H147,2)="RH",(1-L148)+$W$3,""))))</f>
        <v>0</v>
      </c>
      <c r="W148" s="331"/>
      <c r="X148" s="758">
        <f t="shared" ca="1" si="117"/>
        <v>0.3</v>
      </c>
      <c r="Y148" s="758">
        <f t="shared" ca="1" si="138"/>
        <v>7</v>
      </c>
      <c r="Z148" s="758">
        <f t="shared" ca="1" si="139"/>
        <v>2</v>
      </c>
      <c r="AA148" s="758">
        <f t="shared" ca="1" si="140"/>
        <v>1</v>
      </c>
      <c r="AB148" s="758">
        <f t="shared" ca="1" si="141"/>
        <v>0.1</v>
      </c>
      <c r="AC148" s="55"/>
      <c r="AD148" s="81">
        <v>2030</v>
      </c>
      <c r="AE148" s="81"/>
      <c r="AF148" s="760"/>
    </row>
    <row r="149" spans="1:32">
      <c r="A149" s="241"/>
      <c r="B149" s="779" t="s">
        <v>1135</v>
      </c>
      <c r="C149" s="773"/>
      <c r="D149" s="223" t="str">
        <f ca="1">IF(T147=0,"*",IF(T149&gt;0,"IND"&amp;RIGHT(H147,4)&amp;RIGHT(G147,3)&amp;"N"&amp;RIGHT(E147,1),""))</f>
        <v/>
      </c>
      <c r="E149" s="761"/>
      <c r="F149" s="239" t="s">
        <v>1274</v>
      </c>
      <c r="G149" s="211"/>
      <c r="H149" s="762"/>
      <c r="I149" s="762" t="str">
        <f t="shared" si="115"/>
        <v>INDGWH</v>
      </c>
      <c r="J149" s="239">
        <f t="shared" si="116"/>
        <v>2050</v>
      </c>
      <c r="K149" s="81"/>
      <c r="L149" s="206">
        <f t="shared" ca="1" si="134"/>
        <v>1.03</v>
      </c>
      <c r="M149" s="206"/>
      <c r="N149" s="81"/>
      <c r="O149" s="783">
        <f t="shared" ca="1" si="135"/>
        <v>0.37250000000000005</v>
      </c>
      <c r="P149" s="783">
        <f t="shared" ca="1" si="136"/>
        <v>1.2664999999999999E-2</v>
      </c>
      <c r="Q149" s="81">
        <f t="shared" ca="1" si="137"/>
        <v>2.0694444444444446</v>
      </c>
      <c r="R149" s="763"/>
      <c r="S149" s="763"/>
      <c r="T149" s="763"/>
      <c r="U149" s="763"/>
      <c r="V149" s="759">
        <f ca="1">IF(IF(RIGHT(H147,2)="MT",(1-L149)+$W$2,IF(RIGHT(H147,2)="HT",(1-L149)+$W$1,IF(RIGHT(H147,2)="RH",(1-L149)+$W$3,"")))&lt;0,0,IF(RIGHT(H147,2)="MT",(1-L149)+$W$2,IF(RIGHT(H147,2)="HT",(1-L149)+$W$1,IF(RIGHT(H147,2)="RH",(1-L149)+$W$3,""))))</f>
        <v>0</v>
      </c>
      <c r="W149" s="764"/>
      <c r="X149" s="758">
        <f t="shared" ca="1" si="117"/>
        <v>0.3</v>
      </c>
      <c r="Y149" s="758">
        <f t="shared" ca="1" si="138"/>
        <v>6</v>
      </c>
      <c r="Z149" s="758">
        <f t="shared" ca="1" si="139"/>
        <v>2</v>
      </c>
      <c r="AA149" s="758">
        <f t="shared" ca="1" si="140"/>
        <v>1</v>
      </c>
      <c r="AB149" s="758">
        <f t="shared" ca="1" si="141"/>
        <v>0.1</v>
      </c>
      <c r="AC149" s="55"/>
      <c r="AD149" s="81">
        <v>2050</v>
      </c>
      <c r="AE149" s="81"/>
      <c r="AF149" s="760"/>
    </row>
    <row r="150" spans="1:32">
      <c r="A150" s="241"/>
      <c r="B150" s="778" t="s">
        <v>1135</v>
      </c>
      <c r="C150" s="241"/>
      <c r="D150" s="223" t="str">
        <f ca="1">IF(T150=0,"*",IF(T150&gt;0,"IND"&amp;RIGHT(H150,4)&amp;RIGHT(G150,3)&amp;"N"&amp;RIGHT(E150,1),""))</f>
        <v>INDGDMTDH2N3</v>
      </c>
      <c r="E150" s="767" t="str">
        <f>"Industrial heating technology "&amp;$AJ$12&amp;" "&amp;RIGHT(H150,2)&amp;" - Gas boiler (Hot Water) - new 3"</f>
        <v>Industrial heating technology Glass &amp; Concrete MT - Gas boiler (Hot Water) - new 3</v>
      </c>
      <c r="F150" s="239" t="s">
        <v>1274</v>
      </c>
      <c r="G150" s="176" t="s">
        <v>1438</v>
      </c>
      <c r="H150" s="768" t="str">
        <f>$AI$14</f>
        <v>IGDMT</v>
      </c>
      <c r="I150" s="768" t="str">
        <f t="shared" si="115"/>
        <v>INDGWH</v>
      </c>
      <c r="J150" s="239">
        <f t="shared" si="116"/>
        <v>2011</v>
      </c>
      <c r="K150" s="332">
        <f>J150</f>
        <v>2011</v>
      </c>
      <c r="L150" s="206">
        <f t="shared" ref="L150:L155" ca="1" si="142">VLOOKUP($AD150,INDIRECT("'"&amp;$B150&amp;"'!"&amp;"$P$200:$AD$203"),3,FALSE)</f>
        <v>0.93</v>
      </c>
      <c r="M150" s="206"/>
      <c r="N150" s="81">
        <f ca="1">VLOOKUP($AD150,INDIRECT("'"&amp;$B150&amp;"'!"&amp;"$P$200:$AD$203"),5,FALSE)</f>
        <v>25</v>
      </c>
      <c r="O150" s="783">
        <f t="shared" ref="O150:O155" ca="1" si="143">VLOOKUP($AD150,INDIRECT("'"&amp;$B150&amp;"'!"&amp;"$P$200:$AD$203"),6,FALSE)/1000</f>
        <v>0.3250909090909091</v>
      </c>
      <c r="P150" s="783">
        <f t="shared" ref="P150:P155" ca="1" si="144">VLOOKUP($AD150,INDIRECT("'"&amp;$B150&amp;"'!"&amp;"$P$200:$AD$203"),7,FALSE)/1000</f>
        <v>1.49E-2</v>
      </c>
      <c r="Q150" s="81">
        <f t="shared" ref="Q150:Q155" ca="1" si="145">VLOOKUP($AD150,INDIRECT("'"&amp;$B150&amp;"'!"&amp;"$P$200:$AD$203"),8,FALSE)</f>
        <v>2.276388888888889</v>
      </c>
      <c r="R150" s="81">
        <v>3.1536000000000002E-2</v>
      </c>
      <c r="S150" s="206">
        <v>0.5</v>
      </c>
      <c r="T150" s="206">
        <f ca="1">IF(HLOOKUP($T$2,INDIRECT("'"&amp;$B150&amp;"'!"&amp;"$P$6:$AE$19"),IF(H150=$AI$13,6,IF(H150=$AI$14,9,14)),FALSE)&lt;0.03,0,HLOOKUP($T$2,INDIRECT("'"&amp;$B150&amp;"'!"&amp;"$P$6:$AE$19"),IF(H150=$AI$13,6,IF(H150=$AI$14,9,14)),FALSE))</f>
        <v>0.97</v>
      </c>
      <c r="U150" s="833"/>
      <c r="V150" s="759">
        <f ca="1">IF(IF(RIGHT(H150,2)="MT",(1-L150)+$W$2,IF(RIGHT(H150,2)="HT",(1-L150)+$W$1,IF(RIGHT(H150,2)="RH",(1-L150)+$W$3,"")))&lt;0,0,IF(RIGHT(H150,2)="MT",(1-L150)+$W$2,IF(RIGHT(H150,2)="HT",(1-L150)+$W$1,IF(RIGHT(H150,2)="RH",(1-L150)+$W$3,""))))</f>
        <v>0.26999999999999996</v>
      </c>
      <c r="W150" s="769"/>
      <c r="X150" s="758">
        <f t="shared" ca="1" si="117"/>
        <v>0.3</v>
      </c>
      <c r="Y150" s="758">
        <f t="shared" ref="Y150:Y155" ca="1" si="146">VLOOKUP($AD150,INDIRECT("'"&amp;$B150&amp;"'!"&amp;"$P$200:$AD$203"),12,FALSE)</f>
        <v>9</v>
      </c>
      <c r="Z150" s="758">
        <f t="shared" ref="Z150:Z155" ca="1" si="147">VLOOKUP($AD150,INDIRECT("'"&amp;$B150&amp;"'!"&amp;"$P$200:$AD$203"),13,FALSE)</f>
        <v>3</v>
      </c>
      <c r="AA150" s="758">
        <f t="shared" ref="AA150:AA155" ca="1" si="148">VLOOKUP($AD150,INDIRECT("'"&amp;$B150&amp;"'!"&amp;"$P$200:$AD$203"),14,FALSE)</f>
        <v>1</v>
      </c>
      <c r="AB150" s="758">
        <f t="shared" ref="AB150:AB155" ca="1" si="149">VLOOKUP($AD150,INDIRECT("'"&amp;$B150&amp;"'!"&amp;"$P$200:$AD$203"),15,FALSE)</f>
        <v>0.1</v>
      </c>
      <c r="AC150" s="55"/>
      <c r="AD150" s="81">
        <v>2020</v>
      </c>
      <c r="AE150" s="81"/>
      <c r="AF150" s="760"/>
    </row>
    <row r="151" spans="1:32">
      <c r="A151" s="241"/>
      <c r="B151" s="778" t="s">
        <v>1135</v>
      </c>
      <c r="C151" s="241"/>
      <c r="D151" s="223" t="str">
        <f ca="1">IF(T150=0,"*",IF(T151&gt;0,"IND"&amp;RIGHT(H150,4)&amp;RIGHT(G150,3)&amp;"N"&amp;RIGHT(E150,1),""))</f>
        <v/>
      </c>
      <c r="E151" s="278"/>
      <c r="F151" s="239" t="s">
        <v>1274</v>
      </c>
      <c r="G151" s="55"/>
      <c r="H151" s="177"/>
      <c r="I151" s="177" t="str">
        <f t="shared" si="115"/>
        <v>INDGWH</v>
      </c>
      <c r="J151" s="239">
        <f t="shared" si="116"/>
        <v>2030</v>
      </c>
      <c r="K151" s="81"/>
      <c r="L151" s="206">
        <f t="shared" ca="1" si="142"/>
        <v>0.94</v>
      </c>
      <c r="M151" s="206"/>
      <c r="N151" s="81"/>
      <c r="O151" s="783">
        <f t="shared" ca="1" si="143"/>
        <v>0.27090909090909093</v>
      </c>
      <c r="P151" s="783">
        <f t="shared" ca="1" si="144"/>
        <v>1.4154999999999999E-2</v>
      </c>
      <c r="Q151" s="81">
        <f t="shared" ca="1" si="145"/>
        <v>2.0694444444444446</v>
      </c>
      <c r="R151" s="333"/>
      <c r="S151" s="333"/>
      <c r="T151" s="333"/>
      <c r="U151" s="333"/>
      <c r="V151" s="759">
        <f ca="1">IF(IF(RIGHT(H150,2)="MT",(1-L151)+$W$2,IF(RIGHT(H150,2)="HT",(1-L151)+$W$1,IF(RIGHT(H150,2)="RH",(1-L151)+$W$3,"")))&lt;0,0,IF(RIGHT(H150,2)="MT",(1-L151)+$W$2,IF(RIGHT(H150,2)="HT",(1-L151)+$W$1,IF(RIGHT(H150,2)="RH",(1-L151)+$W$3,""))))</f>
        <v>0.26000000000000006</v>
      </c>
      <c r="W151" s="331"/>
      <c r="X151" s="758">
        <f t="shared" ca="1" si="117"/>
        <v>0.3</v>
      </c>
      <c r="Y151" s="758">
        <f t="shared" ca="1" si="146"/>
        <v>7</v>
      </c>
      <c r="Z151" s="758">
        <f t="shared" ca="1" si="147"/>
        <v>2</v>
      </c>
      <c r="AA151" s="758">
        <f t="shared" ca="1" si="148"/>
        <v>1</v>
      </c>
      <c r="AB151" s="758">
        <f t="shared" ca="1" si="149"/>
        <v>0.1</v>
      </c>
      <c r="AC151" s="55"/>
      <c r="AD151" s="81">
        <v>2030</v>
      </c>
      <c r="AE151" s="81"/>
      <c r="AF151" s="760"/>
    </row>
    <row r="152" spans="1:32">
      <c r="B152" s="778" t="s">
        <v>1135</v>
      </c>
      <c r="C152" s="241"/>
      <c r="D152" s="223" t="str">
        <f ca="1">IF(T150=0,"*",IF(T152&gt;0,"IND"&amp;RIGHT(H150,4)&amp;RIGHT(G150,3)&amp;"N"&amp;RIGHT(E150,1),""))</f>
        <v/>
      </c>
      <c r="E152" s="278"/>
      <c r="F152" s="239" t="s">
        <v>1274</v>
      </c>
      <c r="G152" s="55"/>
      <c r="H152" s="177"/>
      <c r="I152" s="177" t="str">
        <f t="shared" si="115"/>
        <v>INDGWH</v>
      </c>
      <c r="J152" s="239">
        <f t="shared" si="116"/>
        <v>2050</v>
      </c>
      <c r="K152" s="81"/>
      <c r="L152" s="206">
        <f t="shared" ca="1" si="142"/>
        <v>0.95</v>
      </c>
      <c r="M152" s="206"/>
      <c r="N152" s="81"/>
      <c r="O152" s="783">
        <f t="shared" ca="1" si="143"/>
        <v>0.27090909090909093</v>
      </c>
      <c r="P152" s="783">
        <f t="shared" ca="1" si="144"/>
        <v>1.2664999999999999E-2</v>
      </c>
      <c r="Q152" s="81">
        <f t="shared" ca="1" si="145"/>
        <v>2.0694444444444446</v>
      </c>
      <c r="R152" s="333"/>
      <c r="S152" s="333"/>
      <c r="T152" s="333"/>
      <c r="U152" s="333"/>
      <c r="V152" s="759">
        <f ca="1">IF(IF(RIGHT(H150,2)="MT",(1-L152)+$W$2,IF(RIGHT(H150,2)="HT",(1-L152)+$W$1,IF(RIGHT(H150,2)="RH",(1-L152)+$W$3,"")))&lt;0,0,IF(RIGHT(H150,2)="MT",(1-L152)+$W$2,IF(RIGHT(H150,2)="HT",(1-L152)+$W$1,IF(RIGHT(H150,2)="RH",(1-L152)+$W$3,""))))</f>
        <v>0.25000000000000006</v>
      </c>
      <c r="W152" s="780"/>
      <c r="X152" s="758">
        <f t="shared" ca="1" si="117"/>
        <v>0.3</v>
      </c>
      <c r="Y152" s="758">
        <f t="shared" ca="1" si="146"/>
        <v>6</v>
      </c>
      <c r="Z152" s="758">
        <f t="shared" ca="1" si="147"/>
        <v>2</v>
      </c>
      <c r="AA152" s="758">
        <f t="shared" ca="1" si="148"/>
        <v>1</v>
      </c>
      <c r="AB152" s="758">
        <f t="shared" ca="1" si="149"/>
        <v>0.1</v>
      </c>
      <c r="AC152" s="211"/>
      <c r="AD152" s="81">
        <v>2050</v>
      </c>
      <c r="AE152" s="81"/>
      <c r="AF152" s="765"/>
    </row>
    <row r="153" spans="1:32">
      <c r="B153" s="778" t="s">
        <v>1135</v>
      </c>
      <c r="C153" s="64"/>
      <c r="D153" s="223" t="str">
        <f ca="1">IF(T153=0,"*",IF(T153&gt;0,"IND"&amp;RIGHT(H153,4)&amp;RIGHT(G153,3)&amp;"N"&amp;RIGHT(E153,1),""))</f>
        <v>INDGDRHDH2N3</v>
      </c>
      <c r="E153" s="278" t="str">
        <f>"Industrial heating technology "&amp;$AJ$12&amp;" "&amp;RIGHT(H153,2)&amp;" - Gas boiler (Hot Water) - new 3"</f>
        <v>Industrial heating technology Glass &amp; Concrete RH - Gas boiler (Hot Water) - new 3</v>
      </c>
      <c r="F153" s="239" t="s">
        <v>1274</v>
      </c>
      <c r="G153" s="176" t="s">
        <v>1438</v>
      </c>
      <c r="H153" s="177" t="str">
        <f>$AI$15</f>
        <v>IGDRH</v>
      </c>
      <c r="I153" s="177" t="str">
        <f t="shared" si="115"/>
        <v>INDGWH</v>
      </c>
      <c r="J153" s="239">
        <f t="shared" si="116"/>
        <v>2011</v>
      </c>
      <c r="K153" s="332">
        <f>J153</f>
        <v>2011</v>
      </c>
      <c r="L153" s="206">
        <f t="shared" ca="1" si="142"/>
        <v>0.93</v>
      </c>
      <c r="M153" s="206"/>
      <c r="N153" s="81">
        <f ca="1">VLOOKUP($AD153,INDIRECT("'"&amp;$B153&amp;"'!"&amp;"$P$200:$AD$203"),5,FALSE)</f>
        <v>25</v>
      </c>
      <c r="O153" s="783">
        <f t="shared" ca="1" si="143"/>
        <v>0.3250909090909091</v>
      </c>
      <c r="P153" s="783">
        <f t="shared" ca="1" si="144"/>
        <v>1.49E-2</v>
      </c>
      <c r="Q153" s="81">
        <f t="shared" ca="1" si="145"/>
        <v>2.276388888888889</v>
      </c>
      <c r="R153" s="81">
        <v>3.1536000000000002E-2</v>
      </c>
      <c r="S153" s="206">
        <v>0.5</v>
      </c>
      <c r="T153" s="206">
        <f ca="1">IF(HLOOKUP($T$2,INDIRECT("'"&amp;$B153&amp;"'!"&amp;"$P$6:$AE$19"),IF(H153=$AI$13,6,IF(H153=$AI$14,9,14)),FALSE)&lt;0.03,0,HLOOKUP($T$2,INDIRECT("'"&amp;$B153&amp;"'!"&amp;"$P$6:$AE$19"),IF(H153=$AI$13,6,IF(H153=$AI$14,9,14)),FALSE))</f>
        <v>1</v>
      </c>
      <c r="U153" s="832"/>
      <c r="V153" s="759">
        <f ca="1">IF(IF(RIGHT(H153,2)="MT",(1-L153)+$W$2,IF(RIGHT(H153,2)="HT",(1-L153)+$W$1,IF(RIGHT(H153,2)="RH",(1-L153)+$W$3,"")))&lt;0,0,IF(RIGHT(H153,2)="MT",(1-L153)+$W$2,IF(RIGHT(H153,2)="HT",(1-L153)+$W$1,IF(RIGHT(H153,2)="RH",(1-L153)+$W$3,""))))</f>
        <v>6.9999999999999951E-2</v>
      </c>
      <c r="W153" s="331"/>
      <c r="X153" s="758">
        <f t="shared" ca="1" si="117"/>
        <v>0.3</v>
      </c>
      <c r="Y153" s="758">
        <f t="shared" ca="1" si="146"/>
        <v>9</v>
      </c>
      <c r="Z153" s="758">
        <f t="shared" ca="1" si="147"/>
        <v>3</v>
      </c>
      <c r="AA153" s="758">
        <f t="shared" ca="1" si="148"/>
        <v>1</v>
      </c>
      <c r="AB153" s="758">
        <f t="shared" ca="1" si="149"/>
        <v>0.1</v>
      </c>
      <c r="AC153" s="329"/>
      <c r="AD153" s="81">
        <v>2020</v>
      </c>
      <c r="AE153" s="81"/>
      <c r="AF153" s="770"/>
    </row>
    <row r="154" spans="1:32">
      <c r="B154" s="778" t="s">
        <v>1135</v>
      </c>
      <c r="C154" s="64"/>
      <c r="D154" s="223" t="str">
        <f ca="1">IF(T153=0,"*",IF(T154&gt;0,"IND"&amp;RIGHT(H153,4)&amp;RIGHT(G153,3)&amp;"N"&amp;RIGHT(E153,1),""))</f>
        <v/>
      </c>
      <c r="E154" s="278"/>
      <c r="F154" s="239" t="s">
        <v>1274</v>
      </c>
      <c r="G154" s="55"/>
      <c r="H154" s="177"/>
      <c r="I154" s="177" t="str">
        <f t="shared" si="115"/>
        <v>INDGWH</v>
      </c>
      <c r="J154" s="239">
        <f t="shared" si="116"/>
        <v>2030</v>
      </c>
      <c r="K154" s="81"/>
      <c r="L154" s="206">
        <f t="shared" ca="1" si="142"/>
        <v>0.94</v>
      </c>
      <c r="M154" s="206"/>
      <c r="N154" s="81"/>
      <c r="O154" s="783">
        <f t="shared" ca="1" si="143"/>
        <v>0.27090909090909093</v>
      </c>
      <c r="P154" s="783">
        <f t="shared" ca="1" si="144"/>
        <v>1.4154999999999999E-2</v>
      </c>
      <c r="Q154" s="81">
        <f t="shared" ca="1" si="145"/>
        <v>2.0694444444444446</v>
      </c>
      <c r="R154" s="333"/>
      <c r="S154" s="333"/>
      <c r="T154" s="333"/>
      <c r="U154" s="333"/>
      <c r="V154" s="759">
        <f ca="1">IF(IF(RIGHT(H153,2)="MT",(1-L154)+$W$2,IF(RIGHT(H153,2)="HT",(1-L154)+$W$1,IF(RIGHT(H153,2)="RH",(1-L154)+$W$3,"")))&lt;0,0,IF(RIGHT(H153,2)="MT",(1-L154)+$W$2,IF(RIGHT(H153,2)="HT",(1-L154)+$W$1,IF(RIGHT(H153,2)="RH",(1-L154)+$W$3,""))))</f>
        <v>6.0000000000000053E-2</v>
      </c>
      <c r="W154" s="331"/>
      <c r="X154" s="758">
        <f t="shared" ca="1" si="117"/>
        <v>0.3</v>
      </c>
      <c r="Y154" s="758">
        <f t="shared" ca="1" si="146"/>
        <v>7</v>
      </c>
      <c r="Z154" s="758">
        <f t="shared" ca="1" si="147"/>
        <v>2</v>
      </c>
      <c r="AA154" s="758">
        <f t="shared" ca="1" si="148"/>
        <v>1</v>
      </c>
      <c r="AB154" s="758">
        <f t="shared" ca="1" si="149"/>
        <v>0.1</v>
      </c>
      <c r="AC154" s="55"/>
      <c r="AD154" s="81">
        <v>2030</v>
      </c>
      <c r="AE154" s="81"/>
      <c r="AF154" s="760"/>
    </row>
    <row r="155" spans="1:32">
      <c r="A155" s="241"/>
      <c r="B155" s="779" t="s">
        <v>1135</v>
      </c>
      <c r="C155" s="773"/>
      <c r="D155" s="223" t="str">
        <f ca="1">IF(T153=0,"*",IF(T155&gt;0,"IND"&amp;RIGHT(H153,4)&amp;RIGHT(G153,3)&amp;"N"&amp;RIGHT(E153,1),""))</f>
        <v/>
      </c>
      <c r="E155" s="761"/>
      <c r="F155" s="239" t="s">
        <v>1274</v>
      </c>
      <c r="G155" s="211"/>
      <c r="H155" s="762"/>
      <c r="I155" s="762" t="str">
        <f t="shared" si="115"/>
        <v>INDGWH</v>
      </c>
      <c r="J155" s="239">
        <f t="shared" si="116"/>
        <v>2050</v>
      </c>
      <c r="K155" s="81"/>
      <c r="L155" s="206">
        <f t="shared" ca="1" si="142"/>
        <v>0.95</v>
      </c>
      <c r="M155" s="206"/>
      <c r="N155" s="81"/>
      <c r="O155" s="783">
        <f t="shared" ca="1" si="143"/>
        <v>0.27090909090909093</v>
      </c>
      <c r="P155" s="783">
        <f t="shared" ca="1" si="144"/>
        <v>1.2664999999999999E-2</v>
      </c>
      <c r="Q155" s="81">
        <f t="shared" ca="1" si="145"/>
        <v>2.0694444444444446</v>
      </c>
      <c r="R155" s="333"/>
      <c r="S155" s="333"/>
      <c r="T155" s="333"/>
      <c r="U155" s="333"/>
      <c r="V155" s="759">
        <f ca="1">IF(IF(RIGHT(H153,2)="MT",(1-L155)+$W$2,IF(RIGHT(H153,2)="HT",(1-L155)+$W$1,IF(RIGHT(H153,2)="RH",(1-L155)+$W$3,"")))&lt;0,0,IF(RIGHT(H153,2)="MT",(1-L155)+$W$2,IF(RIGHT(H153,2)="HT",(1-L155)+$W$1,IF(RIGHT(H153,2)="RH",(1-L155)+$W$3,""))))</f>
        <v>5.0000000000000044E-2</v>
      </c>
      <c r="W155" s="331"/>
      <c r="X155" s="758">
        <f t="shared" ca="1" si="117"/>
        <v>0.3</v>
      </c>
      <c r="Y155" s="758">
        <f t="shared" ca="1" si="146"/>
        <v>6</v>
      </c>
      <c r="Z155" s="758">
        <f t="shared" ca="1" si="147"/>
        <v>2</v>
      </c>
      <c r="AA155" s="758">
        <f t="shared" ca="1" si="148"/>
        <v>1</v>
      </c>
      <c r="AB155" s="758">
        <f t="shared" ca="1" si="149"/>
        <v>0.1</v>
      </c>
      <c r="AC155" s="55"/>
      <c r="AD155" s="81">
        <v>2050</v>
      </c>
      <c r="AE155" s="81"/>
      <c r="AF155" s="760"/>
    </row>
    <row r="156" spans="1:32">
      <c r="B156" s="778" t="s">
        <v>1135</v>
      </c>
      <c r="C156" s="64"/>
      <c r="D156" s="223" t="str">
        <f ca="1">IF(T156=0,"*",IF(T156&gt;0,"IND"&amp;RIGHT(H156,4)&amp;RIGHT(G156,3)&amp;"N"&amp;RIGHT(E156,1),""))</f>
        <v>INDGDMTDH2N4</v>
      </c>
      <c r="E156" s="767" t="str">
        <f>"Industrial heating technology "&amp;$AJ$12&amp;" "&amp;RIGHT(H156,2)&amp;" - Gas boiler (Hot Water - condensing) - new 4"</f>
        <v>Industrial heating technology Glass &amp; Concrete MT - Gas boiler (Hot Water - condensing) - new 4</v>
      </c>
      <c r="F156" s="239" t="s">
        <v>1274</v>
      </c>
      <c r="G156" s="176" t="s">
        <v>1438</v>
      </c>
      <c r="H156" s="768" t="str">
        <f>$AI$14</f>
        <v>IGDMT</v>
      </c>
      <c r="I156" s="768" t="str">
        <f t="shared" si="115"/>
        <v>INDGWH</v>
      </c>
      <c r="J156" s="239">
        <f t="shared" si="116"/>
        <v>2011</v>
      </c>
      <c r="K156" s="332">
        <f>J156</f>
        <v>2011</v>
      </c>
      <c r="L156" s="206">
        <f t="shared" ref="L156:L161" ca="1" si="150">VLOOKUP($AD156,INDIRECT("'"&amp;$B156&amp;"'!"&amp;"$P$279:$AD$282"),3,FALSE)</f>
        <v>1.01</v>
      </c>
      <c r="M156" s="206"/>
      <c r="N156" s="81">
        <f ca="1">VLOOKUP($AD156,INDIRECT("'"&amp;$B156&amp;"'!"&amp;"$P$279:$AD$282"),5,FALSE)</f>
        <v>25</v>
      </c>
      <c r="O156" s="783">
        <f t="shared" ref="O156:O161" ca="1" si="151">VLOOKUP($AD156,INDIRECT("'"&amp;$B156&amp;"'!"&amp;"$P$279:$AD$282"),6,FALSE)/1000</f>
        <v>0.35760000000000003</v>
      </c>
      <c r="P156" s="783">
        <f t="shared" ref="P156:P161" ca="1" si="152">VLOOKUP($AD156,INDIRECT("'"&amp;$B156&amp;"'!"&amp;"$P$279:$AD$282"),7,FALSE)/1000</f>
        <v>1.49E-2</v>
      </c>
      <c r="Q156" s="81">
        <f t="shared" ref="Q156:Q161" ca="1" si="153">VLOOKUP($AD156,INDIRECT("'"&amp;$B156&amp;"'!"&amp;"$P$279:$AD$282"),8,FALSE)</f>
        <v>2.276388888888889</v>
      </c>
      <c r="R156" s="81">
        <v>3.1536000000000002E-2</v>
      </c>
      <c r="S156" s="206">
        <v>0.5</v>
      </c>
      <c r="T156" s="206">
        <f ca="1">IF(HLOOKUP($T$2,INDIRECT("'"&amp;$B156&amp;"'!"&amp;"$P$6:$AE$19"),IF(H156=$AI$13,6,IF(H156=$AI$14,9,14)),FALSE)&lt;0.03,0,HLOOKUP($T$2,INDIRECT("'"&amp;$B156&amp;"'!"&amp;"$P$6:$AE$19"),IF(H156=$AI$13,6,IF(H156=$AI$14,9,14)),FALSE))</f>
        <v>0.97</v>
      </c>
      <c r="U156" s="833"/>
      <c r="V156" s="759">
        <f ca="1">IF(IF(RIGHT(H156,2)="MT",(1-L156)+$W$2,IF(RIGHT(H156,2)="HT",(1-L156)+$W$1,IF(RIGHT(H156,2)="RH",(1-L156)+$W$3,"")))&lt;0,0,IF(RIGHT(H156,2)="MT",(1-L156)+$W$2,IF(RIGHT(H156,2)="HT",(1-L156)+$W$1,IF(RIGHT(H156,2)="RH",(1-L156)+$W$3,""))))</f>
        <v>0.19</v>
      </c>
      <c r="W156" s="769"/>
      <c r="X156" s="758">
        <f t="shared" ca="1" si="117"/>
        <v>0.3</v>
      </c>
      <c r="Y156" s="758">
        <f t="shared" ref="Y156:Y161" ca="1" si="154">VLOOKUP($AD156,INDIRECT("'"&amp;$B156&amp;"'!"&amp;"$P$279:$AD$282"),12,FALSE)</f>
        <v>9</v>
      </c>
      <c r="Z156" s="758">
        <f t="shared" ref="Z156:Z161" ca="1" si="155">VLOOKUP($AD156,INDIRECT("'"&amp;$B156&amp;"'!"&amp;"$P$279:$AD$282"),13,FALSE)</f>
        <v>3</v>
      </c>
      <c r="AA156" s="758">
        <f t="shared" ref="AA156:AA161" ca="1" si="156">VLOOKUP($AD156,INDIRECT("'"&amp;$B156&amp;"'!"&amp;"$P$279:$AD$282"),14,FALSE)</f>
        <v>1</v>
      </c>
      <c r="AB156" s="758">
        <f t="shared" ref="AB156:AB161" ca="1" si="157">VLOOKUP($AD156,INDIRECT("'"&amp;$B156&amp;"'!"&amp;"$P$279:$AD$282"),15,FALSE)</f>
        <v>0.1</v>
      </c>
      <c r="AC156" s="55"/>
      <c r="AD156" s="81">
        <v>2020</v>
      </c>
      <c r="AE156" s="81"/>
      <c r="AF156" s="760"/>
    </row>
    <row r="157" spans="1:32">
      <c r="B157" s="778" t="s">
        <v>1135</v>
      </c>
      <c r="C157" s="64"/>
      <c r="D157" s="223" t="str">
        <f ca="1">IF(T156=0,"*",IF(T157&gt;0,"IND"&amp;RIGHT(H156,4)&amp;RIGHT(G156,3)&amp;"N"&amp;RIGHT(E156,1),""))</f>
        <v/>
      </c>
      <c r="E157" s="278"/>
      <c r="F157" s="239" t="s">
        <v>1274</v>
      </c>
      <c r="G157" s="55"/>
      <c r="H157" s="177"/>
      <c r="I157" s="177" t="str">
        <f t="shared" si="115"/>
        <v>INDGWH</v>
      </c>
      <c r="J157" s="239">
        <f t="shared" si="116"/>
        <v>2030</v>
      </c>
      <c r="K157" s="81"/>
      <c r="L157" s="206">
        <f t="shared" ca="1" si="150"/>
        <v>1.03</v>
      </c>
      <c r="M157" s="206"/>
      <c r="N157" s="81"/>
      <c r="O157" s="783">
        <f t="shared" ca="1" si="151"/>
        <v>0.29800000000000004</v>
      </c>
      <c r="P157" s="783">
        <f t="shared" ca="1" si="152"/>
        <v>1.4154999999999999E-2</v>
      </c>
      <c r="Q157" s="81">
        <f t="shared" ca="1" si="153"/>
        <v>2.0694444444444446</v>
      </c>
      <c r="R157" s="333"/>
      <c r="S157" s="333"/>
      <c r="T157" s="333"/>
      <c r="U157" s="333"/>
      <c r="V157" s="759">
        <f ca="1">IF(IF(RIGHT(H156,2)="MT",(1-L157)+$W$2,IF(RIGHT(H156,2)="HT",(1-L157)+$W$1,IF(RIGHT(H156,2)="RH",(1-L157)+$W$3,"")))&lt;0,0,IF(RIGHT(H156,2)="MT",(1-L157)+$W$2,IF(RIGHT(H156,2)="HT",(1-L157)+$W$1,IF(RIGHT(H156,2)="RH",(1-L157)+$W$3,""))))</f>
        <v>0.16999999999999998</v>
      </c>
      <c r="W157" s="331"/>
      <c r="X157" s="758">
        <f t="shared" ca="1" si="117"/>
        <v>0.3</v>
      </c>
      <c r="Y157" s="758">
        <f t="shared" ca="1" si="154"/>
        <v>7</v>
      </c>
      <c r="Z157" s="758">
        <f t="shared" ca="1" si="155"/>
        <v>2</v>
      </c>
      <c r="AA157" s="758">
        <f t="shared" ca="1" si="156"/>
        <v>1</v>
      </c>
      <c r="AB157" s="758">
        <f t="shared" ca="1" si="157"/>
        <v>0.1</v>
      </c>
      <c r="AC157" s="55"/>
      <c r="AD157" s="81">
        <v>2030</v>
      </c>
      <c r="AE157" s="81"/>
      <c r="AF157" s="760"/>
    </row>
    <row r="158" spans="1:32">
      <c r="B158" s="778" t="s">
        <v>1135</v>
      </c>
      <c r="C158" s="64"/>
      <c r="D158" s="223" t="str">
        <f ca="1">IF(T156=0,"*",IF(T158&gt;0,"IND"&amp;RIGHT(H156,4)&amp;RIGHT(G156,3)&amp;"N"&amp;RIGHT(E156,1),""))</f>
        <v/>
      </c>
      <c r="E158" s="278"/>
      <c r="F158" s="239" t="s">
        <v>1274</v>
      </c>
      <c r="G158" s="55"/>
      <c r="H158" s="177"/>
      <c r="I158" s="177" t="str">
        <f t="shared" si="115"/>
        <v>INDGWH</v>
      </c>
      <c r="J158" s="239">
        <f t="shared" si="116"/>
        <v>2050</v>
      </c>
      <c r="K158" s="81"/>
      <c r="L158" s="206">
        <f t="shared" ca="1" si="150"/>
        <v>1.03</v>
      </c>
      <c r="M158" s="206"/>
      <c r="N158" s="81"/>
      <c r="O158" s="783">
        <f t="shared" ca="1" si="151"/>
        <v>0.29800000000000004</v>
      </c>
      <c r="P158" s="783">
        <f t="shared" ca="1" si="152"/>
        <v>1.2664999999999999E-2</v>
      </c>
      <c r="Q158" s="81">
        <f t="shared" ca="1" si="153"/>
        <v>2.0694444444444446</v>
      </c>
      <c r="R158" s="333"/>
      <c r="S158" s="333"/>
      <c r="T158" s="333"/>
      <c r="U158" s="333"/>
      <c r="V158" s="759">
        <f ca="1">IF(IF(RIGHT(H156,2)="MT",(1-L158)+$W$2,IF(RIGHT(H156,2)="HT",(1-L158)+$W$1,IF(RIGHT(H156,2)="RH",(1-L158)+$W$3,"")))&lt;0,0,IF(RIGHT(H156,2)="MT",(1-L158)+$W$2,IF(RIGHT(H156,2)="HT",(1-L158)+$W$1,IF(RIGHT(H156,2)="RH",(1-L158)+$W$3,""))))</f>
        <v>0.16999999999999998</v>
      </c>
      <c r="W158" s="331"/>
      <c r="X158" s="758">
        <f t="shared" ca="1" si="117"/>
        <v>0.3</v>
      </c>
      <c r="Y158" s="758">
        <f t="shared" ca="1" si="154"/>
        <v>6</v>
      </c>
      <c r="Z158" s="758">
        <f t="shared" ca="1" si="155"/>
        <v>2</v>
      </c>
      <c r="AA158" s="758">
        <f t="shared" ca="1" si="156"/>
        <v>1</v>
      </c>
      <c r="AB158" s="758">
        <f t="shared" ca="1" si="157"/>
        <v>0.1</v>
      </c>
      <c r="AC158" s="211"/>
      <c r="AD158" s="81">
        <v>2050</v>
      </c>
      <c r="AE158" s="81"/>
      <c r="AF158" s="765"/>
    </row>
    <row r="159" spans="1:32">
      <c r="A159" s="241"/>
      <c r="B159" s="778" t="s">
        <v>1135</v>
      </c>
      <c r="C159" s="64"/>
      <c r="D159" s="223" t="str">
        <f ca="1">IF(T159=0,"*",IF(T159&gt;0,"IND"&amp;RIGHT(H159,4)&amp;RIGHT(G159,3)&amp;"N"&amp;RIGHT(E159,1),""))</f>
        <v>INDGDRHDH2N4</v>
      </c>
      <c r="E159" s="278" t="str">
        <f>"Industrial heating technology "&amp;$AJ$12&amp;" "&amp;RIGHT(H159,2)&amp;" - Gas boiler (Hot Water- condensing) - new 4"</f>
        <v>Industrial heating technology Glass &amp; Concrete RH - Gas boiler (Hot Water- condensing) - new 4</v>
      </c>
      <c r="F159" s="239" t="s">
        <v>1274</v>
      </c>
      <c r="G159" s="176" t="s">
        <v>1438</v>
      </c>
      <c r="H159" s="177" t="str">
        <f>$AI$15</f>
        <v>IGDRH</v>
      </c>
      <c r="I159" s="177" t="str">
        <f t="shared" ref="I159:I182" si="158">$AI$20</f>
        <v>INDGWH</v>
      </c>
      <c r="J159" s="239">
        <f t="shared" ref="J159:J185" si="159">IF(AD159=2020,2011,AD159)</f>
        <v>2011</v>
      </c>
      <c r="K159" s="332">
        <f>J159</f>
        <v>2011</v>
      </c>
      <c r="L159" s="206">
        <f t="shared" ca="1" si="150"/>
        <v>1.01</v>
      </c>
      <c r="M159" s="206"/>
      <c r="N159" s="81">
        <f ca="1">VLOOKUP($AD159,INDIRECT("'"&amp;$B159&amp;"'!"&amp;"$P$279:$AD$282"),5,FALSE)</f>
        <v>25</v>
      </c>
      <c r="O159" s="783">
        <f t="shared" ca="1" si="151"/>
        <v>0.35760000000000003</v>
      </c>
      <c r="P159" s="783">
        <f t="shared" ca="1" si="152"/>
        <v>1.49E-2</v>
      </c>
      <c r="Q159" s="81">
        <f t="shared" ca="1" si="153"/>
        <v>2.276388888888889</v>
      </c>
      <c r="R159" s="81">
        <v>3.1536000000000002E-2</v>
      </c>
      <c r="S159" s="206">
        <v>0.5</v>
      </c>
      <c r="T159" s="206">
        <f ca="1">IF(HLOOKUP($T$2,INDIRECT("'"&amp;$B159&amp;"'!"&amp;"$P$6:$AE$19"),IF(H159=$AI$13,6,IF(H159=$AI$14,9,14)),FALSE)&lt;0.03,0,HLOOKUP($T$2,INDIRECT("'"&amp;$B159&amp;"'!"&amp;"$P$6:$AE$19"),IF(H159=$AI$13,6,IF(H159=$AI$14,9,14)),FALSE))</f>
        <v>1</v>
      </c>
      <c r="U159" s="833"/>
      <c r="V159" s="759">
        <f ca="1">IF(IF(RIGHT(H159,2)="MT",(1-L159)+$W$2,IF(RIGHT(H159,2)="HT",(1-L159)+$W$1,IF(RIGHT(H159,2)="RH",(1-L159)+$W$3,"")))&lt;0,0,IF(RIGHT(H159,2)="MT",(1-L159)+$W$2,IF(RIGHT(H159,2)="HT",(1-L159)+$W$1,IF(RIGHT(H159,2)="RH",(1-L159)+$W$3,""))))</f>
        <v>0</v>
      </c>
      <c r="W159" s="769"/>
      <c r="X159" s="758">
        <f t="shared" ref="X159:X177" ca="1" si="160">IF(VLOOKUP($AD159,INDIRECT("'"&amp;$B159&amp;"'!"&amp;"$P$39:$AD$42"),11,FALSE)="Cf. the utilized electricity",0,VLOOKUP($AD159,INDIRECT("'"&amp;$B159&amp;"'!"&amp;"$P$39:$AD$42"),11,FALSE))</f>
        <v>0.3</v>
      </c>
      <c r="Y159" s="758">
        <f t="shared" ca="1" si="154"/>
        <v>9</v>
      </c>
      <c r="Z159" s="758">
        <f t="shared" ca="1" si="155"/>
        <v>3</v>
      </c>
      <c r="AA159" s="758">
        <f t="shared" ca="1" si="156"/>
        <v>1</v>
      </c>
      <c r="AB159" s="758">
        <f t="shared" ca="1" si="157"/>
        <v>0.1</v>
      </c>
      <c r="AC159" s="329"/>
      <c r="AD159" s="81">
        <v>2020</v>
      </c>
      <c r="AE159" s="81"/>
      <c r="AF159" s="770"/>
    </row>
    <row r="160" spans="1:32">
      <c r="B160" s="778" t="s">
        <v>1135</v>
      </c>
      <c r="C160" s="64"/>
      <c r="D160" s="223" t="str">
        <f ca="1">IF(T159=0,"*",IF(T160&gt;0,"IND"&amp;RIGHT(H159,4)&amp;RIGHT(G159,3)&amp;"N"&amp;RIGHT(E159,1),""))</f>
        <v/>
      </c>
      <c r="E160" s="278"/>
      <c r="F160" s="239" t="s">
        <v>1274</v>
      </c>
      <c r="G160" s="55"/>
      <c r="H160" s="177"/>
      <c r="I160" s="177" t="str">
        <f t="shared" si="158"/>
        <v>INDGWH</v>
      </c>
      <c r="J160" s="239">
        <f t="shared" si="159"/>
        <v>2030</v>
      </c>
      <c r="K160" s="81"/>
      <c r="L160" s="206">
        <f t="shared" ca="1" si="150"/>
        <v>1.03</v>
      </c>
      <c r="M160" s="206"/>
      <c r="N160" s="81"/>
      <c r="O160" s="783">
        <f t="shared" ca="1" si="151"/>
        <v>0.29800000000000004</v>
      </c>
      <c r="P160" s="783">
        <f t="shared" ca="1" si="152"/>
        <v>1.4154999999999999E-2</v>
      </c>
      <c r="Q160" s="81">
        <f t="shared" ca="1" si="153"/>
        <v>2.0694444444444446</v>
      </c>
      <c r="R160" s="333"/>
      <c r="S160" s="333"/>
      <c r="T160" s="333"/>
      <c r="U160" s="333"/>
      <c r="V160" s="759">
        <f ca="1">IF(IF(RIGHT(H159,2)="MT",(1-L160)+$W$2,IF(RIGHT(H159,2)="HT",(1-L160)+$W$1,IF(RIGHT(H159,2)="RH",(1-L160)+$W$3,"")))&lt;0,0,IF(RIGHT(H159,2)="MT",(1-L160)+$W$2,IF(RIGHT(H159,2)="HT",(1-L160)+$W$1,IF(RIGHT(H159,2)="RH",(1-L160)+$W$3,""))))</f>
        <v>0</v>
      </c>
      <c r="W160" s="331"/>
      <c r="X160" s="758">
        <f t="shared" ca="1" si="160"/>
        <v>0.3</v>
      </c>
      <c r="Y160" s="758">
        <f t="shared" ca="1" si="154"/>
        <v>7</v>
      </c>
      <c r="Z160" s="758">
        <f t="shared" ca="1" si="155"/>
        <v>2</v>
      </c>
      <c r="AA160" s="758">
        <f t="shared" ca="1" si="156"/>
        <v>1</v>
      </c>
      <c r="AB160" s="758">
        <f t="shared" ca="1" si="157"/>
        <v>0.1</v>
      </c>
      <c r="AC160" s="55"/>
      <c r="AD160" s="81">
        <v>2030</v>
      </c>
      <c r="AE160" s="81"/>
      <c r="AF160" s="760"/>
    </row>
    <row r="161" spans="1:32">
      <c r="B161" s="779" t="s">
        <v>1135</v>
      </c>
      <c r="C161" s="773"/>
      <c r="D161" s="223" t="str">
        <f ca="1">IF(T159=0,"*",IF(T161&gt;0,"IND"&amp;RIGHT(H159,4)&amp;RIGHT(G159,3)&amp;"N"&amp;RIGHT(E159,1),""))</f>
        <v/>
      </c>
      <c r="E161" s="761"/>
      <c r="F161" s="239" t="s">
        <v>1274</v>
      </c>
      <c r="G161" s="211"/>
      <c r="H161" s="762"/>
      <c r="I161" s="762" t="str">
        <f t="shared" si="158"/>
        <v>INDGWH</v>
      </c>
      <c r="J161" s="239">
        <f t="shared" si="159"/>
        <v>2050</v>
      </c>
      <c r="K161" s="81"/>
      <c r="L161" s="206">
        <f t="shared" ca="1" si="150"/>
        <v>1.03</v>
      </c>
      <c r="M161" s="206"/>
      <c r="N161" s="81"/>
      <c r="O161" s="783">
        <f t="shared" ca="1" si="151"/>
        <v>0.29800000000000004</v>
      </c>
      <c r="P161" s="783">
        <f t="shared" ca="1" si="152"/>
        <v>1.2664999999999999E-2</v>
      </c>
      <c r="Q161" s="81">
        <f t="shared" ca="1" si="153"/>
        <v>2.0694444444444446</v>
      </c>
      <c r="R161" s="333"/>
      <c r="S161" s="333"/>
      <c r="T161" s="333"/>
      <c r="U161" s="333"/>
      <c r="V161" s="759">
        <f ca="1">IF(IF(RIGHT(H159,2)="MT",(1-L161)+$W$2,IF(RIGHT(H159,2)="HT",(1-L161)+$W$1,IF(RIGHT(H159,2)="RH",(1-L161)+$W$3,"")))&lt;0,0,IF(RIGHT(H159,2)="MT",(1-L161)+$W$2,IF(RIGHT(H159,2)="HT",(1-L161)+$W$1,IF(RIGHT(H159,2)="RH",(1-L161)+$W$3,""))))</f>
        <v>0</v>
      </c>
      <c r="W161" s="774"/>
      <c r="X161" s="758">
        <f t="shared" ca="1" si="160"/>
        <v>0.3</v>
      </c>
      <c r="Y161" s="758">
        <f t="shared" ca="1" si="154"/>
        <v>6</v>
      </c>
      <c r="Z161" s="758">
        <f t="shared" ca="1" si="155"/>
        <v>2</v>
      </c>
      <c r="AA161" s="758">
        <f t="shared" ca="1" si="156"/>
        <v>1</v>
      </c>
      <c r="AB161" s="758">
        <f t="shared" ca="1" si="157"/>
        <v>0.1</v>
      </c>
      <c r="AC161" s="55"/>
      <c r="AD161" s="81">
        <v>2050</v>
      </c>
      <c r="AE161" s="81"/>
      <c r="AF161" s="760"/>
    </row>
    <row r="162" spans="1:32">
      <c r="B162" s="778" t="s">
        <v>1135</v>
      </c>
      <c r="C162" s="64"/>
      <c r="D162" s="223" t="str">
        <f ca="1">IF(T162=0,"*",IF(T162&gt;0,"IND"&amp;RIGHT(H162,4)&amp;RIGHT(G162,3)&amp;"N"&amp;RIGHT(E162,1),""))</f>
        <v>INDGDHTDH2N5</v>
      </c>
      <c r="E162" s="767" t="str">
        <f>"Industrial heating technology "&amp;$AJ$12&amp;" "&amp;RIGHT(H162,2)&amp;" - Gas boiler (Direct firing) - new 5"</f>
        <v>Industrial heating technology Glass &amp; Concrete HT - Gas boiler (Direct firing) - new 5</v>
      </c>
      <c r="F162" s="239" t="s">
        <v>1274</v>
      </c>
      <c r="G162" s="176" t="s">
        <v>1438</v>
      </c>
      <c r="H162" s="177" t="str">
        <f>$AI$13</f>
        <v>IGDHT</v>
      </c>
      <c r="I162" s="177" t="str">
        <f t="shared" si="158"/>
        <v>INDGWH</v>
      </c>
      <c r="J162" s="239">
        <f t="shared" si="159"/>
        <v>2011</v>
      </c>
      <c r="K162" s="332">
        <f>J162</f>
        <v>2011</v>
      </c>
      <c r="L162" s="206">
        <f t="shared" ref="L162:L167" ca="1" si="161">VLOOKUP($AD162,INDIRECT("'"&amp;$B162&amp;"'!"&amp;"$P$345:$AD$348"),3,FALSE)</f>
        <v>1</v>
      </c>
      <c r="M162" s="206"/>
      <c r="N162" s="81">
        <f ca="1">VLOOKUP($AD162,INDIRECT("'"&amp;$B162&amp;"'!"&amp;"$P$345:$AD$348"),5,FALSE)</f>
        <v>15</v>
      </c>
      <c r="O162" s="783">
        <f t="shared" ref="O162:O167" ca="1" si="162">VLOOKUP($AD162,INDIRECT("'"&amp;$B162&amp;"'!"&amp;"$P$345:$AD$348"),6,FALSE)/1000</f>
        <v>0.11175</v>
      </c>
      <c r="P162" s="783">
        <f t="shared" ref="P162:P167" ca="1" si="163">VLOOKUP($AD162,INDIRECT("'"&amp;$B162&amp;"'!"&amp;"$P$345:$AD$348"),7,FALSE)/1000</f>
        <v>1.3545454545454561E-3</v>
      </c>
      <c r="Q162" s="81">
        <f t="shared" ref="Q162:Q167" ca="1" si="164">VLOOKUP($AD162,INDIRECT("'"&amp;$B162&amp;"'!"&amp;"$P$345:$AD$348"),8,FALSE)</f>
        <v>0.58461805555555546</v>
      </c>
      <c r="R162" s="81">
        <v>3.1536000000000002E-2</v>
      </c>
      <c r="S162" s="206">
        <v>0.5</v>
      </c>
      <c r="T162" s="206">
        <f ca="1">IF(HLOOKUP($T$2,INDIRECT("'"&amp;$B162&amp;"'!"&amp;"$P$6:$AE$19"),IF(H162=$AI$13,6,IF(H162=$AI$14,9,14)),FALSE)&lt;0.03,0,HLOOKUP($T$2,INDIRECT("'"&amp;$B162&amp;"'!"&amp;"$P$6:$AE$19"),IF(H162=$AI$13,6,IF(H162=$AI$14,9,14)),FALSE))</f>
        <v>1</v>
      </c>
      <c r="U162" s="833"/>
      <c r="V162" s="759">
        <f ca="1">IF(IF(RIGHT(H162,2)="MT",(1-L162)+$W$2,IF(RIGHT(H162,2)="HT",(1-L162)+$W$1,IF(RIGHT(H162,2)="RH",(1-L162)+$W$3,"")))&lt;0,0,IF(RIGHT(H162,2)="MT",(1-L162)+$W$2,IF(RIGHT(H162,2)="HT",(1-L162)+$W$1,IF(RIGHT(H162,2)="RH",(1-L162)+$W$3,""))))</f>
        <v>0.3</v>
      </c>
      <c r="W162" s="769"/>
      <c r="X162" s="758">
        <f t="shared" ca="1" si="160"/>
        <v>0.3</v>
      </c>
      <c r="Y162" s="758">
        <f t="shared" ref="Y162:Y167" ca="1" si="165">VLOOKUP($AD162,INDIRECT("'"&amp;$B162&amp;"'!"&amp;"$P$345:$AD$348"),12,FALSE)</f>
        <v>9</v>
      </c>
      <c r="Z162" s="758">
        <f t="shared" ref="Z162:Z167" ca="1" si="166">VLOOKUP($AD162,INDIRECT("'"&amp;$B162&amp;"'!"&amp;"$P$345:$AD$348"),13,FALSE)</f>
        <v>3</v>
      </c>
      <c r="AA162" s="758">
        <f t="shared" ref="AA162:AA167" ca="1" si="167">VLOOKUP($AD162,INDIRECT("'"&amp;$B162&amp;"'!"&amp;"$P$345:$AD$348"),14,FALSE)</f>
        <v>1</v>
      </c>
      <c r="AB162" s="758">
        <f t="shared" ref="AB162:AB167" ca="1" si="168">VLOOKUP($AD162,INDIRECT("'"&amp;$B162&amp;"'!"&amp;"$P$345:$AD$348"),15,FALSE)</f>
        <v>0.1</v>
      </c>
      <c r="AC162" s="55"/>
      <c r="AD162" s="81">
        <v>2020</v>
      </c>
      <c r="AE162" s="81"/>
      <c r="AF162" s="760"/>
    </row>
    <row r="163" spans="1:32">
      <c r="B163" s="778" t="s">
        <v>1135</v>
      </c>
      <c r="C163" s="64"/>
      <c r="D163" s="223" t="str">
        <f ca="1">IF(T162=0,"*",IF(T163&gt;0,"IND"&amp;RIGHT(H162,4)&amp;RIGHT(G162,3)&amp;"N"&amp;RIGHT(E162,1),""))</f>
        <v/>
      </c>
      <c r="E163" s="278"/>
      <c r="F163" s="239" t="s">
        <v>1274</v>
      </c>
      <c r="G163" s="55"/>
      <c r="H163" s="177"/>
      <c r="I163" s="177" t="str">
        <f t="shared" si="158"/>
        <v>INDGWH</v>
      </c>
      <c r="J163" s="239">
        <f t="shared" si="159"/>
        <v>2030</v>
      </c>
      <c r="K163" s="81"/>
      <c r="L163" s="206">
        <f t="shared" ca="1" si="161"/>
        <v>1</v>
      </c>
      <c r="M163" s="206"/>
      <c r="N163" s="81"/>
      <c r="O163" s="783">
        <f t="shared" ca="1" si="162"/>
        <v>0.11175</v>
      </c>
      <c r="P163" s="783">
        <f t="shared" ca="1" si="163"/>
        <v>1.3206818181818161E-3</v>
      </c>
      <c r="Q163" s="81">
        <f t="shared" ca="1" si="164"/>
        <v>0.5742708333333334</v>
      </c>
      <c r="R163" s="333"/>
      <c r="S163" s="333"/>
      <c r="T163" s="333"/>
      <c r="U163" s="333"/>
      <c r="V163" s="759">
        <f ca="1">IF(IF(RIGHT(H162,2)="MT",(1-L163)+$W$2,IF(RIGHT(H162,2)="HT",(1-L163)+$W$1,IF(RIGHT(H162,2)="RH",(1-L163)+$W$3,"")))&lt;0,0,IF(RIGHT(H162,2)="MT",(1-L163)+$W$2,IF(RIGHT(H162,2)="HT",(1-L163)+$W$1,IF(RIGHT(H162,2)="RH",(1-L163)+$W$3,""))))</f>
        <v>0.3</v>
      </c>
      <c r="W163" s="331"/>
      <c r="X163" s="758">
        <f t="shared" ca="1" si="160"/>
        <v>0.3</v>
      </c>
      <c r="Y163" s="758">
        <f t="shared" ca="1" si="165"/>
        <v>7</v>
      </c>
      <c r="Z163" s="758">
        <f t="shared" ca="1" si="166"/>
        <v>2</v>
      </c>
      <c r="AA163" s="758">
        <f t="shared" ca="1" si="167"/>
        <v>1</v>
      </c>
      <c r="AB163" s="758">
        <f t="shared" ca="1" si="168"/>
        <v>0.1</v>
      </c>
      <c r="AC163" s="55"/>
      <c r="AD163" s="81">
        <v>2030</v>
      </c>
      <c r="AE163" s="81"/>
      <c r="AF163" s="760"/>
    </row>
    <row r="164" spans="1:32">
      <c r="B164" s="778" t="s">
        <v>1135</v>
      </c>
      <c r="C164" s="64"/>
      <c r="D164" s="223" t="str">
        <f ca="1">IF(T162=0,"*",IF(T164&gt;0,"IND"&amp;RIGHT(H162,4)&amp;RIGHT(G162,3)&amp;"N"&amp;RIGHT(E162,1),""))</f>
        <v/>
      </c>
      <c r="E164" s="278"/>
      <c r="F164" s="239" t="s">
        <v>1274</v>
      </c>
      <c r="G164" s="55"/>
      <c r="H164" s="177"/>
      <c r="I164" s="177" t="str">
        <f t="shared" si="158"/>
        <v>INDGWH</v>
      </c>
      <c r="J164" s="239">
        <f t="shared" si="159"/>
        <v>2050</v>
      </c>
      <c r="K164" s="81"/>
      <c r="L164" s="206">
        <f t="shared" ca="1" si="161"/>
        <v>1</v>
      </c>
      <c r="M164" s="206"/>
      <c r="N164" s="81"/>
      <c r="O164" s="783">
        <f t="shared" ca="1" si="162"/>
        <v>0.11175</v>
      </c>
      <c r="P164" s="783">
        <f t="shared" ca="1" si="163"/>
        <v>1.1513636363636396E-3</v>
      </c>
      <c r="Q164" s="81">
        <f t="shared" ca="1" si="164"/>
        <v>0.57944444444444443</v>
      </c>
      <c r="R164" s="333"/>
      <c r="S164" s="333"/>
      <c r="T164" s="333"/>
      <c r="U164" s="333"/>
      <c r="V164" s="759">
        <f ca="1">IF(IF(RIGHT(H162,2)="MT",(1-L164)+$W$2,IF(RIGHT(H162,2)="HT",(1-L164)+$W$1,IF(RIGHT(H162,2)="RH",(1-L164)+$W$3,"")))&lt;0,0,IF(RIGHT(H162,2)="MT",(1-L164)+$W$2,IF(RIGHT(H162,2)="HT",(1-L164)+$W$1,IF(RIGHT(H162,2)="RH",(1-L164)+$W$3,""))))</f>
        <v>0.3</v>
      </c>
      <c r="W164" s="331"/>
      <c r="X164" s="758">
        <f t="shared" ca="1" si="160"/>
        <v>0.3</v>
      </c>
      <c r="Y164" s="758">
        <f t="shared" ca="1" si="165"/>
        <v>6</v>
      </c>
      <c r="Z164" s="758">
        <f t="shared" ca="1" si="166"/>
        <v>2</v>
      </c>
      <c r="AA164" s="758">
        <f t="shared" ca="1" si="167"/>
        <v>1</v>
      </c>
      <c r="AB164" s="758">
        <f t="shared" ca="1" si="168"/>
        <v>0.1</v>
      </c>
      <c r="AC164" s="211"/>
      <c r="AD164" s="81">
        <v>2050</v>
      </c>
      <c r="AE164" s="81"/>
      <c r="AF164" s="760"/>
    </row>
    <row r="165" spans="1:32">
      <c r="B165" s="778" t="s">
        <v>1135</v>
      </c>
      <c r="C165" s="64"/>
      <c r="D165" s="223" t="str">
        <f ca="1">IF(T165=0,"*",IF(T165&gt;0,"IND"&amp;RIGHT(H165,4)&amp;RIGHT(G165,3)&amp;"N"&amp;RIGHT(E165,1),""))</f>
        <v>INDGDMTDH2N5</v>
      </c>
      <c r="E165" s="278" t="str">
        <f>"Industrial heating technology "&amp;$AJ$12&amp;" "&amp;RIGHT(H165,2)&amp;" - Gas boiler (Direct firing) - new 5"</f>
        <v>Industrial heating technology Glass &amp; Concrete MT - Gas boiler (Direct firing) - new 5</v>
      </c>
      <c r="F165" s="239" t="s">
        <v>1274</v>
      </c>
      <c r="G165" s="176" t="s">
        <v>1438</v>
      </c>
      <c r="H165" s="177" t="str">
        <f>$AI$14</f>
        <v>IGDMT</v>
      </c>
      <c r="I165" s="781" t="str">
        <f t="shared" si="158"/>
        <v>INDGWH</v>
      </c>
      <c r="J165" s="239">
        <f t="shared" si="159"/>
        <v>2011</v>
      </c>
      <c r="K165" s="332">
        <f>J165</f>
        <v>2011</v>
      </c>
      <c r="L165" s="206">
        <f t="shared" ca="1" si="161"/>
        <v>1</v>
      </c>
      <c r="M165" s="206"/>
      <c r="N165" s="81">
        <f ca="1">VLOOKUP($AD165,INDIRECT("'"&amp;$B165&amp;"'!"&amp;"$P$279:$AD$282"),5,FALSE)</f>
        <v>25</v>
      </c>
      <c r="O165" s="783">
        <f t="shared" ca="1" si="162"/>
        <v>0.11175</v>
      </c>
      <c r="P165" s="783">
        <f t="shared" ca="1" si="163"/>
        <v>1.3545454545454561E-3</v>
      </c>
      <c r="Q165" s="81">
        <f t="shared" ca="1" si="164"/>
        <v>0.58461805555555546</v>
      </c>
      <c r="R165" s="81">
        <v>3.1536000000000002E-2</v>
      </c>
      <c r="S165" s="206">
        <v>0.5</v>
      </c>
      <c r="T165" s="206">
        <f ca="1">IF(HLOOKUP($T$2,INDIRECT("'"&amp;$B165&amp;"'!"&amp;"$P$6:$AE$19"),IF(H165=$AI$13,6,IF(H165=$AI$14,9,14)),FALSE)&lt;0.03,0,HLOOKUP($T$2,INDIRECT("'"&amp;$B165&amp;"'!"&amp;"$P$6:$AE$19"),IF(H165=$AI$13,6,IF(H165=$AI$14,9,14)),FALSE))</f>
        <v>0.97</v>
      </c>
      <c r="U165" s="833"/>
      <c r="V165" s="759">
        <f ca="1">IF(IF(RIGHT(H165,2)="MT",(1-L165)+$W$2,IF(RIGHT(H165,2)="HT",(1-L165)+$W$1,IF(RIGHT(H165,2)="RH",(1-L165)+$W$3,"")))&lt;0,0,IF(RIGHT(H165,2)="MT",(1-L165)+$W$2,IF(RIGHT(H165,2)="HT",(1-L165)+$W$1,IF(RIGHT(H165,2)="RH",(1-L165)+$W$3,""))))</f>
        <v>0.2</v>
      </c>
      <c r="W165" s="769"/>
      <c r="X165" s="758">
        <f t="shared" ca="1" si="160"/>
        <v>0.3</v>
      </c>
      <c r="Y165" s="758">
        <f t="shared" ca="1" si="165"/>
        <v>9</v>
      </c>
      <c r="Z165" s="758">
        <f t="shared" ca="1" si="166"/>
        <v>3</v>
      </c>
      <c r="AA165" s="758">
        <f t="shared" ca="1" si="167"/>
        <v>1</v>
      </c>
      <c r="AB165" s="758">
        <f t="shared" ca="1" si="168"/>
        <v>0.1</v>
      </c>
      <c r="AD165" s="295">
        <v>2020</v>
      </c>
      <c r="AE165" s="290"/>
      <c r="AF165" s="890"/>
    </row>
    <row r="166" spans="1:32">
      <c r="B166" s="778" t="s">
        <v>1135</v>
      </c>
      <c r="C166" s="64"/>
      <c r="D166" s="223" t="str">
        <f ca="1">IF(T165=0,"*",IF(T166&gt;0,"IND"&amp;RIGHT(H165,4)&amp;RIGHT(G165,3)&amp;"N"&amp;RIGHT(E165,1),""))</f>
        <v/>
      </c>
      <c r="E166" s="278"/>
      <c r="F166" s="239" t="s">
        <v>1274</v>
      </c>
      <c r="G166" s="55"/>
      <c r="H166" s="177"/>
      <c r="I166" s="177" t="str">
        <f t="shared" si="158"/>
        <v>INDGWH</v>
      </c>
      <c r="J166" s="239">
        <f t="shared" si="159"/>
        <v>2030</v>
      </c>
      <c r="K166" s="81"/>
      <c r="L166" s="206">
        <f t="shared" ca="1" si="161"/>
        <v>1</v>
      </c>
      <c r="M166" s="206"/>
      <c r="N166" s="81"/>
      <c r="O166" s="783">
        <f t="shared" ca="1" si="162"/>
        <v>0.11175</v>
      </c>
      <c r="P166" s="783">
        <f t="shared" ca="1" si="163"/>
        <v>1.3206818181818161E-3</v>
      </c>
      <c r="Q166" s="81">
        <f t="shared" ca="1" si="164"/>
        <v>0.5742708333333334</v>
      </c>
      <c r="R166" s="333"/>
      <c r="S166" s="333"/>
      <c r="T166" s="333"/>
      <c r="U166" s="333"/>
      <c r="V166" s="759">
        <f ca="1">IF(IF(RIGHT(H165,2)="MT",(1-L166)+$W$2,IF(RIGHT(H165,2)="HT",(1-L166)+$W$1,IF(RIGHT(H165,2)="RH",(1-L166)+$W$3,"")))&lt;0,0,IF(RIGHT(H165,2)="MT",(1-L166)+$W$2,IF(RIGHT(H165,2)="HT",(1-L166)+$W$1,IF(RIGHT(H165,2)="RH",(1-L166)+$W$3,""))))</f>
        <v>0.2</v>
      </c>
      <c r="W166" s="331"/>
      <c r="X166" s="758">
        <f t="shared" ca="1" si="160"/>
        <v>0.3</v>
      </c>
      <c r="Y166" s="758">
        <f t="shared" ca="1" si="165"/>
        <v>7</v>
      </c>
      <c r="Z166" s="758">
        <f t="shared" ca="1" si="166"/>
        <v>2</v>
      </c>
      <c r="AA166" s="758">
        <f t="shared" ca="1" si="167"/>
        <v>1</v>
      </c>
      <c r="AB166" s="758">
        <f t="shared" ca="1" si="168"/>
        <v>0.1</v>
      </c>
      <c r="AD166" s="81">
        <v>2030</v>
      </c>
      <c r="AE166" s="290"/>
      <c r="AF166" s="888"/>
    </row>
    <row r="167" spans="1:32">
      <c r="A167" s="172"/>
      <c r="B167" s="779" t="s">
        <v>1135</v>
      </c>
      <c r="C167" s="773"/>
      <c r="D167" s="223" t="str">
        <f ca="1">IF(T165=0,"*",IF(T167&gt;0,"IND"&amp;RIGHT(H165,4)&amp;RIGHT(G165,3)&amp;"N"&amp;RIGHT(E165,1),""))</f>
        <v/>
      </c>
      <c r="E167" s="761"/>
      <c r="F167" s="239" t="s">
        <v>1274</v>
      </c>
      <c r="G167" s="211"/>
      <c r="H167" s="762"/>
      <c r="I167" s="762" t="str">
        <f t="shared" si="158"/>
        <v>INDGWH</v>
      </c>
      <c r="J167" s="239">
        <f t="shared" si="159"/>
        <v>2050</v>
      </c>
      <c r="K167" s="81"/>
      <c r="L167" s="206">
        <f t="shared" ca="1" si="161"/>
        <v>1</v>
      </c>
      <c r="M167" s="206"/>
      <c r="N167" s="81"/>
      <c r="O167" s="783">
        <f t="shared" ca="1" si="162"/>
        <v>0.11175</v>
      </c>
      <c r="P167" s="783">
        <f t="shared" ca="1" si="163"/>
        <v>1.1513636363636396E-3</v>
      </c>
      <c r="Q167" s="81">
        <f t="shared" ca="1" si="164"/>
        <v>0.57944444444444443</v>
      </c>
      <c r="R167" s="782"/>
      <c r="S167" s="763"/>
      <c r="T167" s="763"/>
      <c r="U167" s="763"/>
      <c r="V167" s="759">
        <f ca="1">IF(IF(RIGHT(H165,2)="MT",(1-L167)+$W$2,IF(RIGHT(H165,2)="HT",(1-L167)+$W$1,IF(RIGHT(H165,2)="RH",(1-L167)+$W$3,"")))&lt;0,0,IF(RIGHT(H165,2)="MT",(1-L167)+$W$2,IF(RIGHT(H165,2)="HT",(1-L167)+$W$1,IF(RIGHT(H165,2)="RH",(1-L167)+$W$3,""))))</f>
        <v>0.2</v>
      </c>
      <c r="W167" s="774"/>
      <c r="X167" s="758">
        <f t="shared" ca="1" si="160"/>
        <v>0.3</v>
      </c>
      <c r="Y167" s="758">
        <f t="shared" ca="1" si="165"/>
        <v>6</v>
      </c>
      <c r="Z167" s="758">
        <f t="shared" ca="1" si="166"/>
        <v>2</v>
      </c>
      <c r="AA167" s="758">
        <f t="shared" ca="1" si="167"/>
        <v>1</v>
      </c>
      <c r="AB167" s="758">
        <f t="shared" ca="1" si="168"/>
        <v>0.1</v>
      </c>
      <c r="AD167" s="81">
        <v>2050</v>
      </c>
      <c r="AE167" s="290"/>
      <c r="AF167" s="888"/>
    </row>
    <row r="168" spans="1:32">
      <c r="A168" s="172"/>
      <c r="B168" s="778" t="s">
        <v>1224</v>
      </c>
      <c r="C168" s="241"/>
      <c r="D168" s="223" t="str">
        <f ca="1">IF(T168=0,"*",IF(T168&gt;0,"IND"&amp;RIGHT(H168,4)&amp;RIGHT(G168,3)&amp;"N"&amp;RIGHT(E168,1),""))</f>
        <v>INDGDHTCOAN1</v>
      </c>
      <c r="E168" s="278" t="str">
        <f>"Industrial heating technology "&amp;$AJ$12&amp;" "&amp;RIGHT(H168,2)&amp;" - Coal boiler (Steam) - new 1"</f>
        <v>Industrial heating technology Glass &amp; Concrete HT - Coal boiler (Steam) - new 1</v>
      </c>
      <c r="F168" s="239" t="s">
        <v>1274</v>
      </c>
      <c r="G168" s="55" t="s">
        <v>662</v>
      </c>
      <c r="H168" s="177" t="str">
        <f>$AI$13</f>
        <v>IGDHT</v>
      </c>
      <c r="I168" s="177" t="str">
        <f t="shared" si="158"/>
        <v>INDGWH</v>
      </c>
      <c r="J168" s="239">
        <f t="shared" si="159"/>
        <v>2011</v>
      </c>
      <c r="K168" s="332">
        <f>J168</f>
        <v>2011</v>
      </c>
      <c r="L168" s="206">
        <f t="shared" ref="L168:L176" ca="1" si="169">VLOOKUP($AD168,INDIRECT("'"&amp;$B168&amp;"'!"&amp;"$P$39:$AD$42"),3,FALSE)</f>
        <v>0.89</v>
      </c>
      <c r="M168" s="759"/>
      <c r="N168" s="332">
        <f ca="1">VLOOKUP($AD168,INDIRECT("'"&amp;$B168&amp;"'!"&amp;"$P$39:$AD$42"),5,FALSE)</f>
        <v>25</v>
      </c>
      <c r="O168" s="785">
        <f t="shared" ref="O168:O176" ca="1" si="170">VLOOKUP($AD168,INDIRECT("'"&amp;$B168&amp;"'!"&amp;"$P$39:$AD$42"),6,FALSE)/1000</f>
        <v>3.7250000000000001</v>
      </c>
      <c r="P168" s="785">
        <f t="shared" ref="P168:P176" ca="1" si="171">VLOOKUP($AD168,INDIRECT("'"&amp;$B168&amp;"'!"&amp;"$P$39:$AD$42"),7,FALSE)/1000</f>
        <v>0.25106499999999998</v>
      </c>
      <c r="Q168" s="332">
        <f t="shared" ref="Q168:Q176" ca="1" si="172">VLOOKUP($AD168,INDIRECT("'"&amp;$B168&amp;"'!"&amp;"$P$39:$AD$42"),8,FALSE)</f>
        <v>3.9381527777777778</v>
      </c>
      <c r="R168" s="332">
        <v>3.1536000000000002E-2</v>
      </c>
      <c r="S168" s="759">
        <v>0.5</v>
      </c>
      <c r="T168" s="206">
        <f ca="1">IF(HLOOKUP($T$2,INDIRECT("'"&amp;$B168&amp;"'!"&amp;"$P$6:$AE$19"),IF(H168=$AI$13,6,IF(H168=$AI$14,9,14)),FALSE)&lt;0.03,0,HLOOKUP($T$2,INDIRECT("'"&amp;$B168&amp;"'!"&amp;"$P$6:$AE$19"),IF(H168=$AI$13,6,IF(H168=$AI$14,9,14)),FALSE))</f>
        <v>1</v>
      </c>
      <c r="U168" s="832"/>
      <c r="V168" s="759">
        <f ca="1">IF(IF(RIGHT(H168,2)="MT",(1-L168)+$W$2,IF(RIGHT(H168,2)="HT",(1-L168)+$W$1,IF(RIGHT(H168,2)="RH",(1-L168)+$W$3,"")))&lt;0,0,IF(RIGHT(H168,2)="MT",(1-L168)+$W$2,IF(RIGHT(H168,2)="HT",(1-L168)+$W$1,IF(RIGHT(H168,2)="RH",(1-L168)+$W$3,""))))</f>
        <v>0.41</v>
      </c>
      <c r="W168" s="331"/>
      <c r="X168" s="758">
        <f t="shared" ca="1" si="160"/>
        <v>8</v>
      </c>
      <c r="Y168" s="332">
        <f t="shared" ref="Y168:Y176" ca="1" si="173">VLOOKUP($AD168,INDIRECT("'"&amp;$B168&amp;"'!"&amp;"$P$39:$AD$42"),12,FALSE)</f>
        <v>35</v>
      </c>
      <c r="Z168" s="332">
        <f t="shared" ref="Z168:Z176" ca="1" si="174">VLOOKUP($AD168,INDIRECT("'"&amp;$B168&amp;"'!"&amp;"$P$39:$AD$42"),13,FALSE)</f>
        <v>1.5</v>
      </c>
      <c r="AA168" s="332">
        <f t="shared" ref="AA168:AA176" ca="1" si="175">VLOOKUP($AD168,INDIRECT("'"&amp;$B168&amp;"'!"&amp;"$P$39:$AD$42"),14,FALSE)</f>
        <v>0.8</v>
      </c>
      <c r="AB168" s="332">
        <f t="shared" ref="AB168:AB176" ca="1" si="176">VLOOKUP($AD168,INDIRECT("'"&amp;$B168&amp;"'!"&amp;"$P$39:$AD$42"),15,FALSE)</f>
        <v>2.1</v>
      </c>
      <c r="AD168" s="81">
        <v>2020</v>
      </c>
      <c r="AE168" s="290"/>
      <c r="AF168" s="888"/>
    </row>
    <row r="169" spans="1:32">
      <c r="A169" s="172"/>
      <c r="B169" s="778" t="s">
        <v>1224</v>
      </c>
      <c r="C169" s="241"/>
      <c r="D169" s="223" t="str">
        <f ca="1">IF(T168=0,"*",IF(T169&gt;0,"IND"&amp;RIGHT(H168,4)&amp;RIGHT(G168,3)&amp;"N"&amp;RIGHT(E168,1),""))</f>
        <v/>
      </c>
      <c r="E169" s="278"/>
      <c r="F169" s="239" t="s">
        <v>1274</v>
      </c>
      <c r="G169" s="55"/>
      <c r="H169" s="177"/>
      <c r="I169" s="177" t="str">
        <f t="shared" si="158"/>
        <v>INDGWH</v>
      </c>
      <c r="J169" s="239">
        <f t="shared" si="159"/>
        <v>2030</v>
      </c>
      <c r="K169" s="81"/>
      <c r="L169" s="206">
        <f t="shared" ca="1" si="169"/>
        <v>0.89</v>
      </c>
      <c r="M169" s="832"/>
      <c r="N169" s="208"/>
      <c r="O169" s="785">
        <f t="shared" ca="1" si="170"/>
        <v>3.4699403462447704</v>
      </c>
      <c r="P169" s="785">
        <f t="shared" ca="1" si="171"/>
        <v>0.24287</v>
      </c>
      <c r="Q169" s="332">
        <f t="shared" ca="1" si="172"/>
        <v>3.9836805555555559</v>
      </c>
      <c r="R169" s="883"/>
      <c r="S169" s="333"/>
      <c r="T169" s="333"/>
      <c r="U169" s="333"/>
      <c r="V169" s="759">
        <f ca="1">IF(IF(RIGHT(H168,2)="MT",(1-L169)+$W$2,IF(RIGHT(H168,2)="HT",(1-L169)+$W$1,IF(RIGHT(H168,2)="RH",(1-L169)+$W$3,"")))&lt;0,0,IF(RIGHT(H168,2)="MT",(1-L169)+$W$2,IF(RIGHT(H168,2)="HT",(1-L169)+$W$1,IF(RIGHT(H168,2)="RH",(1-L169)+$W$3,""))))</f>
        <v>0.41</v>
      </c>
      <c r="W169" s="331"/>
      <c r="X169" s="758">
        <f t="shared" ca="1" si="160"/>
        <v>8</v>
      </c>
      <c r="Y169" s="332">
        <f t="shared" ca="1" si="173"/>
        <v>35</v>
      </c>
      <c r="Z169" s="332">
        <f t="shared" ca="1" si="174"/>
        <v>1.5</v>
      </c>
      <c r="AA169" s="332">
        <f t="shared" ca="1" si="175"/>
        <v>0.8</v>
      </c>
      <c r="AB169" s="332">
        <f t="shared" ca="1" si="176"/>
        <v>2.1</v>
      </c>
      <c r="AD169" s="81">
        <v>2030</v>
      </c>
      <c r="AE169" s="290"/>
      <c r="AF169" s="888"/>
    </row>
    <row r="170" spans="1:32">
      <c r="A170" s="172"/>
      <c r="B170" s="778" t="s">
        <v>1224</v>
      </c>
      <c r="C170" s="241"/>
      <c r="D170" s="223" t="str">
        <f ca="1">IF(T168=0,"*",IF(T170&gt;0,"IND"&amp;RIGHT(H168,4)&amp;RIGHT(G168,3)&amp;"N"&amp;RIGHT(E168,1),""))</f>
        <v/>
      </c>
      <c r="E170" s="278"/>
      <c r="F170" s="239" t="s">
        <v>1274</v>
      </c>
      <c r="G170" s="55"/>
      <c r="H170" s="177"/>
      <c r="I170" s="177" t="str">
        <f t="shared" si="158"/>
        <v>INDGWH</v>
      </c>
      <c r="J170" s="239">
        <f t="shared" si="159"/>
        <v>2050</v>
      </c>
      <c r="K170" s="81"/>
      <c r="L170" s="206">
        <f t="shared" ca="1" si="169"/>
        <v>0.91</v>
      </c>
      <c r="M170" s="832"/>
      <c r="N170" s="208"/>
      <c r="O170" s="785">
        <f t="shared" ca="1" si="170"/>
        <v>3.2813985758696647</v>
      </c>
      <c r="P170" s="785">
        <f t="shared" ca="1" si="171"/>
        <v>0.22797000000000001</v>
      </c>
      <c r="Q170" s="332">
        <f t="shared" ca="1" si="172"/>
        <v>4.0064444444444449</v>
      </c>
      <c r="R170" s="883"/>
      <c r="S170" s="333"/>
      <c r="T170" s="333"/>
      <c r="U170" s="333"/>
      <c r="V170" s="759">
        <f ca="1">IF(IF(RIGHT(H168,2)="MT",(1-L170)+$W$2,IF(RIGHT(H168,2)="HT",(1-L170)+$W$1,IF(RIGHT(H168,2)="RH",(1-L170)+$W$3,"")))&lt;0,0,IF(RIGHT(H168,2)="MT",(1-L170)+$W$2,IF(RIGHT(H168,2)="HT",(1-L170)+$W$1,IF(RIGHT(H168,2)="RH",(1-L170)+$W$3,""))))</f>
        <v>0.38999999999999996</v>
      </c>
      <c r="W170" s="331"/>
      <c r="X170" s="758">
        <f t="shared" ca="1" si="160"/>
        <v>8</v>
      </c>
      <c r="Y170" s="332">
        <f t="shared" ca="1" si="173"/>
        <v>35</v>
      </c>
      <c r="Z170" s="332">
        <f t="shared" ca="1" si="174"/>
        <v>1.5</v>
      </c>
      <c r="AA170" s="332">
        <f t="shared" ca="1" si="175"/>
        <v>0.8</v>
      </c>
      <c r="AB170" s="332">
        <f t="shared" ca="1" si="176"/>
        <v>2.1</v>
      </c>
      <c r="AD170" s="81">
        <v>2050</v>
      </c>
      <c r="AE170" s="290"/>
      <c r="AF170" s="888"/>
    </row>
    <row r="171" spans="1:32">
      <c r="A171" s="172"/>
      <c r="B171" s="778" t="s">
        <v>1224</v>
      </c>
      <c r="C171" s="241"/>
      <c r="D171" s="223" t="str">
        <f ca="1">IF(T171=0,"*",IF(T171&gt;0,"IND"&amp;RIGHT(H171,4)&amp;RIGHT(G171,3)&amp;"N"&amp;RIGHT(E171,1),""))</f>
        <v>INDGDMTCOAN1</v>
      </c>
      <c r="E171" s="278" t="str">
        <f>"Industrial heating technology "&amp;$AJ$12&amp;" "&amp;RIGHT(H171,2)&amp;" - Coal boiler (Steam) - new 1"</f>
        <v>Industrial heating technology Glass &amp; Concrete MT - Coal boiler (Steam) - new 1</v>
      </c>
      <c r="F171" s="239" t="s">
        <v>1274</v>
      </c>
      <c r="G171" s="55" t="s">
        <v>662</v>
      </c>
      <c r="H171" s="177" t="str">
        <f>$AI$14</f>
        <v>IGDMT</v>
      </c>
      <c r="I171" s="177" t="str">
        <f t="shared" si="158"/>
        <v>INDGWH</v>
      </c>
      <c r="J171" s="239">
        <f t="shared" si="159"/>
        <v>2011</v>
      </c>
      <c r="K171" s="332">
        <f>J171</f>
        <v>2011</v>
      </c>
      <c r="L171" s="206">
        <f t="shared" ca="1" si="169"/>
        <v>0.89</v>
      </c>
      <c r="M171" s="206"/>
      <c r="N171" s="81">
        <f ca="1">VLOOKUP($AD171,INDIRECT("'"&amp;$B171&amp;"'!"&amp;"$P$39:$AD$42"),5,FALSE)</f>
        <v>25</v>
      </c>
      <c r="O171" s="785">
        <f t="shared" ca="1" si="170"/>
        <v>3.7250000000000001</v>
      </c>
      <c r="P171" s="785">
        <f t="shared" ca="1" si="171"/>
        <v>0.25106499999999998</v>
      </c>
      <c r="Q171" s="332">
        <f t="shared" ca="1" si="172"/>
        <v>3.9381527777777778</v>
      </c>
      <c r="R171" s="81">
        <v>3.1536000000000002E-2</v>
      </c>
      <c r="S171" s="206">
        <v>0.5</v>
      </c>
      <c r="T171" s="206">
        <f ca="1">IF(HLOOKUP($T$2,INDIRECT("'"&amp;$B171&amp;"'!"&amp;"$P$6:$AE$19"),IF(H171=$AI$13,6,IF(H171=$AI$14,9,14)),FALSE)&lt;0.03,0,HLOOKUP($T$2,INDIRECT("'"&amp;$B171&amp;"'!"&amp;"$P$6:$AE$19"),IF(H171=$AI$13,6,IF(H171=$AI$14,9,14)),FALSE))</f>
        <v>0.97</v>
      </c>
      <c r="U171" s="832"/>
      <c r="V171" s="759">
        <f ca="1">IF(IF(RIGHT(H171,2)="MT",(1-L171)+$W$2,IF(RIGHT(H171,2)="HT",(1-L171)+$W$1,IF(RIGHT(H171,2)="RH",(1-L171)+$W$3,"")))&lt;0,0,IF(RIGHT(H171,2)="MT",(1-L171)+$W$2,IF(RIGHT(H171,2)="HT",(1-L171)+$W$1,IF(RIGHT(H171,2)="RH",(1-L171)+$W$3,""))))</f>
        <v>0.31</v>
      </c>
      <c r="W171" s="331"/>
      <c r="X171" s="758">
        <f t="shared" ca="1" si="160"/>
        <v>8</v>
      </c>
      <c r="Y171" s="332">
        <f t="shared" ca="1" si="173"/>
        <v>35</v>
      </c>
      <c r="Z171" s="332">
        <f t="shared" ca="1" si="174"/>
        <v>1.5</v>
      </c>
      <c r="AA171" s="332">
        <f t="shared" ca="1" si="175"/>
        <v>0.8</v>
      </c>
      <c r="AB171" s="332">
        <f t="shared" ca="1" si="176"/>
        <v>2.1</v>
      </c>
      <c r="AD171" s="81">
        <v>2020</v>
      </c>
      <c r="AE171" s="290"/>
      <c r="AF171" s="888"/>
    </row>
    <row r="172" spans="1:32">
      <c r="A172" s="172"/>
      <c r="B172" s="778" t="s">
        <v>1224</v>
      </c>
      <c r="C172" s="241"/>
      <c r="D172" s="223" t="str">
        <f ca="1">IF(T171=0,"*",IF(T172&gt;0,"IND"&amp;RIGHT(H171,4)&amp;RIGHT(G171,3)&amp;"N"&amp;RIGHT(E171,1),""))</f>
        <v/>
      </c>
      <c r="E172" s="278"/>
      <c r="F172" s="239" t="s">
        <v>1274</v>
      </c>
      <c r="G172" s="55"/>
      <c r="H172" s="177"/>
      <c r="I172" s="177" t="str">
        <f t="shared" si="158"/>
        <v>INDGWH</v>
      </c>
      <c r="J172" s="239">
        <f t="shared" si="159"/>
        <v>2030</v>
      </c>
      <c r="K172" s="81"/>
      <c r="L172" s="206">
        <f t="shared" ca="1" si="169"/>
        <v>0.89</v>
      </c>
      <c r="M172" s="832"/>
      <c r="N172" s="208"/>
      <c r="O172" s="785">
        <f t="shared" ca="1" si="170"/>
        <v>3.4699403462447704</v>
      </c>
      <c r="P172" s="785">
        <f t="shared" ca="1" si="171"/>
        <v>0.24287</v>
      </c>
      <c r="Q172" s="332">
        <f t="shared" ca="1" si="172"/>
        <v>3.9836805555555559</v>
      </c>
      <c r="R172" s="883"/>
      <c r="S172" s="333"/>
      <c r="T172" s="333"/>
      <c r="U172" s="333"/>
      <c r="V172" s="759">
        <f ca="1">IF(IF(RIGHT(H171,2)="MT",(1-L172)+$W$2,IF(RIGHT(H171,2)="HT",(1-L172)+$W$1,IF(RIGHT(H171,2)="RH",(1-L172)+$W$3,"")))&lt;0,0,IF(RIGHT(H171,2)="MT",(1-L172)+$W$2,IF(RIGHT(H171,2)="HT",(1-L172)+$W$1,IF(RIGHT(H171,2)="RH",(1-L172)+$W$3,""))))</f>
        <v>0.31</v>
      </c>
      <c r="W172" s="331"/>
      <c r="X172" s="758">
        <f t="shared" ca="1" si="160"/>
        <v>8</v>
      </c>
      <c r="Y172" s="332">
        <f t="shared" ca="1" si="173"/>
        <v>35</v>
      </c>
      <c r="Z172" s="332">
        <f t="shared" ca="1" si="174"/>
        <v>1.5</v>
      </c>
      <c r="AA172" s="332">
        <f t="shared" ca="1" si="175"/>
        <v>0.8</v>
      </c>
      <c r="AB172" s="332">
        <f t="shared" ca="1" si="176"/>
        <v>2.1</v>
      </c>
      <c r="AD172" s="81">
        <v>2030</v>
      </c>
      <c r="AE172" s="290"/>
      <c r="AF172" s="888"/>
    </row>
    <row r="173" spans="1:32">
      <c r="A173" s="172"/>
      <c r="B173" s="778" t="s">
        <v>1224</v>
      </c>
      <c r="C173" s="241"/>
      <c r="D173" s="223" t="str">
        <f ca="1">IF(T171=0,"*",IF(T173&gt;0,"IND"&amp;RIGHT(H171,4)&amp;RIGHT(G171,3)&amp;"N"&amp;RIGHT(E171,1),""))</f>
        <v/>
      </c>
      <c r="E173" s="278"/>
      <c r="F173" s="239" t="s">
        <v>1274</v>
      </c>
      <c r="G173" s="55"/>
      <c r="H173" s="177"/>
      <c r="I173" s="177" t="str">
        <f t="shared" si="158"/>
        <v>INDGWH</v>
      </c>
      <c r="J173" s="239">
        <f t="shared" si="159"/>
        <v>2050</v>
      </c>
      <c r="K173" s="81"/>
      <c r="L173" s="206">
        <f t="shared" ca="1" si="169"/>
        <v>0.91</v>
      </c>
      <c r="M173" s="832"/>
      <c r="N173" s="208"/>
      <c r="O173" s="785">
        <f t="shared" ca="1" si="170"/>
        <v>3.2813985758696647</v>
      </c>
      <c r="P173" s="785">
        <f t="shared" ca="1" si="171"/>
        <v>0.22797000000000001</v>
      </c>
      <c r="Q173" s="332">
        <f t="shared" ca="1" si="172"/>
        <v>4.0064444444444449</v>
      </c>
      <c r="R173" s="883"/>
      <c r="S173" s="333"/>
      <c r="T173" s="333"/>
      <c r="U173" s="333"/>
      <c r="V173" s="759">
        <f ca="1">IF(IF(RIGHT(H171,2)="MT",(1-L173)+$W$2,IF(RIGHT(H171,2)="HT",(1-L173)+$W$1,IF(RIGHT(H171,2)="RH",(1-L173)+$W$3,"")))&lt;0,0,IF(RIGHT(H171,2)="MT",(1-L173)+$W$2,IF(RIGHT(H171,2)="HT",(1-L173)+$W$1,IF(RIGHT(H171,2)="RH",(1-L173)+$W$3,""))))</f>
        <v>0.28999999999999998</v>
      </c>
      <c r="W173" s="331"/>
      <c r="X173" s="758">
        <f t="shared" ca="1" si="160"/>
        <v>8</v>
      </c>
      <c r="Y173" s="332">
        <f t="shared" ca="1" si="173"/>
        <v>35</v>
      </c>
      <c r="Z173" s="332">
        <f t="shared" ca="1" si="174"/>
        <v>1.5</v>
      </c>
      <c r="AA173" s="332">
        <f t="shared" ca="1" si="175"/>
        <v>0.8</v>
      </c>
      <c r="AB173" s="332">
        <f t="shared" ca="1" si="176"/>
        <v>2.1</v>
      </c>
      <c r="AD173" s="81">
        <v>2050</v>
      </c>
      <c r="AE173" s="290"/>
      <c r="AF173" s="888"/>
    </row>
    <row r="174" spans="1:32">
      <c r="A174" s="172"/>
      <c r="B174" s="778" t="s">
        <v>1224</v>
      </c>
      <c r="C174" s="241"/>
      <c r="D174" s="223" t="str">
        <f ca="1">IF(T174=0,"*",IF(T174&gt;0,"IND"&amp;RIGHT(H174,4)&amp;RIGHT(G174,3)&amp;"N"&amp;RIGHT(E174,1),""))</f>
        <v>INDGDRHCOAN1</v>
      </c>
      <c r="E174" s="278" t="str">
        <f>"Industrial heating technology "&amp;$AJ$12&amp;" "&amp;RIGHT(H174,2)&amp;" - Coal boiler (Steam) - new 1"</f>
        <v>Industrial heating technology Glass &amp; Concrete RH - Coal boiler (Steam) - new 1</v>
      </c>
      <c r="F174" s="239" t="s">
        <v>1274</v>
      </c>
      <c r="G174" s="55" t="s">
        <v>662</v>
      </c>
      <c r="H174" s="177" t="str">
        <f>$AI$15</f>
        <v>IGDRH</v>
      </c>
      <c r="I174" s="177" t="str">
        <f t="shared" si="158"/>
        <v>INDGWH</v>
      </c>
      <c r="J174" s="239">
        <f t="shared" si="159"/>
        <v>2011</v>
      </c>
      <c r="K174" s="332">
        <f>J174</f>
        <v>2011</v>
      </c>
      <c r="L174" s="206">
        <f t="shared" ca="1" si="169"/>
        <v>0.89</v>
      </c>
      <c r="M174" s="206"/>
      <c r="N174" s="81">
        <f ca="1">VLOOKUP($AD174,INDIRECT("'"&amp;$B174&amp;"'!"&amp;"$P$39:$AD$42"),5,FALSE)</f>
        <v>25</v>
      </c>
      <c r="O174" s="785">
        <f t="shared" ca="1" si="170"/>
        <v>3.7250000000000001</v>
      </c>
      <c r="P174" s="785">
        <f t="shared" ca="1" si="171"/>
        <v>0.25106499999999998</v>
      </c>
      <c r="Q174" s="332">
        <f t="shared" ca="1" si="172"/>
        <v>3.9381527777777778</v>
      </c>
      <c r="R174" s="81">
        <v>3.1536000000000002E-2</v>
      </c>
      <c r="S174" s="206">
        <v>0.5</v>
      </c>
      <c r="T174" s="206">
        <f ca="1">IF(HLOOKUP($T$2,INDIRECT("'"&amp;$B174&amp;"'!"&amp;"$P$6:$AE$19"),IF(H174=$AI$13,6,IF(H174=$AI$14,9,14)),FALSE)&lt;0.03,0,HLOOKUP($T$2,INDIRECT("'"&amp;$B174&amp;"'!"&amp;"$P$6:$AE$19"),IF(H174=$AI$13,6,IF(H174=$AI$14,9,14)),FALSE))</f>
        <v>1</v>
      </c>
      <c r="U174" s="832"/>
      <c r="V174" s="759">
        <f ca="1">IF(IF(RIGHT(H174,2)="MT",(1-L174)+$W$2,IF(RIGHT(H174,2)="HT",(1-L174)+$W$1,IF(RIGHT(H174,2)="RH",(1-L174)+$W$3,"")))&lt;0,0,IF(RIGHT(H174,2)="MT",(1-L174)+$W$2,IF(RIGHT(H174,2)="HT",(1-L174)+$W$1,IF(RIGHT(H174,2)="RH",(1-L174)+$W$3,""))))</f>
        <v>0.10999999999999999</v>
      </c>
      <c r="W174" s="331"/>
      <c r="X174" s="758">
        <f t="shared" ca="1" si="160"/>
        <v>8</v>
      </c>
      <c r="Y174" s="332">
        <f t="shared" ca="1" si="173"/>
        <v>35</v>
      </c>
      <c r="Z174" s="332">
        <f t="shared" ca="1" si="174"/>
        <v>1.5</v>
      </c>
      <c r="AA174" s="332">
        <f t="shared" ca="1" si="175"/>
        <v>0.8</v>
      </c>
      <c r="AB174" s="332">
        <f t="shared" ca="1" si="176"/>
        <v>2.1</v>
      </c>
      <c r="AD174" s="81">
        <v>2020</v>
      </c>
      <c r="AE174" s="290"/>
      <c r="AF174" s="888"/>
    </row>
    <row r="175" spans="1:32">
      <c r="A175" s="172"/>
      <c r="B175" s="778" t="s">
        <v>1224</v>
      </c>
      <c r="C175" s="241"/>
      <c r="D175" s="223" t="str">
        <f ca="1">IF(T174=0,"*",IF(T175&gt;0,"IND"&amp;RIGHT(H174,4)&amp;RIGHT(G174,3)&amp;"N"&amp;RIGHT(E174,1),""))</f>
        <v/>
      </c>
      <c r="E175" s="278"/>
      <c r="F175" s="239" t="s">
        <v>1274</v>
      </c>
      <c r="G175" s="55"/>
      <c r="H175" s="177"/>
      <c r="I175" s="177" t="str">
        <f t="shared" si="158"/>
        <v>INDGWH</v>
      </c>
      <c r="J175" s="239">
        <f t="shared" si="159"/>
        <v>2030</v>
      </c>
      <c r="K175" s="81"/>
      <c r="L175" s="206">
        <f t="shared" ca="1" si="169"/>
        <v>0.89</v>
      </c>
      <c r="M175" s="832"/>
      <c r="N175" s="208"/>
      <c r="O175" s="785">
        <f t="shared" ca="1" si="170"/>
        <v>3.4699403462447704</v>
      </c>
      <c r="P175" s="785">
        <f t="shared" ca="1" si="171"/>
        <v>0.24287</v>
      </c>
      <c r="Q175" s="332">
        <f t="shared" ca="1" si="172"/>
        <v>3.9836805555555559</v>
      </c>
      <c r="R175" s="883"/>
      <c r="S175" s="333"/>
      <c r="T175" s="333"/>
      <c r="U175" s="333"/>
      <c r="V175" s="759">
        <f ca="1">IF(IF(RIGHT(H174,2)="MT",(1-L175)+$W$2,IF(RIGHT(H174,2)="HT",(1-L175)+$W$1,IF(RIGHT(H174,2)="RH",(1-L175)+$W$3,"")))&lt;0,0,IF(RIGHT(H174,2)="MT",(1-L175)+$W$2,IF(RIGHT(H174,2)="HT",(1-L175)+$W$1,IF(RIGHT(H174,2)="RH",(1-L175)+$W$3,""))))</f>
        <v>0.10999999999999999</v>
      </c>
      <c r="W175" s="331"/>
      <c r="X175" s="758">
        <f t="shared" ca="1" si="160"/>
        <v>8</v>
      </c>
      <c r="Y175" s="332">
        <f t="shared" ca="1" si="173"/>
        <v>35</v>
      </c>
      <c r="Z175" s="332">
        <f t="shared" ca="1" si="174"/>
        <v>1.5</v>
      </c>
      <c r="AA175" s="332">
        <f t="shared" ca="1" si="175"/>
        <v>0.8</v>
      </c>
      <c r="AB175" s="332">
        <f t="shared" ca="1" si="176"/>
        <v>2.1</v>
      </c>
      <c r="AD175" s="81">
        <v>2030</v>
      </c>
      <c r="AE175" s="290"/>
      <c r="AF175" s="888"/>
    </row>
    <row r="176" spans="1:32">
      <c r="A176" s="172"/>
      <c r="B176" s="779" t="s">
        <v>1224</v>
      </c>
      <c r="C176" s="773"/>
      <c r="D176" s="223" t="str">
        <f ca="1">IF(T174=0,"*",IF(T176&gt;0,"IND"&amp;RIGHT(H174,4)&amp;RIGHT(G174,3)&amp;"N"&amp;RIGHT(E174,1),""))</f>
        <v/>
      </c>
      <c r="E176" s="761"/>
      <c r="F176" s="239" t="s">
        <v>1274</v>
      </c>
      <c r="G176" s="211"/>
      <c r="H176" s="762"/>
      <c r="I176" s="762" t="str">
        <f t="shared" si="158"/>
        <v>INDGWH</v>
      </c>
      <c r="J176" s="239">
        <f t="shared" si="159"/>
        <v>2050</v>
      </c>
      <c r="K176" s="81"/>
      <c r="L176" s="206">
        <f t="shared" ca="1" si="169"/>
        <v>0.91</v>
      </c>
      <c r="M176" s="886"/>
      <c r="N176" s="885"/>
      <c r="O176" s="785">
        <f t="shared" ca="1" si="170"/>
        <v>3.2813985758696647</v>
      </c>
      <c r="P176" s="785">
        <f t="shared" ca="1" si="171"/>
        <v>0.22797000000000001</v>
      </c>
      <c r="Q176" s="332">
        <f t="shared" ca="1" si="172"/>
        <v>4.0064444444444449</v>
      </c>
      <c r="R176" s="782"/>
      <c r="S176" s="763"/>
      <c r="T176" s="763"/>
      <c r="U176" s="763"/>
      <c r="V176" s="759">
        <f ca="1">IF(IF(RIGHT(H174,2)="MT",(1-L176)+$W$2,IF(RIGHT(H174,2)="HT",(1-L176)+$W$1,IF(RIGHT(H174,2)="RH",(1-L176)+$W$3,"")))&lt;0,0,IF(RIGHT(H174,2)="MT",(1-L176)+$W$2,IF(RIGHT(H174,2)="HT",(1-L176)+$W$1,IF(RIGHT(H174,2)="RH",(1-L176)+$W$3,""))))</f>
        <v>8.9999999999999969E-2</v>
      </c>
      <c r="W176" s="764"/>
      <c r="X176" s="758">
        <f t="shared" ca="1" si="160"/>
        <v>8</v>
      </c>
      <c r="Y176" s="332">
        <f t="shared" ca="1" si="173"/>
        <v>35</v>
      </c>
      <c r="Z176" s="332">
        <f t="shared" ca="1" si="174"/>
        <v>1.5</v>
      </c>
      <c r="AA176" s="332">
        <f t="shared" ca="1" si="175"/>
        <v>0.8</v>
      </c>
      <c r="AB176" s="332">
        <f t="shared" ca="1" si="176"/>
        <v>2.1</v>
      </c>
      <c r="AC176" s="211"/>
      <c r="AD176" s="81">
        <v>2050</v>
      </c>
      <c r="AE176" s="290"/>
      <c r="AF176" s="889"/>
    </row>
    <row r="177" spans="1:32">
      <c r="A177" s="172"/>
      <c r="B177" s="778" t="s">
        <v>1224</v>
      </c>
      <c r="C177" s="241"/>
      <c r="D177" s="223" t="str">
        <f ca="1">IF(T177=0,"*",IF(T177&gt;0,"IND"&amp;RIGHT(H177,4)&amp;RIGHT(G177,3)&amp;"N"&amp;RIGHT(E177,1),""))</f>
        <v>INDGDMTCOAN2</v>
      </c>
      <c r="E177" s="278" t="str">
        <f>"Industrial heating technology "&amp;$AJ$12&amp;" "&amp;RIGHT(H177,2)&amp;" - Coal boiler (Hot Water) - new 2"</f>
        <v>Industrial heating technology Glass &amp; Concrete MT - Coal boiler (Hot Water) - new 2</v>
      </c>
      <c r="F177" s="239" t="s">
        <v>1274</v>
      </c>
      <c r="G177" s="55" t="s">
        <v>662</v>
      </c>
      <c r="H177" s="177" t="str">
        <f>$AI$14</f>
        <v>IGDMT</v>
      </c>
      <c r="I177" s="177" t="str">
        <f t="shared" si="158"/>
        <v>INDGWH</v>
      </c>
      <c r="J177" s="239">
        <f t="shared" si="159"/>
        <v>2011</v>
      </c>
      <c r="K177" s="332">
        <f>J177</f>
        <v>2011</v>
      </c>
      <c r="L177" s="206">
        <f t="shared" ref="L177:L182" ca="1" si="177">VLOOKUP($AD177,INDIRECT("'"&amp;$B177&amp;"'!"&amp;"$P$118:$AD$121"),3,FALSE)</f>
        <v>0.89</v>
      </c>
      <c r="M177" s="206"/>
      <c r="N177" s="81">
        <f ca="1">VLOOKUP($AD177,INDIRECT("'"&amp;$B177&amp;"'!"&amp;"$P$118:$AD$121"),5,FALSE)</f>
        <v>25</v>
      </c>
      <c r="O177" s="783">
        <f t="shared" ref="O177:O182" ca="1" si="178">VLOOKUP($AD177,INDIRECT("'"&amp;$B177&amp;"'!"&amp;"$P$118:$AD$121"),6,FALSE)/1000</f>
        <v>3.7250000000000001</v>
      </c>
      <c r="P177" s="783">
        <f t="shared" ref="P177:P182" ca="1" si="179">VLOOKUP($AD177,INDIRECT("'"&amp;$B177&amp;"'!"&amp;"$P$118:$AD$121"),7,FALSE)/1000</f>
        <v>0.25106499999999998</v>
      </c>
      <c r="Q177" s="81">
        <f t="shared" ref="Q177:Q182" ca="1" si="180">VLOOKUP($AD177,INDIRECT("'"&amp;$B177&amp;"'!"&amp;"$P$118:$AD$121"),8,FALSE)</f>
        <v>3.9381527777777778</v>
      </c>
      <c r="R177" s="81">
        <v>3.1536000000000002E-2</v>
      </c>
      <c r="S177" s="206">
        <v>0.5</v>
      </c>
      <c r="T177" s="206">
        <f ca="1">IF(HLOOKUP($T$2,INDIRECT("'"&amp;$B177&amp;"'!"&amp;"$P$6:$AE$19"),IF(H177=$AI$13,6,IF(H177=$AI$14,9,14)),FALSE)&lt;0.03,0,HLOOKUP($T$2,INDIRECT("'"&amp;$B177&amp;"'!"&amp;"$P$6:$AE$19"),IF(H177=$AI$13,6,IF(H177=$AI$14,9,14)),FALSE))</f>
        <v>0.97</v>
      </c>
      <c r="U177" s="833"/>
      <c r="V177" s="759">
        <f ca="1">IF(IF(RIGHT(H177,2)="MT",(1-L177)+$W$2,IF(RIGHT(H177,2)="HT",(1-L177)+$W$1,IF(RIGHT(H177,2)="RH",(1-L177)+$W$3,"")))&lt;0,0,IF(RIGHT(H177,2)="MT",(1-L177)+$W$2,IF(RIGHT(H177,2)="HT",(1-L177)+$W$1,IF(RIGHT(H177,2)="RH",(1-L177)+$W$3,""))))</f>
        <v>0.31</v>
      </c>
      <c r="W177" s="769"/>
      <c r="X177" s="758">
        <f t="shared" ca="1" si="160"/>
        <v>8</v>
      </c>
      <c r="Y177" s="758">
        <f ca="1">VLOOKUP($AD177,INDIRECT("'"&amp;$B177&amp;"'!"&amp;"$P$118:$AD$121"),12,FALSE)</f>
        <v>35</v>
      </c>
      <c r="Z177" s="758">
        <f ca="1">VLOOKUP($AD177,INDIRECT("'"&amp;$B177&amp;"'!"&amp;"$P$118:$AD$121"),13,FALSE)</f>
        <v>1.5</v>
      </c>
      <c r="AA177" s="758">
        <f ca="1">VLOOKUP($AD177,INDIRECT("'"&amp;$B177&amp;"'!"&amp;"$P$118:$AD$121"),14,FALSE)</f>
        <v>0.8</v>
      </c>
      <c r="AB177" s="758">
        <f ca="1">VLOOKUP($AD177,INDIRECT("'"&amp;$B177&amp;"'!"&amp;"$P$118:$AD$121"),15,FALSE)</f>
        <v>2.1</v>
      </c>
      <c r="AC177" s="55"/>
      <c r="AD177" s="81">
        <v>2020</v>
      </c>
      <c r="AE177" s="290"/>
      <c r="AF177" s="888"/>
    </row>
    <row r="178" spans="1:32">
      <c r="A178" s="172"/>
      <c r="B178" s="778" t="s">
        <v>1224</v>
      </c>
      <c r="C178" s="241"/>
      <c r="D178" s="223" t="str">
        <f ca="1">IF(T177=0,"*",IF(T178&gt;0,"IND"&amp;RIGHT(H177,4)&amp;RIGHT(G177,3)&amp;"N"&amp;RIGHT(E177,1),""))</f>
        <v/>
      </c>
      <c r="E178" s="278"/>
      <c r="F178" s="239" t="s">
        <v>1274</v>
      </c>
      <c r="G178" s="55"/>
      <c r="H178" s="177"/>
      <c r="I178" s="177" t="str">
        <f t="shared" si="158"/>
        <v>INDGWH</v>
      </c>
      <c r="J178" s="239">
        <f t="shared" si="159"/>
        <v>2030</v>
      </c>
      <c r="K178" s="81"/>
      <c r="L178" s="206">
        <f t="shared" ca="1" si="177"/>
        <v>0.89</v>
      </c>
      <c r="M178" s="832"/>
      <c r="N178" s="208"/>
      <c r="O178" s="783">
        <f t="shared" ca="1" si="178"/>
        <v>3.7250000000000001</v>
      </c>
      <c r="P178" s="783">
        <f t="shared" ca="1" si="179"/>
        <v>0.24287</v>
      </c>
      <c r="Q178" s="81">
        <f t="shared" ca="1" si="180"/>
        <v>3.9836805555555559</v>
      </c>
      <c r="R178" s="883"/>
      <c r="S178" s="333"/>
      <c r="T178" s="333"/>
      <c r="U178" s="333"/>
      <c r="V178" s="759">
        <f ca="1">IF(IF(RIGHT(H177,2)="MT",(1-L178)+$W$2,IF(RIGHT(H177,2)="HT",(1-L178)+$W$1,IF(RIGHT(H177,2)="RH",(1-L178)+$W$3,"")))&lt;0,0,IF(RIGHT(H177,2)="MT",(1-L178)+$W$2,IF(RIGHT(H177,2)="HT",(1-L178)+$W$1,IF(RIGHT(H177,2)="RH",(1-L178)+$W$3,""))))</f>
        <v>0.31</v>
      </c>
      <c r="W178" s="331"/>
      <c r="X178" s="884"/>
      <c r="Y178" s="884"/>
      <c r="Z178" s="884"/>
      <c r="AA178" s="884"/>
      <c r="AB178" s="884"/>
      <c r="AD178" s="81">
        <v>2030</v>
      </c>
      <c r="AE178" s="290"/>
      <c r="AF178" s="888"/>
    </row>
    <row r="179" spans="1:32">
      <c r="A179" s="172"/>
      <c r="B179" s="778" t="s">
        <v>1224</v>
      </c>
      <c r="C179" s="241"/>
      <c r="D179" s="223" t="str">
        <f ca="1">IF(T177=0,"*",IF(T179&gt;0,"IND"&amp;RIGHT(H177,4)&amp;RIGHT(G177,3)&amp;"N"&amp;RIGHT(E177,1),""))</f>
        <v/>
      </c>
      <c r="E179" s="278"/>
      <c r="F179" s="239" t="s">
        <v>1274</v>
      </c>
      <c r="G179" s="55"/>
      <c r="H179" s="177"/>
      <c r="I179" s="177" t="str">
        <f t="shared" si="158"/>
        <v>INDGWH</v>
      </c>
      <c r="J179" s="239">
        <f t="shared" si="159"/>
        <v>2050</v>
      </c>
      <c r="K179" s="81"/>
      <c r="L179" s="206">
        <f t="shared" ca="1" si="177"/>
        <v>0.91</v>
      </c>
      <c r="M179" s="832"/>
      <c r="N179" s="208"/>
      <c r="O179" s="783">
        <f t="shared" ca="1" si="178"/>
        <v>3.7250000000000001</v>
      </c>
      <c r="P179" s="783">
        <f t="shared" ca="1" si="179"/>
        <v>0.22797000000000001</v>
      </c>
      <c r="Q179" s="81">
        <f t="shared" ca="1" si="180"/>
        <v>4.0064444444444449</v>
      </c>
      <c r="R179" s="883"/>
      <c r="S179" s="333"/>
      <c r="T179" s="333"/>
      <c r="U179" s="333"/>
      <c r="V179" s="759">
        <f ca="1">IF(IF(RIGHT(H177,2)="MT",(1-L179)+$W$2,IF(RIGHT(H177,2)="HT",(1-L179)+$W$1,IF(RIGHT(H177,2)="RH",(1-L179)+$W$3,"")))&lt;0,0,IF(RIGHT(H177,2)="MT",(1-L179)+$W$2,IF(RIGHT(H177,2)="HT",(1-L179)+$W$1,IF(RIGHT(H177,2)="RH",(1-L179)+$W$3,""))))</f>
        <v>0.28999999999999998</v>
      </c>
      <c r="W179" s="331"/>
      <c r="X179" s="884"/>
      <c r="Y179" s="884"/>
      <c r="Z179" s="884"/>
      <c r="AA179" s="884"/>
      <c r="AB179" s="884"/>
      <c r="AD179" s="81">
        <v>2050</v>
      </c>
      <c r="AE179" s="290"/>
      <c r="AF179" s="888"/>
    </row>
    <row r="180" spans="1:32">
      <c r="A180" s="172"/>
      <c r="B180" s="778" t="s">
        <v>1224</v>
      </c>
      <c r="C180" s="241"/>
      <c r="D180" s="223" t="str">
        <f ca="1">IF(T180=0,"*",IF(T180&gt;0,"IND"&amp;RIGHT(H180,4)&amp;RIGHT(G180,3)&amp;"N"&amp;RIGHT(E180,1),""))</f>
        <v>INDGDRHCOAN2</v>
      </c>
      <c r="E180" s="278" t="str">
        <f>"Industrial heating technology "&amp;$AJ$12&amp;" "&amp;RIGHT(H180,2)&amp;" - Coal boiler (Hot Water) - new 2"</f>
        <v>Industrial heating technology Glass &amp; Concrete RH - Coal boiler (Hot Water) - new 2</v>
      </c>
      <c r="F180" s="239" t="s">
        <v>1274</v>
      </c>
      <c r="G180" s="55" t="s">
        <v>662</v>
      </c>
      <c r="H180" s="177" t="str">
        <f>$AI$15</f>
        <v>IGDRH</v>
      </c>
      <c r="I180" s="177" t="str">
        <f t="shared" si="158"/>
        <v>INDGWH</v>
      </c>
      <c r="J180" s="239">
        <f t="shared" si="159"/>
        <v>2011</v>
      </c>
      <c r="K180" s="332">
        <f>J180</f>
        <v>2011</v>
      </c>
      <c r="L180" s="206">
        <f t="shared" ca="1" si="177"/>
        <v>0.89</v>
      </c>
      <c r="M180" s="206"/>
      <c r="N180" s="81">
        <f ca="1">VLOOKUP($AD180,INDIRECT("'"&amp;$B180&amp;"'!"&amp;"$P$118:$AD$121"),5,FALSE)</f>
        <v>25</v>
      </c>
      <c r="O180" s="783">
        <f t="shared" ca="1" si="178"/>
        <v>3.7250000000000001</v>
      </c>
      <c r="P180" s="783">
        <f t="shared" ca="1" si="179"/>
        <v>0.25106499999999998</v>
      </c>
      <c r="Q180" s="81">
        <f t="shared" ca="1" si="180"/>
        <v>3.9381527777777778</v>
      </c>
      <c r="R180" s="81">
        <v>3.1536000000000002E-2</v>
      </c>
      <c r="S180" s="206">
        <v>0.5</v>
      </c>
      <c r="T180" s="206">
        <f ca="1">IF(HLOOKUP($T$2,INDIRECT("'"&amp;$B180&amp;"'!"&amp;"$P$6:$AE$19"),IF(H180=$AI$13,6,IF(H180=$AI$14,9,14)),FALSE)&lt;0.03,0,HLOOKUP($T$2,INDIRECT("'"&amp;$B180&amp;"'!"&amp;"$P$6:$AE$19"),IF(H180=$AI$13,6,IF(H180=$AI$14,9,14)),FALSE))</f>
        <v>1</v>
      </c>
      <c r="U180" s="833"/>
      <c r="V180" s="759">
        <f ca="1">IF(IF(RIGHT(H180,2)="MT",(1-L180)+$W$2,IF(RIGHT(H180,2)="HT",(1-L180)+$W$1,IF(RIGHT(H180,2)="RH",(1-L180)+$W$3,"")))&lt;0,0,IF(RIGHT(H180,2)="MT",(1-L180)+$W$2,IF(RIGHT(H180,2)="HT",(1-L180)+$W$1,IF(RIGHT(H180,2)="RH",(1-L180)+$W$3,""))))</f>
        <v>0.10999999999999999</v>
      </c>
      <c r="W180" s="769"/>
      <c r="X180" s="758">
        <f ca="1">IF(VLOOKUP($AD180,INDIRECT("'"&amp;$B180&amp;"'!"&amp;"$P$39:$AD$42"),11,FALSE)="Cf. the utilized electricity",0,VLOOKUP($AD180,INDIRECT("'"&amp;$B180&amp;"'!"&amp;"$P$39:$AD$42"),11,FALSE))</f>
        <v>8</v>
      </c>
      <c r="Y180" s="758">
        <f ca="1">VLOOKUP($AD180,INDIRECT("'"&amp;$B180&amp;"'!"&amp;"$P$118:$AD$121"),12,FALSE)</f>
        <v>35</v>
      </c>
      <c r="Z180" s="758">
        <f ca="1">VLOOKUP($AD180,INDIRECT("'"&amp;$B180&amp;"'!"&amp;"$P$118:$AD$121"),13,FALSE)</f>
        <v>1.5</v>
      </c>
      <c r="AA180" s="758">
        <f ca="1">VLOOKUP($AD180,INDIRECT("'"&amp;$B180&amp;"'!"&amp;"$P$118:$AD$121"),14,FALSE)</f>
        <v>0.8</v>
      </c>
      <c r="AB180" s="758">
        <f ca="1">VLOOKUP($AD180,INDIRECT("'"&amp;$B180&amp;"'!"&amp;"$P$118:$AD$121"),15,FALSE)</f>
        <v>2.1</v>
      </c>
      <c r="AC180" s="55"/>
      <c r="AD180" s="81">
        <v>2020</v>
      </c>
      <c r="AE180" s="290"/>
      <c r="AF180" s="888"/>
    </row>
    <row r="181" spans="1:32">
      <c r="A181" s="172"/>
      <c r="B181" s="778" t="s">
        <v>1224</v>
      </c>
      <c r="C181" s="241"/>
      <c r="D181" s="223" t="str">
        <f ca="1">IF(T180=0,"*",IF(T181&gt;0,"IND"&amp;RIGHT(H180,4)&amp;RIGHT(G180,3)&amp;"N"&amp;RIGHT(E180,1),""))</f>
        <v/>
      </c>
      <c r="E181" s="278"/>
      <c r="F181" s="239" t="s">
        <v>1274</v>
      </c>
      <c r="G181" s="55"/>
      <c r="H181" s="177"/>
      <c r="I181" s="177" t="str">
        <f t="shared" si="158"/>
        <v>INDGWH</v>
      </c>
      <c r="J181" s="239">
        <f t="shared" si="159"/>
        <v>2030</v>
      </c>
      <c r="K181" s="208"/>
      <c r="L181" s="206">
        <f t="shared" ca="1" si="177"/>
        <v>0.89</v>
      </c>
      <c r="M181" s="832"/>
      <c r="N181" s="208"/>
      <c r="O181" s="783">
        <f t="shared" ca="1" si="178"/>
        <v>3.7250000000000001</v>
      </c>
      <c r="P181" s="783">
        <f t="shared" ca="1" si="179"/>
        <v>0.24287</v>
      </c>
      <c r="Q181" s="81">
        <f t="shared" ca="1" si="180"/>
        <v>3.9836805555555559</v>
      </c>
      <c r="R181" s="883"/>
      <c r="S181" s="333"/>
      <c r="T181" s="333"/>
      <c r="U181" s="333"/>
      <c r="V181" s="759">
        <f ca="1">IF(IF(RIGHT(H180,2)="MT",(1-L181)+$W$2,IF(RIGHT(H180,2)="HT",(1-L181)+$W$1,IF(RIGHT(H180,2)="RH",(1-L181)+$W$3,"")))&lt;0,0,IF(RIGHT(H180,2)="MT",(1-L181)+$W$2,IF(RIGHT(H180,2)="HT",(1-L181)+$W$1,IF(RIGHT(H180,2)="RH",(1-L181)+$W$3,""))))</f>
        <v>0.10999999999999999</v>
      </c>
      <c r="W181" s="331"/>
      <c r="X181" s="884"/>
      <c r="Y181" s="884"/>
      <c r="Z181" s="884"/>
      <c r="AA181" s="884"/>
      <c r="AB181" s="884"/>
      <c r="AD181" s="81">
        <v>2030</v>
      </c>
      <c r="AE181" s="290"/>
      <c r="AF181" s="888"/>
    </row>
    <row r="182" spans="1:32">
      <c r="A182" s="891"/>
      <c r="B182" s="779" t="s">
        <v>1224</v>
      </c>
      <c r="C182" s="773"/>
      <c r="D182" s="223" t="str">
        <f ca="1">IF(T180=0,"*",IF(T182&gt;0,"IND"&amp;RIGHT(H180,4)&amp;RIGHT(G180,3)&amp;"N"&amp;RIGHT(E180,1),""))</f>
        <v/>
      </c>
      <c r="E182" s="761"/>
      <c r="F182" s="239" t="s">
        <v>1274</v>
      </c>
      <c r="G182" s="211"/>
      <c r="H182" s="762"/>
      <c r="I182" s="283" t="str">
        <f t="shared" si="158"/>
        <v>INDGWH</v>
      </c>
      <c r="J182" s="239">
        <f t="shared" si="159"/>
        <v>2050</v>
      </c>
      <c r="K182" s="885"/>
      <c r="L182" s="206">
        <f t="shared" ca="1" si="177"/>
        <v>0.91</v>
      </c>
      <c r="M182" s="886"/>
      <c r="N182" s="885"/>
      <c r="O182" s="783">
        <f t="shared" ca="1" si="178"/>
        <v>3.7250000000000001</v>
      </c>
      <c r="P182" s="783">
        <f t="shared" ca="1" si="179"/>
        <v>0.22797000000000001</v>
      </c>
      <c r="Q182" s="81">
        <f t="shared" ca="1" si="180"/>
        <v>4.0064444444444449</v>
      </c>
      <c r="R182" s="782"/>
      <c r="S182" s="763"/>
      <c r="T182" s="763"/>
      <c r="U182" s="763"/>
      <c r="V182" s="759">
        <f ca="1">IF(IF(RIGHT(H180,2)="MT",(1-L182)+$W$2,IF(RIGHT(H180,2)="HT",(1-L182)+$W$1,IF(RIGHT(H180,2)="RH",(1-L182)+$W$3,"")))&lt;0,0,IF(RIGHT(H180,2)="MT",(1-L182)+$W$2,IF(RIGHT(H180,2)="HT",(1-L182)+$W$1,IF(RIGHT(H180,2)="RH",(1-L182)+$W$3,""))))</f>
        <v>8.9999999999999969E-2</v>
      </c>
      <c r="W182" s="764"/>
      <c r="X182" s="887"/>
      <c r="Y182" s="887"/>
      <c r="Z182" s="887"/>
      <c r="AA182" s="887"/>
      <c r="AB182" s="887"/>
      <c r="AC182" s="211"/>
      <c r="AD182" s="81">
        <v>2050</v>
      </c>
      <c r="AE182" s="290"/>
      <c r="AF182" s="889"/>
    </row>
    <row r="183" spans="1:32">
      <c r="A183" s="891"/>
      <c r="B183" s="241" t="s">
        <v>620</v>
      </c>
      <c r="C183" s="961"/>
      <c r="D183" s="223" t="str">
        <f>IF(T183=0,"*",IF(T183&gt;0,"IND"&amp;RIGHT(H183,4)&amp;RIGHT(G183,3)&amp;"N"&amp;RIGHT(E183,1),""))</f>
        <v>INDGDRHSOLN1</v>
      </c>
      <c r="E183" s="278" t="str">
        <f>"Industrial heating technology "&amp;$AJ$12&amp;" "&amp;RIGHT(H183,2)&amp;" - Solar - new 1"</f>
        <v>Industrial heating technology Glass &amp; Concrete RH - Solar - new 1</v>
      </c>
      <c r="F183" s="239" t="s">
        <v>1274</v>
      </c>
      <c r="G183" s="55" t="s">
        <v>501</v>
      </c>
      <c r="H183" s="177" t="str">
        <f>$AI$15</f>
        <v>IGDRH</v>
      </c>
      <c r="I183" s="177"/>
      <c r="J183" s="239">
        <f t="shared" si="159"/>
        <v>2011</v>
      </c>
      <c r="K183" s="332">
        <f>J183</f>
        <v>2011</v>
      </c>
      <c r="L183" s="206">
        <f ca="1">VLOOKUP($AD183,INDIRECT("'"&amp;$B183&amp;"'!"&amp;"$J$40:$X$43"),3,FALSE)</f>
        <v>1</v>
      </c>
      <c r="M183" s="832"/>
      <c r="N183" s="206">
        <f ca="1">VLOOKUP($AD183,INDIRECT("'"&amp;$B183&amp;"'!"&amp;"$J$40:$X$43"),5,FALSE)</f>
        <v>25</v>
      </c>
      <c r="O183" s="206">
        <f ca="1">VLOOKUP($AD183,INDIRECT("'"&amp;$B183&amp;"'!"&amp;"$J$40:$X$43"),6,FALSE)/1000</f>
        <v>4.2857142857142865</v>
      </c>
      <c r="P183" s="206">
        <f ca="1">VLOOKUP($AD183,INDIRECT("'"&amp;$B183&amp;"'!"&amp;"$J$40:$X$43"),7,FALSE)/1000</f>
        <v>2.0660433158225668E-2</v>
      </c>
      <c r="Q183" s="206">
        <f ca="1">VLOOKUP($AD183,INDIRECT("'"&amp;$B183&amp;"'!"&amp;"$J$40:$X$43"),8,FALSE)</f>
        <v>0</v>
      </c>
      <c r="R183" s="81">
        <v>3.1536000000000002E-2</v>
      </c>
      <c r="S183" s="206">
        <v>0.09</v>
      </c>
      <c r="T183" s="206">
        <v>1</v>
      </c>
      <c r="U183" s="333"/>
      <c r="V183" s="206"/>
      <c r="W183" s="331"/>
      <c r="X183" s="758">
        <v>0</v>
      </c>
      <c r="Y183" s="81">
        <v>0</v>
      </c>
      <c r="Z183" s="81">
        <v>0</v>
      </c>
      <c r="AA183" s="81">
        <v>0</v>
      </c>
      <c r="AB183" s="81">
        <v>0</v>
      </c>
      <c r="AC183" s="55"/>
      <c r="AD183" s="81">
        <v>2020</v>
      </c>
      <c r="AE183" s="208"/>
      <c r="AF183" s="760"/>
    </row>
    <row r="184" spans="1:32">
      <c r="A184" s="891"/>
      <c r="B184" s="241" t="s">
        <v>620</v>
      </c>
      <c r="C184" s="962"/>
      <c r="D184" s="223" t="str">
        <f>IF(T183=0,"*",IF(T184&gt;0,"IND"&amp;RIGHT(H183,4)&amp;RIGHT(G183,3)&amp;"N"&amp;RIGHT(E183,1),""))</f>
        <v/>
      </c>
      <c r="E184" s="278"/>
      <c r="F184" s="239" t="s">
        <v>1274</v>
      </c>
      <c r="G184" s="55"/>
      <c r="H184" s="177"/>
      <c r="I184" s="177"/>
      <c r="J184" s="239">
        <f t="shared" si="159"/>
        <v>2030</v>
      </c>
      <c r="K184" s="208"/>
      <c r="L184" s="206">
        <f ca="1">VLOOKUP($AD184,INDIRECT("'"&amp;$B184&amp;"'!"&amp;"$J$40:$X$43"),3,FALSE)</f>
        <v>1</v>
      </c>
      <c r="M184" s="832"/>
      <c r="N184" s="206">
        <f ca="1">VLOOKUP($AD184,INDIRECT("'"&amp;$B184&amp;"'!"&amp;"$J$40:$X$43"),5,FALSE)</f>
        <v>30</v>
      </c>
      <c r="O184" s="206">
        <f ca="1">VLOOKUP($AD184,INDIRECT("'"&amp;$B184&amp;"'!"&amp;"$J$40:$X$43"),6,FALSE)/1000</f>
        <v>3.9285714285714284</v>
      </c>
      <c r="P184" s="206">
        <f ca="1">VLOOKUP($AD184,INDIRECT("'"&amp;$B184&amp;"'!"&amp;"$J$40:$X$43"),7,FALSE)/1000</f>
        <v>2.328125E-2</v>
      </c>
      <c r="Q184" s="206">
        <f ca="1">VLOOKUP($AD184,INDIRECT("'"&amp;$B184&amp;"'!"&amp;"$J$40:$X$43"),8,FALSE)</f>
        <v>0</v>
      </c>
      <c r="R184" s="883"/>
      <c r="S184" s="333"/>
      <c r="T184" s="333"/>
      <c r="U184" s="333"/>
      <c r="V184" s="832"/>
      <c r="W184" s="331"/>
      <c r="X184" s="884"/>
      <c r="Y184" s="884"/>
      <c r="Z184" s="884"/>
      <c r="AA184" s="884"/>
      <c r="AB184" s="884"/>
      <c r="AC184" s="55"/>
      <c r="AD184" s="81">
        <v>2030</v>
      </c>
      <c r="AE184" s="208"/>
      <c r="AF184" s="760"/>
    </row>
    <row r="185" spans="1:32" s="211" customFormat="1">
      <c r="A185" s="960"/>
      <c r="B185" s="773" t="s">
        <v>620</v>
      </c>
      <c r="C185" s="963"/>
      <c r="D185" s="223" t="str">
        <f>IF(T183=0,"*",IF(T185&gt;0,"IND"&amp;RIGHT(H183,4)&amp;RIGHT(G183,3)&amp;"N"&amp;RIGHT(E183,1),""))</f>
        <v/>
      </c>
      <c r="E185" s="761"/>
      <c r="F185" s="239" t="s">
        <v>1274</v>
      </c>
      <c r="H185" s="762"/>
      <c r="I185" s="762"/>
      <c r="J185" s="239">
        <f t="shared" si="159"/>
        <v>2050</v>
      </c>
      <c r="K185" s="885"/>
      <c r="L185" s="206">
        <f ca="1">VLOOKUP($AD185,INDIRECT("'"&amp;$B185&amp;"'!"&amp;"$J$40:$X$43"),3,FALSE)</f>
        <v>1</v>
      </c>
      <c r="M185" s="886"/>
      <c r="N185" s="206">
        <f ca="1">VLOOKUP($AD185,INDIRECT("'"&amp;$B185&amp;"'!"&amp;"$J$40:$X$43"),5,FALSE)</f>
        <v>30</v>
      </c>
      <c r="O185" s="206">
        <f ca="1">VLOOKUP($AD185,INDIRECT("'"&amp;$B185&amp;"'!"&amp;"$J$40:$X$43"),6,FALSE)/1000</f>
        <v>3.5714285714285721</v>
      </c>
      <c r="P185" s="206">
        <f ca="1">VLOOKUP($AD185,INDIRECT("'"&amp;$B185&amp;"'!"&amp;"$J$40:$X$43"),7,FALSE)/1000</f>
        <v>2.1498571428571429E-2</v>
      </c>
      <c r="Q185" s="206">
        <f ca="1">VLOOKUP($AD185,INDIRECT("'"&amp;$B185&amp;"'!"&amp;"$J$40:$X$43"),8,FALSE)</f>
        <v>0</v>
      </c>
      <c r="R185" s="782"/>
      <c r="S185" s="763"/>
      <c r="T185" s="763"/>
      <c r="U185" s="763"/>
      <c r="V185" s="886"/>
      <c r="W185" s="764"/>
      <c r="X185" s="887"/>
      <c r="Y185" s="887"/>
      <c r="Z185" s="887"/>
      <c r="AA185" s="887"/>
      <c r="AB185" s="887"/>
      <c r="AD185" s="81">
        <v>2050</v>
      </c>
      <c r="AE185" s="885"/>
      <c r="AF185" s="765"/>
    </row>
    <row r="186" spans="1:32">
      <c r="A186" s="172"/>
      <c r="D186" s="36" t="s">
        <v>504</v>
      </c>
      <c r="E186" s="36"/>
      <c r="F186" s="239" t="s">
        <v>1274</v>
      </c>
      <c r="H186" s="176"/>
      <c r="I186" s="176"/>
      <c r="K186" s="205"/>
      <c r="L186" s="213"/>
      <c r="M186" s="213"/>
      <c r="N186" s="213"/>
      <c r="O186" s="37"/>
      <c r="P186" s="37"/>
      <c r="Q186" s="214"/>
      <c r="R186" s="268"/>
      <c r="S186" s="292"/>
      <c r="T186" s="213"/>
      <c r="U186" s="213"/>
      <c r="V186" s="213"/>
      <c r="W186" s="213"/>
      <c r="X186" s="213"/>
      <c r="Y186" s="213"/>
      <c r="Z186" s="213"/>
      <c r="AA186" s="213"/>
      <c r="AB186" s="213"/>
    </row>
    <row r="187" spans="1:32">
      <c r="A187" s="172"/>
      <c r="D187" s="223" t="str">
        <f>"IND"&amp;RIGHT(H187,4)&amp;RIGHT(G187,3)&amp;"N"&amp;RIGHT(E187,1)</f>
        <v>INDGDRHHCEN1</v>
      </c>
      <c r="E187" s="239" t="str">
        <f>"Industrial heating technology "&amp;$AJ$12&amp;" "&amp;RIGHT(H187,2)&amp;" - central district heating - within DH area - new 1"</f>
        <v>Industrial heating technology Glass &amp; Concrete RH - central district heating - within DH area - new 1</v>
      </c>
      <c r="F187" s="239" t="s">
        <v>1274</v>
      </c>
      <c r="G187" s="240" t="s">
        <v>502</v>
      </c>
      <c r="H187" s="240" t="str">
        <f>AI15</f>
        <v>IGDRH</v>
      </c>
      <c r="I187" s="240"/>
      <c r="J187" s="81">
        <v>2011</v>
      </c>
      <c r="K187" s="81">
        <v>2011</v>
      </c>
      <c r="L187" s="81">
        <v>0.96</v>
      </c>
      <c r="M187" s="81"/>
      <c r="N187" s="81">
        <v>30</v>
      </c>
      <c r="O187" s="269">
        <v>1.17</v>
      </c>
      <c r="P187" s="270">
        <f>'DH network'!$M$9</f>
        <v>5.8735799999999998E-2</v>
      </c>
      <c r="Q187" s="270">
        <f ca="1">Q31*0.95</f>
        <v>1.9463124999999999</v>
      </c>
      <c r="R187" s="209">
        <v>3.1536000000000002E-2</v>
      </c>
      <c r="S187" s="293">
        <v>0.5</v>
      </c>
      <c r="T187" s="243"/>
      <c r="U187" s="243"/>
      <c r="V187" s="243"/>
      <c r="W187" s="320"/>
      <c r="X187" s="297"/>
      <c r="Y187" s="61"/>
      <c r="Z187" s="61"/>
      <c r="AA187" s="61"/>
      <c r="AB187" s="61"/>
    </row>
    <row r="188" spans="1:32">
      <c r="A188" s="172"/>
      <c r="D188" s="223" t="str">
        <f>"IND"&amp;RIGHT(H188,4)&amp;RIGHT(G188,3)&amp;"N"&amp;RIGHT(E188,1)</f>
        <v>INDGDRHHDEN1</v>
      </c>
      <c r="E188" s="239" t="str">
        <f>"Industrial heating technology "&amp;$AJ$12&amp;" "&amp;RIGHT(H188,2)&amp;" - decentral district heating - within DH area - new 1"</f>
        <v>Industrial heating technology Glass &amp; Concrete RH - decentral district heating - within DH area - new 1</v>
      </c>
      <c r="F188" s="239" t="s">
        <v>1274</v>
      </c>
      <c r="G188" s="276" t="s">
        <v>503</v>
      </c>
      <c r="H188" s="282" t="str">
        <f>AI15</f>
        <v>IGDRH</v>
      </c>
      <c r="I188" s="282"/>
      <c r="J188" s="81">
        <v>2011</v>
      </c>
      <c r="K188" s="81">
        <v>2011</v>
      </c>
      <c r="L188" s="81">
        <f>L187</f>
        <v>0.96</v>
      </c>
      <c r="M188" s="81"/>
      <c r="N188" s="81">
        <v>30</v>
      </c>
      <c r="O188" s="269">
        <v>1.25</v>
      </c>
      <c r="P188" s="270">
        <f>'DH network'!$M$9</f>
        <v>5.8735799999999998E-2</v>
      </c>
      <c r="Q188" s="270">
        <f ca="1">Q187</f>
        <v>1.9463124999999999</v>
      </c>
      <c r="R188" s="209">
        <v>3.1536000000000002E-2</v>
      </c>
      <c r="S188" s="293">
        <v>0.5</v>
      </c>
      <c r="T188" s="243"/>
      <c r="U188" s="243"/>
      <c r="V188" s="243"/>
      <c r="W188" s="320"/>
      <c r="X188" s="297"/>
      <c r="Y188" s="61"/>
      <c r="Z188" s="61"/>
      <c r="AA188" s="61"/>
      <c r="AB188" s="61"/>
      <c r="AC188" s="241"/>
      <c r="AD188" s="241"/>
      <c r="AE188" s="241"/>
      <c r="AF188" s="241"/>
    </row>
    <row r="189" spans="1:32">
      <c r="A189" s="172"/>
      <c r="B189" s="241"/>
      <c r="C189" s="241"/>
      <c r="D189" s="275" t="s">
        <v>497</v>
      </c>
      <c r="E189" s="275"/>
      <c r="F189" s="239" t="s">
        <v>1274</v>
      </c>
      <c r="G189" s="216"/>
      <c r="H189" s="240"/>
      <c r="I189" s="240"/>
      <c r="J189" s="208"/>
      <c r="K189" s="208"/>
      <c r="L189" s="208"/>
      <c r="M189" s="208"/>
      <c r="N189" s="208"/>
      <c r="O189" s="242"/>
      <c r="P189" s="242"/>
      <c r="Q189" s="242"/>
      <c r="R189" s="210"/>
      <c r="S189" s="243"/>
      <c r="T189" s="243"/>
      <c r="U189" s="243"/>
      <c r="V189" s="243"/>
      <c r="W189" s="320"/>
      <c r="X189" s="241"/>
      <c r="Y189" s="241"/>
      <c r="Z189" s="241"/>
      <c r="AA189" s="241"/>
      <c r="AB189" s="241"/>
      <c r="AC189" s="241"/>
      <c r="AD189" s="241"/>
      <c r="AE189" s="241"/>
      <c r="AF189" s="241"/>
    </row>
    <row r="190" spans="1:32">
      <c r="A190" s="172"/>
      <c r="B190" s="241"/>
      <c r="C190" s="241"/>
      <c r="D190" s="223" t="str">
        <f>"IND"&amp;RIGHT(H190,4)&amp;RIGHT(G190,3)&amp;"N"&amp;RIGHT(E190,1)</f>
        <v>INDGDLAELCN1</v>
      </c>
      <c r="E190" s="239" t="str">
        <f>"Industry "&amp;$AJ$12&amp;" "&amp;RIGHT(H190,2)&amp;" Electricity Light Appliance - New 1"</f>
        <v>Industry Glass &amp; Concrete LA Electricity Light Appliance - New 1</v>
      </c>
      <c r="F190" s="239" t="s">
        <v>1274</v>
      </c>
      <c r="G190" s="240" t="s">
        <v>500</v>
      </c>
      <c r="H190" s="240" t="str">
        <f>AI16</f>
        <v>IGDLA</v>
      </c>
      <c r="I190" s="240"/>
      <c r="J190" s="81">
        <v>2011</v>
      </c>
      <c r="K190" s="81">
        <v>2011</v>
      </c>
      <c r="L190" s="273">
        <v>1</v>
      </c>
      <c r="M190" s="273"/>
      <c r="N190" s="273">
        <v>10</v>
      </c>
      <c r="O190" s="270"/>
      <c r="P190" s="270"/>
      <c r="Q190" s="270"/>
      <c r="R190" s="209"/>
      <c r="S190" s="293">
        <v>0.9</v>
      </c>
      <c r="T190" s="243"/>
      <c r="U190" s="243"/>
      <c r="V190" s="243"/>
      <c r="W190" s="320"/>
      <c r="X190" s="298"/>
      <c r="Y190" s="271"/>
      <c r="Z190" s="271"/>
      <c r="AA190" s="271"/>
      <c r="AB190" s="271"/>
      <c r="AC190" s="241"/>
      <c r="AD190" s="241"/>
      <c r="AE190" s="241"/>
      <c r="AF190" s="241"/>
    </row>
    <row r="191" spans="1:32">
      <c r="A191" s="172"/>
      <c r="B191" s="241"/>
      <c r="C191" s="241"/>
      <c r="F191" s="239" t="s">
        <v>1274</v>
      </c>
      <c r="G191" s="240"/>
      <c r="H191" s="241"/>
      <c r="I191" s="241"/>
      <c r="J191" s="273">
        <v>2020</v>
      </c>
      <c r="K191" s="273"/>
      <c r="L191" s="273"/>
      <c r="M191" s="273"/>
      <c r="N191" s="273"/>
      <c r="O191" s="270"/>
      <c r="P191" s="270"/>
      <c r="Q191" s="270"/>
      <c r="R191" s="209"/>
      <c r="S191" s="293"/>
      <c r="T191" s="243"/>
      <c r="U191" s="243"/>
      <c r="V191" s="243"/>
      <c r="W191" s="320"/>
      <c r="X191" s="298"/>
      <c r="Y191" s="271"/>
      <c r="Z191" s="271"/>
      <c r="AA191" s="271"/>
      <c r="AB191" s="271"/>
      <c r="AC191" s="241"/>
      <c r="AD191" s="241"/>
      <c r="AE191" s="241"/>
      <c r="AF191" s="241"/>
    </row>
    <row r="192" spans="1:32">
      <c r="A192" s="172"/>
      <c r="B192" s="241"/>
      <c r="C192" s="241"/>
      <c r="F192" s="239" t="s">
        <v>1274</v>
      </c>
      <c r="G192" s="240"/>
      <c r="H192" s="240"/>
      <c r="I192" s="240"/>
      <c r="J192" s="273">
        <v>2030</v>
      </c>
      <c r="K192" s="273"/>
      <c r="L192" s="273"/>
      <c r="M192" s="273"/>
      <c r="N192" s="273"/>
      <c r="O192" s="270"/>
      <c r="P192" s="270"/>
      <c r="Q192" s="270"/>
      <c r="R192" s="209"/>
      <c r="S192" s="293"/>
      <c r="T192" s="243"/>
      <c r="U192" s="243"/>
      <c r="V192" s="243"/>
      <c r="W192" s="320"/>
      <c r="X192" s="298"/>
      <c r="Y192" s="271"/>
      <c r="Z192" s="271"/>
      <c r="AA192" s="271"/>
      <c r="AB192" s="271"/>
    </row>
    <row r="193" spans="1:28">
      <c r="A193" s="172"/>
      <c r="B193" s="241"/>
      <c r="C193" s="241"/>
      <c r="F193" s="239" t="s">
        <v>1274</v>
      </c>
      <c r="G193" s="240"/>
      <c r="H193" s="240"/>
      <c r="I193" s="240"/>
      <c r="J193" s="273">
        <v>2050</v>
      </c>
      <c r="K193" s="273"/>
      <c r="L193" s="273"/>
      <c r="M193" s="273"/>
      <c r="N193" s="273"/>
      <c r="O193" s="270"/>
      <c r="P193" s="270"/>
      <c r="Q193" s="270"/>
      <c r="R193" s="209"/>
      <c r="S193" s="293"/>
      <c r="T193" s="243"/>
      <c r="U193" s="243"/>
      <c r="V193" s="243"/>
      <c r="W193" s="320"/>
      <c r="X193" s="298"/>
      <c r="Y193" s="271"/>
      <c r="Z193" s="271"/>
      <c r="AA193" s="271"/>
      <c r="AB193" s="271"/>
    </row>
    <row r="194" spans="1:28">
      <c r="A194" s="172"/>
      <c r="B194" s="241"/>
      <c r="C194" s="241"/>
      <c r="D194" s="223" t="str">
        <f>"IND"&amp;RIGHT(H194,4)&amp;RIGHT(G194,3)&amp;"N"&amp;RIGHT(E194,1)</f>
        <v>INDGDEMELCN1</v>
      </c>
      <c r="E194" s="239" t="str">
        <f>"Industry "&amp;$AJ$12&amp;" "&amp;RIGHT(H194,2)&amp;" Electricity Motors - New 1"</f>
        <v>Industry Glass &amp; Concrete EM Electricity Motors - New 1</v>
      </c>
      <c r="F194" s="239" t="s">
        <v>1274</v>
      </c>
      <c r="G194" s="240" t="s">
        <v>500</v>
      </c>
      <c r="H194" s="240" t="str">
        <f>AI17</f>
        <v>IGDEM</v>
      </c>
      <c r="I194" s="240"/>
      <c r="J194" s="81">
        <v>2011</v>
      </c>
      <c r="K194" s="81">
        <v>2011</v>
      </c>
      <c r="L194" s="273">
        <v>1</v>
      </c>
      <c r="M194" s="273"/>
      <c r="N194" s="273">
        <v>10</v>
      </c>
      <c r="O194" s="270"/>
      <c r="P194" s="270"/>
      <c r="Q194" s="270"/>
      <c r="R194" s="209"/>
      <c r="S194" s="293">
        <v>0.9</v>
      </c>
      <c r="T194" s="243"/>
      <c r="U194" s="243"/>
      <c r="V194" s="243"/>
      <c r="W194" s="320"/>
      <c r="X194" s="298"/>
      <c r="Y194" s="271"/>
      <c r="Z194" s="271"/>
      <c r="AA194" s="271"/>
      <c r="AB194" s="271"/>
    </row>
    <row r="195" spans="1:28">
      <c r="A195" s="172"/>
      <c r="D195" s="173"/>
      <c r="E195" s="64"/>
      <c r="F195" s="239" t="s">
        <v>1274</v>
      </c>
      <c r="H195" s="176"/>
      <c r="I195" s="176"/>
      <c r="J195" s="273">
        <v>2020</v>
      </c>
      <c r="K195" s="274"/>
      <c r="L195" s="274"/>
      <c r="M195" s="274"/>
      <c r="N195" s="274"/>
      <c r="O195" s="61"/>
      <c r="P195" s="61"/>
      <c r="Q195" s="61"/>
      <c r="R195" s="61"/>
      <c r="S195" s="294"/>
      <c r="T195" s="55"/>
      <c r="U195" s="55"/>
      <c r="V195" s="55"/>
      <c r="W195" s="315"/>
      <c r="X195" s="297"/>
      <c r="Y195" s="61"/>
      <c r="Z195" s="61"/>
      <c r="AA195" s="61"/>
      <c r="AB195" s="61"/>
    </row>
    <row r="196" spans="1:28">
      <c r="A196" s="172"/>
      <c r="F196" s="239" t="s">
        <v>1274</v>
      </c>
      <c r="H196" s="176"/>
      <c r="I196" s="176"/>
      <c r="J196" s="273">
        <v>2030</v>
      </c>
      <c r="K196" s="274"/>
      <c r="L196" s="274"/>
      <c r="M196" s="274"/>
      <c r="N196" s="274"/>
      <c r="O196" s="61"/>
      <c r="P196" s="61"/>
      <c r="Q196" s="61"/>
      <c r="R196" s="61"/>
      <c r="S196" s="294"/>
      <c r="T196" s="55"/>
      <c r="U196" s="55"/>
      <c r="V196" s="55"/>
      <c r="W196" s="315"/>
      <c r="X196" s="297"/>
      <c r="Y196" s="61"/>
      <c r="Z196" s="61"/>
      <c r="AA196" s="61"/>
      <c r="AB196" s="61"/>
    </row>
    <row r="197" spans="1:28">
      <c r="A197" s="172"/>
      <c r="D197" s="211"/>
      <c r="E197" s="211"/>
      <c r="F197" s="239" t="s">
        <v>1274</v>
      </c>
      <c r="G197" s="211"/>
      <c r="H197" s="283"/>
      <c r="I197" s="283"/>
      <c r="J197" s="273">
        <v>2050</v>
      </c>
      <c r="K197" s="274"/>
      <c r="L197" s="274"/>
      <c r="M197" s="274"/>
      <c r="N197" s="274"/>
      <c r="O197" s="61"/>
      <c r="P197" s="61"/>
      <c r="Q197" s="61"/>
      <c r="R197" s="61"/>
      <c r="S197" s="294"/>
      <c r="T197" s="55"/>
      <c r="U197" s="55"/>
      <c r="V197" s="55"/>
      <c r="W197" s="315"/>
      <c r="X197" s="297"/>
      <c r="Y197" s="61"/>
      <c r="Z197" s="61"/>
      <c r="AA197" s="61"/>
      <c r="AB197" s="61"/>
    </row>
    <row r="198" spans="1:28">
      <c r="A198" s="172"/>
      <c r="D198" s="223" t="str">
        <f>"IND"&amp;RIGHT(H198,4)&amp;"DSL"&amp;"N"&amp;RIGHT(E198,1)</f>
        <v>INDGDTFDSLN1</v>
      </c>
      <c r="E198" s="239" t="str">
        <f>"Industry "&amp;$AJ$12&amp;" "&amp;RIGHT(H198,2)&amp;" Tractors, Trucks, Fishing boats - New 1"</f>
        <v>Industry Glass &amp; Concrete TF Tractors, Trucks, Fishing boats - New 1</v>
      </c>
      <c r="F198" s="239" t="s">
        <v>1274</v>
      </c>
      <c r="G198" s="176" t="s">
        <v>1437</v>
      </c>
      <c r="H198" s="177" t="str">
        <f>AI18</f>
        <v>IGDTF</v>
      </c>
      <c r="I198" s="177"/>
      <c r="J198" s="81">
        <v>2011</v>
      </c>
      <c r="K198" s="81">
        <v>2011</v>
      </c>
      <c r="L198" s="273">
        <v>1</v>
      </c>
      <c r="M198" s="273"/>
      <c r="N198" s="273">
        <v>10</v>
      </c>
      <c r="O198" s="270"/>
      <c r="P198" s="270"/>
      <c r="Q198" s="270"/>
      <c r="R198" s="209"/>
      <c r="S198" s="293">
        <v>0.9</v>
      </c>
      <c r="T198" s="243"/>
      <c r="U198" s="243"/>
      <c r="V198" s="243"/>
      <c r="W198" s="320"/>
      <c r="X198" s="55"/>
      <c r="Y198" s="55"/>
      <c r="Z198" s="55"/>
      <c r="AA198" s="55"/>
      <c r="AB198" s="55"/>
    </row>
    <row r="199" spans="1:28">
      <c r="A199" s="172"/>
      <c r="D199" s="55"/>
      <c r="E199" s="55"/>
      <c r="F199" s="239" t="s">
        <v>1274</v>
      </c>
      <c r="G199" s="55"/>
      <c r="H199" s="177"/>
      <c r="I199" s="177"/>
      <c r="J199" s="273">
        <v>2020</v>
      </c>
      <c r="K199" s="273"/>
      <c r="L199" s="273"/>
      <c r="M199" s="273"/>
      <c r="N199" s="273"/>
      <c r="O199" s="270"/>
      <c r="P199" s="270"/>
      <c r="Q199" s="270"/>
      <c r="R199" s="209"/>
      <c r="S199" s="293"/>
      <c r="T199" s="243"/>
      <c r="U199" s="243"/>
      <c r="V199" s="243"/>
      <c r="W199" s="243"/>
      <c r="X199" s="55"/>
      <c r="Y199" s="55"/>
      <c r="Z199" s="55"/>
      <c r="AA199" s="55"/>
      <c r="AB199" s="55"/>
    </row>
    <row r="200" spans="1:28">
      <c r="A200" s="172"/>
      <c r="D200" s="55"/>
      <c r="E200" s="55"/>
      <c r="F200" s="239" t="s">
        <v>1274</v>
      </c>
      <c r="G200" s="55"/>
      <c r="J200" s="273">
        <v>2030</v>
      </c>
      <c r="K200" s="273"/>
      <c r="L200" s="273"/>
      <c r="M200" s="273"/>
      <c r="N200" s="273"/>
      <c r="O200" s="270"/>
      <c r="P200" s="270"/>
      <c r="Q200" s="270"/>
      <c r="R200" s="209"/>
      <c r="S200" s="293"/>
      <c r="T200" s="243"/>
      <c r="U200" s="243"/>
      <c r="V200" s="243"/>
      <c r="W200" s="243"/>
      <c r="X200" s="55"/>
      <c r="Y200" s="55"/>
      <c r="Z200" s="55"/>
      <c r="AA200" s="55"/>
      <c r="AB200" s="55"/>
    </row>
    <row r="201" spans="1:28">
      <c r="A201" s="172"/>
      <c r="D201" s="55"/>
      <c r="E201" s="55"/>
      <c r="F201" s="239" t="s">
        <v>1274</v>
      </c>
      <c r="G201" s="55"/>
      <c r="J201" s="273">
        <v>2050</v>
      </c>
      <c r="K201" s="273"/>
      <c r="L201" s="273"/>
      <c r="M201" s="273"/>
      <c r="N201" s="273"/>
      <c r="O201" s="270"/>
      <c r="P201" s="270"/>
      <c r="Q201" s="270"/>
      <c r="R201" s="209"/>
      <c r="S201" s="293"/>
      <c r="T201" s="243"/>
      <c r="U201" s="243"/>
      <c r="V201" s="243"/>
      <c r="W201" s="243"/>
      <c r="X201" s="55"/>
      <c r="Y201" s="55"/>
      <c r="Z201" s="55"/>
      <c r="AA201" s="55"/>
      <c r="AB201" s="55"/>
    </row>
    <row r="202" spans="1:28">
      <c r="A202" s="172"/>
      <c r="D202" s="223" t="str">
        <f>"IND"&amp;RIGHT(H202,4)&amp;RIGHT(G202,3)&amp;"N"&amp;RIGHT(E202,1)</f>
        <v>INDGDFLDH2N1</v>
      </c>
      <c r="E202" s="239" t="str">
        <f>"Industry "&amp;$AJ$12&amp;" "&amp;RIGHT(H198,2)&amp;" Forklifts - New 1"</f>
        <v>Industry Glass &amp; Concrete TF Forklifts - New 1</v>
      </c>
      <c r="F202" s="239" t="s">
        <v>1274</v>
      </c>
      <c r="G202" s="176" t="s">
        <v>1438</v>
      </c>
      <c r="H202" s="239" t="str">
        <f>AI19</f>
        <v>IGDFL</v>
      </c>
      <c r="J202" s="81">
        <v>2011</v>
      </c>
      <c r="K202" s="81">
        <v>2011</v>
      </c>
      <c r="L202" s="273">
        <v>1</v>
      </c>
      <c r="M202" s="273"/>
      <c r="N202" s="273">
        <v>10</v>
      </c>
      <c r="O202" s="270"/>
      <c r="P202" s="270"/>
      <c r="Q202" s="270"/>
      <c r="R202" s="209"/>
      <c r="S202" s="293">
        <v>0.9</v>
      </c>
      <c r="T202" s="243"/>
      <c r="U202" s="243"/>
      <c r="V202" s="243"/>
      <c r="W202" s="243"/>
      <c r="X202" s="55"/>
      <c r="Y202" s="55"/>
      <c r="Z202" s="55"/>
      <c r="AA202" s="55"/>
      <c r="AB202" s="55"/>
    </row>
    <row r="203" spans="1:28">
      <c r="A203" s="172"/>
      <c r="D203" s="55"/>
      <c r="E203" s="55"/>
      <c r="F203" s="239" t="s">
        <v>1274</v>
      </c>
      <c r="G203" s="55"/>
      <c r="H203" s="177"/>
      <c r="I203" s="177"/>
      <c r="J203" s="273">
        <v>2020</v>
      </c>
      <c r="K203" s="273"/>
      <c r="L203" s="273"/>
      <c r="M203" s="273"/>
      <c r="N203" s="274"/>
      <c r="O203" s="61"/>
      <c r="P203" s="61"/>
      <c r="Q203" s="61"/>
      <c r="R203" s="61"/>
      <c r="S203" s="294"/>
      <c r="T203" s="55"/>
      <c r="U203" s="55"/>
      <c r="V203" s="55"/>
      <c r="W203" s="55"/>
      <c r="X203" s="55"/>
      <c r="Y203" s="55"/>
      <c r="Z203" s="55"/>
      <c r="AA203" s="55"/>
      <c r="AB203" s="55"/>
    </row>
    <row r="204" spans="1:28">
      <c r="A204" s="172"/>
      <c r="D204" s="55"/>
      <c r="E204" s="55"/>
      <c r="F204" s="239" t="s">
        <v>1274</v>
      </c>
      <c r="G204" s="55"/>
      <c r="J204" s="273">
        <v>2030</v>
      </c>
      <c r="K204" s="273"/>
      <c r="L204" s="273"/>
      <c r="M204" s="273"/>
      <c r="N204" s="274"/>
      <c r="O204" s="61"/>
      <c r="P204" s="61"/>
      <c r="Q204" s="61"/>
      <c r="R204" s="61"/>
      <c r="S204" s="294"/>
      <c r="T204" s="55"/>
      <c r="U204" s="55"/>
      <c r="V204" s="55"/>
      <c r="W204" s="55"/>
      <c r="X204" s="55"/>
      <c r="Y204" s="55"/>
      <c r="Z204" s="55"/>
      <c r="AA204" s="55"/>
      <c r="AB204" s="55"/>
    </row>
    <row r="205" spans="1:28">
      <c r="A205" s="172"/>
      <c r="D205" s="55"/>
      <c r="E205" s="55"/>
      <c r="F205" s="239" t="s">
        <v>1274</v>
      </c>
      <c r="G205" s="55"/>
      <c r="H205" s="177"/>
      <c r="I205" s="177"/>
      <c r="J205" s="273">
        <v>2050</v>
      </c>
      <c r="K205" s="273"/>
      <c r="L205" s="273"/>
      <c r="M205" s="273"/>
      <c r="N205" s="274"/>
      <c r="O205" s="61"/>
      <c r="P205" s="61"/>
      <c r="Q205" s="61"/>
      <c r="R205" s="61"/>
      <c r="S205" s="294"/>
      <c r="T205" s="55"/>
      <c r="U205" s="55"/>
      <c r="V205" s="55"/>
      <c r="W205" s="55"/>
      <c r="X205" s="55"/>
      <c r="Y205" s="55"/>
      <c r="Z205" s="55"/>
      <c r="AA205" s="55"/>
      <c r="AB205" s="55"/>
    </row>
    <row r="206" spans="1:28">
      <c r="A206" s="172"/>
    </row>
    <row r="207" spans="1:28">
      <c r="A207" s="172"/>
    </row>
    <row r="208" spans="1:28">
      <c r="A208" s="172"/>
    </row>
    <row r="209" spans="1:11">
      <c r="A209" s="172"/>
    </row>
    <row r="210" spans="1:11">
      <c r="A210" s="172"/>
      <c r="C210" s="218" t="s">
        <v>467</v>
      </c>
      <c r="D210" s="219"/>
      <c r="E210" s="219"/>
      <c r="F210" s="219"/>
      <c r="G210" s="219"/>
      <c r="H210" s="219"/>
      <c r="I210" s="219"/>
      <c r="J210" s="219"/>
      <c r="K210" s="219"/>
    </row>
    <row r="211" spans="1:11">
      <c r="A211" s="172"/>
      <c r="C211" s="220" t="s">
        <v>466</v>
      </c>
      <c r="D211" s="220" t="s">
        <v>425</v>
      </c>
      <c r="E211" s="220" t="s">
        <v>465</v>
      </c>
      <c r="F211" s="220" t="s">
        <v>464</v>
      </c>
      <c r="G211" s="220" t="s">
        <v>463</v>
      </c>
      <c r="H211" s="220" t="s">
        <v>462</v>
      </c>
      <c r="I211" s="220" t="s">
        <v>461</v>
      </c>
      <c r="J211" s="220" t="s">
        <v>460</v>
      </c>
    </row>
    <row r="212" spans="1:11" ht="21" thickBot="1">
      <c r="A212" s="172"/>
      <c r="C212" s="221" t="s">
        <v>459</v>
      </c>
      <c r="D212" s="221" t="s">
        <v>458</v>
      </c>
      <c r="E212" s="221" t="s">
        <v>457</v>
      </c>
      <c r="F212" s="221" t="s">
        <v>456</v>
      </c>
      <c r="G212" s="221" t="s">
        <v>455</v>
      </c>
      <c r="H212" s="221" t="s">
        <v>454</v>
      </c>
      <c r="I212" s="221" t="s">
        <v>453</v>
      </c>
      <c r="J212" s="221" t="s">
        <v>452</v>
      </c>
    </row>
    <row r="213" spans="1:11">
      <c r="A213" s="172"/>
      <c r="C213" s="222" t="str">
        <f ca="1">IF(D213="*","*","DMD")</f>
        <v>DMD</v>
      </c>
      <c r="D213" s="223" t="str">
        <f ca="1">D9</f>
        <v>INDGDMTELCN1</v>
      </c>
      <c r="E213" s="223" t="str">
        <f t="shared" ref="E213:E244" ca="1" si="181">VLOOKUP(D213,$D$9:$E$206,2,FALSE)</f>
        <v>Industrial heating technology Glass &amp; Concrete MT - Heat pump utilizing waste heat - new 1</v>
      </c>
      <c r="F213" s="222" t="s">
        <v>450</v>
      </c>
      <c r="G213" s="222" t="s">
        <v>449</v>
      </c>
      <c r="H213" s="334" t="s">
        <v>665</v>
      </c>
      <c r="I213" s="334"/>
      <c r="J213" s="219" t="s">
        <v>469</v>
      </c>
    </row>
    <row r="214" spans="1:11">
      <c r="A214" s="172"/>
      <c r="B214" s="334"/>
      <c r="C214" s="222" t="str">
        <f t="shared" ref="C214:C268" ca="1" si="182">IF(D214="*","*","DMD")</f>
        <v>DMD</v>
      </c>
      <c r="D214" s="223" t="str">
        <f t="shared" ref="D214:D222" ca="1" si="183">OFFSET($D$9,(ROW(D1)*6),0)</f>
        <v>INDGDRHELCN1</v>
      </c>
      <c r="E214" s="223" t="str">
        <f t="shared" ca="1" si="181"/>
        <v>Industrial heating technology Glass &amp; Concrete RH - Heat pump utilizing waste heat - new 1</v>
      </c>
      <c r="F214" s="279" t="s">
        <v>450</v>
      </c>
      <c r="G214" s="279" t="s">
        <v>449</v>
      </c>
      <c r="H214" s="334" t="s">
        <v>665</v>
      </c>
      <c r="I214" s="334"/>
      <c r="J214" s="281" t="s">
        <v>469</v>
      </c>
    </row>
    <row r="215" spans="1:11">
      <c r="A215" s="172"/>
      <c r="C215" s="222" t="str">
        <f t="shared" ca="1" si="182"/>
        <v>*</v>
      </c>
      <c r="D215" s="223" t="str">
        <f t="shared" ca="1" si="183"/>
        <v>*</v>
      </c>
      <c r="E215" s="223" t="str">
        <f t="shared" ca="1" si="181"/>
        <v>Industrial heating technology Glass &amp; Concrete MT - Heat pump utilizing waste heat - new 1</v>
      </c>
      <c r="F215" s="222" t="s">
        <v>450</v>
      </c>
      <c r="G215" s="222" t="s">
        <v>449</v>
      </c>
      <c r="H215" s="334" t="s">
        <v>665</v>
      </c>
      <c r="I215" s="219"/>
      <c r="J215" s="281" t="s">
        <v>469</v>
      </c>
    </row>
    <row r="216" spans="1:11">
      <c r="A216" s="172"/>
      <c r="B216" s="222"/>
      <c r="C216" s="222" t="str">
        <f t="shared" ca="1" si="182"/>
        <v>DMD</v>
      </c>
      <c r="D216" s="223" t="str">
        <f t="shared" ca="1" si="183"/>
        <v>INDGDRHELCN2</v>
      </c>
      <c r="E216" s="223" t="str">
        <f t="shared" ca="1" si="181"/>
        <v>Industrial heating technology Glass &amp; Concrete RH - Heat driven heat pump utilizing waste heat - new 2</v>
      </c>
      <c r="F216" s="279" t="s">
        <v>450</v>
      </c>
      <c r="G216" s="279" t="s">
        <v>449</v>
      </c>
      <c r="H216" s="334" t="s">
        <v>665</v>
      </c>
      <c r="I216" s="281"/>
      <c r="J216" s="281" t="s">
        <v>469</v>
      </c>
    </row>
    <row r="217" spans="1:11">
      <c r="A217" s="172"/>
      <c r="B217" s="222"/>
      <c r="C217" s="222" t="str">
        <f t="shared" ca="1" si="182"/>
        <v>DMD</v>
      </c>
      <c r="D217" s="223" t="str">
        <f t="shared" ca="1" si="183"/>
        <v>INDGDMTELCN3</v>
      </c>
      <c r="E217" s="223" t="str">
        <f t="shared" ca="1" si="181"/>
        <v>Industrial heating technology Glass &amp; Concrete MT - High Temp abs. Heat pump utilizing waste heat - new 3</v>
      </c>
      <c r="F217" s="279" t="s">
        <v>450</v>
      </c>
      <c r="G217" s="279" t="s">
        <v>449</v>
      </c>
      <c r="H217" s="334" t="s">
        <v>665</v>
      </c>
      <c r="I217" s="281"/>
      <c r="J217" s="281" t="s">
        <v>469</v>
      </c>
    </row>
    <row r="218" spans="1:11">
      <c r="A218" s="172"/>
      <c r="B218" s="222"/>
      <c r="C218" s="222" t="str">
        <f t="shared" ca="1" si="182"/>
        <v>DMD</v>
      </c>
      <c r="D218" s="223" t="str">
        <f t="shared" ca="1" si="183"/>
        <v>INDGDRHELCN3</v>
      </c>
      <c r="E218" s="223" t="str">
        <f t="shared" ca="1" si="181"/>
        <v>Industrial heating technology Glass &amp; Concrete RH - High Temp abs. Heat pump utilizing waste heat - new 3</v>
      </c>
      <c r="F218" s="279" t="s">
        <v>450</v>
      </c>
      <c r="G218" s="279" t="s">
        <v>449</v>
      </c>
      <c r="H218" s="334" t="s">
        <v>665</v>
      </c>
      <c r="I218" s="281"/>
      <c r="J218" s="281" t="s">
        <v>469</v>
      </c>
    </row>
    <row r="219" spans="1:11">
      <c r="A219" s="172"/>
      <c r="B219" s="222"/>
      <c r="C219" s="222" t="str">
        <f t="shared" ca="1" si="182"/>
        <v>DMD</v>
      </c>
      <c r="D219" s="223" t="str">
        <f t="shared" ca="1" si="183"/>
        <v>INDGDMTELCN4</v>
      </c>
      <c r="E219" s="223" t="str">
        <f t="shared" ca="1" si="181"/>
        <v>Industrial heating technology Glass &amp; Concrete MT - Booster Heat pump utilizing waste heat - new 4</v>
      </c>
      <c r="F219" s="279" t="s">
        <v>450</v>
      </c>
      <c r="G219" s="279" t="s">
        <v>449</v>
      </c>
      <c r="H219" s="334" t="s">
        <v>665</v>
      </c>
      <c r="I219" s="281"/>
      <c r="J219" s="281" t="s">
        <v>469</v>
      </c>
    </row>
    <row r="220" spans="1:11">
      <c r="A220" s="172"/>
      <c r="B220" s="222"/>
      <c r="C220" s="222" t="str">
        <f t="shared" ca="1" si="182"/>
        <v>DMD</v>
      </c>
      <c r="D220" s="223" t="str">
        <f t="shared" ca="1" si="183"/>
        <v>INDGDRHELCN4</v>
      </c>
      <c r="E220" s="223" t="str">
        <f t="shared" ca="1" si="181"/>
        <v>Industrial heating technology Glass &amp; Concrete RH - Booster Heat pump utilizing waste heat - new 4</v>
      </c>
      <c r="F220" s="279" t="s">
        <v>450</v>
      </c>
      <c r="G220" s="279" t="s">
        <v>449</v>
      </c>
      <c r="H220" s="334" t="s">
        <v>665</v>
      </c>
      <c r="I220" s="281"/>
      <c r="J220" s="281" t="s">
        <v>469</v>
      </c>
    </row>
    <row r="221" spans="1:11">
      <c r="A221" s="172"/>
      <c r="B221" s="222"/>
      <c r="C221" s="222" t="str">
        <f t="shared" ca="1" si="182"/>
        <v>DMD</v>
      </c>
      <c r="D221" s="223" t="str">
        <f t="shared" ca="1" si="183"/>
        <v>INDGDMTELCN5</v>
      </c>
      <c r="E221" s="223" t="str">
        <f t="shared" ca="1" si="181"/>
        <v>Industrial heating technology Glass &amp; Concrete MT - MVR utilizing waste heat - new 5</v>
      </c>
      <c r="F221" s="279" t="s">
        <v>450</v>
      </c>
      <c r="G221" s="279" t="s">
        <v>449</v>
      </c>
      <c r="H221" s="280"/>
      <c r="I221" s="281"/>
      <c r="J221" s="281" t="s">
        <v>469</v>
      </c>
    </row>
    <row r="222" spans="1:11">
      <c r="A222" s="172"/>
      <c r="B222" s="222"/>
      <c r="C222" s="222" t="str">
        <f t="shared" ca="1" si="182"/>
        <v>*</v>
      </c>
      <c r="D222" s="223" t="str">
        <f t="shared" ca="1" si="183"/>
        <v>*</v>
      </c>
      <c r="E222" s="223" t="str">
        <f t="shared" ca="1" si="181"/>
        <v>Industrial heating technology Glass &amp; Concrete MT - Heat pump utilizing waste heat - new 1</v>
      </c>
      <c r="F222" s="279" t="s">
        <v>450</v>
      </c>
      <c r="G222" s="279" t="s">
        <v>449</v>
      </c>
      <c r="H222" s="334" t="s">
        <v>665</v>
      </c>
      <c r="I222" s="281"/>
      <c r="J222" s="281" t="s">
        <v>469</v>
      </c>
    </row>
    <row r="223" spans="1:11">
      <c r="A223" s="172"/>
      <c r="B223" s="222"/>
      <c r="C223" s="222" t="str">
        <f t="shared" ca="1" si="182"/>
        <v>*</v>
      </c>
      <c r="D223" s="223" t="str">
        <f t="shared" ref="D223:D262" ca="1" si="184">OFFSET($D$9,(ROW(D19)*3),0)</f>
        <v>*</v>
      </c>
      <c r="E223" s="223" t="str">
        <f t="shared" ca="1" si="181"/>
        <v>Industrial heating technology Glass &amp; Concrete MT - Heat pump utilizing waste heat - new 1</v>
      </c>
      <c r="F223" s="279" t="s">
        <v>450</v>
      </c>
      <c r="G223" s="279" t="s">
        <v>449</v>
      </c>
      <c r="H223" s="334" t="s">
        <v>665</v>
      </c>
      <c r="I223" s="281"/>
      <c r="J223" s="281" t="s">
        <v>469</v>
      </c>
    </row>
    <row r="224" spans="1:11">
      <c r="A224" s="172"/>
      <c r="B224" s="222"/>
      <c r="C224" s="222" t="str">
        <f t="shared" ca="1" si="182"/>
        <v>*</v>
      </c>
      <c r="D224" s="223" t="str">
        <f t="shared" ca="1" si="184"/>
        <v>*</v>
      </c>
      <c r="E224" s="223" t="str">
        <f t="shared" ca="1" si="181"/>
        <v>Industrial heating technology Glass &amp; Concrete MT - Heat pump utilizing waste heat - new 1</v>
      </c>
      <c r="F224" s="279" t="s">
        <v>450</v>
      </c>
      <c r="G224" s="279" t="s">
        <v>449</v>
      </c>
      <c r="H224" s="334" t="s">
        <v>665</v>
      </c>
      <c r="I224" s="281"/>
      <c r="J224" s="281" t="s">
        <v>469</v>
      </c>
    </row>
    <row r="225" spans="1:16">
      <c r="A225" s="172"/>
      <c r="B225" s="222"/>
      <c r="C225" s="222" t="str">
        <f t="shared" ca="1" si="182"/>
        <v>DMD</v>
      </c>
      <c r="D225" s="223" t="str">
        <f t="shared" ca="1" si="184"/>
        <v>INDGDHTELCN8</v>
      </c>
      <c r="E225" s="223" t="str">
        <f t="shared" ca="1" si="181"/>
        <v>Industrial heating technology Glass &amp; Concrete HT - Electric boiler (Steam) - new 8</v>
      </c>
      <c r="F225" s="279" t="s">
        <v>450</v>
      </c>
      <c r="G225" s="279" t="s">
        <v>449</v>
      </c>
      <c r="H225" s="334" t="s">
        <v>665</v>
      </c>
      <c r="I225" s="281"/>
      <c r="J225" s="281" t="s">
        <v>469</v>
      </c>
    </row>
    <row r="226" spans="1:16">
      <c r="A226" s="172"/>
      <c r="B226" s="222"/>
      <c r="C226" s="222" t="str">
        <f t="shared" ca="1" si="182"/>
        <v>DMD</v>
      </c>
      <c r="D226" s="223" t="str">
        <f t="shared" ca="1" si="184"/>
        <v>INDGDMTELCN8</v>
      </c>
      <c r="E226" s="223" t="str">
        <f t="shared" ca="1" si="181"/>
        <v>Industrial heating technology Glass &amp; Concrete MT - Electric boiler (Steam) - new 8</v>
      </c>
      <c r="F226" s="279" t="s">
        <v>450</v>
      </c>
      <c r="G226" s="279" t="s">
        <v>449</v>
      </c>
      <c r="H226" s="334" t="s">
        <v>665</v>
      </c>
      <c r="I226" s="281"/>
      <c r="J226" s="281" t="s">
        <v>469</v>
      </c>
    </row>
    <row r="227" spans="1:16">
      <c r="A227" s="172"/>
      <c r="B227" s="222"/>
      <c r="C227" s="222" t="str">
        <f t="shared" ca="1" si="182"/>
        <v>DMD</v>
      </c>
      <c r="D227" s="223" t="str">
        <f t="shared" ca="1" si="184"/>
        <v>INDGDRHELCN8</v>
      </c>
      <c r="E227" s="223" t="str">
        <f t="shared" ca="1" si="181"/>
        <v>Industrial heating technology Glass &amp; Concrete RH - Electric boiler (Steam) - new 8</v>
      </c>
      <c r="F227" s="279" t="s">
        <v>450</v>
      </c>
      <c r="G227" s="279" t="s">
        <v>449</v>
      </c>
      <c r="H227" s="334" t="s">
        <v>665</v>
      </c>
      <c r="I227" s="281"/>
      <c r="J227" s="281" t="s">
        <v>469</v>
      </c>
      <c r="P227" s="176"/>
    </row>
    <row r="228" spans="1:16">
      <c r="A228" s="172"/>
      <c r="B228" s="222"/>
      <c r="C228" s="222" t="str">
        <f t="shared" ca="1" si="182"/>
        <v>DMD</v>
      </c>
      <c r="D228" s="223" t="str">
        <f t="shared" ca="1" si="184"/>
        <v>INDGDMTELCN9</v>
      </c>
      <c r="E228" s="223" t="str">
        <f t="shared" ca="1" si="181"/>
        <v>Industrial heating technology Glass &amp; Concrete MT - Electric boiler (Hot Water) - new 9</v>
      </c>
      <c r="F228" s="279" t="s">
        <v>450</v>
      </c>
      <c r="G228" s="279" t="s">
        <v>449</v>
      </c>
      <c r="H228" s="334" t="s">
        <v>665</v>
      </c>
      <c r="I228" s="281"/>
      <c r="J228" s="281" t="s">
        <v>469</v>
      </c>
      <c r="P228" s="176"/>
    </row>
    <row r="229" spans="1:16">
      <c r="A229" s="172"/>
      <c r="B229" s="222"/>
      <c r="C229" s="222" t="str">
        <f t="shared" ca="1" si="182"/>
        <v>DMD</v>
      </c>
      <c r="D229" s="223" t="str">
        <f t="shared" ca="1" si="184"/>
        <v>INDGDRHELCN9</v>
      </c>
      <c r="E229" s="223" t="str">
        <f t="shared" ca="1" si="181"/>
        <v>Industrial heating technology Glass &amp; Concrete RH - Electric boiler (Hot Water) - new 9</v>
      </c>
      <c r="F229" s="279" t="s">
        <v>450</v>
      </c>
      <c r="G229" s="279" t="s">
        <v>449</v>
      </c>
      <c r="H229" s="334" t="s">
        <v>665</v>
      </c>
      <c r="I229" s="281"/>
      <c r="J229" s="281" t="s">
        <v>469</v>
      </c>
      <c r="P229" s="176"/>
    </row>
    <row r="230" spans="1:16">
      <c r="A230" s="172"/>
      <c r="B230" s="222"/>
      <c r="C230" s="222" t="str">
        <f t="shared" ca="1" si="182"/>
        <v>DMD</v>
      </c>
      <c r="D230" s="223" t="str">
        <f t="shared" ca="1" si="184"/>
        <v>INDGDHTWCHN1</v>
      </c>
      <c r="E230" s="223" t="str">
        <f t="shared" ca="1" si="181"/>
        <v>Industrial heating technology Glass &amp; Concrete HT - Wood chip boiler (Steam) - new 1</v>
      </c>
      <c r="F230" s="279" t="s">
        <v>450</v>
      </c>
      <c r="G230" s="279" t="s">
        <v>449</v>
      </c>
      <c r="H230" s="280"/>
      <c r="I230" s="281"/>
      <c r="J230" s="281" t="s">
        <v>469</v>
      </c>
      <c r="P230" s="176"/>
    </row>
    <row r="231" spans="1:16">
      <c r="A231" s="172"/>
      <c r="B231" s="222"/>
      <c r="C231" s="222" t="str">
        <f t="shared" ca="1" si="182"/>
        <v>DMD</v>
      </c>
      <c r="D231" s="223" t="str">
        <f t="shared" ca="1" si="184"/>
        <v>INDGDMTWCHN1</v>
      </c>
      <c r="E231" s="223" t="str">
        <f t="shared" ca="1" si="181"/>
        <v>Industrial heating technology Glass &amp; Concrete MT - Wood chip boiler (Steam) - new 1</v>
      </c>
      <c r="F231" s="279" t="s">
        <v>450</v>
      </c>
      <c r="G231" s="279" t="s">
        <v>449</v>
      </c>
      <c r="H231" s="280"/>
      <c r="I231" s="281"/>
      <c r="J231" s="281" t="s">
        <v>469</v>
      </c>
      <c r="M231" s="174"/>
      <c r="N231" s="174"/>
      <c r="P231" s="176"/>
    </row>
    <row r="232" spans="1:16">
      <c r="A232" s="172"/>
      <c r="B232" s="222"/>
      <c r="C232" s="222" t="str">
        <f t="shared" ca="1" si="182"/>
        <v>DMD</v>
      </c>
      <c r="D232" s="223" t="str">
        <f t="shared" ca="1" si="184"/>
        <v>INDGDRHWCHN1</v>
      </c>
      <c r="E232" s="223" t="str">
        <f t="shared" ca="1" si="181"/>
        <v>Industrial heating technology Glass &amp; Concrete RH - Wood chip boiler (Steam) - new 1</v>
      </c>
      <c r="F232" s="279" t="s">
        <v>450</v>
      </c>
      <c r="G232" s="279" t="s">
        <v>449</v>
      </c>
      <c r="H232" s="280"/>
      <c r="I232" s="281"/>
      <c r="J232" s="281" t="s">
        <v>469</v>
      </c>
      <c r="M232" s="174"/>
      <c r="N232" s="174"/>
      <c r="P232" s="176"/>
    </row>
    <row r="233" spans="1:16">
      <c r="A233" s="172"/>
      <c r="B233" s="222"/>
      <c r="C233" s="222" t="str">
        <f t="shared" ca="1" si="182"/>
        <v>DMD</v>
      </c>
      <c r="D233" s="223" t="str">
        <f t="shared" ca="1" si="184"/>
        <v>INDGDMTWCHN2</v>
      </c>
      <c r="E233" s="223" t="str">
        <f t="shared" ca="1" si="181"/>
        <v>Industrial heating technology Glass &amp; Concrete MT - Wood chip boiler (Steam - condensing) - new 2</v>
      </c>
      <c r="F233" s="279" t="s">
        <v>450</v>
      </c>
      <c r="G233" s="279" t="s">
        <v>449</v>
      </c>
      <c r="H233" s="280"/>
      <c r="I233" s="281"/>
      <c r="J233" s="281" t="s">
        <v>469</v>
      </c>
      <c r="M233" s="174"/>
      <c r="N233" s="174"/>
      <c r="P233" s="176"/>
    </row>
    <row r="234" spans="1:16">
      <c r="A234" s="172"/>
      <c r="B234" s="223"/>
      <c r="C234" s="222" t="str">
        <f t="shared" ca="1" si="182"/>
        <v>DMD</v>
      </c>
      <c r="D234" s="223" t="str">
        <f t="shared" ca="1" si="184"/>
        <v>INDGDRHWCHN2</v>
      </c>
      <c r="E234" s="223" t="str">
        <f t="shared" ca="1" si="181"/>
        <v>Industrial heating technology Glass &amp; Concrete RH - Wood chip boiler (Steam - condensing) - new 2</v>
      </c>
      <c r="F234" s="279" t="s">
        <v>450</v>
      </c>
      <c r="G234" s="279" t="s">
        <v>449</v>
      </c>
      <c r="H234" s="280"/>
      <c r="I234" s="281"/>
      <c r="J234" s="281" t="s">
        <v>469</v>
      </c>
    </row>
    <row r="235" spans="1:16">
      <c r="A235" s="172"/>
      <c r="B235" s="223"/>
      <c r="C235" s="222" t="str">
        <f t="shared" ca="1" si="182"/>
        <v>DMD</v>
      </c>
      <c r="D235" s="223" t="str">
        <f t="shared" ca="1" si="184"/>
        <v>INDGDMTWCHN3</v>
      </c>
      <c r="E235" s="223" t="str">
        <f t="shared" ca="1" si="181"/>
        <v>Industrial heating technology Glass &amp; Concrete MT - Wood chip boiler (Hot Water) - new 3</v>
      </c>
      <c r="F235" s="279" t="s">
        <v>450</v>
      </c>
      <c r="G235" s="279" t="s">
        <v>449</v>
      </c>
      <c r="H235" s="278"/>
      <c r="I235" s="278"/>
      <c r="J235" s="281" t="s">
        <v>469</v>
      </c>
    </row>
    <row r="236" spans="1:16">
      <c r="A236" s="172"/>
      <c r="B236" s="223"/>
      <c r="C236" s="222" t="str">
        <f t="shared" ca="1" si="182"/>
        <v>DMD</v>
      </c>
      <c r="D236" s="223" t="str">
        <f t="shared" ca="1" si="184"/>
        <v>INDGDRHWCHN3</v>
      </c>
      <c r="E236" s="223" t="str">
        <f t="shared" ca="1" si="181"/>
        <v>Industrial heating technology Glass &amp; Concrete RH - Wood chip boiler (Hot Water) - new 3</v>
      </c>
      <c r="F236" s="279" t="s">
        <v>450</v>
      </c>
      <c r="G236" s="279" t="s">
        <v>449</v>
      </c>
      <c r="H236" s="278"/>
      <c r="I236" s="278"/>
      <c r="J236" s="281" t="s">
        <v>469</v>
      </c>
    </row>
    <row r="237" spans="1:16">
      <c r="A237" s="172"/>
      <c r="B237" s="223"/>
      <c r="C237" s="222" t="str">
        <f t="shared" ca="1" si="182"/>
        <v>DMD</v>
      </c>
      <c r="D237" s="223" t="str">
        <f t="shared" ca="1" si="184"/>
        <v>INDGDMTWCHN4</v>
      </c>
      <c r="E237" s="223" t="str">
        <f t="shared" ca="1" si="181"/>
        <v>Industrial heating technology Glass &amp; Concrete MT - Wood chip boiler (Hot Water - condensing) - new 4</v>
      </c>
      <c r="F237" s="279" t="s">
        <v>450</v>
      </c>
      <c r="G237" s="279" t="s">
        <v>449</v>
      </c>
      <c r="H237" s="278"/>
      <c r="I237" s="278"/>
      <c r="J237" s="281" t="s">
        <v>469</v>
      </c>
    </row>
    <row r="238" spans="1:16">
      <c r="A238" s="172"/>
      <c r="B238" s="223"/>
      <c r="C238" s="222" t="str">
        <f t="shared" ca="1" si="182"/>
        <v>DMD</v>
      </c>
      <c r="D238" s="223" t="str">
        <f t="shared" ca="1" si="184"/>
        <v>INDGDRHWCHN4</v>
      </c>
      <c r="E238" s="223" t="str">
        <f t="shared" ca="1" si="181"/>
        <v>Industrial heating technology Glass &amp; Concrete RH - Wood chip boiler (Hot Water- condensing) - new 4</v>
      </c>
      <c r="F238" s="279" t="s">
        <v>450</v>
      </c>
      <c r="G238" s="279" t="s">
        <v>449</v>
      </c>
      <c r="H238" s="278"/>
      <c r="I238" s="278"/>
      <c r="J238" s="281" t="s">
        <v>469</v>
      </c>
    </row>
    <row r="239" spans="1:16">
      <c r="B239" s="223"/>
      <c r="C239" s="222" t="str">
        <f t="shared" ca="1" si="182"/>
        <v>*</v>
      </c>
      <c r="D239" s="223" t="str">
        <f t="shared" ca="1" si="184"/>
        <v>*</v>
      </c>
      <c r="E239" s="223" t="str">
        <f t="shared" ca="1" si="181"/>
        <v>Industrial heating technology Glass &amp; Concrete MT - Heat pump utilizing waste heat - new 1</v>
      </c>
      <c r="F239" s="279" t="s">
        <v>450</v>
      </c>
      <c r="G239" s="279" t="s">
        <v>449</v>
      </c>
      <c r="H239" s="334" t="s">
        <v>665</v>
      </c>
      <c r="I239" s="278"/>
      <c r="J239" s="281" t="s">
        <v>469</v>
      </c>
    </row>
    <row r="240" spans="1:16">
      <c r="B240" s="223"/>
      <c r="C240" s="222" t="str">
        <f t="shared" ca="1" si="182"/>
        <v>*</v>
      </c>
      <c r="D240" s="223" t="str">
        <f t="shared" ca="1" si="184"/>
        <v>*</v>
      </c>
      <c r="E240" s="223" t="str">
        <f t="shared" ca="1" si="181"/>
        <v>Industrial heating technology Glass &amp; Concrete MT - Heat pump utilizing waste heat - new 1</v>
      </c>
      <c r="F240" s="279" t="s">
        <v>450</v>
      </c>
      <c r="G240" s="279" t="s">
        <v>449</v>
      </c>
      <c r="H240" s="334" t="s">
        <v>665</v>
      </c>
      <c r="I240" s="278"/>
      <c r="J240" s="281" t="s">
        <v>469</v>
      </c>
    </row>
    <row r="241" spans="1:10">
      <c r="B241" s="223"/>
      <c r="C241" s="222" t="str">
        <f t="shared" ca="1" si="182"/>
        <v>DMD</v>
      </c>
      <c r="D241" s="223" t="str">
        <f t="shared" ca="1" si="184"/>
        <v>INDGDHTDSEN1</v>
      </c>
      <c r="E241" s="223" t="str">
        <f t="shared" ca="1" si="181"/>
        <v>Industrial heating technology Glass &amp; Concrete HT - Oil boiler (Steam) - new 1</v>
      </c>
      <c r="F241" s="279" t="s">
        <v>450</v>
      </c>
      <c r="G241" s="279" t="s">
        <v>449</v>
      </c>
      <c r="H241" s="278"/>
      <c r="I241" s="278"/>
      <c r="J241" s="281" t="s">
        <v>469</v>
      </c>
    </row>
    <row r="242" spans="1:10">
      <c r="B242" s="223"/>
      <c r="C242" s="222" t="str">
        <f t="shared" ca="1" si="182"/>
        <v>DMD</v>
      </c>
      <c r="D242" s="223" t="str">
        <f t="shared" ca="1" si="184"/>
        <v>INDGDMTDSEN1</v>
      </c>
      <c r="E242" s="223" t="str">
        <f t="shared" ca="1" si="181"/>
        <v>Industrial heating technology Glass &amp; Concrete MT - Oil boiler (Steam) - new 1</v>
      </c>
      <c r="F242" s="279" t="s">
        <v>450</v>
      </c>
      <c r="G242" s="279" t="s">
        <v>449</v>
      </c>
      <c r="H242" s="278"/>
      <c r="I242" s="278"/>
      <c r="J242" s="281" t="s">
        <v>469</v>
      </c>
    </row>
    <row r="243" spans="1:10">
      <c r="B243" s="223"/>
      <c r="C243" s="222" t="str">
        <f t="shared" ca="1" si="182"/>
        <v>DMD</v>
      </c>
      <c r="D243" s="223" t="str">
        <f t="shared" ca="1" si="184"/>
        <v>INDGDRHDSEN1</v>
      </c>
      <c r="E243" s="223" t="str">
        <f t="shared" ca="1" si="181"/>
        <v>Industrial heating technology Glass &amp; Concrete RH - Oil boiler (Steam) - new 1</v>
      </c>
      <c r="F243" s="279" t="s">
        <v>450</v>
      </c>
      <c r="G243" s="279" t="s">
        <v>449</v>
      </c>
      <c r="H243" s="278"/>
      <c r="I243" s="278"/>
      <c r="J243" s="281" t="s">
        <v>469</v>
      </c>
    </row>
    <row r="244" spans="1:10">
      <c r="A244" s="226"/>
      <c r="B244" s="223"/>
      <c r="C244" s="222" t="str">
        <f t="shared" ca="1" si="182"/>
        <v>DMD</v>
      </c>
      <c r="D244" s="223" t="str">
        <f t="shared" ca="1" si="184"/>
        <v>INDGDMTDSEN2</v>
      </c>
      <c r="E244" s="223" t="str">
        <f t="shared" ca="1" si="181"/>
        <v>Industrial heating technology Glass &amp; Concrete MT - Oil boiler (Steam - condensing) - new 2</v>
      </c>
      <c r="F244" s="279" t="s">
        <v>450</v>
      </c>
      <c r="G244" s="279" t="s">
        <v>449</v>
      </c>
      <c r="H244" s="278"/>
      <c r="I244" s="278"/>
      <c r="J244" s="281" t="s">
        <v>469</v>
      </c>
    </row>
    <row r="245" spans="1:10">
      <c r="A245" s="226"/>
      <c r="B245" s="223"/>
      <c r="C245" s="222" t="str">
        <f t="shared" ca="1" si="182"/>
        <v>DMD</v>
      </c>
      <c r="D245" s="223" t="str">
        <f t="shared" ca="1" si="184"/>
        <v>INDGDRHDSEN2</v>
      </c>
      <c r="E245" s="223" t="str">
        <f t="shared" ref="E245:E268" ca="1" si="185">VLOOKUP(D245,$D$9:$E$206,2,FALSE)</f>
        <v>Industrial heating technology Glass &amp; Concrete RH - Oil boiler (Steam - condensing) - new 2</v>
      </c>
      <c r="F245" s="279" t="s">
        <v>450</v>
      </c>
      <c r="G245" s="279" t="s">
        <v>449</v>
      </c>
      <c r="H245" s="278"/>
      <c r="I245" s="278"/>
      <c r="J245" s="281" t="s">
        <v>469</v>
      </c>
    </row>
    <row r="246" spans="1:10">
      <c r="A246" s="226"/>
      <c r="B246" s="223"/>
      <c r="C246" s="222" t="str">
        <f t="shared" ca="1" si="182"/>
        <v>DMD</v>
      </c>
      <c r="D246" s="223" t="str">
        <f t="shared" ca="1" si="184"/>
        <v>INDGDHTDH2N1</v>
      </c>
      <c r="E246" s="223" t="str">
        <f t="shared" ca="1" si="185"/>
        <v>Industrial heating technology Glass &amp; Concrete HT - Gas boiler (Steam) - new 1</v>
      </c>
      <c r="F246" s="279" t="s">
        <v>450</v>
      </c>
      <c r="G246" s="279" t="s">
        <v>449</v>
      </c>
      <c r="H246" s="278"/>
      <c r="I246" s="278"/>
      <c r="J246" s="281" t="s">
        <v>469</v>
      </c>
    </row>
    <row r="247" spans="1:10">
      <c r="A247" s="226"/>
      <c r="B247" s="223"/>
      <c r="C247" s="222" t="str">
        <f t="shared" ca="1" si="182"/>
        <v>DMD</v>
      </c>
      <c r="D247" s="223" t="str">
        <f t="shared" ca="1" si="184"/>
        <v>INDGDMTDH2N1</v>
      </c>
      <c r="E247" s="223" t="str">
        <f t="shared" ca="1" si="185"/>
        <v>Industrial heating technology Glass &amp; Concrete MT - Gas boiler (Steam) - new 1</v>
      </c>
      <c r="F247" s="279" t="s">
        <v>450</v>
      </c>
      <c r="G247" s="279" t="s">
        <v>449</v>
      </c>
      <c r="H247" s="278"/>
      <c r="I247" s="278"/>
      <c r="J247" s="281" t="s">
        <v>469</v>
      </c>
    </row>
    <row r="248" spans="1:10">
      <c r="B248" s="223"/>
      <c r="C248" s="222" t="str">
        <f t="shared" ca="1" si="182"/>
        <v>DMD</v>
      </c>
      <c r="D248" s="223" t="str">
        <f t="shared" ca="1" si="184"/>
        <v>INDGDRHDH2N1</v>
      </c>
      <c r="E248" s="223" t="str">
        <f t="shared" ca="1" si="185"/>
        <v>Industrial heating technology Glass &amp; Concrete RH - Gas boiler (Steam) - new 1</v>
      </c>
      <c r="F248" s="279" t="s">
        <v>450</v>
      </c>
      <c r="G248" s="279" t="s">
        <v>449</v>
      </c>
      <c r="H248" s="278"/>
      <c r="I248" s="278"/>
      <c r="J248" s="281" t="s">
        <v>469</v>
      </c>
    </row>
    <row r="249" spans="1:10">
      <c r="B249" s="223"/>
      <c r="C249" s="222" t="str">
        <f t="shared" ca="1" si="182"/>
        <v>DMD</v>
      </c>
      <c r="D249" s="223" t="str">
        <f t="shared" ca="1" si="184"/>
        <v>INDGDMTDH2N2</v>
      </c>
      <c r="E249" s="223" t="str">
        <f t="shared" ca="1" si="185"/>
        <v>Industrial heating technology Glass &amp; Concrete MT - Gas boiler (Steam - condensing) - new 2</v>
      </c>
      <c r="F249" s="279" t="s">
        <v>450</v>
      </c>
      <c r="G249" s="279" t="s">
        <v>449</v>
      </c>
      <c r="H249" s="278"/>
      <c r="I249" s="278"/>
      <c r="J249" s="281" t="s">
        <v>469</v>
      </c>
    </row>
    <row r="250" spans="1:10">
      <c r="B250" s="223"/>
      <c r="C250" s="222" t="str">
        <f t="shared" ca="1" si="182"/>
        <v>DMD</v>
      </c>
      <c r="D250" s="223" t="str">
        <f t="shared" ca="1" si="184"/>
        <v>INDGDRHDH2N2</v>
      </c>
      <c r="E250" s="223" t="str">
        <f t="shared" ca="1" si="185"/>
        <v>Industrial heating technology Glass &amp; Concrete RH - Gas boiler (Steam - condensing) - new 2</v>
      </c>
      <c r="F250" s="279" t="s">
        <v>450</v>
      </c>
      <c r="G250" s="279" t="s">
        <v>449</v>
      </c>
      <c r="H250" s="278"/>
      <c r="I250" s="278"/>
      <c r="J250" s="281" t="s">
        <v>469</v>
      </c>
    </row>
    <row r="251" spans="1:10">
      <c r="B251" s="223"/>
      <c r="C251" s="222" t="str">
        <f t="shared" ca="1" si="182"/>
        <v>DMD</v>
      </c>
      <c r="D251" s="223" t="str">
        <f t="shared" ca="1" si="184"/>
        <v>INDGDMTDH2N3</v>
      </c>
      <c r="E251" s="223" t="str">
        <f t="shared" ca="1" si="185"/>
        <v>Industrial heating technology Glass &amp; Concrete MT - Gas boiler (Hot Water) - new 3</v>
      </c>
      <c r="F251" s="279" t="s">
        <v>450</v>
      </c>
      <c r="G251" s="279" t="s">
        <v>449</v>
      </c>
      <c r="H251" s="278"/>
      <c r="I251" s="278"/>
      <c r="J251" s="281" t="s">
        <v>469</v>
      </c>
    </row>
    <row r="252" spans="1:10">
      <c r="B252" s="223"/>
      <c r="C252" s="222" t="str">
        <f t="shared" ca="1" si="182"/>
        <v>DMD</v>
      </c>
      <c r="D252" s="223" t="str">
        <f t="shared" ca="1" si="184"/>
        <v>INDGDRHDH2N3</v>
      </c>
      <c r="E252" s="223" t="str">
        <f t="shared" ca="1" si="185"/>
        <v>Industrial heating technology Glass &amp; Concrete RH - Gas boiler (Hot Water) - new 3</v>
      </c>
      <c r="F252" s="279" t="s">
        <v>450</v>
      </c>
      <c r="G252" s="279" t="s">
        <v>449</v>
      </c>
      <c r="H252" s="278"/>
      <c r="I252" s="278"/>
      <c r="J252" s="281" t="s">
        <v>469</v>
      </c>
    </row>
    <row r="253" spans="1:10">
      <c r="B253" s="223"/>
      <c r="C253" s="222" t="str">
        <f t="shared" ca="1" si="182"/>
        <v>DMD</v>
      </c>
      <c r="D253" s="223" t="str">
        <f t="shared" ca="1" si="184"/>
        <v>INDGDMTDH2N4</v>
      </c>
      <c r="E253" s="223" t="str">
        <f t="shared" ca="1" si="185"/>
        <v>Industrial heating technology Glass &amp; Concrete MT - Gas boiler (Hot Water - condensing) - new 4</v>
      </c>
      <c r="F253" s="279" t="s">
        <v>450</v>
      </c>
      <c r="G253" s="279" t="s">
        <v>449</v>
      </c>
      <c r="H253" s="278"/>
      <c r="I253" s="278"/>
      <c r="J253" s="281" t="s">
        <v>469</v>
      </c>
    </row>
    <row r="254" spans="1:10">
      <c r="B254" s="223"/>
      <c r="C254" s="222" t="str">
        <f t="shared" ca="1" si="182"/>
        <v>DMD</v>
      </c>
      <c r="D254" s="223" t="str">
        <f t="shared" ca="1" si="184"/>
        <v>INDGDRHDH2N4</v>
      </c>
      <c r="E254" s="223" t="str">
        <f t="shared" ca="1" si="185"/>
        <v>Industrial heating technology Glass &amp; Concrete RH - Gas boiler (Hot Water- condensing) - new 4</v>
      </c>
      <c r="F254" s="279" t="s">
        <v>450</v>
      </c>
      <c r="G254" s="279" t="s">
        <v>449</v>
      </c>
      <c r="H254" s="278"/>
      <c r="I254" s="278"/>
      <c r="J254" s="281" t="s">
        <v>469</v>
      </c>
    </row>
    <row r="255" spans="1:10">
      <c r="B255" s="223"/>
      <c r="C255" s="222" t="str">
        <f t="shared" ca="1" si="182"/>
        <v>DMD</v>
      </c>
      <c r="D255" s="223" t="str">
        <f t="shared" ca="1" si="184"/>
        <v>INDGDHTDH2N5</v>
      </c>
      <c r="E255" s="223" t="str">
        <f t="shared" ca="1" si="185"/>
        <v>Industrial heating technology Glass &amp; Concrete HT - Gas boiler (Direct firing) - new 5</v>
      </c>
      <c r="F255" s="279" t="s">
        <v>450</v>
      </c>
      <c r="G255" s="279" t="s">
        <v>449</v>
      </c>
      <c r="H255" s="278"/>
      <c r="I255" s="278"/>
      <c r="J255" s="281" t="s">
        <v>469</v>
      </c>
    </row>
    <row r="256" spans="1:10">
      <c r="B256" s="223"/>
      <c r="C256" s="222" t="str">
        <f t="shared" ca="1" si="182"/>
        <v>DMD</v>
      </c>
      <c r="D256" s="223" t="str">
        <f t="shared" ca="1" si="184"/>
        <v>INDGDMTDH2N5</v>
      </c>
      <c r="E256" s="223" t="str">
        <f t="shared" ca="1" si="185"/>
        <v>Industrial heating technology Glass &amp; Concrete MT - Gas boiler (Direct firing) - new 5</v>
      </c>
      <c r="F256" s="279" t="s">
        <v>450</v>
      </c>
      <c r="G256" s="279" t="s">
        <v>449</v>
      </c>
      <c r="H256" s="278"/>
      <c r="I256" s="278"/>
      <c r="J256" s="281" t="s">
        <v>469</v>
      </c>
    </row>
    <row r="257" spans="2:10">
      <c r="B257" s="223"/>
      <c r="C257" s="222" t="str">
        <f t="shared" ca="1" si="182"/>
        <v>DMD</v>
      </c>
      <c r="D257" s="223" t="str">
        <f t="shared" ca="1" si="184"/>
        <v>INDGDHTCOAN1</v>
      </c>
      <c r="E257" s="223" t="str">
        <f t="shared" ca="1" si="185"/>
        <v>Industrial heating technology Glass &amp; Concrete HT - Coal boiler (Steam) - new 1</v>
      </c>
      <c r="F257" s="279" t="s">
        <v>450</v>
      </c>
      <c r="G257" s="279" t="s">
        <v>449</v>
      </c>
      <c r="H257" s="278"/>
      <c r="I257" s="278"/>
      <c r="J257" s="281" t="s">
        <v>469</v>
      </c>
    </row>
    <row r="258" spans="2:10">
      <c r="B258" s="223"/>
      <c r="C258" s="222" t="str">
        <f t="shared" ca="1" si="182"/>
        <v>DMD</v>
      </c>
      <c r="D258" s="223" t="str">
        <f t="shared" ca="1" si="184"/>
        <v>INDGDMTCOAN1</v>
      </c>
      <c r="E258" s="223" t="str">
        <f t="shared" ca="1" si="185"/>
        <v>Industrial heating technology Glass &amp; Concrete MT - Coal boiler (Steam) - new 1</v>
      </c>
      <c r="F258" s="279" t="s">
        <v>450</v>
      </c>
      <c r="G258" s="279" t="s">
        <v>449</v>
      </c>
      <c r="H258" s="278"/>
      <c r="I258" s="278"/>
      <c r="J258" s="281" t="s">
        <v>469</v>
      </c>
    </row>
    <row r="259" spans="2:10">
      <c r="B259" s="223"/>
      <c r="C259" s="222" t="str">
        <f t="shared" ca="1" si="182"/>
        <v>DMD</v>
      </c>
      <c r="D259" s="223" t="str">
        <f t="shared" ca="1" si="184"/>
        <v>INDGDRHCOAN1</v>
      </c>
      <c r="E259" s="223" t="str">
        <f t="shared" ca="1" si="185"/>
        <v>Industrial heating technology Glass &amp; Concrete RH - Coal boiler (Steam) - new 1</v>
      </c>
      <c r="F259" s="279" t="s">
        <v>450</v>
      </c>
      <c r="G259" s="279" t="s">
        <v>449</v>
      </c>
      <c r="H259" s="278"/>
      <c r="I259" s="278"/>
      <c r="J259" s="281" t="s">
        <v>469</v>
      </c>
    </row>
    <row r="260" spans="2:10">
      <c r="B260" s="223"/>
      <c r="C260" s="222" t="str">
        <f t="shared" ca="1" si="182"/>
        <v>DMD</v>
      </c>
      <c r="D260" s="223" t="str">
        <f t="shared" ca="1" si="184"/>
        <v>INDGDMTCOAN2</v>
      </c>
      <c r="E260" s="223" t="str">
        <f t="shared" ca="1" si="185"/>
        <v>Industrial heating technology Glass &amp; Concrete MT - Coal boiler (Hot Water) - new 2</v>
      </c>
      <c r="F260" s="279" t="s">
        <v>450</v>
      </c>
      <c r="G260" s="279" t="s">
        <v>449</v>
      </c>
      <c r="H260" s="278"/>
      <c r="I260" s="278"/>
      <c r="J260" s="281" t="s">
        <v>469</v>
      </c>
    </row>
    <row r="261" spans="2:10">
      <c r="B261" s="223"/>
      <c r="C261" s="222" t="str">
        <f t="shared" ca="1" si="182"/>
        <v>DMD</v>
      </c>
      <c r="D261" s="223" t="str">
        <f t="shared" ca="1" si="184"/>
        <v>INDGDRHCOAN2</v>
      </c>
      <c r="E261" s="223" t="str">
        <f t="shared" ca="1" si="185"/>
        <v>Industrial heating technology Glass &amp; Concrete RH - Coal boiler (Hot Water) - new 2</v>
      </c>
      <c r="F261" s="279" t="s">
        <v>450</v>
      </c>
      <c r="G261" s="279" t="s">
        <v>449</v>
      </c>
      <c r="H261" s="278"/>
      <c r="I261" s="278"/>
      <c r="J261" s="281" t="s">
        <v>469</v>
      </c>
    </row>
    <row r="262" spans="2:10">
      <c r="B262" s="223"/>
      <c r="C262" s="222" t="str">
        <f t="shared" ca="1" si="182"/>
        <v>DMD</v>
      </c>
      <c r="D262" s="223" t="str">
        <f t="shared" ca="1" si="184"/>
        <v>INDGDRHSOLN1</v>
      </c>
      <c r="E262" s="223" t="str">
        <f t="shared" ca="1" si="185"/>
        <v>Industrial heating technology Glass &amp; Concrete RH - Solar - new 1</v>
      </c>
      <c r="F262" s="279" t="s">
        <v>450</v>
      </c>
      <c r="G262" s="279" t="s">
        <v>449</v>
      </c>
      <c r="H262" s="334" t="s">
        <v>665</v>
      </c>
      <c r="I262" s="278"/>
      <c r="J262" s="281" t="s">
        <v>469</v>
      </c>
    </row>
    <row r="263" spans="2:10">
      <c r="B263" s="223"/>
      <c r="C263" s="222" t="str">
        <f t="shared" si="182"/>
        <v>DMD</v>
      </c>
      <c r="D263" s="949" t="str">
        <f>D187</f>
        <v>INDGDRHHCEN1</v>
      </c>
      <c r="E263" s="949" t="str">
        <f t="shared" ca="1" si="185"/>
        <v>Industrial heating technology Glass &amp; Concrete RH - central district heating - within DH area - new 1</v>
      </c>
      <c r="F263" s="279" t="s">
        <v>450</v>
      </c>
      <c r="G263" s="279" t="s">
        <v>449</v>
      </c>
      <c r="H263" s="334" t="s">
        <v>665</v>
      </c>
      <c r="I263" s="950"/>
      <c r="J263" s="280" t="s">
        <v>469</v>
      </c>
    </row>
    <row r="264" spans="2:10">
      <c r="B264" s="223"/>
      <c r="C264" s="222" t="str">
        <f t="shared" si="182"/>
        <v>DMD</v>
      </c>
      <c r="D264" s="223" t="str">
        <f t="shared" ref="D264" si="186">D188</f>
        <v>INDGDRHHDEN1</v>
      </c>
      <c r="E264" s="223" t="str">
        <f t="shared" ca="1" si="185"/>
        <v>Industrial heating technology Glass &amp; Concrete RH - decentral district heating - within DH area - new 1</v>
      </c>
      <c r="F264" s="279" t="s">
        <v>450</v>
      </c>
      <c r="G264" s="279" t="s">
        <v>449</v>
      </c>
      <c r="H264" s="334" t="s">
        <v>665</v>
      </c>
      <c r="I264" s="278"/>
      <c r="J264" s="281" t="s">
        <v>469</v>
      </c>
    </row>
    <row r="265" spans="2:10">
      <c r="B265" s="223"/>
      <c r="C265" s="222" t="str">
        <f t="shared" si="182"/>
        <v>DMD</v>
      </c>
      <c r="D265" s="223" t="str">
        <f>D190</f>
        <v>INDGDLAELCN1</v>
      </c>
      <c r="E265" s="223" t="str">
        <f t="shared" ca="1" si="185"/>
        <v>Industry Glass &amp; Concrete LA Electricity Light Appliance - New 1</v>
      </c>
      <c r="F265" s="279" t="s">
        <v>450</v>
      </c>
      <c r="G265" s="279" t="s">
        <v>449</v>
      </c>
      <c r="H265" s="334" t="s">
        <v>665</v>
      </c>
      <c r="I265" s="278"/>
      <c r="J265" s="281" t="s">
        <v>469</v>
      </c>
    </row>
    <row r="266" spans="2:10">
      <c r="B266" s="223"/>
      <c r="C266" s="222" t="str">
        <f t="shared" si="182"/>
        <v>DMD</v>
      </c>
      <c r="D266" s="223" t="str">
        <f>D194</f>
        <v>INDGDEMELCN1</v>
      </c>
      <c r="E266" s="223" t="str">
        <f t="shared" ca="1" si="185"/>
        <v>Industry Glass &amp; Concrete EM Electricity Motors - New 1</v>
      </c>
      <c r="F266" s="279" t="s">
        <v>450</v>
      </c>
      <c r="G266" s="279" t="s">
        <v>449</v>
      </c>
      <c r="H266" s="334" t="s">
        <v>665</v>
      </c>
      <c r="I266" s="278"/>
      <c r="J266" s="281" t="s">
        <v>469</v>
      </c>
    </row>
    <row r="267" spans="2:10">
      <c r="B267" s="223"/>
      <c r="C267" s="222" t="str">
        <f t="shared" si="182"/>
        <v>DMD</v>
      </c>
      <c r="D267" s="223" t="str">
        <f>D198</f>
        <v>INDGDTFDSLN1</v>
      </c>
      <c r="E267" s="223" t="str">
        <f t="shared" ca="1" si="185"/>
        <v>Industry Glass &amp; Concrete TF Tractors, Trucks, Fishing boats - New 1</v>
      </c>
      <c r="F267" s="279" t="s">
        <v>450</v>
      </c>
      <c r="G267" s="279" t="s">
        <v>449</v>
      </c>
      <c r="H267" s="278"/>
      <c r="I267" s="278"/>
      <c r="J267" s="281" t="s">
        <v>469</v>
      </c>
    </row>
    <row r="268" spans="2:10">
      <c r="B268" s="223"/>
      <c r="C268" s="222" t="str">
        <f t="shared" si="182"/>
        <v>DMD</v>
      </c>
      <c r="D268" s="223" t="str">
        <f>D202</f>
        <v>INDGDFLDH2N1</v>
      </c>
      <c r="E268" s="223" t="str">
        <f t="shared" ca="1" si="185"/>
        <v>Industry Glass &amp; Concrete TF Forklifts - New 1</v>
      </c>
      <c r="F268" s="279" t="s">
        <v>450</v>
      </c>
      <c r="G268" s="279" t="s">
        <v>449</v>
      </c>
      <c r="H268" s="278"/>
      <c r="I268" s="278"/>
      <c r="J268" s="281" t="s">
        <v>469</v>
      </c>
    </row>
    <row r="269" spans="2:10">
      <c r="D269" s="223"/>
      <c r="E269" s="223"/>
    </row>
    <row r="270" spans="2:10">
      <c r="B270" s="225" t="s">
        <v>448</v>
      </c>
      <c r="C270" s="225"/>
      <c r="D270" s="226"/>
      <c r="E270" s="226"/>
      <c r="F270" s="226"/>
      <c r="G270" s="226"/>
      <c r="H270" s="226"/>
      <c r="I270" s="226"/>
      <c r="J270" s="226"/>
    </row>
    <row r="271" spans="2:10">
      <c r="B271" s="220" t="s">
        <v>447</v>
      </c>
      <c r="C271" s="220" t="s">
        <v>446</v>
      </c>
      <c r="D271" s="220" t="s">
        <v>445</v>
      </c>
      <c r="E271" s="220" t="s">
        <v>444</v>
      </c>
      <c r="F271" s="220" t="s">
        <v>435</v>
      </c>
      <c r="G271" s="220" t="s">
        <v>443</v>
      </c>
      <c r="H271" s="220" t="s">
        <v>442</v>
      </c>
      <c r="I271" s="220" t="s">
        <v>441</v>
      </c>
      <c r="J271" s="220" t="s">
        <v>440</v>
      </c>
    </row>
    <row r="272" spans="2:10" ht="21" thickBot="1">
      <c r="B272" s="227" t="s">
        <v>439</v>
      </c>
      <c r="C272" s="228" t="s">
        <v>438</v>
      </c>
      <c r="D272" s="228" t="s">
        <v>437</v>
      </c>
      <c r="E272" s="228" t="s">
        <v>436</v>
      </c>
      <c r="F272" s="228" t="s">
        <v>435</v>
      </c>
      <c r="G272" s="228" t="s">
        <v>434</v>
      </c>
      <c r="H272" s="228" t="s">
        <v>433</v>
      </c>
      <c r="I272" s="228" t="s">
        <v>432</v>
      </c>
      <c r="J272" s="228" t="s">
        <v>431</v>
      </c>
    </row>
    <row r="273" spans="2:10">
      <c r="B273" s="229" t="s">
        <v>430</v>
      </c>
      <c r="C273" s="230"/>
      <c r="D273" s="277" t="str">
        <f>"I"&amp;LEFT($AJ$12,1)&amp;"DSOx"</f>
        <v>IGDSOx</v>
      </c>
      <c r="E273" s="287" t="str">
        <f>"Industrial heating  heating technology "&amp;$AJ$12&amp;" - SOx emission"</f>
        <v>Industrial heating  heating technology Glass &amp; Concrete - SOx emission</v>
      </c>
      <c r="F273" s="231" t="s">
        <v>352</v>
      </c>
      <c r="G273" s="222"/>
      <c r="H273" s="222"/>
      <c r="I273" s="222"/>
      <c r="J273" s="222"/>
    </row>
    <row r="274" spans="2:10">
      <c r="B274" s="226"/>
      <c r="C274" s="226"/>
      <c r="D274" s="277" t="str">
        <f>"I"&amp;LEFT($AJ$12,1)&amp;"DNOx"</f>
        <v>IGDNOx</v>
      </c>
      <c r="E274" s="287" t="str">
        <f>"Industrial heating  heating technology "&amp;$AJ$12&amp;" - NOx emission"</f>
        <v>Industrial heating  heating technology Glass &amp; Concrete - NOx emission</v>
      </c>
      <c r="F274" s="231" t="s">
        <v>352</v>
      </c>
      <c r="G274" s="222"/>
      <c r="H274" s="226"/>
      <c r="I274" s="226"/>
      <c r="J274" s="226"/>
    </row>
    <row r="275" spans="2:10">
      <c r="B275" s="226"/>
      <c r="C275" s="226"/>
      <c r="D275" s="277" t="str">
        <f>"I"&amp;LEFT($AJ$12,1)&amp;"DCH4"</f>
        <v>IGDCH4</v>
      </c>
      <c r="E275" s="287" t="str">
        <f>"Industrial heating  heating technology "&amp;$AJ$12&amp;" - CH4 emission"</f>
        <v>Industrial heating  heating technology Glass &amp; Concrete - CH4 emission</v>
      </c>
      <c r="F275" s="231" t="s">
        <v>352</v>
      </c>
      <c r="G275" s="222"/>
      <c r="H275" s="226"/>
      <c r="I275" s="226"/>
      <c r="J275" s="226"/>
    </row>
    <row r="276" spans="2:10">
      <c r="B276" s="226"/>
      <c r="C276" s="226"/>
      <c r="D276" s="277" t="str">
        <f>"I"&amp;LEFT($AJ$12,1)&amp;"DNO2"</f>
        <v>IGDNO2</v>
      </c>
      <c r="E276" s="287" t="str">
        <f>"Industrial heating  heating technology "&amp;$AJ$12&amp;" - NO2 emission"</f>
        <v>Industrial heating  heating technology Glass &amp; Concrete - NO2 emission</v>
      </c>
      <c r="F276" s="231" t="s">
        <v>352</v>
      </c>
      <c r="G276" s="222"/>
      <c r="H276" s="226"/>
      <c r="I276" s="226"/>
      <c r="J276" s="226"/>
    </row>
    <row r="277" spans="2:10">
      <c r="B277" s="226"/>
      <c r="C277" s="226"/>
      <c r="D277" s="277" t="str">
        <f>"I"&amp;LEFT($AJ$12,1)&amp;"DPM"</f>
        <v>IGDPM</v>
      </c>
      <c r="E277" s="287" t="str">
        <f>"Industrial heating  heating technology "&amp;$AJ$12&amp;" - Particle emission"</f>
        <v>Industrial heating  heating technology Glass &amp; Concrete - Particle emission</v>
      </c>
      <c r="F277" s="231" t="s">
        <v>352</v>
      </c>
      <c r="G277" s="222"/>
      <c r="H277" s="226"/>
      <c r="I277" s="226"/>
      <c r="J277" s="226"/>
    </row>
    <row r="278" spans="2:10">
      <c r="B278" s="239" t="s">
        <v>1182</v>
      </c>
      <c r="D278" s="239" t="str">
        <f>AI20</f>
        <v>INDGWH</v>
      </c>
      <c r="E278" s="287" t="str">
        <f>"Industrial heating technology "&amp;$AJ$12&amp;" - Waste heat"</f>
        <v>Industrial heating technology Glass &amp; Concrete - Waste heat</v>
      </c>
      <c r="F278" s="280" t="s">
        <v>450</v>
      </c>
      <c r="H278" s="239" t="s">
        <v>665</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F4DF305-EC1D-4DE3-BEC7-234BCFC314DB}">
          <x14:formula1>
            <xm:f>'Oil-fired boiler_NEW'!$T$4:$X$4</xm:f>
          </x14:formula1>
          <xm:sqref>E1</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72A8-A721-4E40-88EE-BB1F0F28A315}">
  <sheetPr>
    <tabColor rgb="FFFFFF00"/>
  </sheetPr>
  <dimension ref="A2:AR387"/>
  <sheetViews>
    <sheetView topLeftCell="D15" zoomScale="70" zoomScaleNormal="70" workbookViewId="0">
      <selection activeCell="Y22" sqref="Y22"/>
    </sheetView>
  </sheetViews>
  <sheetFormatPr defaultColWidth="8.6640625" defaultRowHeight="14.4" outlineLevelRow="1"/>
  <cols>
    <col min="1" max="1" width="42.6640625" style="239" bestFit="1" customWidth="1"/>
    <col min="2" max="2" width="63.44140625" style="239" bestFit="1" customWidth="1"/>
    <col min="3" max="3" width="11.44140625" style="239" customWidth="1"/>
    <col min="4" max="6" width="11" style="239" bestFit="1" customWidth="1"/>
    <col min="7" max="12" width="11" style="239" customWidth="1"/>
    <col min="13" max="13" width="8.6640625" style="239"/>
    <col min="14" max="14" width="4.44140625" style="239" customWidth="1"/>
    <col min="15" max="15" width="15.6640625" style="239" customWidth="1"/>
    <col min="16" max="16" width="11" style="239" bestFit="1" customWidth="1"/>
    <col min="17" max="17" width="12" style="239" customWidth="1"/>
    <col min="18" max="18" width="11.33203125" style="239" customWidth="1"/>
    <col min="19" max="20" width="8.6640625" style="239"/>
    <col min="21" max="21" width="15.33203125" style="239" customWidth="1"/>
    <col min="22" max="22" width="10" style="239" customWidth="1"/>
    <col min="23" max="24" width="8.6640625" style="239"/>
    <col min="25" max="25" width="28.33203125" style="239" customWidth="1"/>
    <col min="26" max="16384" width="8.6640625" style="239"/>
  </cols>
  <sheetData>
    <row r="2" spans="1:29">
      <c r="B2" s="698" t="str">
        <f>C7</f>
        <v>Post-combustion carbon capture retrofit - 100 MW(th) WtE or biomass CHP plant</v>
      </c>
    </row>
    <row r="4" spans="1:29" ht="25.2" customHeight="1">
      <c r="E4" s="239" t="s">
        <v>358</v>
      </c>
      <c r="F4" s="419">
        <v>7.45</v>
      </c>
      <c r="G4" s="419" t="s">
        <v>328</v>
      </c>
      <c r="O4" s="904" t="s">
        <v>445</v>
      </c>
      <c r="P4" s="905" t="s">
        <v>1239</v>
      </c>
      <c r="Q4" s="906" t="s">
        <v>1240</v>
      </c>
      <c r="R4" s="906" t="s">
        <v>1241</v>
      </c>
      <c r="S4" s="906" t="s">
        <v>1242</v>
      </c>
      <c r="T4" s="906" t="s">
        <v>1243</v>
      </c>
      <c r="U4" s="906" t="s">
        <v>1244</v>
      </c>
      <c r="V4" s="906" t="s">
        <v>1245</v>
      </c>
      <c r="W4" s="906" t="s">
        <v>1246</v>
      </c>
      <c r="X4" s="906" t="s">
        <v>1247</v>
      </c>
      <c r="Y4" s="906" t="s">
        <v>1248</v>
      </c>
      <c r="Z4" s="906" t="s">
        <v>1249</v>
      </c>
      <c r="AA4" s="906" t="s">
        <v>1250</v>
      </c>
      <c r="AB4" s="906" t="s">
        <v>1251</v>
      </c>
      <c r="AC4" s="906" t="s">
        <v>1252</v>
      </c>
    </row>
    <row r="5" spans="1:29" ht="15" customHeight="1" thickBot="1">
      <c r="A5" s="420" t="s">
        <v>1142</v>
      </c>
      <c r="B5" s="976"/>
      <c r="C5" s="977"/>
      <c r="D5" s="977"/>
      <c r="E5" s="977"/>
      <c r="F5" s="977"/>
      <c r="G5" s="977"/>
      <c r="H5" s="977"/>
      <c r="I5" s="977"/>
      <c r="J5" s="977"/>
      <c r="K5" s="977"/>
      <c r="L5" s="977"/>
      <c r="M5" s="977"/>
      <c r="N5" s="421"/>
      <c r="O5" s="907" t="s">
        <v>1253</v>
      </c>
      <c r="P5" s="908" t="s">
        <v>1254</v>
      </c>
      <c r="Q5" s="908" t="s">
        <v>1254</v>
      </c>
      <c r="R5" s="908" t="s">
        <v>1254</v>
      </c>
      <c r="S5" s="908" t="s">
        <v>1254</v>
      </c>
      <c r="T5" s="908" t="s">
        <v>1254</v>
      </c>
      <c r="U5" s="908" t="s">
        <v>1254</v>
      </c>
      <c r="V5" s="908" t="s">
        <v>1254</v>
      </c>
      <c r="W5" s="908" t="s">
        <v>1254</v>
      </c>
      <c r="X5" s="908" t="s">
        <v>1254</v>
      </c>
      <c r="Y5" s="908" t="s">
        <v>1254</v>
      </c>
      <c r="Z5" s="908" t="s">
        <v>1254</v>
      </c>
      <c r="AA5" s="908" t="s">
        <v>1254</v>
      </c>
      <c r="AB5" s="908" t="s">
        <v>1254</v>
      </c>
      <c r="AC5" s="908" t="s">
        <v>1254</v>
      </c>
    </row>
    <row r="6" spans="1:29" ht="15.75" customHeight="1" outlineLevel="1">
      <c r="B6" s="976"/>
      <c r="C6" s="977"/>
      <c r="D6" s="977"/>
      <c r="E6" s="977"/>
      <c r="F6" s="977"/>
      <c r="G6" s="977"/>
      <c r="H6" s="977"/>
      <c r="I6" s="977"/>
      <c r="J6" s="977"/>
      <c r="K6" s="977"/>
      <c r="L6" s="977"/>
      <c r="M6" s="977"/>
      <c r="N6" s="421"/>
      <c r="O6" s="909" t="s">
        <v>1255</v>
      </c>
      <c r="P6" s="910">
        <v>94.6</v>
      </c>
      <c r="Q6" s="910">
        <v>79.28</v>
      </c>
      <c r="R6" s="910">
        <v>74</v>
      </c>
      <c r="S6" s="910">
        <v>56.95</v>
      </c>
      <c r="T6" s="910">
        <v>0</v>
      </c>
      <c r="U6" s="910">
        <v>0</v>
      </c>
      <c r="V6" s="910">
        <v>0</v>
      </c>
      <c r="W6" s="910">
        <v>0</v>
      </c>
      <c r="X6" s="910">
        <v>37</v>
      </c>
      <c r="Y6" s="910">
        <v>0</v>
      </c>
      <c r="Z6" s="910">
        <v>0</v>
      </c>
      <c r="AA6" s="910">
        <v>0</v>
      </c>
      <c r="AB6" s="910">
        <v>0</v>
      </c>
      <c r="AC6" s="910">
        <v>0</v>
      </c>
    </row>
    <row r="7" spans="1:29" ht="20.25" customHeight="1" outlineLevel="1">
      <c r="B7" s="793" t="s">
        <v>0</v>
      </c>
      <c r="C7" s="978" t="s">
        <v>1143</v>
      </c>
      <c r="D7" s="983"/>
      <c r="E7" s="983"/>
      <c r="F7" s="983"/>
      <c r="G7" s="983"/>
      <c r="H7" s="983"/>
      <c r="I7" s="983"/>
      <c r="J7" s="983"/>
      <c r="K7" s="983"/>
      <c r="L7" s="983"/>
      <c r="M7" s="984"/>
      <c r="N7" s="423"/>
    </row>
    <row r="8" spans="1:29" ht="15" customHeight="1" outlineLevel="1">
      <c r="B8" s="794"/>
      <c r="C8" s="811">
        <v>2020</v>
      </c>
      <c r="D8" s="811">
        <v>2025</v>
      </c>
      <c r="E8" s="812">
        <v>2030</v>
      </c>
      <c r="F8" s="812">
        <v>2040</v>
      </c>
      <c r="G8" s="813">
        <v>2050</v>
      </c>
      <c r="H8" s="981" t="s">
        <v>1144</v>
      </c>
      <c r="I8" s="982"/>
      <c r="J8" s="981" t="s">
        <v>693</v>
      </c>
      <c r="K8" s="982"/>
      <c r="L8" s="812" t="s">
        <v>2</v>
      </c>
      <c r="M8" s="795" t="s">
        <v>3</v>
      </c>
      <c r="N8" s="427"/>
      <c r="P8" s="239">
        <f>C11*C16</f>
        <v>26.655999999999999</v>
      </c>
    </row>
    <row r="9" spans="1:29" outlineLevel="1">
      <c r="B9" s="794"/>
      <c r="C9" s="814"/>
      <c r="D9" s="815"/>
      <c r="E9" s="816"/>
      <c r="F9" s="816"/>
      <c r="G9" s="816"/>
      <c r="H9" s="817" t="s">
        <v>694</v>
      </c>
      <c r="I9" s="817" t="s">
        <v>695</v>
      </c>
      <c r="J9" s="817" t="s">
        <v>694</v>
      </c>
      <c r="K9" s="817" t="s">
        <v>695</v>
      </c>
      <c r="L9" s="816"/>
      <c r="M9" s="796"/>
      <c r="N9" s="430"/>
    </row>
    <row r="10" spans="1:29" outlineLevel="1">
      <c r="B10" s="797" t="s">
        <v>4</v>
      </c>
      <c r="C10" s="816"/>
      <c r="D10" s="816"/>
      <c r="E10" s="816"/>
      <c r="F10" s="816"/>
      <c r="G10" s="816"/>
      <c r="H10" s="816"/>
      <c r="I10" s="816"/>
      <c r="J10" s="816"/>
      <c r="K10" s="816"/>
      <c r="L10" s="816"/>
      <c r="M10" s="796"/>
      <c r="N10" s="430"/>
    </row>
    <row r="11" spans="1:29" ht="24.6" customHeight="1" outlineLevel="1">
      <c r="A11" s="869">
        <f>1/A12</f>
        <v>0.32</v>
      </c>
      <c r="B11" s="798" t="s">
        <v>1145</v>
      </c>
      <c r="C11" s="818">
        <v>32</v>
      </c>
      <c r="D11" s="818">
        <v>32</v>
      </c>
      <c r="E11" s="818">
        <v>32</v>
      </c>
      <c r="F11" s="818">
        <v>34</v>
      </c>
      <c r="G11" s="818">
        <v>34</v>
      </c>
      <c r="H11" s="818">
        <v>30</v>
      </c>
      <c r="I11" s="818">
        <v>34</v>
      </c>
      <c r="J11" s="818">
        <v>33</v>
      </c>
      <c r="K11" s="818">
        <v>35</v>
      </c>
      <c r="L11" s="818" t="s">
        <v>6</v>
      </c>
      <c r="M11" s="799"/>
      <c r="N11" s="430"/>
      <c r="P11" s="239">
        <f>57/P12</f>
        <v>0.17093159999999996</v>
      </c>
    </row>
    <row r="12" spans="1:29" ht="32.700000000000003" customHeight="1" outlineLevel="1">
      <c r="A12" s="239">
        <f>100/32</f>
        <v>3.125</v>
      </c>
      <c r="B12" s="800" t="s">
        <v>1146</v>
      </c>
      <c r="C12" s="819"/>
      <c r="D12" s="819"/>
      <c r="E12" s="819"/>
      <c r="F12" s="819"/>
      <c r="G12" s="819"/>
      <c r="H12" s="819"/>
      <c r="I12" s="819"/>
      <c r="J12" s="819"/>
      <c r="K12" s="819"/>
      <c r="L12" s="819"/>
      <c r="M12" s="801"/>
      <c r="N12" s="430"/>
      <c r="O12" s="239" t="s">
        <v>1198</v>
      </c>
      <c r="P12" s="239">
        <f>P13*1/3.6*1000000/1000</f>
        <v>333.46672002134193</v>
      </c>
      <c r="Q12" s="239">
        <f t="shared" ref="Q12:T12" si="0">Q13*1/3.6*1000000/1000</f>
        <v>333.46672002134193</v>
      </c>
      <c r="R12" s="239">
        <f t="shared" si="0"/>
        <v>385.80246913580248</v>
      </c>
      <c r="S12" s="239">
        <f t="shared" si="0"/>
        <v>420.87542087542084</v>
      </c>
      <c r="T12" s="239">
        <f t="shared" si="0"/>
        <v>420.87542087542084</v>
      </c>
    </row>
    <row r="13" spans="1:29" outlineLevel="1">
      <c r="A13" s="239">
        <f>500/164</f>
        <v>3.0487804878048781</v>
      </c>
      <c r="B13" s="798" t="s">
        <v>1147</v>
      </c>
      <c r="C13" s="818">
        <v>5.0999999999999996</v>
      </c>
      <c r="D13" s="818">
        <v>5.0999999999999996</v>
      </c>
      <c r="E13" s="818">
        <v>5.0999999999999996</v>
      </c>
      <c r="F13" s="818">
        <v>4.9000000000000004</v>
      </c>
      <c r="G13" s="818">
        <v>4.9000000000000004</v>
      </c>
      <c r="H13" s="818">
        <v>4.8</v>
      </c>
      <c r="I13" s="818">
        <v>6</v>
      </c>
      <c r="J13" s="818">
        <v>4.7</v>
      </c>
      <c r="K13" s="818">
        <v>6</v>
      </c>
      <c r="L13" s="818"/>
      <c r="M13" s="799"/>
      <c r="N13" s="430"/>
      <c r="O13" s="863"/>
      <c r="P13" s="239">
        <f>1/C16</f>
        <v>1.2004801920768309</v>
      </c>
      <c r="Q13" s="239">
        <f>1/D16</f>
        <v>1.2004801920768309</v>
      </c>
      <c r="R13" s="239">
        <f>1/E16</f>
        <v>1.3888888888888888</v>
      </c>
      <c r="S13" s="239">
        <f>1/F16</f>
        <v>1.5151515151515151</v>
      </c>
      <c r="T13" s="239">
        <f>1/G16</f>
        <v>1.5151515151515151</v>
      </c>
    </row>
    <row r="14" spans="1:29" ht="15" customHeight="1" outlineLevel="1">
      <c r="A14" s="239">
        <f>26.7/32</f>
        <v>0.83437499999999998</v>
      </c>
      <c r="B14" s="802" t="s">
        <v>1148</v>
      </c>
      <c r="C14" s="820">
        <v>15</v>
      </c>
      <c r="D14" s="820">
        <v>15</v>
      </c>
      <c r="E14" s="820">
        <v>15</v>
      </c>
      <c r="F14" s="820">
        <v>15</v>
      </c>
      <c r="G14" s="820">
        <v>15</v>
      </c>
      <c r="H14" s="820">
        <v>12</v>
      </c>
      <c r="I14" s="820">
        <v>15</v>
      </c>
      <c r="J14" s="820">
        <v>12</v>
      </c>
      <c r="K14" s="820">
        <v>15</v>
      </c>
      <c r="L14" s="820"/>
      <c r="M14" s="803"/>
      <c r="N14" s="430"/>
    </row>
    <row r="15" spans="1:29" outlineLevel="1">
      <c r="B15" s="802" t="s">
        <v>1149</v>
      </c>
      <c r="C15" s="818">
        <v>35</v>
      </c>
      <c r="D15" s="818">
        <v>35</v>
      </c>
      <c r="E15" s="818">
        <v>35</v>
      </c>
      <c r="F15" s="818">
        <v>35</v>
      </c>
      <c r="G15" s="818">
        <v>35</v>
      </c>
      <c r="H15" s="818">
        <v>30</v>
      </c>
      <c r="I15" s="818">
        <v>40</v>
      </c>
      <c r="J15" s="818">
        <v>30</v>
      </c>
      <c r="K15" s="818">
        <v>40</v>
      </c>
      <c r="L15" s="818" t="s">
        <v>59</v>
      </c>
      <c r="M15" s="799"/>
      <c r="N15" s="427"/>
      <c r="T15" s="239" t="s">
        <v>1215</v>
      </c>
      <c r="U15" s="239" t="s">
        <v>1215</v>
      </c>
      <c r="V15" s="239" t="s">
        <v>1225</v>
      </c>
      <c r="W15" s="771" t="s">
        <v>1226</v>
      </c>
    </row>
    <row r="16" spans="1:29" outlineLevel="1">
      <c r="B16" s="864" t="s">
        <v>1150</v>
      </c>
      <c r="C16" s="865">
        <f>0.833</f>
        <v>0.83299999999999996</v>
      </c>
      <c r="D16" s="865">
        <v>0.83299999999999996</v>
      </c>
      <c r="E16" s="865">
        <v>0.72</v>
      </c>
      <c r="F16" s="865">
        <v>0.66</v>
      </c>
      <c r="G16" s="865">
        <v>0.66</v>
      </c>
      <c r="H16" s="866">
        <v>0.66</v>
      </c>
      <c r="I16" s="866">
        <v>1</v>
      </c>
      <c r="J16" s="866">
        <v>0.55000000000000004</v>
      </c>
      <c r="K16" s="866">
        <v>0.72</v>
      </c>
      <c r="L16" s="866" t="s">
        <v>16</v>
      </c>
      <c r="M16" s="805"/>
      <c r="N16" s="423"/>
      <c r="P16" s="239">
        <f>P17/P13</f>
        <v>0.17078165999999997</v>
      </c>
      <c r="T16" s="239" t="s">
        <v>1212</v>
      </c>
      <c r="U16" s="239" t="s">
        <v>1213</v>
      </c>
      <c r="V16" s="239" t="s">
        <v>1214</v>
      </c>
    </row>
    <row r="17" spans="1:36" outlineLevel="1">
      <c r="B17" s="867" t="s">
        <v>1151</v>
      </c>
      <c r="C17" s="868">
        <v>0.03</v>
      </c>
      <c r="D17" s="868">
        <v>0.03</v>
      </c>
      <c r="E17" s="868">
        <v>2.5000000000000001E-2</v>
      </c>
      <c r="F17" s="868">
        <v>2.3E-2</v>
      </c>
      <c r="G17" s="868">
        <v>0.02</v>
      </c>
      <c r="H17" s="868">
        <v>2.5000000000000001E-2</v>
      </c>
      <c r="I17" s="868">
        <v>3.5000000000000003E-2</v>
      </c>
      <c r="J17" s="868">
        <v>1.7000000000000001E-2</v>
      </c>
      <c r="K17" s="868">
        <v>2.5000000000000001E-2</v>
      </c>
      <c r="L17" s="868" t="s">
        <v>20</v>
      </c>
      <c r="M17" s="803"/>
      <c r="N17" s="423"/>
      <c r="O17" s="239" t="s">
        <v>1210</v>
      </c>
      <c r="P17" s="239">
        <f>S6/1*3.6/1000000*1000</f>
        <v>0.20502000000000001</v>
      </c>
      <c r="Q17" s="239" t="s">
        <v>1209</v>
      </c>
      <c r="S17" s="239">
        <f>P17/0.9</f>
        <v>0.2278</v>
      </c>
      <c r="T17" s="36">
        <f>S17*C33*7.45</f>
        <v>5.6004629999999995</v>
      </c>
      <c r="U17" s="36">
        <f>S17*C39*7.45</f>
        <v>0.16801389</v>
      </c>
      <c r="V17" s="36">
        <f>S17*C40*7.45/3.6</f>
        <v>1.178548611111111</v>
      </c>
    </row>
    <row r="18" spans="1:36" outlineLevel="1">
      <c r="B18" s="804" t="s">
        <v>1152</v>
      </c>
      <c r="C18" s="821">
        <v>0.3</v>
      </c>
      <c r="D18" s="821">
        <v>0.3</v>
      </c>
      <c r="E18" s="821">
        <v>0.2</v>
      </c>
      <c r="F18" s="821">
        <v>0.15</v>
      </c>
      <c r="G18" s="821">
        <v>0.1</v>
      </c>
      <c r="H18" s="821">
        <v>0.15</v>
      </c>
      <c r="I18" s="821">
        <v>1.5</v>
      </c>
      <c r="J18" s="821">
        <v>0.05</v>
      </c>
      <c r="K18" s="821">
        <v>0.3</v>
      </c>
      <c r="L18" s="821"/>
      <c r="M18" s="805"/>
      <c r="N18" s="423"/>
      <c r="P18" s="239">
        <f>1/P17</f>
        <v>4.8775729197151492</v>
      </c>
      <c r="Q18" s="239" t="s">
        <v>1211</v>
      </c>
      <c r="T18" s="36">
        <f>0.998*6.32</f>
        <v>6.3073600000000001</v>
      </c>
    </row>
    <row r="19" spans="1:36" ht="15" outlineLevel="1" thickBot="1">
      <c r="B19" s="798" t="s">
        <v>1153</v>
      </c>
      <c r="C19" s="822"/>
      <c r="D19" s="818"/>
      <c r="E19" s="818"/>
      <c r="F19" s="818"/>
      <c r="G19" s="818"/>
      <c r="H19" s="818"/>
      <c r="I19" s="818"/>
      <c r="J19" s="818"/>
      <c r="K19" s="818"/>
      <c r="L19" s="818"/>
      <c r="M19" s="799"/>
      <c r="N19" s="423"/>
    </row>
    <row r="20" spans="1:36" outlineLevel="1">
      <c r="B20" s="800" t="s">
        <v>1154</v>
      </c>
      <c r="C20" s="819"/>
      <c r="D20" s="819"/>
      <c r="E20" s="819"/>
      <c r="F20" s="819"/>
      <c r="G20" s="819"/>
      <c r="H20" s="819"/>
      <c r="I20" s="819"/>
      <c r="J20" s="819"/>
      <c r="K20" s="819"/>
      <c r="L20" s="819"/>
      <c r="M20" s="801"/>
      <c r="N20" s="423"/>
      <c r="O20" s="917"/>
      <c r="P20" s="922" t="s">
        <v>1258</v>
      </c>
      <c r="Q20" s="918" t="s">
        <v>1209</v>
      </c>
      <c r="R20" s="918" t="s">
        <v>1259</v>
      </c>
      <c r="S20" s="918" t="s">
        <v>1256</v>
      </c>
      <c r="T20" s="919" t="s">
        <v>1212</v>
      </c>
      <c r="U20" s="918" t="s">
        <v>1213</v>
      </c>
      <c r="V20" s="918" t="s">
        <v>1214</v>
      </c>
      <c r="W20" s="918" t="s">
        <v>1227</v>
      </c>
      <c r="X20" s="918" t="s">
        <v>337</v>
      </c>
      <c r="Y20" s="923" t="s">
        <v>1229</v>
      </c>
      <c r="Z20" s="918"/>
      <c r="AA20" s="918"/>
      <c r="AB20" s="920"/>
      <c r="AC20" s="911"/>
      <c r="AD20" s="911"/>
      <c r="AE20" s="911"/>
      <c r="AF20" s="911"/>
      <c r="AG20" s="911"/>
      <c r="AH20" s="911"/>
      <c r="AI20" s="911"/>
      <c r="AJ20" s="912"/>
    </row>
    <row r="21" spans="1:36" outlineLevel="1">
      <c r="B21" s="806" t="s">
        <v>1155</v>
      </c>
      <c r="C21" s="818">
        <v>97</v>
      </c>
      <c r="D21" s="818">
        <v>97</v>
      </c>
      <c r="E21" s="818">
        <v>98</v>
      </c>
      <c r="F21" s="818">
        <v>99</v>
      </c>
      <c r="G21" s="818">
        <v>99</v>
      </c>
      <c r="H21" s="818">
        <v>96</v>
      </c>
      <c r="I21" s="818">
        <v>98</v>
      </c>
      <c r="J21" s="818">
        <v>98</v>
      </c>
      <c r="K21" s="818">
        <v>99</v>
      </c>
      <c r="L21" s="818" t="s">
        <v>76</v>
      </c>
      <c r="M21" s="799"/>
      <c r="N21" s="423"/>
      <c r="O21" s="913"/>
      <c r="P21" s="288"/>
      <c r="Q21" s="211"/>
      <c r="R21" s="211"/>
      <c r="S21" s="211"/>
      <c r="T21" s="211" t="s">
        <v>1215</v>
      </c>
      <c r="U21" s="211" t="s">
        <v>1215</v>
      </c>
      <c r="V21" s="211" t="s">
        <v>1225</v>
      </c>
      <c r="W21" s="211" t="s">
        <v>1257</v>
      </c>
      <c r="X21" s="211"/>
      <c r="Y21" s="390" t="s">
        <v>1230</v>
      </c>
      <c r="Z21" s="55"/>
      <c r="AA21" s="55"/>
      <c r="AB21" s="914"/>
      <c r="AC21" s="55"/>
      <c r="AD21" s="55"/>
      <c r="AE21" s="55"/>
      <c r="AF21" s="55"/>
      <c r="AG21" s="55"/>
      <c r="AH21" s="55"/>
      <c r="AI21" s="55"/>
      <c r="AJ21" s="914"/>
    </row>
    <row r="22" spans="1:36" outlineLevel="1">
      <c r="B22" s="806" t="s">
        <v>1156</v>
      </c>
      <c r="C22" s="818">
        <v>160</v>
      </c>
      <c r="D22" s="818">
        <v>160</v>
      </c>
      <c r="E22" s="818">
        <v>300</v>
      </c>
      <c r="F22" s="818">
        <v>400</v>
      </c>
      <c r="G22" s="818">
        <v>400</v>
      </c>
      <c r="H22" s="818">
        <v>120</v>
      </c>
      <c r="I22" s="818">
        <v>300</v>
      </c>
      <c r="J22" s="818">
        <v>300</v>
      </c>
      <c r="K22" s="818">
        <v>600</v>
      </c>
      <c r="L22" s="818" t="s">
        <v>25</v>
      </c>
      <c r="M22" s="799"/>
      <c r="N22" s="480"/>
      <c r="O22" s="921" t="s">
        <v>1210</v>
      </c>
      <c r="P22" s="924">
        <v>2020</v>
      </c>
      <c r="Q22" s="943">
        <f>$S$6/1*3.6/1000000*1000</f>
        <v>0.20502000000000001</v>
      </c>
      <c r="R22" s="925">
        <f>C23/100</f>
        <v>0.9</v>
      </c>
      <c r="S22" s="943">
        <f>Q22/R22</f>
        <v>0.2278</v>
      </c>
      <c r="T22" s="943">
        <f>S22*C33*F4</f>
        <v>5.6004629999999995</v>
      </c>
      <c r="U22" s="943">
        <f>S22*C39*$F$4</f>
        <v>0.16801389</v>
      </c>
      <c r="V22" s="943">
        <f>S22*C40*$F$4/3.6</f>
        <v>1.178548611111111</v>
      </c>
      <c r="W22" s="943">
        <f>C17/S22</f>
        <v>0.13169446883230904</v>
      </c>
      <c r="X22" s="925">
        <f>VLOOKUP($P22,'Natural gas boiler_New'!$P$39:$AD$42,3,FALSE)</f>
        <v>0.92</v>
      </c>
      <c r="Y22" s="946">
        <f>$S$6/R22/X22</f>
        <v>68.780193236714979</v>
      </c>
      <c r="Z22" s="55"/>
      <c r="AA22" s="55"/>
      <c r="AB22" s="914"/>
      <c r="AC22" s="55"/>
      <c r="AD22" s="55"/>
      <c r="AE22" s="55"/>
      <c r="AF22" s="55"/>
      <c r="AG22" s="55"/>
      <c r="AH22" s="55"/>
      <c r="AI22" s="55"/>
      <c r="AJ22" s="914"/>
    </row>
    <row r="23" spans="1:36" ht="38.25" customHeight="1" outlineLevel="1">
      <c r="B23" s="798" t="s">
        <v>1157</v>
      </c>
      <c r="C23" s="818">
        <v>90</v>
      </c>
      <c r="D23" s="818">
        <v>90</v>
      </c>
      <c r="E23" s="818">
        <v>90</v>
      </c>
      <c r="F23" s="818">
        <v>95</v>
      </c>
      <c r="G23" s="818">
        <v>95</v>
      </c>
      <c r="H23" s="818">
        <v>85</v>
      </c>
      <c r="I23" s="818">
        <v>95</v>
      </c>
      <c r="J23" s="818">
        <v>92</v>
      </c>
      <c r="K23" s="818">
        <v>99</v>
      </c>
      <c r="L23" s="818" t="s">
        <v>33</v>
      </c>
      <c r="M23" s="799"/>
      <c r="N23" s="488"/>
      <c r="O23" s="913"/>
      <c r="P23" s="926">
        <v>2030</v>
      </c>
      <c r="Q23" s="944">
        <f t="shared" ref="Q23:Q24" si="1">$S$6/1*3.6/1000000*1000</f>
        <v>0.20502000000000001</v>
      </c>
      <c r="R23" s="927">
        <f>E23/100</f>
        <v>0.9</v>
      </c>
      <c r="S23" s="944">
        <f t="shared" ref="S23:S24" si="2">Q23/R23</f>
        <v>0.2278</v>
      </c>
      <c r="T23" s="944">
        <f>S23*E33*F4</f>
        <v>4.5821970000000007</v>
      </c>
      <c r="U23" s="944">
        <f>S23*E39*$F$4</f>
        <v>0.13746591</v>
      </c>
      <c r="V23" s="944">
        <f>S23*E40*$F$4/3.6</f>
        <v>1.178548611111111</v>
      </c>
      <c r="W23" s="944">
        <f>E17/S23</f>
        <v>0.10974539069359088</v>
      </c>
      <c r="X23" s="927">
        <f>VLOOKUP($P23,'Natural gas boiler_New'!$P$39:$AD$42,3,FALSE)</f>
        <v>0.93</v>
      </c>
      <c r="Y23" s="947">
        <f t="shared" ref="Y23:Y24" si="3">$S$6/R23/X23</f>
        <v>68.040621266427721</v>
      </c>
      <c r="Z23" s="55"/>
      <c r="AA23" s="55"/>
      <c r="AB23" s="914"/>
      <c r="AC23" s="55"/>
      <c r="AD23" s="55"/>
      <c r="AE23" s="55"/>
      <c r="AF23" s="55"/>
      <c r="AG23" s="55"/>
      <c r="AH23" s="55"/>
      <c r="AI23" s="55"/>
      <c r="AJ23" s="914"/>
    </row>
    <row r="24" spans="1:36" ht="15" outlineLevel="1" thickBot="1">
      <c r="B24" s="798" t="s">
        <v>1158</v>
      </c>
      <c r="C24" s="818">
        <v>0.83299999999999996</v>
      </c>
      <c r="D24" s="818">
        <v>0.83299999999999996</v>
      </c>
      <c r="E24" s="818">
        <v>0.72</v>
      </c>
      <c r="F24" s="818">
        <v>0.66</v>
      </c>
      <c r="G24" s="818">
        <v>0.66</v>
      </c>
      <c r="H24" s="821">
        <v>0.66</v>
      </c>
      <c r="I24" s="821">
        <v>1</v>
      </c>
      <c r="J24" s="821">
        <v>0.55000000000000004</v>
      </c>
      <c r="K24" s="821">
        <v>0.72</v>
      </c>
      <c r="L24" s="818"/>
      <c r="M24" s="799"/>
      <c r="N24" s="488"/>
      <c r="O24" s="915"/>
      <c r="P24" s="928">
        <v>2050</v>
      </c>
      <c r="Q24" s="945">
        <f t="shared" si="1"/>
        <v>0.20502000000000001</v>
      </c>
      <c r="R24" s="929">
        <f>G23/100</f>
        <v>0.95</v>
      </c>
      <c r="S24" s="945">
        <f t="shared" si="2"/>
        <v>0.21581052631578948</v>
      </c>
      <c r="T24" s="945">
        <f>S24*G33*F4</f>
        <v>3.2155768421052633</v>
      </c>
      <c r="U24" s="945">
        <f>S24*G39*$F$4</f>
        <v>9.6467305263157888E-2</v>
      </c>
      <c r="V24" s="945">
        <f>S24*G40*$F$4/3.6</f>
        <v>1.1165197368421054</v>
      </c>
      <c r="W24" s="945">
        <f>G17/S24</f>
        <v>9.2673885474587839E-2</v>
      </c>
      <c r="X24" s="929">
        <f>VLOOKUP($P24,'Natural gas boiler_New'!$P$39:$AD$42,3,FALSE)</f>
        <v>0.94</v>
      </c>
      <c r="Y24" s="948">
        <f t="shared" si="3"/>
        <v>63.77379619260919</v>
      </c>
      <c r="Z24" s="847"/>
      <c r="AA24" s="847"/>
      <c r="AB24" s="916"/>
      <c r="AC24" s="55"/>
      <c r="AD24" s="55"/>
      <c r="AE24" s="55"/>
      <c r="AF24" s="55"/>
      <c r="AG24" s="55"/>
      <c r="AH24" s="55"/>
      <c r="AI24" s="55"/>
      <c r="AJ24" s="914"/>
    </row>
    <row r="25" spans="1:36" outlineLevel="1">
      <c r="B25" s="802" t="s">
        <v>1159</v>
      </c>
      <c r="C25" s="818">
        <v>60</v>
      </c>
      <c r="D25" s="818">
        <v>60</v>
      </c>
      <c r="E25" s="818">
        <v>60</v>
      </c>
      <c r="F25" s="818">
        <v>70</v>
      </c>
      <c r="G25" s="818">
        <v>70</v>
      </c>
      <c r="H25" s="818">
        <v>50</v>
      </c>
      <c r="I25" s="818">
        <v>80</v>
      </c>
      <c r="J25" s="818">
        <v>50</v>
      </c>
      <c r="K25" s="818">
        <v>120</v>
      </c>
      <c r="L25" s="818" t="s">
        <v>51</v>
      </c>
      <c r="M25" s="799"/>
      <c r="N25" s="488"/>
      <c r="O25" s="939" t="s">
        <v>1260</v>
      </c>
      <c r="P25" s="55"/>
      <c r="Q25" s="55"/>
      <c r="R25" s="55"/>
      <c r="S25" s="55"/>
      <c r="T25" s="55"/>
      <c r="U25" s="55"/>
      <c r="V25" s="55"/>
      <c r="W25" s="55"/>
      <c r="X25" s="55"/>
      <c r="Y25" s="55"/>
      <c r="Z25" s="55"/>
      <c r="AA25" s="55"/>
      <c r="AB25" s="55"/>
      <c r="AC25" s="55"/>
      <c r="AD25" s="55"/>
      <c r="AE25" s="55"/>
      <c r="AF25" s="55"/>
      <c r="AG25" s="55"/>
      <c r="AH25" s="55"/>
      <c r="AI25" s="55"/>
      <c r="AJ25" s="914"/>
    </row>
    <row r="26" spans="1:36" ht="27.6" outlineLevel="1">
      <c r="B26" s="807" t="s">
        <v>1160</v>
      </c>
      <c r="C26" s="821"/>
      <c r="D26" s="821"/>
      <c r="E26" s="821"/>
      <c r="F26" s="821"/>
      <c r="G26" s="821"/>
      <c r="H26" s="821"/>
      <c r="I26" s="821"/>
      <c r="J26" s="821"/>
      <c r="K26" s="821"/>
      <c r="L26" s="821"/>
      <c r="M26" s="805"/>
      <c r="N26" s="488"/>
      <c r="O26" s="913"/>
      <c r="P26" s="55"/>
      <c r="Q26" s="55"/>
      <c r="R26" s="940" t="s">
        <v>427</v>
      </c>
      <c r="S26" s="940" t="s">
        <v>1231</v>
      </c>
      <c r="T26" s="940" t="s">
        <v>428</v>
      </c>
      <c r="U26" s="831" t="s">
        <v>1174</v>
      </c>
      <c r="V26" s="940" t="s">
        <v>335</v>
      </c>
      <c r="W26" s="940" t="s">
        <v>336</v>
      </c>
      <c r="X26" s="941" t="s">
        <v>1227</v>
      </c>
      <c r="Y26" s="829" t="s">
        <v>337</v>
      </c>
      <c r="Z26" s="829" t="s">
        <v>1177</v>
      </c>
      <c r="AA26" s="829" t="s">
        <v>339</v>
      </c>
      <c r="AB26" s="942" t="s">
        <v>340</v>
      </c>
      <c r="AC26" s="47" t="s">
        <v>341</v>
      </c>
      <c r="AD26" s="49" t="s">
        <v>342</v>
      </c>
      <c r="AE26" s="49" t="s">
        <v>343</v>
      </c>
      <c r="AF26" s="829" t="s">
        <v>344</v>
      </c>
      <c r="AG26" s="829" t="s">
        <v>1229</v>
      </c>
      <c r="AH26" s="830" t="s">
        <v>1122</v>
      </c>
      <c r="AI26" s="829" t="s">
        <v>1175</v>
      </c>
      <c r="AJ26" s="931" t="s">
        <v>1176</v>
      </c>
    </row>
    <row r="27" spans="1:36" ht="58.2" outlineLevel="1" thickBot="1">
      <c r="B27" s="800" t="s">
        <v>1161</v>
      </c>
      <c r="C27" s="821"/>
      <c r="D27" s="821"/>
      <c r="E27" s="821"/>
      <c r="F27" s="821"/>
      <c r="G27" s="821"/>
      <c r="H27" s="821"/>
      <c r="I27" s="821"/>
      <c r="J27" s="821"/>
      <c r="K27" s="821"/>
      <c r="L27" s="821"/>
      <c r="M27" s="805"/>
      <c r="N27" s="488"/>
      <c r="O27" s="913"/>
      <c r="P27" s="55"/>
      <c r="Q27" s="55"/>
      <c r="R27" s="894" t="s">
        <v>1232</v>
      </c>
      <c r="S27" s="894" t="s">
        <v>1233</v>
      </c>
      <c r="T27" s="894" t="s">
        <v>1234</v>
      </c>
      <c r="U27" s="895" t="s">
        <v>1235</v>
      </c>
      <c r="V27" s="50"/>
      <c r="W27" s="50"/>
      <c r="X27" s="893" t="s">
        <v>1228</v>
      </c>
      <c r="Y27" s="51"/>
      <c r="Z27" s="51"/>
      <c r="AA27" s="51"/>
      <c r="AB27" s="52"/>
      <c r="AC27" s="50"/>
      <c r="AD27" s="50"/>
      <c r="AE27" s="50"/>
      <c r="AF27" s="50"/>
      <c r="AG27" s="893" t="s">
        <v>1230</v>
      </c>
      <c r="AH27" s="50"/>
      <c r="AI27" s="50"/>
      <c r="AJ27" s="932"/>
    </row>
    <row r="28" spans="1:36" outlineLevel="1">
      <c r="B28" s="798" t="s">
        <v>702</v>
      </c>
      <c r="C28" s="818">
        <v>5</v>
      </c>
      <c r="D28" s="818">
        <v>5</v>
      </c>
      <c r="E28" s="818">
        <v>3</v>
      </c>
      <c r="F28" s="818">
        <v>3</v>
      </c>
      <c r="G28" s="818">
        <v>3</v>
      </c>
      <c r="H28" s="818">
        <v>3</v>
      </c>
      <c r="I28" s="818">
        <v>3</v>
      </c>
      <c r="J28" s="818">
        <v>3</v>
      </c>
      <c r="K28" s="818">
        <v>3</v>
      </c>
      <c r="L28" s="818"/>
      <c r="M28" s="799"/>
      <c r="N28" s="488"/>
      <c r="O28" s="913"/>
      <c r="P28" s="55"/>
      <c r="Q28" s="55"/>
      <c r="R28" s="55" t="s">
        <v>1236</v>
      </c>
      <c r="S28" s="55"/>
      <c r="T28" s="55" t="s">
        <v>1238</v>
      </c>
      <c r="U28" s="55" t="s">
        <v>1183</v>
      </c>
      <c r="V28" s="526">
        <v>2020</v>
      </c>
      <c r="W28" s="930">
        <v>2020</v>
      </c>
      <c r="X28" s="927"/>
      <c r="Y28" s="930">
        <f>VLOOKUP($V28,'Natural gas boiler_New'!$P$39:$AD$42,3,FALSE)</f>
        <v>0.92</v>
      </c>
      <c r="Z28" s="927"/>
      <c r="AA28" s="930">
        <v>25</v>
      </c>
      <c r="AB28" s="58">
        <f>VLOOKUP($V28,$P$22:$Y$24,5,FALSE)</f>
        <v>5.6004629999999995</v>
      </c>
      <c r="AC28" s="58">
        <f>VLOOKUP($V28,$P$22:$Y$24,6,FALSE)</f>
        <v>0.16801389</v>
      </c>
      <c r="AD28" s="58">
        <f>VLOOKUP($V28,$P$22:$Y$24,7,FALSE)</f>
        <v>1.178548611111111</v>
      </c>
      <c r="AE28" s="58"/>
      <c r="AF28" s="58"/>
      <c r="AG28" s="927"/>
      <c r="AH28" s="927"/>
      <c r="AI28" s="927"/>
      <c r="AJ28" s="933"/>
    </row>
    <row r="29" spans="1:36" ht="52.2" customHeight="1" outlineLevel="1">
      <c r="A29" s="495"/>
      <c r="B29" s="798" t="s">
        <v>703</v>
      </c>
      <c r="C29" s="818">
        <v>3</v>
      </c>
      <c r="D29" s="818">
        <v>3</v>
      </c>
      <c r="E29" s="818">
        <v>3</v>
      </c>
      <c r="F29" s="818">
        <v>2</v>
      </c>
      <c r="G29" s="818">
        <v>2</v>
      </c>
      <c r="H29" s="818">
        <v>2</v>
      </c>
      <c r="I29" s="818">
        <v>4</v>
      </c>
      <c r="J29" s="818">
        <v>2</v>
      </c>
      <c r="K29" s="818">
        <v>3</v>
      </c>
      <c r="L29" s="818"/>
      <c r="M29" s="799"/>
      <c r="N29" s="480"/>
      <c r="O29" s="913"/>
      <c r="P29" s="55"/>
      <c r="Q29" s="55"/>
      <c r="R29" s="55"/>
      <c r="S29" s="55" t="s">
        <v>500</v>
      </c>
      <c r="T29" s="55"/>
      <c r="U29" s="55" t="s">
        <v>1183</v>
      </c>
      <c r="V29" s="526">
        <v>2020</v>
      </c>
      <c r="W29" s="927"/>
      <c r="X29" s="83">
        <f>VLOOKUP($V29,$P$22:$Y$24,8,FALSE)</f>
        <v>0.13169446883230904</v>
      </c>
      <c r="Y29" s="934"/>
      <c r="Z29" s="927"/>
      <c r="AA29" s="927"/>
      <c r="AB29" s="927"/>
      <c r="AC29" s="927"/>
      <c r="AD29" s="927"/>
      <c r="AE29" s="927"/>
      <c r="AF29" s="927"/>
      <c r="AG29" s="927"/>
      <c r="AH29" s="927"/>
      <c r="AI29" s="927"/>
      <c r="AJ29" s="933"/>
    </row>
    <row r="30" spans="1:36" outlineLevel="1">
      <c r="B30" s="798" t="s">
        <v>11</v>
      </c>
      <c r="C30" s="818">
        <v>25</v>
      </c>
      <c r="D30" s="818">
        <v>25</v>
      </c>
      <c r="E30" s="818">
        <v>25</v>
      </c>
      <c r="F30" s="818">
        <v>25</v>
      </c>
      <c r="G30" s="818">
        <v>25</v>
      </c>
      <c r="H30" s="818">
        <v>25</v>
      </c>
      <c r="I30" s="818">
        <v>25</v>
      </c>
      <c r="J30" s="818">
        <v>25</v>
      </c>
      <c r="K30" s="818">
        <v>25</v>
      </c>
      <c r="L30" s="818"/>
      <c r="M30" s="799"/>
      <c r="N30" s="480"/>
      <c r="O30" s="913"/>
      <c r="P30" s="55"/>
      <c r="Q30" s="55"/>
      <c r="R30" s="55"/>
      <c r="S30" s="55"/>
      <c r="T30" s="55"/>
      <c r="U30" s="55" t="s">
        <v>1237</v>
      </c>
      <c r="V30" s="526">
        <v>2020</v>
      </c>
      <c r="W30" s="927"/>
      <c r="X30" s="205"/>
      <c r="Y30" s="934"/>
      <c r="Z30" s="927"/>
      <c r="AA30" s="927"/>
      <c r="AB30" s="927"/>
      <c r="AC30" s="927"/>
      <c r="AD30" s="927"/>
      <c r="AE30" s="927"/>
      <c r="AF30" s="927"/>
      <c r="AG30" s="58">
        <f>VLOOKUP($V30,$P$22:$Y$24,10,FALSE)</f>
        <v>68.780193236714979</v>
      </c>
      <c r="AH30" s="927"/>
      <c r="AI30" s="927"/>
      <c r="AJ30" s="933"/>
    </row>
    <row r="31" spans="1:36" outlineLevel="1">
      <c r="B31" s="798" t="s">
        <v>273</v>
      </c>
      <c r="C31" s="818">
        <v>2.5</v>
      </c>
      <c r="D31" s="818">
        <v>2.5</v>
      </c>
      <c r="E31" s="818">
        <v>2.5</v>
      </c>
      <c r="F31" s="818">
        <v>2</v>
      </c>
      <c r="G31" s="818">
        <v>2</v>
      </c>
      <c r="H31" s="818">
        <v>2</v>
      </c>
      <c r="I31" s="818">
        <v>4</v>
      </c>
      <c r="J31" s="818">
        <v>2</v>
      </c>
      <c r="K31" s="818">
        <v>3</v>
      </c>
      <c r="L31" s="818"/>
      <c r="M31" s="799"/>
      <c r="N31" s="480"/>
      <c r="O31" s="913"/>
      <c r="P31" s="55"/>
      <c r="Q31" s="55"/>
      <c r="R31" s="55"/>
      <c r="S31" s="55"/>
      <c r="T31" s="55"/>
      <c r="U31" s="55" t="s">
        <v>1183</v>
      </c>
      <c r="V31" s="526">
        <v>2030</v>
      </c>
      <c r="W31" s="927"/>
      <c r="X31" s="205"/>
      <c r="Y31" s="58">
        <f>VLOOKUP($V31,'Natural gas boiler_New'!$P$39:$AD$42,3,FALSE)</f>
        <v>0.93</v>
      </c>
      <c r="Z31" s="927"/>
      <c r="AA31" s="58">
        <v>25</v>
      </c>
      <c r="AB31" s="58">
        <f>VLOOKUP($V31,$P$22:$Y$24,5,FALSE)</f>
        <v>4.5821970000000007</v>
      </c>
      <c r="AC31" s="58">
        <f>VLOOKUP($V31,$P$22:$Y$24,6,FALSE)</f>
        <v>0.13746591</v>
      </c>
      <c r="AD31" s="58">
        <f>VLOOKUP($V31,$P$22:$Y$24,7,FALSE)</f>
        <v>1.178548611111111</v>
      </c>
      <c r="AE31" s="927"/>
      <c r="AF31" s="927"/>
      <c r="AG31" s="927"/>
      <c r="AH31" s="927"/>
      <c r="AI31" s="927"/>
      <c r="AJ31" s="933"/>
    </row>
    <row r="32" spans="1:36" outlineLevel="1">
      <c r="B32" s="808" t="s">
        <v>719</v>
      </c>
      <c r="C32" s="823"/>
      <c r="D32" s="823"/>
      <c r="E32" s="823"/>
      <c r="F32" s="823"/>
      <c r="G32" s="823"/>
      <c r="H32" s="823"/>
      <c r="I32" s="823"/>
      <c r="J32" s="823"/>
      <c r="K32" s="823"/>
      <c r="L32" s="823"/>
      <c r="M32" s="808"/>
      <c r="N32" s="480"/>
      <c r="O32" s="913"/>
      <c r="P32" s="55"/>
      <c r="Q32" s="55"/>
      <c r="R32" s="55"/>
      <c r="S32" s="55" t="s">
        <v>500</v>
      </c>
      <c r="T32" s="55"/>
      <c r="U32" s="55" t="s">
        <v>1183</v>
      </c>
      <c r="V32" s="526">
        <v>2030</v>
      </c>
      <c r="W32" s="927"/>
      <c r="X32" s="83">
        <f>VLOOKUP($V32,$P$22:$Y$24,8,FALSE)</f>
        <v>0.10974539069359088</v>
      </c>
      <c r="Y32" s="934"/>
      <c r="Z32" s="927"/>
      <c r="AA32" s="927"/>
      <c r="AB32" s="927"/>
      <c r="AC32" s="927"/>
      <c r="AD32" s="927"/>
      <c r="AE32" s="927"/>
      <c r="AF32" s="927"/>
      <c r="AG32" s="927"/>
      <c r="AH32" s="927"/>
      <c r="AI32" s="927"/>
      <c r="AJ32" s="933"/>
    </row>
    <row r="33" spans="2:36" ht="37.200000000000003" customHeight="1" outlineLevel="1">
      <c r="B33" s="896" t="s">
        <v>1162</v>
      </c>
      <c r="C33" s="897">
        <v>3.3</v>
      </c>
      <c r="D33" s="897">
        <v>3</v>
      </c>
      <c r="E33" s="897">
        <v>2.7</v>
      </c>
      <c r="F33" s="897">
        <v>2.4</v>
      </c>
      <c r="G33" s="897">
        <v>2</v>
      </c>
      <c r="H33" s="897">
        <v>2.5</v>
      </c>
      <c r="I33" s="897">
        <v>5</v>
      </c>
      <c r="J33" s="897">
        <v>1.6</v>
      </c>
      <c r="K33" s="897">
        <v>2.8</v>
      </c>
      <c r="L33" s="897" t="s">
        <v>52</v>
      </c>
      <c r="M33" s="898"/>
      <c r="N33" s="421"/>
      <c r="O33" s="913"/>
      <c r="P33" s="55"/>
      <c r="Q33" s="55"/>
      <c r="R33" s="55"/>
      <c r="S33" s="55"/>
      <c r="T33" s="55"/>
      <c r="U33" s="55" t="s">
        <v>1183</v>
      </c>
      <c r="V33" s="526">
        <v>2050</v>
      </c>
      <c r="W33" s="927"/>
      <c r="X33" s="205"/>
      <c r="Y33" s="58">
        <f>VLOOKUP($V33,'Natural gas boiler_New'!$P$39:$AD$42,3,FALSE)</f>
        <v>0.94</v>
      </c>
      <c r="Z33" s="927"/>
      <c r="AA33" s="58">
        <v>25</v>
      </c>
      <c r="AB33" s="58">
        <f>VLOOKUP($V33,$P$22:$Y$24,5,FALSE)</f>
        <v>3.2155768421052633</v>
      </c>
      <c r="AC33" s="58">
        <f>VLOOKUP($V33,$P$22:$Y$24,6,FALSE)</f>
        <v>9.6467305263157888E-2</v>
      </c>
      <c r="AD33" s="58">
        <f>VLOOKUP($V33,$P$22:$Y$24,7,FALSE)</f>
        <v>1.1165197368421054</v>
      </c>
      <c r="AE33" s="927"/>
      <c r="AF33" s="927"/>
      <c r="AG33" s="927"/>
      <c r="AH33" s="927"/>
      <c r="AI33" s="927"/>
      <c r="AJ33" s="933"/>
    </row>
    <row r="34" spans="2:36" ht="15.75" customHeight="1" outlineLevel="1" thickBot="1">
      <c r="B34" s="802" t="s">
        <v>1163</v>
      </c>
      <c r="C34" s="818">
        <v>50</v>
      </c>
      <c r="D34" s="818">
        <v>50</v>
      </c>
      <c r="E34" s="818">
        <v>50</v>
      </c>
      <c r="F34" s="818">
        <v>50</v>
      </c>
      <c r="G34" s="818">
        <v>50</v>
      </c>
      <c r="H34" s="818"/>
      <c r="I34" s="818"/>
      <c r="J34" s="818"/>
      <c r="K34" s="825"/>
      <c r="L34" s="818" t="s">
        <v>55</v>
      </c>
      <c r="M34" s="799"/>
      <c r="N34" s="421"/>
      <c r="O34" s="915"/>
      <c r="P34" s="847"/>
      <c r="Q34" s="847"/>
      <c r="R34" s="847"/>
      <c r="S34" s="847" t="s">
        <v>500</v>
      </c>
      <c r="T34" s="847"/>
      <c r="U34" s="847" t="s">
        <v>1183</v>
      </c>
      <c r="V34" s="935">
        <v>2050</v>
      </c>
      <c r="W34" s="929"/>
      <c r="X34" s="936">
        <f>VLOOKUP($V34,$P$22:$Y$24,8,FALSE)</f>
        <v>9.2673885474587839E-2</v>
      </c>
      <c r="Y34" s="937"/>
      <c r="Z34" s="929"/>
      <c r="AA34" s="929"/>
      <c r="AB34" s="929"/>
      <c r="AC34" s="929"/>
      <c r="AD34" s="929"/>
      <c r="AE34" s="929"/>
      <c r="AF34" s="929"/>
      <c r="AG34" s="929"/>
      <c r="AH34" s="929"/>
      <c r="AI34" s="929"/>
      <c r="AJ34" s="938"/>
    </row>
    <row r="35" spans="2:36" ht="15" outlineLevel="1" thickBot="1">
      <c r="B35" s="798" t="s">
        <v>1164</v>
      </c>
      <c r="C35" s="818">
        <v>10</v>
      </c>
      <c r="D35" s="818">
        <v>10</v>
      </c>
      <c r="E35" s="818">
        <v>10</v>
      </c>
      <c r="F35" s="818">
        <v>10</v>
      </c>
      <c r="G35" s="818">
        <v>10</v>
      </c>
      <c r="H35" s="818"/>
      <c r="I35" s="818"/>
      <c r="J35" s="818"/>
      <c r="K35" s="825"/>
      <c r="L35" s="818" t="s">
        <v>49</v>
      </c>
      <c r="M35" s="799"/>
      <c r="N35" s="423"/>
    </row>
    <row r="36" spans="2:36" outlineLevel="1">
      <c r="B36" s="809" t="s">
        <v>1165</v>
      </c>
      <c r="C36" s="818">
        <v>10</v>
      </c>
      <c r="D36" s="818">
        <v>10</v>
      </c>
      <c r="E36" s="818">
        <v>10</v>
      </c>
      <c r="F36" s="818">
        <v>10</v>
      </c>
      <c r="G36" s="818">
        <v>10</v>
      </c>
      <c r="H36" s="818"/>
      <c r="I36" s="818"/>
      <c r="J36" s="818"/>
      <c r="K36" s="825"/>
      <c r="L36" s="274"/>
      <c r="M36" s="799"/>
      <c r="N36" s="427"/>
      <c r="O36" s="917"/>
      <c r="P36" s="922" t="s">
        <v>1258</v>
      </c>
      <c r="Q36" s="918" t="s">
        <v>1209</v>
      </c>
      <c r="R36" s="918" t="s">
        <v>1259</v>
      </c>
      <c r="S36" s="918" t="s">
        <v>1256</v>
      </c>
      <c r="T36" s="919" t="s">
        <v>1212</v>
      </c>
      <c r="U36" s="918" t="s">
        <v>1213</v>
      </c>
      <c r="V36" s="918" t="s">
        <v>1214</v>
      </c>
      <c r="W36" s="918" t="s">
        <v>1227</v>
      </c>
      <c r="X36" s="918" t="s">
        <v>337</v>
      </c>
      <c r="Y36" s="923" t="s">
        <v>1229</v>
      </c>
      <c r="Z36" s="918"/>
      <c r="AA36" s="918"/>
      <c r="AB36" s="920"/>
      <c r="AC36" s="911"/>
      <c r="AD36" s="911"/>
      <c r="AE36" s="911"/>
      <c r="AF36" s="911"/>
      <c r="AG36" s="911"/>
      <c r="AH36" s="911"/>
      <c r="AI36" s="911"/>
      <c r="AJ36" s="912"/>
    </row>
    <row r="37" spans="2:36" outlineLevel="1">
      <c r="B37" s="798" t="s">
        <v>1166</v>
      </c>
      <c r="C37" s="818">
        <v>15</v>
      </c>
      <c r="D37" s="818">
        <v>15</v>
      </c>
      <c r="E37" s="818">
        <v>15</v>
      </c>
      <c r="F37" s="818">
        <v>15</v>
      </c>
      <c r="G37" s="818">
        <v>15</v>
      </c>
      <c r="H37" s="818"/>
      <c r="I37" s="818"/>
      <c r="J37" s="818"/>
      <c r="K37" s="825"/>
      <c r="L37" s="818" t="s">
        <v>374</v>
      </c>
      <c r="M37" s="799"/>
      <c r="N37" s="423"/>
      <c r="O37" s="913"/>
      <c r="P37" s="288"/>
      <c r="Q37" s="211"/>
      <c r="R37" s="211"/>
      <c r="S37" s="211"/>
      <c r="T37" s="211" t="s">
        <v>1215</v>
      </c>
      <c r="U37" s="211" t="s">
        <v>1215</v>
      </c>
      <c r="V37" s="211" t="s">
        <v>1225</v>
      </c>
      <c r="W37" s="211" t="s">
        <v>1257</v>
      </c>
      <c r="X37" s="211"/>
      <c r="Y37" s="390" t="s">
        <v>1230</v>
      </c>
      <c r="Z37" s="55"/>
      <c r="AA37" s="55"/>
      <c r="AB37" s="914"/>
      <c r="AC37" s="55"/>
      <c r="AD37" s="55"/>
      <c r="AE37" s="55"/>
      <c r="AF37" s="55"/>
      <c r="AG37" s="55"/>
      <c r="AH37" s="55"/>
      <c r="AI37" s="55"/>
      <c r="AJ37" s="914"/>
    </row>
    <row r="38" spans="2:36" outlineLevel="1">
      <c r="B38" s="798" t="s">
        <v>1167</v>
      </c>
      <c r="C38" s="818">
        <v>15</v>
      </c>
      <c r="D38" s="818">
        <v>15</v>
      </c>
      <c r="E38" s="818">
        <v>15</v>
      </c>
      <c r="F38" s="818">
        <v>15</v>
      </c>
      <c r="G38" s="818">
        <v>15</v>
      </c>
      <c r="H38" s="818"/>
      <c r="I38" s="818"/>
      <c r="J38" s="818"/>
      <c r="K38" s="826"/>
      <c r="L38" s="274"/>
      <c r="M38" s="799"/>
      <c r="N38" s="423"/>
      <c r="O38" s="921" t="s">
        <v>1261</v>
      </c>
      <c r="P38" s="924">
        <v>2020</v>
      </c>
      <c r="Q38" s="943">
        <f>$P$6/1*3.6/1000000*1000</f>
        <v>0.34056000000000003</v>
      </c>
      <c r="R38" s="925">
        <f>R22</f>
        <v>0.9</v>
      </c>
      <c r="S38" s="943">
        <f>Q38/R38</f>
        <v>0.37840000000000001</v>
      </c>
      <c r="T38" s="943">
        <f>S38*C33*$F$4</f>
        <v>9.3029640000000011</v>
      </c>
      <c r="U38" s="943">
        <f>S38*C39*$F$4</f>
        <v>0.27908891999999996</v>
      </c>
      <c r="V38" s="943">
        <f>S38*C40*$F$4/3.6</f>
        <v>1.9576944444444446</v>
      </c>
      <c r="W38" s="943">
        <f>C17/S38</f>
        <v>7.9281183932346719E-2</v>
      </c>
      <c r="X38" s="925">
        <f>VLOOKUP($P38,'Coal boiler'!$P$39:$AD$42,3,FALSE)</f>
        <v>0.89</v>
      </c>
      <c r="Y38" s="946">
        <f>$P$6/R38/X38</f>
        <v>118.10237203495629</v>
      </c>
      <c r="Z38" s="55"/>
      <c r="AA38" s="55"/>
      <c r="AB38" s="914"/>
      <c r="AC38" s="55"/>
      <c r="AD38" s="55"/>
      <c r="AE38" s="55"/>
      <c r="AF38" s="55"/>
      <c r="AG38" s="55"/>
      <c r="AH38" s="55"/>
      <c r="AI38" s="55"/>
      <c r="AJ38" s="914"/>
    </row>
    <row r="39" spans="2:36" outlineLevel="1">
      <c r="B39" s="899" t="s">
        <v>1168</v>
      </c>
      <c r="C39" s="900">
        <f>C33*0.03</f>
        <v>9.8999999999999991E-2</v>
      </c>
      <c r="D39" s="900">
        <f t="shared" ref="D39:K39" si="4">D33*0.03</f>
        <v>0.09</v>
      </c>
      <c r="E39" s="900">
        <f t="shared" si="4"/>
        <v>8.1000000000000003E-2</v>
      </c>
      <c r="F39" s="900">
        <f t="shared" si="4"/>
        <v>7.1999999999999995E-2</v>
      </c>
      <c r="G39" s="900">
        <f t="shared" si="4"/>
        <v>0.06</v>
      </c>
      <c r="H39" s="900">
        <f t="shared" si="4"/>
        <v>7.4999999999999997E-2</v>
      </c>
      <c r="I39" s="900">
        <f t="shared" si="4"/>
        <v>0.15</v>
      </c>
      <c r="J39" s="900">
        <f t="shared" si="4"/>
        <v>4.8000000000000001E-2</v>
      </c>
      <c r="K39" s="900">
        <f t="shared" si="4"/>
        <v>8.3999999999999991E-2</v>
      </c>
      <c r="L39" s="897" t="s">
        <v>1011</v>
      </c>
      <c r="M39" s="901"/>
      <c r="N39" s="423"/>
      <c r="O39" s="913"/>
      <c r="P39" s="926">
        <v>2030</v>
      </c>
      <c r="Q39" s="944">
        <f t="shared" ref="Q39:Q40" si="5">$P$6/1*3.6/1000000*1000</f>
        <v>0.34056000000000003</v>
      </c>
      <c r="R39" s="927">
        <f t="shared" ref="R39:R40" si="6">R23</f>
        <v>0.9</v>
      </c>
      <c r="S39" s="944">
        <f t="shared" ref="S39:S40" si="7">Q39/R39</f>
        <v>0.37840000000000001</v>
      </c>
      <c r="T39" s="944">
        <f>S39*E33*$F$4</f>
        <v>7.6115160000000008</v>
      </c>
      <c r="U39" s="944">
        <f>S39*E39*$F$4</f>
        <v>0.22834548000000002</v>
      </c>
      <c r="V39" s="944">
        <f>S39*E40*$F$4/3.6</f>
        <v>1.9576944444444446</v>
      </c>
      <c r="W39" s="944">
        <f>E17/S39</f>
        <v>6.6067653276955601E-2</v>
      </c>
      <c r="X39" s="927">
        <f>VLOOKUP($P39,'Coal boiler'!$P$39:$AD$42,3,FALSE)</f>
        <v>0.89</v>
      </c>
      <c r="Y39" s="947">
        <f t="shared" ref="Y39:Y40" si="8">$P$6/R39/X39</f>
        <v>118.10237203495629</v>
      </c>
      <c r="Z39" s="55"/>
      <c r="AA39" s="55"/>
      <c r="AB39" s="914"/>
      <c r="AC39" s="55"/>
      <c r="AD39" s="55"/>
      <c r="AE39" s="55"/>
      <c r="AF39" s="55"/>
      <c r="AG39" s="55"/>
      <c r="AH39" s="55"/>
      <c r="AI39" s="55"/>
      <c r="AJ39" s="914"/>
    </row>
    <row r="40" spans="2:36" ht="14.7" customHeight="1" outlineLevel="1" thickBot="1">
      <c r="B40" s="902" t="s">
        <v>1169</v>
      </c>
      <c r="C40" s="897">
        <v>2.5</v>
      </c>
      <c r="D40" s="897">
        <v>2.5</v>
      </c>
      <c r="E40" s="897">
        <v>2.5</v>
      </c>
      <c r="F40" s="897">
        <v>2.5</v>
      </c>
      <c r="G40" s="897">
        <v>2.5</v>
      </c>
      <c r="H40" s="900">
        <v>1.5</v>
      </c>
      <c r="I40" s="900">
        <v>3.5</v>
      </c>
      <c r="J40" s="900">
        <v>1.5</v>
      </c>
      <c r="K40" s="900">
        <v>3.5</v>
      </c>
      <c r="L40" s="903"/>
      <c r="M40" s="898"/>
      <c r="N40" s="423"/>
      <c r="O40" s="915"/>
      <c r="P40" s="928">
        <v>2050</v>
      </c>
      <c r="Q40" s="945">
        <f t="shared" si="5"/>
        <v>0.34056000000000003</v>
      </c>
      <c r="R40" s="929">
        <f t="shared" si="6"/>
        <v>0.95</v>
      </c>
      <c r="S40" s="945">
        <f t="shared" si="7"/>
        <v>0.35848421052631585</v>
      </c>
      <c r="T40" s="945">
        <f>S40*G33*$F$4</f>
        <v>5.3414147368421059</v>
      </c>
      <c r="U40" s="945">
        <f>S40*G39*$F$4</f>
        <v>0.16024244210526317</v>
      </c>
      <c r="V40" s="945">
        <f>S40*G40*$F$4/3.6</f>
        <v>1.8546578947368424</v>
      </c>
      <c r="W40" s="945">
        <f>G17/S40</f>
        <v>5.5790462767206943E-2</v>
      </c>
      <c r="X40" s="929">
        <f>VLOOKUP($P40,'Coal boiler'!$P$39:$AD$42,3,FALSE)</f>
        <v>0.91</v>
      </c>
      <c r="Y40" s="948">
        <f t="shared" si="8"/>
        <v>109.42741469057259</v>
      </c>
      <c r="Z40" s="847"/>
      <c r="AA40" s="847"/>
      <c r="AB40" s="916"/>
      <c r="AC40" s="55"/>
      <c r="AD40" s="55"/>
      <c r="AE40" s="55"/>
      <c r="AF40" s="55"/>
      <c r="AG40" s="55"/>
      <c r="AH40" s="55"/>
      <c r="AI40" s="55"/>
      <c r="AJ40" s="914"/>
    </row>
    <row r="41" spans="2:36" outlineLevel="1">
      <c r="B41" s="806" t="s">
        <v>1170</v>
      </c>
      <c r="C41" s="818">
        <v>25</v>
      </c>
      <c r="D41" s="818">
        <v>25</v>
      </c>
      <c r="E41" s="818">
        <v>25</v>
      </c>
      <c r="F41" s="818">
        <v>25</v>
      </c>
      <c r="G41" s="818">
        <v>25</v>
      </c>
      <c r="H41" s="818"/>
      <c r="I41" s="818"/>
      <c r="J41" s="818"/>
      <c r="K41" s="825"/>
      <c r="L41" s="274"/>
      <c r="M41" s="799"/>
      <c r="N41" s="423"/>
      <c r="O41" s="939" t="s">
        <v>1260</v>
      </c>
      <c r="P41" s="55"/>
      <c r="Q41" s="55"/>
      <c r="R41" s="55"/>
      <c r="S41" s="55"/>
      <c r="T41" s="55"/>
      <c r="U41" s="55"/>
      <c r="V41" s="55"/>
      <c r="W41" s="55"/>
      <c r="X41" s="55"/>
      <c r="Y41" s="55"/>
      <c r="Z41" s="55"/>
      <c r="AA41" s="55"/>
      <c r="AB41" s="55"/>
      <c r="AC41" s="55"/>
      <c r="AD41" s="55"/>
      <c r="AE41" s="55"/>
      <c r="AF41" s="55"/>
      <c r="AG41" s="55"/>
      <c r="AH41" s="55"/>
      <c r="AI41" s="55"/>
      <c r="AJ41" s="914"/>
    </row>
    <row r="42" spans="2:36" ht="14.7" customHeight="1" outlineLevel="1">
      <c r="B42" s="797" t="s">
        <v>1171</v>
      </c>
      <c r="C42" s="816"/>
      <c r="D42" s="816"/>
      <c r="E42" s="816"/>
      <c r="F42" s="816"/>
      <c r="G42" s="816"/>
      <c r="H42" s="816"/>
      <c r="I42" s="816"/>
      <c r="J42" s="816"/>
      <c r="K42" s="816"/>
      <c r="L42" s="816"/>
      <c r="M42" s="810"/>
      <c r="N42" s="423"/>
      <c r="O42" s="913"/>
      <c r="P42" s="55"/>
      <c r="Q42" s="55"/>
      <c r="R42" s="940" t="s">
        <v>427</v>
      </c>
      <c r="S42" s="940" t="s">
        <v>1231</v>
      </c>
      <c r="T42" s="940" t="s">
        <v>428</v>
      </c>
      <c r="U42" s="831" t="s">
        <v>1174</v>
      </c>
      <c r="V42" s="940" t="s">
        <v>335</v>
      </c>
      <c r="W42" s="940" t="s">
        <v>336</v>
      </c>
      <c r="X42" s="941" t="s">
        <v>1227</v>
      </c>
      <c r="Y42" s="829" t="s">
        <v>337</v>
      </c>
      <c r="Z42" s="829" t="s">
        <v>1177</v>
      </c>
      <c r="AA42" s="829" t="s">
        <v>339</v>
      </c>
      <c r="AB42" s="942" t="s">
        <v>340</v>
      </c>
      <c r="AC42" s="47" t="s">
        <v>341</v>
      </c>
      <c r="AD42" s="49" t="s">
        <v>342</v>
      </c>
      <c r="AE42" s="49" t="s">
        <v>343</v>
      </c>
      <c r="AF42" s="829" t="s">
        <v>344</v>
      </c>
      <c r="AG42" s="829" t="s">
        <v>1229</v>
      </c>
      <c r="AH42" s="830" t="s">
        <v>1122</v>
      </c>
      <c r="AI42" s="829" t="s">
        <v>1175</v>
      </c>
      <c r="AJ42" s="931" t="s">
        <v>1176</v>
      </c>
    </row>
    <row r="43" spans="2:36" ht="58.2" outlineLevel="1" thickBot="1">
      <c r="B43" s="802" t="s">
        <v>1172</v>
      </c>
      <c r="C43" s="827">
        <v>0.1</v>
      </c>
      <c r="D43" s="827">
        <v>0.1</v>
      </c>
      <c r="E43" s="818">
        <v>8.5000000000000006E-2</v>
      </c>
      <c r="F43" s="818">
        <v>7.4999999999999997E-2</v>
      </c>
      <c r="G43" s="818">
        <v>7.4999999999999997E-2</v>
      </c>
      <c r="H43" s="818">
        <v>0.09</v>
      </c>
      <c r="I43" s="818">
        <v>0.11</v>
      </c>
      <c r="J43" s="818">
        <v>7.0000000000000007E-2</v>
      </c>
      <c r="K43" s="820">
        <v>0.09</v>
      </c>
      <c r="L43" s="818" t="s">
        <v>1012</v>
      </c>
      <c r="M43" s="799"/>
      <c r="N43" s="427"/>
      <c r="O43" s="913"/>
      <c r="P43" s="55"/>
      <c r="Q43" s="55"/>
      <c r="R43" s="894" t="s">
        <v>1232</v>
      </c>
      <c r="S43" s="894" t="s">
        <v>1233</v>
      </c>
      <c r="T43" s="894" t="s">
        <v>1234</v>
      </c>
      <c r="U43" s="895" t="s">
        <v>1235</v>
      </c>
      <c r="V43" s="50"/>
      <c r="W43" s="50"/>
      <c r="X43" s="893" t="s">
        <v>1228</v>
      </c>
      <c r="Y43" s="51"/>
      <c r="Z43" s="51"/>
      <c r="AA43" s="51"/>
      <c r="AB43" s="52"/>
      <c r="AC43" s="50"/>
      <c r="AD43" s="50"/>
      <c r="AE43" s="50"/>
      <c r="AF43" s="50"/>
      <c r="AG43" s="893" t="s">
        <v>1230</v>
      </c>
      <c r="AH43" s="50"/>
      <c r="AI43" s="50"/>
      <c r="AJ43" s="932"/>
    </row>
    <row r="44" spans="2:36" outlineLevel="1">
      <c r="B44" s="802" t="s">
        <v>1173</v>
      </c>
      <c r="C44" s="818">
        <v>0.16</v>
      </c>
      <c r="D44" s="818">
        <v>0.16</v>
      </c>
      <c r="E44" s="818">
        <v>0.14000000000000001</v>
      </c>
      <c r="F44" s="818">
        <v>0.13</v>
      </c>
      <c r="G44" s="818">
        <v>0.13</v>
      </c>
      <c r="H44" s="818">
        <v>0.14000000000000001</v>
      </c>
      <c r="I44" s="818">
        <v>0.18</v>
      </c>
      <c r="J44" s="818">
        <v>0.12</v>
      </c>
      <c r="K44" s="820">
        <v>0.15</v>
      </c>
      <c r="L44" s="818" t="s">
        <v>1012</v>
      </c>
      <c r="M44" s="799"/>
      <c r="N44" s="423"/>
      <c r="O44" s="913"/>
      <c r="P44" s="55"/>
      <c r="Q44" s="55"/>
      <c r="R44" s="55" t="s">
        <v>662</v>
      </c>
      <c r="S44" s="55"/>
      <c r="T44" s="55" t="s">
        <v>1238</v>
      </c>
      <c r="U44" s="55" t="s">
        <v>1183</v>
      </c>
      <c r="V44" s="526">
        <v>2020</v>
      </c>
      <c r="W44" s="930">
        <v>2020</v>
      </c>
      <c r="X44" s="927"/>
      <c r="Y44" s="83">
        <f>VLOOKUP($V44,$P$38:$Y$40,9,FALSE)</f>
        <v>0.89</v>
      </c>
      <c r="Z44" s="927"/>
      <c r="AA44" s="930">
        <v>25</v>
      </c>
      <c r="AB44" s="58">
        <f>VLOOKUP($V44,$P$38:$Y$40,5,FALSE)</f>
        <v>9.3029640000000011</v>
      </c>
      <c r="AC44" s="58">
        <f>VLOOKUP($V44,$P$38:$Y$40,6,FALSE)</f>
        <v>0.27908891999999996</v>
      </c>
      <c r="AD44" s="58">
        <f>VLOOKUP($V44,$P$38:$Y$40,7,FALSE)</f>
        <v>1.9576944444444446</v>
      </c>
      <c r="AE44" s="58"/>
      <c r="AF44" s="58"/>
      <c r="AG44" s="927"/>
      <c r="AH44" s="927"/>
      <c r="AI44" s="927"/>
      <c r="AJ44" s="933"/>
    </row>
    <row r="45" spans="2:36" outlineLevel="1">
      <c r="B45" s="802"/>
      <c r="C45" s="818"/>
      <c r="D45" s="818"/>
      <c r="E45" s="818"/>
      <c r="F45" s="818"/>
      <c r="G45" s="818"/>
      <c r="H45" s="818"/>
      <c r="I45" s="818"/>
      <c r="J45" s="818"/>
      <c r="K45" s="825"/>
      <c r="L45" s="818"/>
      <c r="M45" s="799"/>
      <c r="N45" s="423"/>
      <c r="O45" s="913"/>
      <c r="P45" s="55"/>
      <c r="Q45" s="55"/>
      <c r="R45" s="55"/>
      <c r="S45" s="55" t="s">
        <v>500</v>
      </c>
      <c r="T45" s="55"/>
      <c r="U45" s="55" t="s">
        <v>1183</v>
      </c>
      <c r="V45" s="526">
        <v>2020</v>
      </c>
      <c r="W45" s="927"/>
      <c r="X45" s="83">
        <f>VLOOKUP($V45,$P$38:$Y$40,8,FALSE)</f>
        <v>7.9281183932346719E-2</v>
      </c>
      <c r="Y45" s="934"/>
      <c r="Z45" s="927"/>
      <c r="AA45" s="927"/>
      <c r="AB45" s="927"/>
      <c r="AC45" s="927"/>
      <c r="AD45" s="927"/>
      <c r="AE45" s="927"/>
      <c r="AF45" s="927"/>
      <c r="AG45" s="927"/>
      <c r="AH45" s="927"/>
      <c r="AI45" s="927"/>
      <c r="AJ45" s="933"/>
    </row>
    <row r="46" spans="2:36" outlineLevel="1">
      <c r="B46" s="798"/>
      <c r="C46" s="818"/>
      <c r="D46" s="818"/>
      <c r="E46" s="818"/>
      <c r="F46" s="818"/>
      <c r="G46" s="826"/>
      <c r="H46" s="818"/>
      <c r="I46" s="818"/>
      <c r="J46" s="818"/>
      <c r="K46" s="826"/>
      <c r="L46" s="818"/>
      <c r="M46" s="799"/>
      <c r="N46" s="423"/>
      <c r="O46" s="913"/>
      <c r="P46" s="55"/>
      <c r="Q46" s="55"/>
      <c r="R46" s="55"/>
      <c r="S46" s="55"/>
      <c r="T46" s="55"/>
      <c r="U46" s="55" t="s">
        <v>1237</v>
      </c>
      <c r="V46" s="526">
        <v>2020</v>
      </c>
      <c r="W46" s="927"/>
      <c r="X46" s="205"/>
      <c r="Y46" s="934"/>
      <c r="Z46" s="927"/>
      <c r="AA46" s="927"/>
      <c r="AB46" s="927"/>
      <c r="AC46" s="927"/>
      <c r="AD46" s="927"/>
      <c r="AE46" s="927"/>
      <c r="AF46" s="927"/>
      <c r="AG46" s="58">
        <f>VLOOKUP($V46,$P$38:$Y$40,10,FALSE)</f>
        <v>118.10237203495629</v>
      </c>
      <c r="AH46" s="927"/>
      <c r="AI46" s="927"/>
      <c r="AJ46" s="933"/>
    </row>
    <row r="47" spans="2:36" ht="57.6" outlineLevel="1">
      <c r="B47" s="521" t="s">
        <v>894</v>
      </c>
      <c r="C47" s="543">
        <f>C33*$F$4*1/C16*1000</f>
        <v>29513.805522208888</v>
      </c>
      <c r="D47" s="543">
        <f t="shared" ref="D47:G47" si="9">D33*$F$4*1/D16*1000</f>
        <v>26830.732292917168</v>
      </c>
      <c r="E47" s="543">
        <f t="shared" si="9"/>
        <v>27937.500000000004</v>
      </c>
      <c r="F47" s="543">
        <f t="shared" si="9"/>
        <v>27090.909090909085</v>
      </c>
      <c r="G47" s="543">
        <f t="shared" si="9"/>
        <v>22575.757575757576</v>
      </c>
      <c r="H47" s="544"/>
      <c r="I47" s="480" t="s">
        <v>332</v>
      </c>
      <c r="J47" s="480"/>
      <c r="K47" s="544"/>
      <c r="L47" s="544"/>
      <c r="N47" s="480"/>
      <c r="O47" s="913"/>
      <c r="P47" s="55"/>
      <c r="Q47" s="55"/>
      <c r="R47" s="55"/>
      <c r="S47" s="55"/>
      <c r="T47" s="55"/>
      <c r="U47" s="55" t="s">
        <v>1183</v>
      </c>
      <c r="V47" s="526">
        <v>2030</v>
      </c>
      <c r="W47" s="927"/>
      <c r="X47" s="205"/>
      <c r="Y47" s="83">
        <f>VLOOKUP($V47,$P$38:$Y$40,9,FALSE)</f>
        <v>0.89</v>
      </c>
      <c r="Z47" s="927"/>
      <c r="AA47" s="58">
        <v>25</v>
      </c>
      <c r="AB47" s="58">
        <f>VLOOKUP($V47,$P$38:$Y$40,5,FALSE)</f>
        <v>7.6115160000000008</v>
      </c>
      <c r="AC47" s="58">
        <f>VLOOKUP($V47,$P$38:$Y$40,6,FALSE)</f>
        <v>0.22834548000000002</v>
      </c>
      <c r="AD47" s="58">
        <f>VLOOKUP($V47,$P$38:$Y$40,7,FALSE)</f>
        <v>1.9576944444444446</v>
      </c>
      <c r="AE47" s="927"/>
      <c r="AF47" s="927"/>
      <c r="AG47" s="927"/>
      <c r="AH47" s="927"/>
      <c r="AI47" s="927"/>
      <c r="AJ47" s="933"/>
    </row>
    <row r="48" spans="2:36" ht="14.7" customHeight="1" outlineLevel="1">
      <c r="B48" s="545" t="s">
        <v>895</v>
      </c>
      <c r="C48" s="546">
        <f>C47*$I48</f>
        <v>14756902.761104444</v>
      </c>
      <c r="D48" s="546">
        <f>D47*$I48</f>
        <v>13415366.146458585</v>
      </c>
      <c r="E48" s="546">
        <f>E47*$I48</f>
        <v>13968750.000000002</v>
      </c>
      <c r="F48" s="546">
        <f>F47*$I48</f>
        <v>13545454.545454543</v>
      </c>
      <c r="G48" s="546"/>
      <c r="H48" s="544"/>
      <c r="I48" s="71">
        <v>500</v>
      </c>
      <c r="J48" s="480" t="s">
        <v>330</v>
      </c>
      <c r="K48" s="544"/>
      <c r="L48" s="544"/>
      <c r="N48" s="480"/>
      <c r="O48" s="913"/>
      <c r="P48" s="55"/>
      <c r="Q48" s="55"/>
      <c r="R48" s="55"/>
      <c r="S48" s="55" t="s">
        <v>500</v>
      </c>
      <c r="T48" s="55"/>
      <c r="U48" s="55" t="s">
        <v>1183</v>
      </c>
      <c r="V48" s="526">
        <v>2030</v>
      </c>
      <c r="W48" s="927"/>
      <c r="X48" s="83">
        <f>VLOOKUP($V48,$P$38:$Y$40,8,FALSE)</f>
        <v>6.6067653276955601E-2</v>
      </c>
      <c r="Y48" s="934"/>
      <c r="Z48" s="927"/>
      <c r="AA48" s="927"/>
      <c r="AB48" s="927"/>
      <c r="AC48" s="927"/>
      <c r="AD48" s="927"/>
      <c r="AE48" s="927"/>
      <c r="AF48" s="927"/>
      <c r="AG48" s="927"/>
      <c r="AH48" s="927"/>
      <c r="AI48" s="927"/>
      <c r="AJ48" s="933"/>
    </row>
    <row r="49" spans="2:36" ht="43.2" outlineLevel="1">
      <c r="B49" s="521" t="s">
        <v>1199</v>
      </c>
      <c r="C49" s="419">
        <f>C39*$F$4*1/C16*1000</f>
        <v>885.4141656662664</v>
      </c>
      <c r="D49" s="419">
        <f t="shared" ref="D49:G49" si="10">D39*$F$4*1/D16*1000</f>
        <v>804.92196878751497</v>
      </c>
      <c r="E49" s="419">
        <f t="shared" si="10"/>
        <v>838.12500000000011</v>
      </c>
      <c r="F49" s="419">
        <f t="shared" si="10"/>
        <v>812.72727272727263</v>
      </c>
      <c r="G49" s="419">
        <f t="shared" si="10"/>
        <v>677.27272727272725</v>
      </c>
      <c r="I49" s="480" t="s">
        <v>333</v>
      </c>
      <c r="J49" s="480"/>
      <c r="N49" s="480" t="s">
        <v>1262</v>
      </c>
      <c r="O49" s="913"/>
      <c r="P49" s="55"/>
      <c r="Q49" s="55"/>
      <c r="R49" s="55"/>
      <c r="S49" s="55"/>
      <c r="T49" s="55"/>
      <c r="U49" s="55" t="s">
        <v>1183</v>
      </c>
      <c r="V49" s="526">
        <v>2050</v>
      </c>
      <c r="W49" s="927"/>
      <c r="X49" s="205"/>
      <c r="Y49" s="83">
        <f>VLOOKUP($V49,$P$38:$Y$40,9,FALSE)</f>
        <v>0.91</v>
      </c>
      <c r="Z49" s="927"/>
      <c r="AA49" s="58">
        <v>25</v>
      </c>
      <c r="AB49" s="58">
        <f>VLOOKUP($V49,$P$38:$Y$40,5,FALSE)</f>
        <v>5.3414147368421059</v>
      </c>
      <c r="AC49" s="58">
        <f>VLOOKUP($V49,$P$38:$Y$40,6,FALSE)</f>
        <v>0.16024244210526317</v>
      </c>
      <c r="AD49" s="58">
        <f>VLOOKUP($V49,$P$38:$Y$40,7,FALSE)</f>
        <v>1.8546578947368424</v>
      </c>
      <c r="AE49" s="927"/>
      <c r="AF49" s="927"/>
      <c r="AG49" s="927"/>
      <c r="AH49" s="927"/>
      <c r="AI49" s="927"/>
      <c r="AJ49" s="933"/>
    </row>
    <row r="50" spans="2:36" ht="43.8" outlineLevel="1" thickBot="1">
      <c r="B50" s="521" t="s">
        <v>971</v>
      </c>
      <c r="C50" s="547">
        <f>C40*$F$4*1/C24/3.6</f>
        <v>6.2108176603974927</v>
      </c>
      <c r="D50" s="547">
        <f t="shared" ref="D50:G50" si="11">D40*$F$4*1/D24/3.6</f>
        <v>6.2108176603974927</v>
      </c>
      <c r="E50" s="547">
        <f t="shared" si="11"/>
        <v>7.1855709876543212</v>
      </c>
      <c r="F50" s="547">
        <f t="shared" si="11"/>
        <v>7.8388047138047137</v>
      </c>
      <c r="G50" s="547">
        <f t="shared" si="11"/>
        <v>7.8388047138047137</v>
      </c>
      <c r="M50" s="480"/>
      <c r="N50" s="480"/>
      <c r="O50" s="915"/>
      <c r="P50" s="847"/>
      <c r="Q50" s="847"/>
      <c r="R50" s="847"/>
      <c r="S50" s="847" t="s">
        <v>500</v>
      </c>
      <c r="T50" s="847"/>
      <c r="U50" s="847" t="s">
        <v>1183</v>
      </c>
      <c r="V50" s="935">
        <v>2050</v>
      </c>
      <c r="W50" s="929"/>
      <c r="X50" s="936">
        <f>VLOOKUP($V50,$P$38:$Y$40,8,FALSE)</f>
        <v>5.5790462767206943E-2</v>
      </c>
      <c r="Y50" s="937"/>
      <c r="Z50" s="929"/>
      <c r="AA50" s="929"/>
      <c r="AB50" s="929"/>
      <c r="AC50" s="929"/>
      <c r="AD50" s="929"/>
      <c r="AE50" s="929"/>
      <c r="AF50" s="929"/>
      <c r="AG50" s="929"/>
      <c r="AH50" s="929"/>
      <c r="AI50" s="929"/>
      <c r="AJ50" s="938"/>
    </row>
    <row r="51" spans="2:36" outlineLevel="1"/>
    <row r="52" spans="2:36" outlineLevel="1"/>
    <row r="53" spans="2:36" outlineLevel="1"/>
    <row r="54" spans="2:36" outlineLevel="1"/>
    <row r="55" spans="2:36" outlineLevel="1">
      <c r="E55" s="417"/>
      <c r="F55" s="417"/>
      <c r="G55" s="417"/>
      <c r="H55" s="417"/>
      <c r="I55" s="417"/>
      <c r="J55" s="417"/>
      <c r="K55" s="417"/>
      <c r="L55" s="417"/>
    </row>
    <row r="56" spans="2:36" outlineLevel="1">
      <c r="B56" s="857" t="s">
        <v>898</v>
      </c>
      <c r="C56" s="237"/>
      <c r="D56" s="858"/>
      <c r="E56" s="858"/>
      <c r="F56" s="858"/>
      <c r="G56" s="858"/>
      <c r="H56" s="858"/>
      <c r="I56" s="858"/>
      <c r="J56" s="858"/>
      <c r="K56" s="858"/>
      <c r="L56" s="859"/>
    </row>
    <row r="57" spans="2:36" outlineLevel="1">
      <c r="B57" s="237">
        <v>1</v>
      </c>
      <c r="C57" s="237"/>
      <c r="D57" s="237"/>
      <c r="E57" s="860"/>
      <c r="F57" s="237"/>
      <c r="G57" s="237"/>
      <c r="H57" s="237"/>
      <c r="I57" s="237"/>
      <c r="J57" s="237"/>
      <c r="K57" s="237"/>
      <c r="L57" s="237"/>
    </row>
    <row r="58" spans="2:36" outlineLevel="1">
      <c r="B58" s="237">
        <v>2</v>
      </c>
      <c r="C58" s="237"/>
      <c r="D58" s="237"/>
      <c r="E58" s="860"/>
      <c r="F58" s="237"/>
      <c r="G58" s="237"/>
      <c r="H58" s="237"/>
      <c r="I58" s="237"/>
      <c r="J58" s="237"/>
      <c r="K58" s="237"/>
      <c r="L58" s="237"/>
    </row>
    <row r="59" spans="2:36" outlineLevel="1">
      <c r="B59" s="237">
        <v>3</v>
      </c>
      <c r="C59" s="237"/>
      <c r="D59" s="237"/>
      <c r="E59" s="860"/>
      <c r="F59" s="237"/>
      <c r="G59" s="237"/>
      <c r="H59" s="237"/>
      <c r="I59" s="237"/>
      <c r="J59" s="237"/>
      <c r="K59" s="237"/>
      <c r="L59" s="237"/>
    </row>
    <row r="60" spans="2:36" outlineLevel="1">
      <c r="B60" s="237"/>
      <c r="C60" s="237"/>
      <c r="D60" s="237"/>
      <c r="E60" s="237"/>
      <c r="F60" s="237"/>
      <c r="G60" s="237"/>
      <c r="H60" s="237"/>
      <c r="I60" s="237"/>
      <c r="J60" s="237"/>
      <c r="K60" s="237"/>
      <c r="L60" s="237"/>
    </row>
    <row r="61" spans="2:36" outlineLevel="1">
      <c r="B61" s="237"/>
      <c r="C61" s="237"/>
      <c r="D61" s="237"/>
      <c r="E61" s="237"/>
      <c r="F61" s="237"/>
      <c r="G61" s="237"/>
      <c r="H61" s="237"/>
      <c r="I61" s="237"/>
      <c r="J61" s="237"/>
      <c r="K61" s="237"/>
      <c r="L61" s="237"/>
    </row>
    <row r="62" spans="2:36" outlineLevel="1">
      <c r="B62" s="861" t="s">
        <v>908</v>
      </c>
      <c r="C62" s="237"/>
      <c r="D62" s="237"/>
      <c r="E62" s="237"/>
      <c r="F62" s="237"/>
      <c r="G62" s="237"/>
      <c r="H62" s="237"/>
      <c r="I62" s="237"/>
      <c r="J62" s="237"/>
      <c r="K62" s="237"/>
      <c r="L62" s="237"/>
    </row>
    <row r="63" spans="2:36" outlineLevel="1">
      <c r="B63" s="862" t="s">
        <v>6</v>
      </c>
      <c r="C63" s="237" t="s">
        <v>1184</v>
      </c>
      <c r="D63" s="237"/>
      <c r="E63" s="237"/>
      <c r="F63" s="237"/>
      <c r="G63" s="237"/>
      <c r="H63" s="237"/>
      <c r="I63" s="237"/>
      <c r="J63" s="237"/>
      <c r="K63" s="237"/>
      <c r="L63" s="237"/>
    </row>
    <row r="64" spans="2:36" outlineLevel="1">
      <c r="B64" s="862" t="s">
        <v>59</v>
      </c>
      <c r="C64" s="237" t="s">
        <v>1185</v>
      </c>
      <c r="D64" s="237"/>
      <c r="E64" s="237"/>
      <c r="F64" s="237"/>
      <c r="G64" s="237"/>
      <c r="H64" s="237"/>
      <c r="I64" s="237"/>
      <c r="J64" s="237"/>
      <c r="K64" s="237"/>
      <c r="L64" s="237"/>
    </row>
    <row r="65" spans="2:12" outlineLevel="1">
      <c r="B65" s="862" t="s">
        <v>16</v>
      </c>
      <c r="C65" s="237" t="s">
        <v>1186</v>
      </c>
      <c r="D65" s="237"/>
      <c r="E65" s="237"/>
      <c r="F65" s="237"/>
      <c r="G65" s="237"/>
      <c r="H65" s="237"/>
      <c r="I65" s="237"/>
      <c r="J65" s="237"/>
      <c r="K65" s="237"/>
      <c r="L65" s="237"/>
    </row>
    <row r="66" spans="2:12" outlineLevel="1">
      <c r="B66" s="862" t="s">
        <v>20</v>
      </c>
      <c r="C66" s="237" t="s">
        <v>1187</v>
      </c>
      <c r="D66" s="237"/>
      <c r="E66" s="237"/>
      <c r="F66" s="237"/>
      <c r="G66" s="237"/>
      <c r="H66" s="237"/>
      <c r="I66" s="237"/>
      <c r="J66" s="237"/>
      <c r="K66" s="237"/>
      <c r="L66" s="237"/>
    </row>
    <row r="67" spans="2:12" outlineLevel="1">
      <c r="B67" s="862" t="s">
        <v>76</v>
      </c>
      <c r="C67" s="237" t="s">
        <v>1188</v>
      </c>
      <c r="D67" s="237"/>
      <c r="E67" s="237"/>
      <c r="F67" s="237"/>
      <c r="G67" s="237"/>
      <c r="H67" s="237"/>
      <c r="I67" s="237"/>
      <c r="J67" s="237"/>
      <c r="K67" s="237"/>
      <c r="L67" s="237"/>
    </row>
    <row r="68" spans="2:12" outlineLevel="1">
      <c r="B68" s="862" t="s">
        <v>25</v>
      </c>
      <c r="C68" s="237" t="s">
        <v>1189</v>
      </c>
      <c r="D68" s="237"/>
      <c r="E68" s="237"/>
      <c r="F68" s="237"/>
      <c r="G68" s="237"/>
      <c r="H68" s="237"/>
      <c r="I68" s="237"/>
      <c r="J68" s="237"/>
      <c r="K68" s="237"/>
      <c r="L68" s="237"/>
    </row>
    <row r="69" spans="2:12" outlineLevel="1">
      <c r="B69" s="862" t="s">
        <v>33</v>
      </c>
      <c r="C69" s="237" t="s">
        <v>1190</v>
      </c>
      <c r="D69" s="237"/>
      <c r="E69" s="237"/>
      <c r="F69" s="237"/>
      <c r="G69" s="237"/>
      <c r="H69" s="237"/>
      <c r="I69" s="237"/>
      <c r="J69" s="237"/>
      <c r="K69" s="237"/>
      <c r="L69" s="237"/>
    </row>
    <row r="70" spans="2:12" outlineLevel="1">
      <c r="B70" s="862" t="s">
        <v>51</v>
      </c>
      <c r="C70" s="237" t="s">
        <v>1191</v>
      </c>
      <c r="D70" s="237"/>
      <c r="E70" s="237"/>
      <c r="F70" s="237"/>
      <c r="G70" s="237"/>
      <c r="H70" s="237"/>
      <c r="I70" s="237"/>
      <c r="J70" s="237"/>
      <c r="K70" s="237"/>
      <c r="L70" s="237"/>
    </row>
    <row r="71" spans="2:12" outlineLevel="1">
      <c r="B71" s="862" t="s">
        <v>52</v>
      </c>
      <c r="C71" s="237" t="s">
        <v>1192</v>
      </c>
      <c r="D71" s="237"/>
      <c r="E71" s="237"/>
      <c r="F71" s="237"/>
      <c r="G71" s="237"/>
      <c r="H71" s="237"/>
      <c r="I71" s="237"/>
      <c r="J71" s="237"/>
      <c r="K71" s="237"/>
      <c r="L71" s="237"/>
    </row>
    <row r="72" spans="2:12" outlineLevel="1">
      <c r="B72" s="862" t="s">
        <v>55</v>
      </c>
      <c r="C72" s="237" t="s">
        <v>1193</v>
      </c>
      <c r="D72" s="237"/>
      <c r="E72" s="237"/>
      <c r="F72" s="237"/>
      <c r="G72" s="237"/>
      <c r="H72" s="237"/>
      <c r="I72" s="237"/>
      <c r="J72" s="237"/>
      <c r="K72" s="237"/>
      <c r="L72" s="237"/>
    </row>
    <row r="73" spans="2:12" outlineLevel="1">
      <c r="B73" s="862" t="s">
        <v>49</v>
      </c>
      <c r="C73" s="237" t="s">
        <v>1194</v>
      </c>
      <c r="D73" s="237"/>
      <c r="E73" s="237"/>
      <c r="F73" s="237"/>
      <c r="G73" s="237"/>
      <c r="H73" s="237"/>
      <c r="I73" s="237"/>
      <c r="J73" s="237"/>
      <c r="K73" s="237"/>
      <c r="L73" s="237"/>
    </row>
    <row r="74" spans="2:12" outlineLevel="1">
      <c r="B74" s="862" t="s">
        <v>374</v>
      </c>
      <c r="C74" s="237" t="s">
        <v>1195</v>
      </c>
      <c r="D74" s="237"/>
      <c r="E74" s="237"/>
      <c r="F74" s="237"/>
      <c r="G74" s="237"/>
      <c r="H74" s="237"/>
      <c r="I74" s="237"/>
      <c r="J74" s="237"/>
      <c r="K74" s="237"/>
      <c r="L74" s="237"/>
    </row>
    <row r="75" spans="2:12" outlineLevel="1">
      <c r="B75" s="862" t="s">
        <v>1011</v>
      </c>
      <c r="C75" s="237" t="s">
        <v>1196</v>
      </c>
      <c r="D75" s="237"/>
      <c r="E75" s="237"/>
      <c r="F75" s="237"/>
      <c r="G75" s="237"/>
      <c r="H75" s="237"/>
      <c r="I75" s="237"/>
      <c r="J75" s="237"/>
      <c r="K75" s="237"/>
      <c r="L75" s="237"/>
    </row>
    <row r="76" spans="2:12" outlineLevel="1">
      <c r="B76" s="862" t="s">
        <v>1012</v>
      </c>
      <c r="C76" s="237" t="s">
        <v>1197</v>
      </c>
      <c r="D76" s="237"/>
      <c r="E76" s="237"/>
      <c r="F76" s="237"/>
      <c r="G76" s="237"/>
      <c r="H76" s="237"/>
      <c r="I76" s="237"/>
      <c r="J76" s="237"/>
      <c r="K76" s="237"/>
      <c r="L76" s="237"/>
    </row>
    <row r="77" spans="2:12" outlineLevel="1">
      <c r="B77" s="556"/>
      <c r="C77" s="558"/>
      <c r="G77" s="417"/>
      <c r="H77" s="417"/>
      <c r="I77" s="417"/>
      <c r="J77" s="417"/>
      <c r="K77" s="417"/>
      <c r="L77" s="417"/>
    </row>
    <row r="78" spans="2:12" outlineLevel="1">
      <c r="B78" s="556"/>
      <c r="C78" s="549"/>
      <c r="G78" s="417"/>
      <c r="H78" s="417"/>
      <c r="I78" s="417"/>
      <c r="J78" s="417"/>
      <c r="K78" s="417"/>
      <c r="L78" s="417"/>
    </row>
    <row r="79" spans="2:12" outlineLevel="1">
      <c r="E79" s="550"/>
      <c r="F79" s="550"/>
    </row>
    <row r="80" spans="2:12" outlineLevel="1"/>
    <row r="81" spans="1:21" outlineLevel="1">
      <c r="B81" s="556"/>
      <c r="C81" s="549"/>
      <c r="D81" s="549"/>
    </row>
    <row r="82" spans="1:21" outlineLevel="1">
      <c r="B82" s="698" t="str">
        <f>C87</f>
        <v>Post-combustion carbon capture retrofit - 500 MW(th) biomass-fired boiler</v>
      </c>
    </row>
    <row r="85" spans="1:21" ht="15" customHeight="1">
      <c r="A85" s="420" t="s">
        <v>1142</v>
      </c>
      <c r="B85" s="976"/>
      <c r="C85" s="977"/>
      <c r="D85" s="977"/>
      <c r="E85" s="977"/>
      <c r="F85" s="977"/>
      <c r="G85" s="977"/>
      <c r="H85" s="977"/>
      <c r="I85" s="977"/>
      <c r="J85" s="977"/>
      <c r="K85" s="977"/>
      <c r="L85" s="977"/>
      <c r="M85" s="977"/>
      <c r="N85" s="753"/>
    </row>
    <row r="86" spans="1:21" ht="15.75" customHeight="1" outlineLevel="1">
      <c r="B86" s="976"/>
      <c r="C86" s="977"/>
      <c r="D86" s="977"/>
      <c r="E86" s="977"/>
      <c r="F86" s="977"/>
      <c r="G86" s="977"/>
      <c r="H86" s="977"/>
      <c r="I86" s="977"/>
      <c r="J86" s="977"/>
      <c r="K86" s="977"/>
      <c r="L86" s="977"/>
      <c r="M86" s="977"/>
      <c r="N86" s="753"/>
    </row>
    <row r="87" spans="1:21" ht="20.25" customHeight="1" outlineLevel="1">
      <c r="B87" s="793" t="s">
        <v>0</v>
      </c>
      <c r="C87" s="978" t="s">
        <v>1200</v>
      </c>
      <c r="D87" s="979"/>
      <c r="E87" s="979"/>
      <c r="F87" s="979"/>
      <c r="G87" s="979"/>
      <c r="H87" s="979"/>
      <c r="I87" s="979"/>
      <c r="J87" s="979"/>
      <c r="K87" s="979"/>
      <c r="L87" s="979"/>
      <c r="M87" s="980"/>
      <c r="N87" s="423"/>
    </row>
    <row r="88" spans="1:21" ht="15" customHeight="1" outlineLevel="1">
      <c r="B88" s="794"/>
      <c r="C88" s="811">
        <v>2020</v>
      </c>
      <c r="D88" s="811">
        <v>2025</v>
      </c>
      <c r="E88" s="812">
        <v>2030</v>
      </c>
      <c r="F88" s="812">
        <v>2040</v>
      </c>
      <c r="G88" s="813">
        <v>2050</v>
      </c>
      <c r="H88" s="981" t="s">
        <v>1144</v>
      </c>
      <c r="I88" s="982"/>
      <c r="J88" s="981" t="s">
        <v>693</v>
      </c>
      <c r="K88" s="982"/>
      <c r="L88" s="812" t="s">
        <v>2</v>
      </c>
      <c r="M88" s="795" t="s">
        <v>3</v>
      </c>
      <c r="N88" s="427"/>
      <c r="P88" s="977"/>
      <c r="Q88" s="977"/>
      <c r="R88" s="977"/>
      <c r="S88" s="977"/>
      <c r="T88" s="977"/>
      <c r="U88" s="977"/>
    </row>
    <row r="89" spans="1:21" outlineLevel="1">
      <c r="B89" s="794"/>
      <c r="C89" s="814"/>
      <c r="D89" s="815"/>
      <c r="E89" s="816"/>
      <c r="F89" s="816"/>
      <c r="G89" s="816"/>
      <c r="H89" s="817" t="s">
        <v>694</v>
      </c>
      <c r="I89" s="817" t="s">
        <v>695</v>
      </c>
      <c r="J89" s="817" t="s">
        <v>694</v>
      </c>
      <c r="K89" s="817" t="s">
        <v>695</v>
      </c>
      <c r="L89" s="816"/>
      <c r="M89" s="796"/>
      <c r="N89" s="430"/>
    </row>
    <row r="90" spans="1:21" outlineLevel="1">
      <c r="B90" s="797" t="s">
        <v>4</v>
      </c>
      <c r="C90" s="816"/>
      <c r="D90" s="816"/>
      <c r="E90" s="816"/>
      <c r="F90" s="816"/>
      <c r="G90" s="816"/>
      <c r="H90" s="816"/>
      <c r="I90" s="816"/>
      <c r="J90" s="816"/>
      <c r="K90" s="816"/>
      <c r="L90" s="816"/>
      <c r="M90" s="796"/>
      <c r="N90" s="430"/>
    </row>
    <row r="91" spans="1:21" ht="24.6" customHeight="1" outlineLevel="1">
      <c r="B91" s="798" t="s">
        <v>1203</v>
      </c>
      <c r="C91" s="818">
        <v>164</v>
      </c>
      <c r="D91" s="818">
        <v>164</v>
      </c>
      <c r="E91" s="818">
        <v>164</v>
      </c>
      <c r="F91" s="818">
        <v>173</v>
      </c>
      <c r="G91" s="818">
        <v>173</v>
      </c>
      <c r="H91" s="818">
        <v>155</v>
      </c>
      <c r="I91" s="818">
        <v>173</v>
      </c>
      <c r="J91" s="818">
        <v>167</v>
      </c>
      <c r="K91" s="818">
        <v>180</v>
      </c>
      <c r="L91" s="818"/>
      <c r="M91" s="799"/>
      <c r="N91" s="430"/>
    </row>
    <row r="92" spans="1:21" ht="32.700000000000003" customHeight="1" outlineLevel="1">
      <c r="B92" s="800" t="s">
        <v>1146</v>
      </c>
      <c r="C92" s="819"/>
      <c r="D92" s="819"/>
      <c r="E92" s="819"/>
      <c r="F92" s="819"/>
      <c r="G92" s="819"/>
      <c r="H92" s="819"/>
      <c r="I92" s="819"/>
      <c r="J92" s="819"/>
      <c r="K92" s="819"/>
      <c r="L92" s="819"/>
      <c r="M92" s="801"/>
      <c r="N92" s="430"/>
    </row>
    <row r="93" spans="1:21" ht="14.7" customHeight="1" outlineLevel="1">
      <c r="B93" s="798" t="s">
        <v>1147</v>
      </c>
      <c r="C93" s="818">
        <v>5.0999999999999996</v>
      </c>
      <c r="D93" s="818">
        <v>5.0999999999999996</v>
      </c>
      <c r="E93" s="818">
        <v>5.0999999999999996</v>
      </c>
      <c r="F93" s="818">
        <v>4.8</v>
      </c>
      <c r="G93" s="818">
        <v>4.8</v>
      </c>
      <c r="H93" s="818">
        <v>5.4</v>
      </c>
      <c r="I93" s="818">
        <v>4.8</v>
      </c>
      <c r="J93" s="818">
        <v>5</v>
      </c>
      <c r="K93" s="818">
        <v>4.7</v>
      </c>
      <c r="L93" s="818"/>
      <c r="M93" s="799"/>
      <c r="N93" s="430"/>
    </row>
    <row r="94" spans="1:21" ht="15" customHeight="1" outlineLevel="1">
      <c r="B94" s="802" t="s">
        <v>1204</v>
      </c>
      <c r="C94" s="820">
        <v>17</v>
      </c>
      <c r="D94" s="820">
        <v>17</v>
      </c>
      <c r="E94" s="820">
        <v>17</v>
      </c>
      <c r="F94" s="820">
        <v>17</v>
      </c>
      <c r="G94" s="820">
        <v>17</v>
      </c>
      <c r="H94" s="820">
        <v>15</v>
      </c>
      <c r="I94" s="820">
        <v>17</v>
      </c>
      <c r="J94" s="820">
        <v>15</v>
      </c>
      <c r="K94" s="820">
        <v>17</v>
      </c>
      <c r="L94" s="820"/>
      <c r="M94" s="803"/>
      <c r="N94" s="430"/>
      <c r="P94" s="239">
        <f>C91*C96</f>
        <v>136.61199999999999</v>
      </c>
    </row>
    <row r="95" spans="1:21" ht="14.7" customHeight="1" outlineLevel="1">
      <c r="B95" s="802" t="s">
        <v>1205</v>
      </c>
      <c r="C95" s="818">
        <v>35</v>
      </c>
      <c r="D95" s="818">
        <v>35</v>
      </c>
      <c r="E95" s="818">
        <v>35</v>
      </c>
      <c r="F95" s="818">
        <v>35</v>
      </c>
      <c r="G95" s="818">
        <v>35</v>
      </c>
      <c r="H95" s="818">
        <v>30</v>
      </c>
      <c r="I95" s="818">
        <v>40</v>
      </c>
      <c r="J95" s="818">
        <v>30</v>
      </c>
      <c r="K95" s="818">
        <v>40</v>
      </c>
      <c r="L95" s="818" t="s">
        <v>59</v>
      </c>
      <c r="M95" s="799"/>
      <c r="N95" s="427"/>
    </row>
    <row r="96" spans="1:21" outlineLevel="1">
      <c r="B96" s="864" t="s">
        <v>1150</v>
      </c>
      <c r="C96" s="865">
        <v>0.83299999999999996</v>
      </c>
      <c r="D96" s="865">
        <v>0.83299999999999996</v>
      </c>
      <c r="E96" s="865">
        <v>0.72</v>
      </c>
      <c r="F96" s="865">
        <v>0.66</v>
      </c>
      <c r="G96" s="865">
        <v>0.66</v>
      </c>
      <c r="H96" s="866">
        <v>0.66</v>
      </c>
      <c r="I96" s="866">
        <v>1</v>
      </c>
      <c r="J96" s="866">
        <v>0.55000000000000004</v>
      </c>
      <c r="K96" s="866">
        <v>0.72</v>
      </c>
      <c r="L96" s="866" t="s">
        <v>16</v>
      </c>
      <c r="M96" s="805"/>
      <c r="N96" s="423"/>
    </row>
    <row r="97" spans="1:20" outlineLevel="1">
      <c r="B97" s="867" t="s">
        <v>1151</v>
      </c>
      <c r="C97" s="868">
        <v>0.03</v>
      </c>
      <c r="D97" s="868">
        <v>0.03</v>
      </c>
      <c r="E97" s="868">
        <v>2.5000000000000001E-2</v>
      </c>
      <c r="F97" s="868">
        <v>2.3E-2</v>
      </c>
      <c r="G97" s="868">
        <v>0.02</v>
      </c>
      <c r="H97" s="868">
        <v>2.5000000000000001E-2</v>
      </c>
      <c r="I97" s="868">
        <v>3.5000000000000003E-2</v>
      </c>
      <c r="J97" s="868">
        <v>1.7000000000000001E-2</v>
      </c>
      <c r="K97" s="868">
        <v>2.5000000000000001E-2</v>
      </c>
      <c r="L97" s="868" t="s">
        <v>20</v>
      </c>
      <c r="M97" s="803"/>
      <c r="N97" s="423"/>
      <c r="P97" s="239">
        <f>57/P98</f>
        <v>0.17093159999999996</v>
      </c>
    </row>
    <row r="98" spans="1:20" outlineLevel="1">
      <c r="B98" s="804" t="s">
        <v>1152</v>
      </c>
      <c r="C98" s="821">
        <v>0.3</v>
      </c>
      <c r="D98" s="821">
        <v>0.3</v>
      </c>
      <c r="E98" s="821">
        <v>0.2</v>
      </c>
      <c r="F98" s="821">
        <v>0.15</v>
      </c>
      <c r="G98" s="821">
        <v>0.1</v>
      </c>
      <c r="H98" s="821">
        <v>0.15</v>
      </c>
      <c r="I98" s="821">
        <v>1.5</v>
      </c>
      <c r="J98" s="821">
        <v>0.05</v>
      </c>
      <c r="K98" s="821">
        <v>0.3</v>
      </c>
      <c r="L98" s="821"/>
      <c r="M98" s="805"/>
      <c r="N98" s="423"/>
      <c r="O98" s="239" t="s">
        <v>1198</v>
      </c>
      <c r="P98" s="239">
        <f>P99*1/3.6*1000000/1000</f>
        <v>333.46672002134193</v>
      </c>
      <c r="Q98" s="239">
        <f t="shared" ref="Q98" si="12">Q99*1/3.6*1000000/1000</f>
        <v>333.46672002134193</v>
      </c>
      <c r="R98" s="239">
        <f t="shared" ref="R98" si="13">R99*1/3.6*1000000/1000</f>
        <v>385.80246913580248</v>
      </c>
      <c r="S98" s="239">
        <f t="shared" ref="S98" si="14">S99*1/3.6*1000000/1000</f>
        <v>420.87542087542084</v>
      </c>
      <c r="T98" s="239">
        <f t="shared" ref="T98" si="15">T99*1/3.6*1000000/1000</f>
        <v>420.87542087542084</v>
      </c>
    </row>
    <row r="99" spans="1:20" outlineLevel="1">
      <c r="B99" s="798" t="s">
        <v>1206</v>
      </c>
      <c r="C99" s="822"/>
      <c r="D99" s="818"/>
      <c r="E99" s="818"/>
      <c r="F99" s="818"/>
      <c r="G99" s="818"/>
      <c r="H99" s="818"/>
      <c r="I99" s="818"/>
      <c r="J99" s="818"/>
      <c r="K99" s="818"/>
      <c r="L99" s="818"/>
      <c r="M99" s="799"/>
      <c r="N99" s="423"/>
      <c r="O99" s="863"/>
      <c r="P99" s="239">
        <f>1/C96</f>
        <v>1.2004801920768309</v>
      </c>
      <c r="Q99" s="239">
        <f t="shared" ref="Q99" si="16">1/D96</f>
        <v>1.2004801920768309</v>
      </c>
      <c r="R99" s="239">
        <f t="shared" ref="R99" si="17">1/E96</f>
        <v>1.3888888888888888</v>
      </c>
      <c r="S99" s="239">
        <f t="shared" ref="S99" si="18">1/F96</f>
        <v>1.5151515151515151</v>
      </c>
      <c r="T99" s="239">
        <f t="shared" ref="T99" si="19">1/G96</f>
        <v>1.5151515151515151</v>
      </c>
    </row>
    <row r="100" spans="1:20" outlineLevel="1">
      <c r="B100" s="800" t="s">
        <v>1154</v>
      </c>
      <c r="C100" s="819"/>
      <c r="D100" s="819"/>
      <c r="E100" s="819"/>
      <c r="F100" s="819"/>
      <c r="G100" s="819"/>
      <c r="H100" s="819"/>
      <c r="I100" s="819"/>
      <c r="J100" s="819"/>
      <c r="K100" s="819"/>
      <c r="L100" s="819"/>
      <c r="M100" s="801"/>
      <c r="N100" s="423"/>
    </row>
    <row r="101" spans="1:20" outlineLevel="1">
      <c r="B101" s="806" t="s">
        <v>1201</v>
      </c>
      <c r="C101" s="818">
        <v>97</v>
      </c>
      <c r="D101" s="818">
        <v>97</v>
      </c>
      <c r="E101" s="818">
        <v>98</v>
      </c>
      <c r="F101" s="818">
        <v>99</v>
      </c>
      <c r="G101" s="818">
        <v>99</v>
      </c>
      <c r="H101" s="818">
        <v>96</v>
      </c>
      <c r="I101" s="818">
        <v>98</v>
      </c>
      <c r="J101" s="818">
        <v>98</v>
      </c>
      <c r="K101" s="818">
        <v>99</v>
      </c>
      <c r="L101" s="818" t="s">
        <v>76</v>
      </c>
      <c r="M101" s="799"/>
      <c r="N101" s="423"/>
    </row>
    <row r="102" spans="1:20" outlineLevel="1">
      <c r="B102" s="806" t="s">
        <v>1202</v>
      </c>
      <c r="C102" s="818">
        <v>160</v>
      </c>
      <c r="D102" s="818">
        <v>160</v>
      </c>
      <c r="E102" s="818">
        <v>300</v>
      </c>
      <c r="F102" s="818">
        <v>400</v>
      </c>
      <c r="G102" s="818">
        <v>400</v>
      </c>
      <c r="H102" s="818">
        <v>120</v>
      </c>
      <c r="I102" s="818">
        <v>300</v>
      </c>
      <c r="J102" s="818">
        <v>300</v>
      </c>
      <c r="K102" s="818">
        <v>600</v>
      </c>
      <c r="L102" s="818" t="s">
        <v>25</v>
      </c>
      <c r="M102" s="799"/>
      <c r="N102" s="480"/>
      <c r="P102" s="239">
        <f>P103/P99</f>
        <v>0.17093159999999999</v>
      </c>
    </row>
    <row r="103" spans="1:20" ht="38.25" customHeight="1" outlineLevel="1">
      <c r="B103" s="798" t="s">
        <v>1207</v>
      </c>
      <c r="C103" s="818">
        <v>90</v>
      </c>
      <c r="D103" s="818">
        <v>90</v>
      </c>
      <c r="E103" s="818">
        <v>90</v>
      </c>
      <c r="F103" s="818">
        <v>95</v>
      </c>
      <c r="G103" s="818">
        <v>95</v>
      </c>
      <c r="H103" s="818">
        <v>85</v>
      </c>
      <c r="I103" s="818">
        <v>95</v>
      </c>
      <c r="J103" s="818">
        <v>92</v>
      </c>
      <c r="K103" s="818">
        <v>99</v>
      </c>
      <c r="L103" s="818"/>
      <c r="M103" s="799"/>
      <c r="N103" s="488"/>
      <c r="P103" s="239">
        <f>57/1*3.6/1000000*1000</f>
        <v>0.20520000000000002</v>
      </c>
    </row>
    <row r="104" spans="1:20" outlineLevel="1">
      <c r="B104" s="798" t="s">
        <v>1158</v>
      </c>
      <c r="C104" s="818">
        <v>0.83299999999999996</v>
      </c>
      <c r="D104" s="818">
        <v>0.83299999999999996</v>
      </c>
      <c r="E104" s="818">
        <v>0.72</v>
      </c>
      <c r="F104" s="818">
        <v>0.66</v>
      </c>
      <c r="G104" s="818">
        <v>0.66</v>
      </c>
      <c r="H104" s="821">
        <v>0.66</v>
      </c>
      <c r="I104" s="821">
        <v>1</v>
      </c>
      <c r="J104" s="821">
        <v>0.55000000000000004</v>
      </c>
      <c r="K104" s="821">
        <v>0.72</v>
      </c>
      <c r="L104" s="818"/>
      <c r="M104" s="799"/>
      <c r="N104" s="488"/>
      <c r="P104" s="239">
        <f>333.5/1*3.6/1000000*1000</f>
        <v>1.2006000000000003</v>
      </c>
    </row>
    <row r="105" spans="1:20" outlineLevel="1">
      <c r="B105" s="802" t="s">
        <v>1208</v>
      </c>
      <c r="C105" s="818">
        <v>60</v>
      </c>
      <c r="D105" s="818">
        <v>60</v>
      </c>
      <c r="E105" s="818">
        <v>60</v>
      </c>
      <c r="F105" s="818">
        <v>70</v>
      </c>
      <c r="G105" s="818">
        <v>70</v>
      </c>
      <c r="H105" s="818">
        <v>50</v>
      </c>
      <c r="I105" s="818">
        <v>80</v>
      </c>
      <c r="J105" s="818">
        <v>50</v>
      </c>
      <c r="K105" s="818">
        <v>120</v>
      </c>
      <c r="L105" s="818" t="s">
        <v>51</v>
      </c>
      <c r="M105" s="799"/>
      <c r="N105" s="488"/>
    </row>
    <row r="106" spans="1:20" outlineLevel="1">
      <c r="B106" s="807" t="s">
        <v>1160</v>
      </c>
      <c r="C106" s="821"/>
      <c r="D106" s="821"/>
      <c r="E106" s="821"/>
      <c r="F106" s="821"/>
      <c r="G106" s="821"/>
      <c r="H106" s="821"/>
      <c r="I106" s="821"/>
      <c r="J106" s="821"/>
      <c r="K106" s="821"/>
      <c r="L106" s="821"/>
      <c r="M106" s="805"/>
      <c r="N106" s="488"/>
    </row>
    <row r="107" spans="1:20" outlineLevel="1">
      <c r="B107" s="800" t="s">
        <v>1161</v>
      </c>
      <c r="C107" s="821"/>
      <c r="D107" s="821"/>
      <c r="E107" s="821"/>
      <c r="F107" s="821"/>
      <c r="G107" s="821"/>
      <c r="H107" s="821"/>
      <c r="I107" s="821"/>
      <c r="J107" s="821"/>
      <c r="K107" s="821"/>
      <c r="L107" s="821"/>
      <c r="M107" s="805"/>
      <c r="N107" s="488"/>
    </row>
    <row r="108" spans="1:20" outlineLevel="1">
      <c r="B108" s="798" t="s">
        <v>702</v>
      </c>
      <c r="C108" s="818">
        <v>5</v>
      </c>
      <c r="D108" s="818">
        <v>5</v>
      </c>
      <c r="E108" s="818">
        <v>3</v>
      </c>
      <c r="F108" s="818">
        <v>3</v>
      </c>
      <c r="G108" s="818">
        <v>3</v>
      </c>
      <c r="H108" s="818">
        <v>3</v>
      </c>
      <c r="I108" s="818">
        <v>3</v>
      </c>
      <c r="J108" s="818">
        <v>3</v>
      </c>
      <c r="K108" s="818">
        <v>3</v>
      </c>
      <c r="L108" s="818"/>
      <c r="M108" s="799"/>
      <c r="N108" s="488"/>
    </row>
    <row r="109" spans="1:20" ht="52.2" customHeight="1" outlineLevel="1">
      <c r="A109" s="495"/>
      <c r="B109" s="798" t="s">
        <v>703</v>
      </c>
      <c r="C109" s="818">
        <v>3</v>
      </c>
      <c r="D109" s="818">
        <v>3</v>
      </c>
      <c r="E109" s="818">
        <v>3</v>
      </c>
      <c r="F109" s="818">
        <v>2</v>
      </c>
      <c r="G109" s="818">
        <v>2</v>
      </c>
      <c r="H109" s="818">
        <v>2</v>
      </c>
      <c r="I109" s="818">
        <v>4</v>
      </c>
      <c r="J109" s="818">
        <v>2</v>
      </c>
      <c r="K109" s="818">
        <v>3</v>
      </c>
      <c r="L109" s="818"/>
      <c r="M109" s="799"/>
      <c r="N109" s="480"/>
    </row>
    <row r="110" spans="1:20" outlineLevel="1">
      <c r="B110" s="798" t="s">
        <v>11</v>
      </c>
      <c r="C110" s="818">
        <v>25</v>
      </c>
      <c r="D110" s="818">
        <v>25</v>
      </c>
      <c r="E110" s="818">
        <v>25</v>
      </c>
      <c r="F110" s="818">
        <v>25</v>
      </c>
      <c r="G110" s="818">
        <v>25</v>
      </c>
      <c r="H110" s="818">
        <v>25</v>
      </c>
      <c r="I110" s="818">
        <v>25</v>
      </c>
      <c r="J110" s="818">
        <v>25</v>
      </c>
      <c r="K110" s="818">
        <v>25</v>
      </c>
      <c r="L110" s="818"/>
      <c r="M110" s="799"/>
      <c r="N110" s="480"/>
    </row>
    <row r="111" spans="1:20" outlineLevel="1">
      <c r="B111" s="798" t="s">
        <v>273</v>
      </c>
      <c r="C111" s="818">
        <v>3</v>
      </c>
      <c r="D111" s="818">
        <v>3</v>
      </c>
      <c r="E111" s="818">
        <v>2.5</v>
      </c>
      <c r="F111" s="818">
        <v>2</v>
      </c>
      <c r="G111" s="818">
        <v>2</v>
      </c>
      <c r="H111" s="818">
        <v>2</v>
      </c>
      <c r="I111" s="818">
        <v>4</v>
      </c>
      <c r="J111" s="818">
        <v>2</v>
      </c>
      <c r="K111" s="818">
        <v>3</v>
      </c>
      <c r="L111" s="818"/>
      <c r="M111" s="799"/>
      <c r="N111" s="480"/>
    </row>
    <row r="112" spans="1:20" outlineLevel="1">
      <c r="B112" s="808" t="s">
        <v>719</v>
      </c>
      <c r="C112" s="823"/>
      <c r="D112" s="823"/>
      <c r="E112" s="823"/>
      <c r="F112" s="823"/>
      <c r="G112" s="823"/>
      <c r="H112" s="823"/>
      <c r="I112" s="823"/>
      <c r="J112" s="823"/>
      <c r="K112" s="823"/>
      <c r="L112" s="823"/>
      <c r="M112" s="808"/>
      <c r="N112" s="480"/>
    </row>
    <row r="113" spans="2:30" ht="37.200000000000003" customHeight="1" outlineLevel="1">
      <c r="B113" s="798" t="s">
        <v>1162</v>
      </c>
      <c r="C113" s="824">
        <v>2.7</v>
      </c>
      <c r="D113" s="824">
        <v>2.5</v>
      </c>
      <c r="E113" s="824">
        <v>2.2999999999999998</v>
      </c>
      <c r="F113" s="824">
        <v>2</v>
      </c>
      <c r="G113" s="824">
        <v>1.6</v>
      </c>
      <c r="H113" s="824">
        <v>2.2000000000000002</v>
      </c>
      <c r="I113" s="824">
        <v>3.7</v>
      </c>
      <c r="J113" s="824">
        <v>1.2</v>
      </c>
      <c r="K113" s="818">
        <v>2.2000000000000002</v>
      </c>
      <c r="L113" s="818" t="s">
        <v>52</v>
      </c>
      <c r="M113" s="799"/>
      <c r="N113" s="753"/>
    </row>
    <row r="114" spans="2:30" ht="15.75" customHeight="1" outlineLevel="1">
      <c r="B114" s="802" t="s">
        <v>1163</v>
      </c>
      <c r="C114" s="818">
        <v>50</v>
      </c>
      <c r="D114" s="818">
        <v>50</v>
      </c>
      <c r="E114" s="818">
        <v>50</v>
      </c>
      <c r="F114" s="818">
        <v>50</v>
      </c>
      <c r="G114" s="818">
        <v>50</v>
      </c>
      <c r="H114" s="818"/>
      <c r="I114" s="818"/>
      <c r="J114" s="818"/>
      <c r="K114" s="825"/>
      <c r="L114" s="818" t="s">
        <v>55</v>
      </c>
      <c r="M114" s="799"/>
      <c r="N114" s="753"/>
    </row>
    <row r="115" spans="2:30" outlineLevel="1">
      <c r="B115" s="798" t="s">
        <v>1164</v>
      </c>
      <c r="C115" s="818">
        <v>10</v>
      </c>
      <c r="D115" s="818">
        <v>10</v>
      </c>
      <c r="E115" s="818">
        <v>10</v>
      </c>
      <c r="F115" s="818">
        <v>10</v>
      </c>
      <c r="G115" s="818">
        <v>10</v>
      </c>
      <c r="H115" s="818"/>
      <c r="I115" s="818"/>
      <c r="J115" s="818"/>
      <c r="K115" s="825"/>
      <c r="L115" s="818" t="s">
        <v>49</v>
      </c>
      <c r="M115" s="799"/>
      <c r="N115" s="423"/>
    </row>
    <row r="116" spans="2:30" outlineLevel="1">
      <c r="B116" s="809" t="s">
        <v>1165</v>
      </c>
      <c r="C116" s="818">
        <v>10</v>
      </c>
      <c r="D116" s="818">
        <v>10</v>
      </c>
      <c r="E116" s="818">
        <v>10</v>
      </c>
      <c r="F116" s="818">
        <v>10</v>
      </c>
      <c r="G116" s="818">
        <v>10</v>
      </c>
      <c r="H116" s="818"/>
      <c r="I116" s="818"/>
      <c r="J116" s="818"/>
      <c r="K116" s="825"/>
      <c r="L116" s="274"/>
      <c r="M116" s="799"/>
      <c r="N116" s="427"/>
      <c r="P116" s="999">
        <f>C113</f>
        <v>2.7</v>
      </c>
      <c r="Q116" s="977"/>
      <c r="R116" s="977"/>
      <c r="S116" s="977"/>
      <c r="T116" s="977"/>
      <c r="U116" s="1000"/>
    </row>
    <row r="117" spans="2:30" ht="15" outlineLevel="1" thickBot="1">
      <c r="B117" s="798" t="s">
        <v>1166</v>
      </c>
      <c r="C117" s="818">
        <v>15</v>
      </c>
      <c r="D117" s="818">
        <v>15</v>
      </c>
      <c r="E117" s="818">
        <v>15</v>
      </c>
      <c r="F117" s="818">
        <v>15</v>
      </c>
      <c r="G117" s="818">
        <v>15</v>
      </c>
      <c r="H117" s="818"/>
      <c r="I117" s="818"/>
      <c r="J117" s="818"/>
      <c r="K117" s="825"/>
      <c r="L117" s="818" t="s">
        <v>374</v>
      </c>
      <c r="M117" s="799"/>
      <c r="N117" s="423"/>
      <c r="P117" s="1001">
        <f>C114</f>
        <v>50</v>
      </c>
      <c r="Q117" s="1002"/>
      <c r="R117" s="1002"/>
      <c r="S117" s="1002"/>
      <c r="T117" s="1002"/>
      <c r="U117" s="1003"/>
    </row>
    <row r="118" spans="2:30" outlineLevel="1">
      <c r="B118" s="798" t="s">
        <v>1167</v>
      </c>
      <c r="C118" s="818">
        <v>15</v>
      </c>
      <c r="D118" s="818">
        <v>15</v>
      </c>
      <c r="E118" s="818">
        <v>15</v>
      </c>
      <c r="F118" s="818">
        <v>15</v>
      </c>
      <c r="G118" s="818">
        <v>15</v>
      </c>
      <c r="H118" s="818"/>
      <c r="I118" s="818"/>
      <c r="J118" s="818"/>
      <c r="K118" s="826"/>
      <c r="L118" s="274"/>
      <c r="M118" s="799"/>
      <c r="N118" s="423"/>
      <c r="P118" s="53" t="s">
        <v>357</v>
      </c>
    </row>
    <row r="119" spans="2:30" ht="27.6" outlineLevel="1">
      <c r="B119" s="807" t="s">
        <v>1168</v>
      </c>
      <c r="C119" s="821">
        <f>C113*0.03</f>
        <v>8.1000000000000003E-2</v>
      </c>
      <c r="D119" s="821">
        <f>D113*0.03</f>
        <v>7.4999999999999997E-2</v>
      </c>
      <c r="E119" s="821">
        <f>E113*0.03</f>
        <v>6.8999999999999992E-2</v>
      </c>
      <c r="F119" s="821">
        <f>F113*0.03</f>
        <v>0.06</v>
      </c>
      <c r="G119" s="821">
        <f>G113*0.03</f>
        <v>4.8000000000000001E-2</v>
      </c>
      <c r="H119" s="821">
        <f t="shared" ref="H119:K119" si="20">H113*0.03</f>
        <v>6.6000000000000003E-2</v>
      </c>
      <c r="I119" s="821">
        <f t="shared" si="20"/>
        <v>0.111</v>
      </c>
      <c r="J119" s="821">
        <f t="shared" si="20"/>
        <v>3.5999999999999997E-2</v>
      </c>
      <c r="K119" s="821">
        <f t="shared" si="20"/>
        <v>6.6000000000000003E-2</v>
      </c>
      <c r="L119" s="818" t="s">
        <v>1011</v>
      </c>
      <c r="M119" s="805"/>
      <c r="N119" s="423"/>
      <c r="P119" s="46" t="s">
        <v>335</v>
      </c>
      <c r="Q119" s="46" t="s">
        <v>336</v>
      </c>
      <c r="R119" s="47" t="s">
        <v>337</v>
      </c>
      <c r="S119" s="47" t="s">
        <v>338</v>
      </c>
      <c r="T119" s="47" t="s">
        <v>339</v>
      </c>
      <c r="U119" s="48" t="s">
        <v>340</v>
      </c>
      <c r="V119" s="49" t="s">
        <v>341</v>
      </c>
      <c r="W119" s="49" t="s">
        <v>342</v>
      </c>
      <c r="X119" s="49" t="s">
        <v>343</v>
      </c>
      <c r="Y119" s="49" t="s">
        <v>344</v>
      </c>
      <c r="Z119" s="49" t="s">
        <v>345</v>
      </c>
      <c r="AA119" s="49" t="s">
        <v>346</v>
      </c>
      <c r="AB119" s="49" t="s">
        <v>347</v>
      </c>
      <c r="AC119" s="49" t="s">
        <v>348</v>
      </c>
      <c r="AD119" s="49" t="s">
        <v>349</v>
      </c>
    </row>
    <row r="120" spans="2:30" ht="14.7" customHeight="1" outlineLevel="1" thickBot="1">
      <c r="B120" s="802" t="s">
        <v>1169</v>
      </c>
      <c r="C120" s="818">
        <v>2.5</v>
      </c>
      <c r="D120" s="818">
        <v>2.5</v>
      </c>
      <c r="E120" s="818">
        <v>2.5</v>
      </c>
      <c r="F120" s="818">
        <v>2.5</v>
      </c>
      <c r="G120" s="818">
        <v>2.5</v>
      </c>
      <c r="H120" s="821">
        <v>1.5</v>
      </c>
      <c r="I120" s="821">
        <v>3.5</v>
      </c>
      <c r="J120" s="821">
        <v>1.5</v>
      </c>
      <c r="K120" s="821">
        <v>3.5</v>
      </c>
      <c r="L120" s="274"/>
      <c r="M120" s="799"/>
      <c r="N120" s="423"/>
      <c r="P120" s="50"/>
      <c r="Q120" s="50"/>
      <c r="R120" s="51"/>
      <c r="S120" s="51"/>
      <c r="T120" s="51"/>
      <c r="U120" s="51" t="s">
        <v>885</v>
      </c>
      <c r="V120" s="50" t="s">
        <v>886</v>
      </c>
      <c r="W120" s="50"/>
      <c r="X120" s="50"/>
      <c r="Y120" s="50"/>
      <c r="Z120" s="50"/>
      <c r="AA120" s="50"/>
      <c r="AB120" s="50"/>
      <c r="AC120" s="50"/>
      <c r="AD120" s="50"/>
    </row>
    <row r="121" spans="2:30" ht="43.2" outlineLevel="1">
      <c r="B121" s="806" t="s">
        <v>1170</v>
      </c>
      <c r="C121" s="818">
        <v>25</v>
      </c>
      <c r="D121" s="818">
        <v>25</v>
      </c>
      <c r="E121" s="818">
        <v>25</v>
      </c>
      <c r="F121" s="818">
        <v>25</v>
      </c>
      <c r="G121" s="818">
        <v>25</v>
      </c>
      <c r="H121" s="818"/>
      <c r="I121" s="818"/>
      <c r="J121" s="818"/>
      <c r="K121" s="825"/>
      <c r="L121" s="274"/>
      <c r="M121" s="799"/>
      <c r="N121" s="423"/>
      <c r="O121" s="521" t="s">
        <v>857</v>
      </c>
      <c r="P121" s="56"/>
      <c r="Q121" s="56"/>
      <c r="R121" s="57"/>
      <c r="S121" s="57"/>
      <c r="T121" s="57"/>
      <c r="U121" s="56" t="s">
        <v>350</v>
      </c>
      <c r="V121" s="56" t="s">
        <v>326</v>
      </c>
      <c r="W121" s="56" t="s">
        <v>327</v>
      </c>
      <c r="X121" s="56" t="s">
        <v>351</v>
      </c>
      <c r="Y121" s="56" t="s">
        <v>351</v>
      </c>
      <c r="Z121" s="56" t="s">
        <v>352</v>
      </c>
      <c r="AA121" s="56" t="s">
        <v>352</v>
      </c>
      <c r="AB121" s="56" t="s">
        <v>352</v>
      </c>
      <c r="AC121" s="56" t="s">
        <v>352</v>
      </c>
      <c r="AD121" s="56" t="s">
        <v>352</v>
      </c>
    </row>
    <row r="122" spans="2:30" ht="14.7" customHeight="1" outlineLevel="1">
      <c r="B122" s="797" t="s">
        <v>1171</v>
      </c>
      <c r="C122" s="816"/>
      <c r="D122" s="816"/>
      <c r="E122" s="816"/>
      <c r="F122" s="816"/>
      <c r="G122" s="816"/>
      <c r="H122" s="816"/>
      <c r="I122" s="816"/>
      <c r="J122" s="816"/>
      <c r="K122" s="816"/>
      <c r="L122" s="816"/>
      <c r="M122" s="810"/>
      <c r="N122" s="423"/>
      <c r="O122" s="525">
        <f>C92</f>
        <v>0</v>
      </c>
      <c r="P122" s="526">
        <f>C88</f>
        <v>2020</v>
      </c>
      <c r="Q122" s="58">
        <f>P122</f>
        <v>2020</v>
      </c>
      <c r="R122" s="526">
        <f>O122/100</f>
        <v>0</v>
      </c>
      <c r="S122" s="58"/>
      <c r="T122" s="526">
        <f>C96</f>
        <v>0.83299999999999996</v>
      </c>
      <c r="U122" s="527">
        <f>C127</f>
        <v>24147.659063625455</v>
      </c>
      <c r="V122" s="527">
        <f>C129</f>
        <v>724.42977190876354</v>
      </c>
      <c r="W122" s="527">
        <f>C130</f>
        <v>6.2108176603974927</v>
      </c>
      <c r="X122" s="58"/>
      <c r="Y122" s="58"/>
      <c r="Z122" s="526">
        <f>C103</f>
        <v>90</v>
      </c>
      <c r="AA122" s="528">
        <f>C105</f>
        <v>60</v>
      </c>
      <c r="AB122" s="528">
        <f>C106</f>
        <v>0</v>
      </c>
      <c r="AC122" s="528">
        <f>C107</f>
        <v>0</v>
      </c>
      <c r="AD122" s="528">
        <f>C104</f>
        <v>0.83299999999999996</v>
      </c>
    </row>
    <row r="123" spans="2:30" outlineLevel="1">
      <c r="B123" s="802" t="s">
        <v>1172</v>
      </c>
      <c r="C123" s="827">
        <v>0.1</v>
      </c>
      <c r="D123" s="827">
        <v>0.1</v>
      </c>
      <c r="E123" s="818">
        <v>8.5000000000000006E-2</v>
      </c>
      <c r="F123" s="818">
        <v>7.4999999999999997E-2</v>
      </c>
      <c r="G123" s="818">
        <v>7.4999999999999997E-2</v>
      </c>
      <c r="H123" s="818">
        <v>0.09</v>
      </c>
      <c r="I123" s="818">
        <v>0.11</v>
      </c>
      <c r="J123" s="818">
        <v>7.0000000000000007E-2</v>
      </c>
      <c r="K123" s="820">
        <v>0.09</v>
      </c>
      <c r="L123" s="818" t="s">
        <v>1012</v>
      </c>
      <c r="M123" s="799"/>
      <c r="N123" s="427"/>
      <c r="O123" s="525">
        <f>D92</f>
        <v>0</v>
      </c>
      <c r="P123" s="526">
        <f>D88</f>
        <v>2025</v>
      </c>
      <c r="Q123" s="58"/>
      <c r="R123" s="526">
        <f>O123/100</f>
        <v>0</v>
      </c>
      <c r="S123" s="58"/>
      <c r="T123" s="526">
        <f>D96</f>
        <v>0.83299999999999996</v>
      </c>
      <c r="U123" s="527">
        <f>D127</f>
        <v>22358.943577430975</v>
      </c>
      <c r="V123" s="527">
        <f>D129</f>
        <v>670.7683073229291</v>
      </c>
      <c r="W123" s="527">
        <f>D130</f>
        <v>6.2108176603974927</v>
      </c>
      <c r="X123" s="58"/>
      <c r="Y123" s="58"/>
      <c r="Z123" s="526">
        <f>D103</f>
        <v>90</v>
      </c>
      <c r="AA123" s="528">
        <f>D105</f>
        <v>60</v>
      </c>
      <c r="AB123" s="528">
        <f>D106</f>
        <v>0</v>
      </c>
      <c r="AC123" s="528">
        <f>D107</f>
        <v>0</v>
      </c>
      <c r="AD123" s="528">
        <f>D104</f>
        <v>0.83299999999999996</v>
      </c>
    </row>
    <row r="124" spans="2:30" outlineLevel="1">
      <c r="B124" s="802" t="s">
        <v>1173</v>
      </c>
      <c r="C124" s="818">
        <v>0.16</v>
      </c>
      <c r="D124" s="818">
        <v>0.16</v>
      </c>
      <c r="E124" s="818">
        <v>0.14000000000000001</v>
      </c>
      <c r="F124" s="818">
        <v>0.13</v>
      </c>
      <c r="G124" s="818">
        <v>0.13</v>
      </c>
      <c r="H124" s="818">
        <v>0.14000000000000001</v>
      </c>
      <c r="I124" s="818">
        <v>0.18</v>
      </c>
      <c r="J124" s="818">
        <v>0.12</v>
      </c>
      <c r="K124" s="820">
        <v>0.15</v>
      </c>
      <c r="L124" s="818" t="s">
        <v>1012</v>
      </c>
      <c r="M124" s="799"/>
      <c r="N124" s="423"/>
      <c r="O124" s="525">
        <f>E92</f>
        <v>0</v>
      </c>
      <c r="P124" s="526">
        <f>E88</f>
        <v>2030</v>
      </c>
      <c r="Q124" s="58"/>
      <c r="R124" s="526">
        <f>O124/100</f>
        <v>0</v>
      </c>
      <c r="S124" s="58"/>
      <c r="T124" s="526">
        <f>E96</f>
        <v>0.72</v>
      </c>
      <c r="U124" s="527">
        <f>E127</f>
        <v>23798.611111111109</v>
      </c>
      <c r="V124" s="527">
        <f>E129</f>
        <v>713.95833333333337</v>
      </c>
      <c r="W124" s="527">
        <f>E130</f>
        <v>7.1855709876543212</v>
      </c>
      <c r="X124" s="58"/>
      <c r="Y124" s="58"/>
      <c r="Z124" s="526">
        <f>E103</f>
        <v>90</v>
      </c>
      <c r="AA124" s="528">
        <f>E105</f>
        <v>60</v>
      </c>
      <c r="AB124" s="528">
        <f>E106</f>
        <v>0</v>
      </c>
      <c r="AC124" s="528">
        <f>E107</f>
        <v>0</v>
      </c>
      <c r="AD124" s="528">
        <f>E104</f>
        <v>0.72</v>
      </c>
    </row>
    <row r="125" spans="2:30" outlineLevel="1">
      <c r="B125" s="802"/>
      <c r="C125" s="818"/>
      <c r="D125" s="818"/>
      <c r="E125" s="818"/>
      <c r="F125" s="818"/>
      <c r="G125" s="818"/>
      <c r="H125" s="818"/>
      <c r="I125" s="818"/>
      <c r="J125" s="818"/>
      <c r="K125" s="825"/>
      <c r="L125" s="818"/>
      <c r="M125" s="799"/>
      <c r="N125" s="423"/>
      <c r="O125" s="525">
        <f>F92</f>
        <v>0</v>
      </c>
      <c r="P125" s="526">
        <f>F88</f>
        <v>2040</v>
      </c>
      <c r="Q125" s="58"/>
      <c r="R125" s="526">
        <f>O125/100</f>
        <v>0</v>
      </c>
      <c r="S125" s="58"/>
      <c r="T125" s="526">
        <f>F96</f>
        <v>0.66</v>
      </c>
      <c r="U125" s="527">
        <f>F127</f>
        <v>22575.757575757576</v>
      </c>
      <c r="V125" s="527">
        <f>F129</f>
        <v>677.27272727272725</v>
      </c>
      <c r="W125" s="527">
        <f>F130</f>
        <v>7.8388047138047137</v>
      </c>
      <c r="X125" s="58"/>
      <c r="Y125" s="58"/>
      <c r="Z125" s="526">
        <f>F103</f>
        <v>95</v>
      </c>
      <c r="AA125" s="528">
        <f>F105</f>
        <v>70</v>
      </c>
      <c r="AB125" s="528">
        <f>F106</f>
        <v>0</v>
      </c>
      <c r="AC125" s="528">
        <f>F107</f>
        <v>0</v>
      </c>
      <c r="AD125" s="528">
        <f>F104</f>
        <v>0.66</v>
      </c>
    </row>
    <row r="126" spans="2:30" outlineLevel="1">
      <c r="B126" s="798"/>
      <c r="C126" s="818"/>
      <c r="D126" s="818"/>
      <c r="E126" s="818"/>
      <c r="F126" s="818"/>
      <c r="G126" s="826"/>
      <c r="H126" s="818"/>
      <c r="I126" s="818"/>
      <c r="J126" s="818"/>
      <c r="K126" s="826"/>
      <c r="L126" s="818"/>
      <c r="M126" s="799"/>
      <c r="N126" s="423"/>
      <c r="O126" s="525">
        <f>E94</f>
        <v>17</v>
      </c>
      <c r="P126" s="526">
        <f>G88</f>
        <v>2050</v>
      </c>
      <c r="Q126" s="58"/>
      <c r="R126" s="526">
        <f>O126/100</f>
        <v>0.17</v>
      </c>
      <c r="S126" s="58"/>
      <c r="T126" s="526">
        <f>E98</f>
        <v>0.2</v>
      </c>
      <c r="U126" s="527">
        <f>E129</f>
        <v>713.95833333333337</v>
      </c>
      <c r="V126" s="527">
        <f>E131</f>
        <v>0</v>
      </c>
      <c r="W126" s="527">
        <f>E132</f>
        <v>0</v>
      </c>
      <c r="X126" s="58"/>
      <c r="Y126" s="58"/>
      <c r="Z126" s="526">
        <f>E105</f>
        <v>60</v>
      </c>
      <c r="AA126" s="528">
        <f>E107</f>
        <v>0</v>
      </c>
      <c r="AB126" s="528">
        <f>E108</f>
        <v>3</v>
      </c>
      <c r="AC126" s="528">
        <f>E109</f>
        <v>3</v>
      </c>
      <c r="AD126" s="528">
        <f>E106</f>
        <v>0</v>
      </c>
    </row>
    <row r="127" spans="2:30" ht="57.6" outlineLevel="1">
      <c r="B127" s="521" t="s">
        <v>894</v>
      </c>
      <c r="C127" s="543">
        <f>C113*$F$4*1/C96*1000</f>
        <v>24147.659063625455</v>
      </c>
      <c r="D127" s="543">
        <f t="shared" ref="D127:G127" si="21">D113*$F$4*1/D96*1000</f>
        <v>22358.943577430975</v>
      </c>
      <c r="E127" s="543">
        <f t="shared" si="21"/>
        <v>23798.611111111109</v>
      </c>
      <c r="F127" s="543">
        <f t="shared" si="21"/>
        <v>22575.757575757576</v>
      </c>
      <c r="G127" s="543">
        <f t="shared" si="21"/>
        <v>18060.606060606064</v>
      </c>
      <c r="H127" s="544"/>
      <c r="I127" s="480" t="s">
        <v>332</v>
      </c>
      <c r="J127" s="480"/>
      <c r="K127" s="544"/>
      <c r="L127" s="544"/>
      <c r="N127" s="480"/>
    </row>
    <row r="128" spans="2:30" ht="14.7" customHeight="1" outlineLevel="1">
      <c r="B128" s="545" t="s">
        <v>895</v>
      </c>
      <c r="C128" s="546">
        <f>C127*$I128</f>
        <v>12073829.531812727</v>
      </c>
      <c r="D128" s="546">
        <f>D127*$I128</f>
        <v>11179471.788715487</v>
      </c>
      <c r="E128" s="546">
        <f>E127*$I128</f>
        <v>11899305.555555554</v>
      </c>
      <c r="F128" s="546">
        <f>F127*$I128</f>
        <v>11287878.787878787</v>
      </c>
      <c r="G128" s="546"/>
      <c r="H128" s="544"/>
      <c r="I128" s="71">
        <v>500</v>
      </c>
      <c r="J128" s="480" t="s">
        <v>330</v>
      </c>
      <c r="K128" s="544"/>
      <c r="L128" s="544"/>
      <c r="N128" s="480"/>
    </row>
    <row r="129" spans="2:14" ht="43.2" outlineLevel="1">
      <c r="B129" s="521" t="s">
        <v>1199</v>
      </c>
      <c r="C129" s="419">
        <f>C119*$F$4*1/C96*1000</f>
        <v>724.42977190876354</v>
      </c>
      <c r="D129" s="419">
        <f t="shared" ref="D129:G129" si="22">D119*$F$4*1/D96*1000</f>
        <v>670.7683073229291</v>
      </c>
      <c r="E129" s="419">
        <f t="shared" si="22"/>
        <v>713.95833333333337</v>
      </c>
      <c r="F129" s="419">
        <f t="shared" si="22"/>
        <v>677.27272727272725</v>
      </c>
      <c r="G129" s="419">
        <f t="shared" si="22"/>
        <v>541.81818181818187</v>
      </c>
      <c r="I129" s="480" t="s">
        <v>333</v>
      </c>
      <c r="J129" s="480"/>
      <c r="N129" s="480"/>
    </row>
    <row r="130" spans="2:14" ht="43.2" outlineLevel="1">
      <c r="B130" s="521" t="s">
        <v>971</v>
      </c>
      <c r="C130" s="547">
        <f>C120*$F$4*1/C104/3.6</f>
        <v>6.2108176603974927</v>
      </c>
      <c r="D130" s="547">
        <f t="shared" ref="D130:G130" si="23">D120*$F$4*1/D104/3.6</f>
        <v>6.2108176603974927</v>
      </c>
      <c r="E130" s="547">
        <f t="shared" si="23"/>
        <v>7.1855709876543212</v>
      </c>
      <c r="F130" s="547">
        <f t="shared" si="23"/>
        <v>7.8388047138047137</v>
      </c>
      <c r="G130" s="547">
        <f t="shared" si="23"/>
        <v>7.8388047138047137</v>
      </c>
      <c r="M130" s="480"/>
      <c r="N130" s="480"/>
    </row>
    <row r="131" spans="2:14" outlineLevel="1"/>
    <row r="132" spans="2:14" outlineLevel="1"/>
    <row r="133" spans="2:14" outlineLevel="1"/>
    <row r="134" spans="2:14" outlineLevel="1"/>
    <row r="135" spans="2:14" outlineLevel="1">
      <c r="E135" s="417"/>
      <c r="F135" s="417"/>
      <c r="G135" s="417"/>
      <c r="H135" s="417"/>
      <c r="I135" s="417"/>
      <c r="J135" s="417"/>
      <c r="K135" s="417"/>
      <c r="L135" s="417"/>
    </row>
    <row r="136" spans="2:14" outlineLevel="1">
      <c r="B136" s="857" t="s">
        <v>898</v>
      </c>
      <c r="C136" s="237"/>
      <c r="D136" s="858"/>
      <c r="E136" s="858"/>
      <c r="F136" s="858"/>
      <c r="G136" s="858"/>
      <c r="H136" s="858"/>
      <c r="I136" s="858"/>
      <c r="J136" s="858"/>
      <c r="K136" s="858"/>
      <c r="L136" s="859"/>
    </row>
    <row r="137" spans="2:14" outlineLevel="1">
      <c r="B137" s="237">
        <v>1</v>
      </c>
      <c r="C137" s="237"/>
      <c r="D137" s="237"/>
      <c r="E137" s="860"/>
      <c r="F137" s="237"/>
      <c r="G137" s="237"/>
      <c r="H137" s="237"/>
      <c r="I137" s="237"/>
      <c r="J137" s="237"/>
      <c r="K137" s="237"/>
      <c r="L137" s="237"/>
    </row>
    <row r="138" spans="2:14" outlineLevel="1">
      <c r="B138" s="237">
        <v>2</v>
      </c>
      <c r="C138" s="237"/>
      <c r="D138" s="237"/>
      <c r="E138" s="860"/>
      <c r="F138" s="237"/>
      <c r="G138" s="237"/>
      <c r="H138" s="237"/>
      <c r="I138" s="237"/>
      <c r="J138" s="237"/>
      <c r="K138" s="237"/>
      <c r="L138" s="237"/>
    </row>
    <row r="139" spans="2:14" outlineLevel="1">
      <c r="B139" s="237">
        <v>3</v>
      </c>
      <c r="C139" s="237"/>
      <c r="D139" s="237"/>
      <c r="E139" s="860"/>
      <c r="F139" s="237"/>
      <c r="G139" s="237"/>
      <c r="H139" s="237"/>
      <c r="I139" s="237"/>
      <c r="J139" s="237"/>
      <c r="K139" s="237"/>
      <c r="L139" s="237"/>
    </row>
    <row r="140" spans="2:14" outlineLevel="1">
      <c r="B140" s="237"/>
      <c r="C140" s="237"/>
      <c r="D140" s="237"/>
      <c r="E140" s="237"/>
      <c r="F140" s="237"/>
      <c r="G140" s="237"/>
      <c r="H140" s="237"/>
      <c r="I140" s="237"/>
      <c r="J140" s="237"/>
      <c r="K140" s="237"/>
      <c r="L140" s="237"/>
    </row>
    <row r="141" spans="2:14" outlineLevel="1">
      <c r="B141" s="237"/>
      <c r="C141" s="237"/>
      <c r="D141" s="237"/>
      <c r="E141" s="237"/>
      <c r="F141" s="237"/>
      <c r="G141" s="237"/>
      <c r="H141" s="237"/>
      <c r="I141" s="237"/>
      <c r="J141" s="237"/>
      <c r="K141" s="237"/>
      <c r="L141" s="237"/>
    </row>
    <row r="142" spans="2:14" outlineLevel="1">
      <c r="B142" s="861" t="s">
        <v>908</v>
      </c>
      <c r="C142" s="237"/>
      <c r="D142" s="237"/>
      <c r="E142" s="237"/>
      <c r="F142" s="237"/>
      <c r="G142" s="237"/>
      <c r="H142" s="237"/>
      <c r="I142" s="237"/>
      <c r="J142" s="237"/>
      <c r="K142" s="237"/>
      <c r="L142" s="237"/>
    </row>
    <row r="143" spans="2:14" outlineLevel="1">
      <c r="B143" s="862" t="s">
        <v>6</v>
      </c>
      <c r="C143" s="237" t="s">
        <v>1184</v>
      </c>
      <c r="D143" s="237"/>
      <c r="E143" s="237"/>
      <c r="F143" s="237"/>
      <c r="G143" s="237"/>
      <c r="H143" s="237"/>
      <c r="I143" s="237"/>
      <c r="J143" s="237"/>
      <c r="K143" s="237"/>
      <c r="L143" s="237"/>
    </row>
    <row r="144" spans="2:14" outlineLevel="1">
      <c r="B144" s="862" t="s">
        <v>59</v>
      </c>
      <c r="C144" s="237" t="s">
        <v>1185</v>
      </c>
      <c r="D144" s="237"/>
      <c r="E144" s="237"/>
      <c r="F144" s="237"/>
      <c r="G144" s="237"/>
      <c r="H144" s="237"/>
      <c r="I144" s="237"/>
      <c r="J144" s="237"/>
      <c r="K144" s="237"/>
      <c r="L144" s="237"/>
    </row>
    <row r="145" spans="2:12" outlineLevel="1">
      <c r="B145" s="862" t="s">
        <v>16</v>
      </c>
      <c r="C145" s="237" t="s">
        <v>1186</v>
      </c>
      <c r="D145" s="237"/>
      <c r="E145" s="237"/>
      <c r="F145" s="237"/>
      <c r="G145" s="237"/>
      <c r="H145" s="237"/>
      <c r="I145" s="237"/>
      <c r="J145" s="237"/>
      <c r="K145" s="237"/>
      <c r="L145" s="237"/>
    </row>
    <row r="146" spans="2:12" outlineLevel="1">
      <c r="B146" s="862" t="s">
        <v>20</v>
      </c>
      <c r="C146" s="237" t="s">
        <v>1187</v>
      </c>
      <c r="D146" s="237"/>
      <c r="E146" s="237"/>
      <c r="F146" s="237"/>
      <c r="G146" s="237"/>
      <c r="H146" s="237"/>
      <c r="I146" s="237"/>
      <c r="J146" s="237"/>
      <c r="K146" s="237"/>
      <c r="L146" s="237"/>
    </row>
    <row r="147" spans="2:12" outlineLevel="1">
      <c r="B147" s="862" t="s">
        <v>76</v>
      </c>
      <c r="C147" s="237" t="s">
        <v>1188</v>
      </c>
      <c r="D147" s="237"/>
      <c r="E147" s="237"/>
      <c r="F147" s="237"/>
      <c r="G147" s="237"/>
      <c r="H147" s="237"/>
      <c r="I147" s="237"/>
      <c r="J147" s="237"/>
      <c r="K147" s="237"/>
      <c r="L147" s="237"/>
    </row>
    <row r="148" spans="2:12" outlineLevel="1">
      <c r="B148" s="862" t="s">
        <v>25</v>
      </c>
      <c r="C148" s="237" t="s">
        <v>1189</v>
      </c>
      <c r="D148" s="237"/>
      <c r="E148" s="237"/>
      <c r="F148" s="237"/>
      <c r="G148" s="237"/>
      <c r="H148" s="237"/>
      <c r="I148" s="237"/>
      <c r="J148" s="237"/>
      <c r="K148" s="237"/>
      <c r="L148" s="237"/>
    </row>
    <row r="149" spans="2:12" outlineLevel="1">
      <c r="B149" s="862" t="s">
        <v>33</v>
      </c>
      <c r="C149" s="237" t="s">
        <v>1190</v>
      </c>
      <c r="D149" s="237"/>
      <c r="E149" s="237"/>
      <c r="F149" s="237"/>
      <c r="G149" s="237"/>
      <c r="H149" s="237"/>
      <c r="I149" s="237"/>
      <c r="J149" s="237"/>
      <c r="K149" s="237"/>
      <c r="L149" s="237"/>
    </row>
    <row r="150" spans="2:12" outlineLevel="1">
      <c r="B150" s="862" t="s">
        <v>51</v>
      </c>
      <c r="C150" s="237" t="s">
        <v>1191</v>
      </c>
      <c r="D150" s="237"/>
      <c r="E150" s="237"/>
      <c r="F150" s="237"/>
      <c r="G150" s="237"/>
      <c r="H150" s="237"/>
      <c r="I150" s="237"/>
      <c r="J150" s="237"/>
      <c r="K150" s="237"/>
      <c r="L150" s="237"/>
    </row>
    <row r="151" spans="2:12" outlineLevel="1">
      <c r="B151" s="862" t="s">
        <v>52</v>
      </c>
      <c r="C151" s="237" t="s">
        <v>1192</v>
      </c>
      <c r="D151" s="237"/>
      <c r="E151" s="237"/>
      <c r="F151" s="237"/>
      <c r="G151" s="237"/>
      <c r="H151" s="237"/>
      <c r="I151" s="237"/>
      <c r="J151" s="237"/>
      <c r="K151" s="237"/>
      <c r="L151" s="237"/>
    </row>
    <row r="152" spans="2:12" outlineLevel="1">
      <c r="B152" s="862" t="s">
        <v>55</v>
      </c>
      <c r="C152" s="237" t="s">
        <v>1193</v>
      </c>
      <c r="D152" s="237"/>
      <c r="E152" s="237"/>
      <c r="F152" s="237"/>
      <c r="G152" s="237"/>
      <c r="H152" s="237"/>
      <c r="I152" s="237"/>
      <c r="J152" s="237"/>
      <c r="K152" s="237"/>
      <c r="L152" s="237"/>
    </row>
    <row r="153" spans="2:12" outlineLevel="1">
      <c r="B153" s="862" t="s">
        <v>49</v>
      </c>
      <c r="C153" s="237" t="s">
        <v>1194</v>
      </c>
      <c r="D153" s="237"/>
      <c r="E153" s="237"/>
      <c r="F153" s="237"/>
      <c r="G153" s="237"/>
      <c r="H153" s="237"/>
      <c r="I153" s="237"/>
      <c r="J153" s="237"/>
      <c r="K153" s="237"/>
      <c r="L153" s="237"/>
    </row>
    <row r="154" spans="2:12" outlineLevel="1">
      <c r="B154" s="862" t="s">
        <v>374</v>
      </c>
      <c r="C154" s="237" t="s">
        <v>1195</v>
      </c>
      <c r="D154" s="237"/>
      <c r="E154" s="237"/>
      <c r="F154" s="237"/>
      <c r="G154" s="237"/>
      <c r="H154" s="237"/>
      <c r="I154" s="237"/>
      <c r="J154" s="237"/>
      <c r="K154" s="237"/>
      <c r="L154" s="237"/>
    </row>
    <row r="155" spans="2:12" outlineLevel="1">
      <c r="B155" s="862" t="s">
        <v>1011</v>
      </c>
      <c r="C155" s="237" t="s">
        <v>1196</v>
      </c>
      <c r="D155" s="237"/>
      <c r="E155" s="237"/>
      <c r="F155" s="237"/>
      <c r="G155" s="237"/>
      <c r="H155" s="237"/>
      <c r="I155" s="237"/>
      <c r="J155" s="237"/>
      <c r="K155" s="237"/>
      <c r="L155" s="237"/>
    </row>
    <row r="156" spans="2:12" outlineLevel="1">
      <c r="B156" s="862" t="s">
        <v>1012</v>
      </c>
      <c r="C156" s="237" t="s">
        <v>1197</v>
      </c>
      <c r="D156" s="237"/>
      <c r="E156" s="237"/>
      <c r="F156" s="237"/>
      <c r="G156" s="237"/>
      <c r="H156" s="237"/>
      <c r="I156" s="237"/>
      <c r="J156" s="237"/>
      <c r="K156" s="237"/>
      <c r="L156" s="237"/>
    </row>
    <row r="157" spans="2:12" outlineLevel="1">
      <c r="B157" s="556"/>
      <c r="C157" s="558"/>
      <c r="G157" s="417"/>
      <c r="H157" s="417"/>
      <c r="I157" s="417"/>
      <c r="J157" s="417"/>
      <c r="K157" s="417"/>
      <c r="L157" s="417"/>
    </row>
    <row r="158" spans="2:12" outlineLevel="1">
      <c r="B158" s="556"/>
      <c r="C158" s="549"/>
      <c r="G158" s="417"/>
      <c r="H158" s="417"/>
      <c r="I158" s="417"/>
      <c r="J158" s="417"/>
      <c r="K158" s="417"/>
      <c r="L158" s="417"/>
    </row>
    <row r="159" spans="2:12" outlineLevel="1">
      <c r="E159" s="550"/>
      <c r="F159" s="550"/>
    </row>
    <row r="160" spans="2:12" outlineLevel="1">
      <c r="B160" s="556"/>
      <c r="C160" s="549"/>
      <c r="E160" s="550"/>
      <c r="F160" s="550"/>
    </row>
    <row r="161" spans="1:44" outlineLevel="1">
      <c r="B161" s="556"/>
      <c r="C161" s="549"/>
      <c r="E161" s="550"/>
      <c r="F161" s="550"/>
    </row>
    <row r="162" spans="1:44" outlineLevel="1"/>
    <row r="163" spans="1:44" outlineLevel="1">
      <c r="M163" s="226"/>
    </row>
    <row r="164" spans="1:44" outlineLevel="1"/>
    <row r="167" spans="1:44">
      <c r="A167" s="420" t="s">
        <v>1114</v>
      </c>
      <c r="B167" s="976"/>
      <c r="C167" s="977"/>
      <c r="D167" s="977"/>
      <c r="E167" s="977"/>
      <c r="F167" s="977"/>
      <c r="G167" s="977"/>
      <c r="H167" s="977"/>
      <c r="I167" s="977"/>
      <c r="J167" s="977"/>
      <c r="K167" s="977"/>
      <c r="L167" s="977"/>
      <c r="M167" s="977"/>
      <c r="N167" s="421"/>
    </row>
    <row r="168" spans="1:44" ht="15" outlineLevel="1" thickBot="1">
      <c r="B168" s="976"/>
      <c r="C168" s="977"/>
      <c r="D168" s="977"/>
      <c r="E168" s="977"/>
      <c r="F168" s="977"/>
      <c r="G168" s="977"/>
      <c r="H168" s="977"/>
      <c r="I168" s="977"/>
      <c r="J168" s="977"/>
      <c r="K168" s="977"/>
      <c r="L168" s="977"/>
      <c r="M168" s="977"/>
      <c r="N168" s="421"/>
    </row>
    <row r="169" spans="1:44" ht="20.7" customHeight="1" outlineLevel="1" thickBot="1">
      <c r="B169" s="422" t="s">
        <v>0</v>
      </c>
      <c r="C169" s="1018" t="s">
        <v>1115</v>
      </c>
      <c r="D169" s="1019"/>
      <c r="E169" s="1019"/>
      <c r="F169" s="1019"/>
      <c r="G169" s="1019"/>
      <c r="H169" s="1019"/>
      <c r="I169" s="1019"/>
      <c r="J169" s="1019"/>
      <c r="K169" s="1019"/>
      <c r="L169" s="1020"/>
      <c r="M169" s="423"/>
      <c r="N169" s="423"/>
      <c r="AK169" s="989" t="s">
        <v>841</v>
      </c>
      <c r="AL169" s="990"/>
      <c r="AM169" s="989" t="s">
        <v>842</v>
      </c>
      <c r="AN169" s="990"/>
      <c r="AO169" s="989" t="s">
        <v>843</v>
      </c>
      <c r="AP169" s="990"/>
      <c r="AQ169" s="1004" t="s">
        <v>844</v>
      </c>
      <c r="AR169" s="1005"/>
    </row>
    <row r="170" spans="1:44" ht="15" customHeight="1" outlineLevel="1" thickBot="1">
      <c r="B170" s="1010" t="s">
        <v>4</v>
      </c>
      <c r="C170" s="1012">
        <v>2020</v>
      </c>
      <c r="D170" s="1012">
        <v>2030</v>
      </c>
      <c r="E170" s="1012">
        <v>2040</v>
      </c>
      <c r="F170" s="1012">
        <v>2050</v>
      </c>
      <c r="G170" s="1014" t="s">
        <v>846</v>
      </c>
      <c r="H170" s="1015"/>
      <c r="I170" s="1014" t="s">
        <v>693</v>
      </c>
      <c r="J170" s="1015"/>
      <c r="K170" s="1016" t="s">
        <v>2</v>
      </c>
      <c r="L170" s="1016" t="s">
        <v>3</v>
      </c>
      <c r="M170" s="427"/>
      <c r="N170" s="427"/>
      <c r="P170" s="977"/>
      <c r="Q170" s="977"/>
      <c r="R170" s="977"/>
      <c r="S170" s="977"/>
      <c r="T170" s="977"/>
      <c r="U170" s="977"/>
      <c r="AK170" s="991"/>
      <c r="AL170" s="992"/>
      <c r="AM170" s="991"/>
      <c r="AN170" s="992"/>
      <c r="AO170" s="991"/>
      <c r="AP170" s="992"/>
      <c r="AQ170" s="1006"/>
      <c r="AR170" s="1007"/>
    </row>
    <row r="171" spans="1:44" ht="15" customHeight="1" outlineLevel="1" thickBot="1">
      <c r="B171" s="1011"/>
      <c r="C171" s="1013"/>
      <c r="D171" s="1013"/>
      <c r="E171" s="1013"/>
      <c r="F171" s="1013"/>
      <c r="G171" s="559" t="s">
        <v>694</v>
      </c>
      <c r="H171" s="559" t="s">
        <v>695</v>
      </c>
      <c r="I171" s="559" t="s">
        <v>694</v>
      </c>
      <c r="J171" s="559" t="s">
        <v>695</v>
      </c>
      <c r="K171" s="1017"/>
      <c r="L171" s="1017"/>
      <c r="M171" s="430"/>
      <c r="N171" s="430"/>
      <c r="P171" s="977"/>
      <c r="Q171" s="977"/>
      <c r="R171" s="977"/>
      <c r="S171" s="977"/>
      <c r="T171" s="977"/>
      <c r="U171" s="977"/>
      <c r="AK171" s="991"/>
      <c r="AL171" s="992"/>
      <c r="AM171" s="991"/>
      <c r="AN171" s="992"/>
      <c r="AO171" s="991"/>
      <c r="AP171" s="992"/>
      <c r="AQ171" s="1008"/>
      <c r="AR171" s="1009"/>
    </row>
    <row r="172" spans="1:44" ht="29.4" outlineLevel="1" thickBot="1">
      <c r="B172" s="431" t="s">
        <v>696</v>
      </c>
      <c r="C172" s="432">
        <v>20</v>
      </c>
      <c r="D172" s="432">
        <v>20</v>
      </c>
      <c r="E172" s="432">
        <v>20</v>
      </c>
      <c r="F172" s="432">
        <v>20</v>
      </c>
      <c r="G172" s="432">
        <v>1</v>
      </c>
      <c r="H172" s="432">
        <v>50</v>
      </c>
      <c r="I172" s="432">
        <v>1</v>
      </c>
      <c r="J172" s="432">
        <v>50</v>
      </c>
      <c r="K172" s="432" t="s">
        <v>6</v>
      </c>
      <c r="L172" s="433" t="s">
        <v>850</v>
      </c>
      <c r="M172" s="430"/>
      <c r="N172" s="430"/>
      <c r="P172" s="424" t="s">
        <v>838</v>
      </c>
      <c r="Q172" s="425"/>
      <c r="R172" s="426"/>
      <c r="S172" s="985" t="s">
        <v>839</v>
      </c>
      <c r="T172" s="989" t="s">
        <v>840</v>
      </c>
      <c r="U172" s="990"/>
      <c r="V172" s="989" t="s">
        <v>841</v>
      </c>
      <c r="W172" s="990"/>
      <c r="X172" s="989" t="s">
        <v>842</v>
      </c>
      <c r="Y172" s="990"/>
      <c r="Z172" s="989" t="s">
        <v>843</v>
      </c>
      <c r="AA172" s="990"/>
      <c r="AB172" s="989" t="s">
        <v>844</v>
      </c>
      <c r="AC172" s="990"/>
      <c r="AE172" s="424" t="s">
        <v>845</v>
      </c>
      <c r="AF172" s="425"/>
      <c r="AG172" s="426"/>
      <c r="AH172" s="985" t="s">
        <v>839</v>
      </c>
      <c r="AI172" s="989" t="s">
        <v>840</v>
      </c>
      <c r="AJ172" s="990"/>
      <c r="AK172" s="434" t="s">
        <v>851</v>
      </c>
      <c r="AL172" s="435" t="s">
        <v>852</v>
      </c>
      <c r="AM172" s="434" t="s">
        <v>851</v>
      </c>
      <c r="AN172" s="435" t="s">
        <v>852</v>
      </c>
      <c r="AO172" s="434" t="s">
        <v>851</v>
      </c>
      <c r="AP172" s="435" t="s">
        <v>852</v>
      </c>
      <c r="AQ172" s="434" t="s">
        <v>851</v>
      </c>
      <c r="AR172" s="435" t="s">
        <v>852</v>
      </c>
    </row>
    <row r="173" spans="1:44" ht="14.7" customHeight="1" outlineLevel="1">
      <c r="B173" s="560" t="s">
        <v>853</v>
      </c>
      <c r="C173" s="561">
        <v>91</v>
      </c>
      <c r="D173" s="561">
        <v>91</v>
      </c>
      <c r="E173" s="562">
        <v>91</v>
      </c>
      <c r="F173" s="561">
        <v>92</v>
      </c>
      <c r="G173" s="561">
        <f>D173-1</f>
        <v>90</v>
      </c>
      <c r="H173" s="561">
        <f>D173+2</f>
        <v>93</v>
      </c>
      <c r="I173" s="561">
        <f>F173-1</f>
        <v>91</v>
      </c>
      <c r="J173" s="561">
        <f>F173+2</f>
        <v>94</v>
      </c>
      <c r="K173" s="563" t="s">
        <v>59</v>
      </c>
      <c r="L173" s="564" t="s">
        <v>854</v>
      </c>
      <c r="M173" s="430"/>
      <c r="N173" s="430"/>
      <c r="P173" s="993" t="s">
        <v>0</v>
      </c>
      <c r="Q173" s="428"/>
      <c r="R173" s="428"/>
      <c r="S173" s="986"/>
      <c r="T173" s="991"/>
      <c r="U173" s="992"/>
      <c r="V173" s="991"/>
      <c r="W173" s="992"/>
      <c r="X173" s="991"/>
      <c r="Y173" s="992"/>
      <c r="Z173" s="991"/>
      <c r="AA173" s="992"/>
      <c r="AB173" s="991"/>
      <c r="AC173" s="992"/>
      <c r="AE173" s="993" t="s">
        <v>0</v>
      </c>
      <c r="AF173" s="428"/>
      <c r="AG173" s="428"/>
      <c r="AH173" s="986"/>
      <c r="AI173" s="991"/>
      <c r="AJ173" s="992"/>
      <c r="AK173" s="1024">
        <v>0</v>
      </c>
      <c r="AL173" s="1021">
        <v>0</v>
      </c>
      <c r="AM173" s="1024">
        <v>0</v>
      </c>
      <c r="AN173" s="1021">
        <v>0</v>
      </c>
      <c r="AO173" s="1024">
        <v>0</v>
      </c>
      <c r="AP173" s="1021">
        <v>0</v>
      </c>
      <c r="AQ173" s="1024">
        <v>0</v>
      </c>
      <c r="AR173" s="1021">
        <v>0</v>
      </c>
    </row>
    <row r="174" spans="1:44" outlineLevel="1">
      <c r="B174" s="443" t="s">
        <v>857</v>
      </c>
      <c r="C174" s="444">
        <f t="shared" ref="C174:J174" si="24">C173-1</f>
        <v>90</v>
      </c>
      <c r="D174" s="444">
        <f t="shared" si="24"/>
        <v>90</v>
      </c>
      <c r="E174" s="444">
        <f t="shared" si="24"/>
        <v>90</v>
      </c>
      <c r="F174" s="444">
        <f t="shared" si="24"/>
        <v>91</v>
      </c>
      <c r="G174" s="565">
        <f t="shared" si="24"/>
        <v>89</v>
      </c>
      <c r="H174" s="565">
        <f t="shared" si="24"/>
        <v>92</v>
      </c>
      <c r="I174" s="565">
        <f t="shared" si="24"/>
        <v>90</v>
      </c>
      <c r="J174" s="565">
        <f t="shared" si="24"/>
        <v>93</v>
      </c>
      <c r="K174" s="432"/>
      <c r="L174" s="433" t="s">
        <v>854</v>
      </c>
      <c r="M174" s="430"/>
      <c r="N174" s="430"/>
      <c r="P174" s="994"/>
      <c r="Q174" s="996" t="s">
        <v>847</v>
      </c>
      <c r="R174" s="997" t="s">
        <v>848</v>
      </c>
      <c r="S174" s="987"/>
      <c r="T174" s="991"/>
      <c r="U174" s="992"/>
      <c r="V174" s="991"/>
      <c r="W174" s="992"/>
      <c r="X174" s="991"/>
      <c r="Y174" s="992"/>
      <c r="Z174" s="991"/>
      <c r="AA174" s="992"/>
      <c r="AB174" s="991"/>
      <c r="AC174" s="992"/>
      <c r="AE174" s="994"/>
      <c r="AF174" s="1040" t="s">
        <v>847</v>
      </c>
      <c r="AG174" s="997" t="s">
        <v>848</v>
      </c>
      <c r="AH174" s="987"/>
      <c r="AI174" s="991"/>
      <c r="AJ174" s="992"/>
      <c r="AK174" s="1025"/>
      <c r="AL174" s="1022"/>
      <c r="AM174" s="1025"/>
      <c r="AN174" s="1022"/>
      <c r="AO174" s="1025"/>
      <c r="AP174" s="1022"/>
      <c r="AQ174" s="1025"/>
      <c r="AR174" s="1022"/>
    </row>
    <row r="175" spans="1:44" ht="29.4" outlineLevel="1" thickBot="1">
      <c r="B175" s="560" t="s">
        <v>859</v>
      </c>
      <c r="C175" s="566">
        <v>2.2999999999999998</v>
      </c>
      <c r="D175" s="567">
        <v>2.2999999999999998</v>
      </c>
      <c r="E175" s="567">
        <v>2.2999999999999998</v>
      </c>
      <c r="F175" s="568">
        <v>2.2999999999999998</v>
      </c>
      <c r="G175" s="567">
        <v>2.2000000000000002</v>
      </c>
      <c r="H175" s="567">
        <v>2.5</v>
      </c>
      <c r="I175" s="567">
        <v>1.8</v>
      </c>
      <c r="J175" s="567">
        <v>2.5</v>
      </c>
      <c r="K175" s="563" t="s">
        <v>16</v>
      </c>
      <c r="L175" s="564">
        <v>3</v>
      </c>
      <c r="M175" s="430"/>
      <c r="N175" s="430"/>
      <c r="O175" s="74"/>
      <c r="P175" s="995"/>
      <c r="Q175" s="988"/>
      <c r="R175" s="998"/>
      <c r="S175" s="988"/>
      <c r="T175" s="434" t="s">
        <v>851</v>
      </c>
      <c r="U175" s="435" t="s">
        <v>852</v>
      </c>
      <c r="V175" s="434" t="s">
        <v>851</v>
      </c>
      <c r="W175" s="435" t="s">
        <v>852</v>
      </c>
      <c r="X175" s="434" t="s">
        <v>851</v>
      </c>
      <c r="Y175" s="435" t="s">
        <v>852</v>
      </c>
      <c r="Z175" s="434" t="s">
        <v>851</v>
      </c>
      <c r="AA175" s="435" t="s">
        <v>852</v>
      </c>
      <c r="AB175" s="434" t="s">
        <v>851</v>
      </c>
      <c r="AC175" s="435" t="s">
        <v>852</v>
      </c>
      <c r="AE175" s="995"/>
      <c r="AF175" s="1041"/>
      <c r="AG175" s="998"/>
      <c r="AH175" s="988"/>
      <c r="AI175" s="434" t="s">
        <v>851</v>
      </c>
      <c r="AJ175" s="435" t="s">
        <v>852</v>
      </c>
      <c r="AK175" s="1026"/>
      <c r="AL175" s="1023"/>
      <c r="AM175" s="1026"/>
      <c r="AN175" s="1023"/>
      <c r="AO175" s="1026"/>
      <c r="AP175" s="1023"/>
      <c r="AQ175" s="1026"/>
      <c r="AR175" s="1023"/>
    </row>
    <row r="176" spans="1:44" ht="14.7" customHeight="1" outlineLevel="1">
      <c r="B176" s="560" t="s">
        <v>702</v>
      </c>
      <c r="C176" s="747">
        <v>3</v>
      </c>
      <c r="D176" s="747">
        <v>3</v>
      </c>
      <c r="E176" s="747">
        <v>3</v>
      </c>
      <c r="F176" s="747">
        <v>3</v>
      </c>
      <c r="G176" s="747">
        <v>3</v>
      </c>
      <c r="H176" s="747">
        <v>3</v>
      </c>
      <c r="I176" s="747">
        <v>3</v>
      </c>
      <c r="J176" s="747">
        <v>3</v>
      </c>
      <c r="K176" s="563" t="s">
        <v>20</v>
      </c>
      <c r="L176" s="564">
        <v>3</v>
      </c>
      <c r="M176" s="430"/>
      <c r="N176" s="430"/>
      <c r="P176" s="1042" t="str">
        <f>C169</f>
        <v>Hot water boiler, Wood Chips</v>
      </c>
      <c r="Q176" s="1030" t="s">
        <v>855</v>
      </c>
      <c r="R176" s="441" t="s">
        <v>856</v>
      </c>
      <c r="S176" s="442"/>
      <c r="T176" s="1033">
        <v>0</v>
      </c>
      <c r="U176" s="1021">
        <v>0</v>
      </c>
      <c r="V176" s="1024">
        <v>0</v>
      </c>
      <c r="W176" s="1021">
        <v>0</v>
      </c>
      <c r="X176" s="1024">
        <v>0</v>
      </c>
      <c r="Y176" s="1021">
        <v>0</v>
      </c>
      <c r="Z176" s="1024">
        <v>0</v>
      </c>
      <c r="AA176" s="1021">
        <v>0</v>
      </c>
      <c r="AB176" s="1024">
        <v>0</v>
      </c>
      <c r="AC176" s="1021">
        <v>0</v>
      </c>
      <c r="AE176" s="1027" t="str">
        <f>P176</f>
        <v>Hot water boiler, Wood Chips</v>
      </c>
      <c r="AF176" s="1030" t="s">
        <v>855</v>
      </c>
      <c r="AG176" s="441" t="s">
        <v>856</v>
      </c>
      <c r="AH176" s="442"/>
      <c r="AI176" s="1033">
        <v>0</v>
      </c>
      <c r="AJ176" s="1021">
        <v>0</v>
      </c>
      <c r="AK176" s="1033">
        <v>0</v>
      </c>
      <c r="AL176" s="1033">
        <f>W179/4</f>
        <v>0.14249999999999999</v>
      </c>
      <c r="AM176" s="1033">
        <v>0</v>
      </c>
      <c r="AN176" s="1033">
        <f>Y179/4</f>
        <v>0.125</v>
      </c>
      <c r="AO176" s="1033">
        <v>0</v>
      </c>
      <c r="AP176" s="1033">
        <f>AA179/4</f>
        <v>0.1275</v>
      </c>
      <c r="AQ176" s="1033">
        <v>0</v>
      </c>
      <c r="AR176" s="1021">
        <f>AC179/4</f>
        <v>0.10249999999999999</v>
      </c>
    </row>
    <row r="177" spans="1:44" outlineLevel="1">
      <c r="B177" s="560" t="s">
        <v>703</v>
      </c>
      <c r="C177" s="566">
        <v>3</v>
      </c>
      <c r="D177" s="566">
        <v>3</v>
      </c>
      <c r="E177" s="566">
        <v>3</v>
      </c>
      <c r="F177" s="566">
        <v>3</v>
      </c>
      <c r="G177" s="566">
        <v>2.6</v>
      </c>
      <c r="H177" s="566">
        <v>3.5</v>
      </c>
      <c r="I177" s="566">
        <v>2.2999999999999998</v>
      </c>
      <c r="J177" s="566">
        <v>3.8</v>
      </c>
      <c r="K177" s="563" t="s">
        <v>20</v>
      </c>
      <c r="L177" s="564">
        <v>3</v>
      </c>
      <c r="M177" s="427"/>
      <c r="N177" s="427"/>
      <c r="O177" s="71"/>
      <c r="P177" s="1028"/>
      <c r="Q177" s="1031"/>
      <c r="R177" s="448" t="s">
        <v>858</v>
      </c>
      <c r="S177" s="449"/>
      <c r="T177" s="1034"/>
      <c r="U177" s="1022"/>
      <c r="V177" s="1025"/>
      <c r="W177" s="1022"/>
      <c r="X177" s="1025"/>
      <c r="Y177" s="1022"/>
      <c r="Z177" s="1025"/>
      <c r="AA177" s="1022"/>
      <c r="AB177" s="1025"/>
      <c r="AC177" s="1022"/>
      <c r="AE177" s="1028"/>
      <c r="AF177" s="1031"/>
      <c r="AG177" s="448" t="s">
        <v>858</v>
      </c>
      <c r="AH177" s="449"/>
      <c r="AI177" s="1034"/>
      <c r="AJ177" s="1022"/>
      <c r="AK177" s="1036"/>
      <c r="AL177" s="1036"/>
      <c r="AM177" s="1036"/>
      <c r="AN177" s="1036"/>
      <c r="AO177" s="1036"/>
      <c r="AP177" s="1036"/>
      <c r="AQ177" s="1036"/>
      <c r="AR177" s="1038"/>
    </row>
    <row r="178" spans="1:44" ht="15" outlineLevel="1" thickBot="1">
      <c r="B178" s="443" t="s">
        <v>11</v>
      </c>
      <c r="C178" s="457">
        <v>25</v>
      </c>
      <c r="D178" s="457">
        <v>25</v>
      </c>
      <c r="E178" s="457">
        <v>25</v>
      </c>
      <c r="F178" s="457">
        <v>25</v>
      </c>
      <c r="G178" s="459">
        <v>20</v>
      </c>
      <c r="H178" s="459">
        <v>35</v>
      </c>
      <c r="I178" s="459">
        <v>20</v>
      </c>
      <c r="J178" s="459">
        <v>35</v>
      </c>
      <c r="K178" s="432"/>
      <c r="L178" s="433" t="s">
        <v>865</v>
      </c>
      <c r="M178" s="423"/>
      <c r="N178" s="423"/>
      <c r="O178" s="71"/>
      <c r="P178" s="1028"/>
      <c r="Q178" s="1032"/>
      <c r="R178" s="453" t="s">
        <v>860</v>
      </c>
      <c r="S178" s="454"/>
      <c r="T178" s="1035"/>
      <c r="U178" s="1023"/>
      <c r="V178" s="1026"/>
      <c r="W178" s="1023"/>
      <c r="X178" s="1026"/>
      <c r="Y178" s="1023"/>
      <c r="Z178" s="1026"/>
      <c r="AA178" s="1023"/>
      <c r="AB178" s="1026"/>
      <c r="AC178" s="1023"/>
      <c r="AE178" s="1028"/>
      <c r="AF178" s="1032"/>
      <c r="AG178" s="453" t="s">
        <v>860</v>
      </c>
      <c r="AH178" s="454"/>
      <c r="AI178" s="1035"/>
      <c r="AJ178" s="1023"/>
      <c r="AK178" s="1036"/>
      <c r="AL178" s="1036"/>
      <c r="AM178" s="1036"/>
      <c r="AN178" s="1036"/>
      <c r="AO178" s="1036"/>
      <c r="AP178" s="1036"/>
      <c r="AQ178" s="1036"/>
      <c r="AR178" s="1038"/>
    </row>
    <row r="179" spans="1:44" ht="15" outlineLevel="1" thickBot="1">
      <c r="B179" s="560" t="s">
        <v>273</v>
      </c>
      <c r="C179" s="566">
        <v>1</v>
      </c>
      <c r="D179" s="566">
        <v>1</v>
      </c>
      <c r="E179" s="566">
        <v>1</v>
      </c>
      <c r="F179" s="566">
        <v>1</v>
      </c>
      <c r="G179" s="566">
        <v>0.5</v>
      </c>
      <c r="H179" s="566">
        <v>1.5</v>
      </c>
      <c r="I179" s="566">
        <v>0.5</v>
      </c>
      <c r="J179" s="566">
        <v>1.5</v>
      </c>
      <c r="K179" s="432"/>
      <c r="L179" s="460"/>
      <c r="M179" s="423"/>
      <c r="N179" s="423"/>
      <c r="O179" s="71"/>
      <c r="P179" s="1028"/>
      <c r="Q179" s="1030" t="s">
        <v>861</v>
      </c>
      <c r="R179" s="455" t="s">
        <v>862</v>
      </c>
      <c r="S179" s="456" t="s">
        <v>863</v>
      </c>
      <c r="T179" s="1033">
        <v>0</v>
      </c>
      <c r="U179" s="1033">
        <v>0.67</v>
      </c>
      <c r="V179" s="1033">
        <v>0</v>
      </c>
      <c r="W179" s="1033">
        <v>0.56999999999999995</v>
      </c>
      <c r="X179" s="1033">
        <v>0</v>
      </c>
      <c r="Y179" s="1033">
        <v>0.5</v>
      </c>
      <c r="Z179" s="1033">
        <v>0</v>
      </c>
      <c r="AA179" s="1033">
        <v>0.51</v>
      </c>
      <c r="AB179" s="1033">
        <v>0</v>
      </c>
      <c r="AC179" s="1021">
        <v>0.41</v>
      </c>
      <c r="AE179" s="1028"/>
      <c r="AF179" s="1030" t="s">
        <v>861</v>
      </c>
      <c r="AG179" s="455" t="s">
        <v>862</v>
      </c>
      <c r="AH179" s="456" t="s">
        <v>863</v>
      </c>
      <c r="AI179" s="1033">
        <v>0</v>
      </c>
      <c r="AJ179" s="1033">
        <f>U179/4</f>
        <v>0.16750000000000001</v>
      </c>
      <c r="AK179" s="1036"/>
      <c r="AL179" s="1036"/>
      <c r="AM179" s="1036"/>
      <c r="AN179" s="1036"/>
      <c r="AO179" s="1036"/>
      <c r="AP179" s="1036"/>
      <c r="AQ179" s="1036"/>
      <c r="AR179" s="1038"/>
    </row>
    <row r="180" spans="1:44" ht="15" outlineLevel="1" thickBot="1">
      <c r="B180" s="461" t="s">
        <v>868</v>
      </c>
      <c r="C180" s="462"/>
      <c r="D180" s="463"/>
      <c r="E180" s="464"/>
      <c r="F180" s="465"/>
      <c r="G180" s="466"/>
      <c r="H180" s="466"/>
      <c r="I180" s="466"/>
      <c r="J180" s="466"/>
      <c r="K180" s="467"/>
      <c r="L180" s="468"/>
      <c r="M180" s="423"/>
      <c r="N180" s="423"/>
      <c r="O180" s="71"/>
      <c r="P180" s="1028"/>
      <c r="Q180" s="1031"/>
      <c r="R180" s="455" t="s">
        <v>864</v>
      </c>
      <c r="S180" s="456" t="s">
        <v>863</v>
      </c>
      <c r="T180" s="1036"/>
      <c r="U180" s="1036"/>
      <c r="V180" s="1036"/>
      <c r="W180" s="1036"/>
      <c r="X180" s="1036"/>
      <c r="Y180" s="1036"/>
      <c r="Z180" s="1036"/>
      <c r="AA180" s="1036"/>
      <c r="AB180" s="1036"/>
      <c r="AC180" s="1038"/>
      <c r="AE180" s="1028"/>
      <c r="AF180" s="1031"/>
      <c r="AG180" s="455" t="s">
        <v>864</v>
      </c>
      <c r="AH180" s="456" t="s">
        <v>863</v>
      </c>
      <c r="AI180" s="1036"/>
      <c r="AJ180" s="1036"/>
      <c r="AK180" s="1037"/>
      <c r="AL180" s="1037"/>
      <c r="AM180" s="1037"/>
      <c r="AN180" s="1037"/>
      <c r="AO180" s="1037"/>
      <c r="AP180" s="1037"/>
      <c r="AQ180" s="1037"/>
      <c r="AR180" s="1039"/>
    </row>
    <row r="181" spans="1:44" ht="15" outlineLevel="1" thickBot="1">
      <c r="B181" s="560" t="s">
        <v>708</v>
      </c>
      <c r="C181" s="566">
        <v>20</v>
      </c>
      <c r="D181" s="566">
        <v>20</v>
      </c>
      <c r="E181" s="566">
        <v>20</v>
      </c>
      <c r="F181" s="566">
        <v>20</v>
      </c>
      <c r="G181" s="567"/>
      <c r="H181" s="567"/>
      <c r="I181" s="567"/>
      <c r="J181" s="567"/>
      <c r="K181" s="563"/>
      <c r="L181" s="564">
        <v>3</v>
      </c>
      <c r="M181" s="423"/>
      <c r="N181" s="423"/>
      <c r="P181" s="1028"/>
      <c r="Q181" s="1031"/>
      <c r="R181" s="455" t="s">
        <v>866</v>
      </c>
      <c r="S181" s="456"/>
      <c r="T181" s="1036"/>
      <c r="U181" s="1036"/>
      <c r="V181" s="1036"/>
      <c r="W181" s="1036"/>
      <c r="X181" s="1036"/>
      <c r="Y181" s="1036"/>
      <c r="Z181" s="1036"/>
      <c r="AA181" s="1036"/>
      <c r="AB181" s="1036"/>
      <c r="AC181" s="1038"/>
      <c r="AE181" s="1028"/>
      <c r="AF181" s="1031"/>
      <c r="AG181" s="455" t="s">
        <v>866</v>
      </c>
      <c r="AH181" s="689" t="s">
        <v>863</v>
      </c>
      <c r="AI181" s="1036"/>
      <c r="AJ181" s="1036"/>
      <c r="AK181" s="476">
        <v>1</v>
      </c>
      <c r="AL181" s="475">
        <v>1</v>
      </c>
      <c r="AM181" s="476">
        <v>1</v>
      </c>
      <c r="AN181" s="475">
        <v>1</v>
      </c>
      <c r="AO181" s="476">
        <v>1</v>
      </c>
      <c r="AP181" s="475">
        <v>1</v>
      </c>
      <c r="AQ181" s="476">
        <v>1</v>
      </c>
      <c r="AR181" s="477">
        <v>1</v>
      </c>
    </row>
    <row r="182" spans="1:44" outlineLevel="1">
      <c r="B182" s="560" t="s">
        <v>709</v>
      </c>
      <c r="C182" s="566">
        <v>0.3</v>
      </c>
      <c r="D182" s="566">
        <v>0.3</v>
      </c>
      <c r="E182" s="566">
        <v>0.3</v>
      </c>
      <c r="F182" s="566">
        <v>0.3</v>
      </c>
      <c r="G182" s="569"/>
      <c r="H182" s="569"/>
      <c r="I182" s="569"/>
      <c r="J182" s="569"/>
      <c r="K182" s="570"/>
      <c r="L182" s="564">
        <v>3</v>
      </c>
      <c r="M182" s="423"/>
      <c r="N182" s="423"/>
      <c r="P182" s="1028"/>
      <c r="Q182" s="1031"/>
      <c r="R182" s="455" t="s">
        <v>867</v>
      </c>
      <c r="S182" s="456" t="s">
        <v>863</v>
      </c>
      <c r="T182" s="1036"/>
      <c r="U182" s="1036"/>
      <c r="V182" s="1036"/>
      <c r="W182" s="1036"/>
      <c r="X182" s="1036"/>
      <c r="Y182" s="1036"/>
      <c r="Z182" s="1036"/>
      <c r="AA182" s="1036"/>
      <c r="AB182" s="1036"/>
      <c r="AC182" s="1038"/>
      <c r="AE182" s="1028"/>
      <c r="AF182" s="1031"/>
      <c r="AG182" s="455" t="s">
        <v>867</v>
      </c>
      <c r="AH182" s="456"/>
      <c r="AI182" s="1036"/>
      <c r="AJ182" s="1036"/>
    </row>
    <row r="183" spans="1:44" ht="15" outlineLevel="1" thickBot="1">
      <c r="B183" s="560" t="s">
        <v>711</v>
      </c>
      <c r="C183" s="566">
        <v>0.5</v>
      </c>
      <c r="D183" s="566">
        <v>0.5</v>
      </c>
      <c r="E183" s="566">
        <v>0.5</v>
      </c>
      <c r="F183" s="566">
        <v>0.5</v>
      </c>
      <c r="G183" s="569"/>
      <c r="H183" s="569"/>
      <c r="I183" s="569"/>
      <c r="J183" s="569"/>
      <c r="K183" s="570"/>
      <c r="L183" s="564">
        <v>3</v>
      </c>
      <c r="M183" s="480"/>
      <c r="N183" s="423"/>
      <c r="P183" s="1028"/>
      <c r="Q183" s="1032"/>
      <c r="R183" s="469" t="s">
        <v>988</v>
      </c>
      <c r="S183" s="470" t="s">
        <v>863</v>
      </c>
      <c r="T183" s="1037"/>
      <c r="U183" s="1037"/>
      <c r="V183" s="1037"/>
      <c r="W183" s="1037"/>
      <c r="X183" s="1037"/>
      <c r="Y183" s="1037"/>
      <c r="Z183" s="1037"/>
      <c r="AA183" s="1037"/>
      <c r="AB183" s="1037"/>
      <c r="AC183" s="1039"/>
      <c r="AE183" s="1028"/>
      <c r="AF183" s="1032"/>
      <c r="AG183" s="469" t="s">
        <v>988</v>
      </c>
      <c r="AH183" s="470" t="s">
        <v>863</v>
      </c>
      <c r="AI183" s="1037"/>
      <c r="AJ183" s="1037"/>
    </row>
    <row r="184" spans="1:44" ht="29.4" outlineLevel="1" thickBot="1">
      <c r="B184" s="481" t="s">
        <v>12</v>
      </c>
      <c r="C184" s="459"/>
      <c r="D184" s="459"/>
      <c r="E184" s="459"/>
      <c r="F184" s="459"/>
      <c r="G184" s="482"/>
      <c r="H184" s="482"/>
      <c r="I184" s="482"/>
      <c r="J184" s="482"/>
      <c r="K184" s="483"/>
      <c r="L184" s="484"/>
      <c r="M184" s="480"/>
      <c r="N184" s="480"/>
      <c r="P184" s="1029"/>
      <c r="Q184" s="471" t="s">
        <v>870</v>
      </c>
      <c r="R184" s="472" t="s">
        <v>871</v>
      </c>
      <c r="S184" s="690" t="s">
        <v>863</v>
      </c>
      <c r="T184" s="476">
        <v>1</v>
      </c>
      <c r="U184" s="475">
        <v>1</v>
      </c>
      <c r="V184" s="476">
        <v>1</v>
      </c>
      <c r="W184" s="475">
        <v>1</v>
      </c>
      <c r="X184" s="476">
        <v>1</v>
      </c>
      <c r="Y184" s="475">
        <v>1</v>
      </c>
      <c r="Z184" s="476">
        <v>1</v>
      </c>
      <c r="AA184" s="475">
        <v>1</v>
      </c>
      <c r="AB184" s="476">
        <v>1</v>
      </c>
      <c r="AC184" s="477">
        <v>1</v>
      </c>
      <c r="AE184" s="1029"/>
      <c r="AF184" s="471" t="s">
        <v>870</v>
      </c>
      <c r="AG184" s="691" t="s">
        <v>871</v>
      </c>
      <c r="AH184" s="692" t="s">
        <v>863</v>
      </c>
      <c r="AI184" s="476">
        <v>1</v>
      </c>
      <c r="AJ184" s="475">
        <v>1</v>
      </c>
    </row>
    <row r="185" spans="1:44" outlineLevel="1">
      <c r="B185" s="443" t="s">
        <v>968</v>
      </c>
      <c r="C185" s="457">
        <v>11</v>
      </c>
      <c r="D185" s="457">
        <v>11</v>
      </c>
      <c r="E185" s="457">
        <v>11</v>
      </c>
      <c r="F185" s="457">
        <v>11</v>
      </c>
      <c r="G185" s="482"/>
      <c r="H185" s="485"/>
      <c r="I185" s="485"/>
      <c r="J185" s="485"/>
      <c r="K185" s="486" t="s">
        <v>76</v>
      </c>
      <c r="L185" s="487" t="s">
        <v>873</v>
      </c>
      <c r="M185" s="488"/>
      <c r="N185" s="488"/>
    </row>
    <row r="186" spans="1:44" outlineLevel="1">
      <c r="B186" s="443" t="s">
        <v>874</v>
      </c>
      <c r="C186" s="457">
        <v>10</v>
      </c>
      <c r="D186" s="457">
        <v>10</v>
      </c>
      <c r="E186" s="457">
        <v>10</v>
      </c>
      <c r="F186" s="457">
        <v>10</v>
      </c>
      <c r="G186" s="485"/>
      <c r="H186" s="485"/>
      <c r="I186" s="485"/>
      <c r="J186" s="485"/>
      <c r="K186" s="483"/>
      <c r="L186" s="487">
        <v>9</v>
      </c>
      <c r="M186" s="488"/>
      <c r="N186" s="488"/>
    </row>
    <row r="187" spans="1:44" outlineLevel="1">
      <c r="B187" s="443" t="s">
        <v>969</v>
      </c>
      <c r="C187" s="457">
        <v>63</v>
      </c>
      <c r="D187" s="457">
        <v>49</v>
      </c>
      <c r="E187" s="457">
        <v>46</v>
      </c>
      <c r="F187" s="457">
        <v>41</v>
      </c>
      <c r="G187" s="485"/>
      <c r="H187" s="485"/>
      <c r="I187" s="485"/>
      <c r="J187" s="485"/>
      <c r="K187" s="483"/>
      <c r="L187" s="487" t="s">
        <v>873</v>
      </c>
      <c r="M187" s="488"/>
      <c r="N187" s="488"/>
    </row>
    <row r="188" spans="1:44" outlineLevel="1">
      <c r="B188" s="443" t="s">
        <v>366</v>
      </c>
      <c r="C188" s="457">
        <v>11</v>
      </c>
      <c r="D188" s="457">
        <v>8</v>
      </c>
      <c r="E188" s="457">
        <v>6</v>
      </c>
      <c r="F188" s="457">
        <v>4</v>
      </c>
      <c r="G188" s="485"/>
      <c r="H188" s="485"/>
      <c r="I188" s="485"/>
      <c r="J188" s="485"/>
      <c r="K188" s="483"/>
      <c r="L188" s="487" t="s">
        <v>873</v>
      </c>
      <c r="M188" s="488"/>
      <c r="N188" s="488"/>
    </row>
    <row r="189" spans="1:44" ht="15" outlineLevel="1" thickBot="1">
      <c r="B189" s="489" t="s">
        <v>367</v>
      </c>
      <c r="C189" s="686">
        <v>3</v>
      </c>
      <c r="D189" s="686">
        <v>3</v>
      </c>
      <c r="E189" s="686">
        <v>1</v>
      </c>
      <c r="F189" s="686">
        <v>1</v>
      </c>
      <c r="G189" s="485"/>
      <c r="H189" s="485"/>
      <c r="I189" s="485"/>
      <c r="J189" s="485"/>
      <c r="K189" s="483"/>
      <c r="L189" s="487" t="s">
        <v>873</v>
      </c>
      <c r="M189" s="488"/>
      <c r="N189" s="488"/>
    </row>
    <row r="190" spans="1:44" ht="15" outlineLevel="1" thickBot="1">
      <c r="B190" s="491" t="s">
        <v>719</v>
      </c>
      <c r="C190" s="492"/>
      <c r="D190" s="463"/>
      <c r="E190" s="463"/>
      <c r="F190" s="493"/>
      <c r="G190" s="494"/>
      <c r="H190" s="466"/>
      <c r="I190" s="466"/>
      <c r="J190" s="466"/>
      <c r="K190" s="467"/>
      <c r="L190" s="468"/>
      <c r="M190" s="488"/>
      <c r="N190" s="488"/>
    </row>
    <row r="191" spans="1:44" ht="26.4" outlineLevel="1">
      <c r="A191" s="495"/>
      <c r="B191" s="496" t="s">
        <v>1035</v>
      </c>
      <c r="C191" s="611">
        <f>0.618181818181818</f>
        <v>0.61818181818181805</v>
      </c>
      <c r="D191" s="707">
        <f>0.590909090909091</f>
        <v>0.59090909090909105</v>
      </c>
      <c r="E191" s="707">
        <f>(F191+D191)/2</f>
        <v>0.56363636363636349</v>
      </c>
      <c r="F191" s="708">
        <f>0.536363636363636</f>
        <v>0.53636363636363604</v>
      </c>
      <c r="G191" s="485"/>
      <c r="H191" s="485"/>
      <c r="I191" s="485"/>
      <c r="J191" s="485"/>
      <c r="K191" s="486" t="s">
        <v>877</v>
      </c>
      <c r="L191" s="500" t="s">
        <v>878</v>
      </c>
      <c r="M191" s="480"/>
      <c r="N191" s="480"/>
    </row>
    <row r="192" spans="1:44" outlineLevel="1">
      <c r="B192" s="501" t="s">
        <v>964</v>
      </c>
      <c r="C192" s="502">
        <v>60</v>
      </c>
      <c r="D192" s="502">
        <v>60</v>
      </c>
      <c r="E192" s="502">
        <v>60</v>
      </c>
      <c r="F192" s="502">
        <v>60</v>
      </c>
      <c r="G192" s="485"/>
      <c r="H192" s="485"/>
      <c r="I192" s="485"/>
      <c r="J192" s="485"/>
      <c r="K192" s="504"/>
      <c r="L192" s="433">
        <v>3</v>
      </c>
      <c r="M192" s="71"/>
      <c r="N192" s="480"/>
    </row>
    <row r="193" spans="2:30" outlineLevel="1">
      <c r="B193" s="501" t="s">
        <v>965</v>
      </c>
      <c r="C193" s="502">
        <f>100-C192</f>
        <v>40</v>
      </c>
      <c r="D193" s="502">
        <f>100-D192</f>
        <v>40</v>
      </c>
      <c r="E193" s="502">
        <f>100-E192</f>
        <v>40</v>
      </c>
      <c r="F193" s="502">
        <f>100-F192</f>
        <v>40</v>
      </c>
      <c r="G193" s="485"/>
      <c r="H193" s="485"/>
      <c r="I193" s="485"/>
      <c r="J193" s="485"/>
      <c r="K193" s="504"/>
      <c r="L193" s="433">
        <v>3</v>
      </c>
      <c r="M193" s="480"/>
      <c r="N193" s="480"/>
    </row>
    <row r="194" spans="2:30" outlineLevel="1">
      <c r="B194" s="443" t="s">
        <v>966</v>
      </c>
      <c r="C194" s="662">
        <v>33700</v>
      </c>
      <c r="D194" s="663">
        <v>35900</v>
      </c>
      <c r="E194" s="663">
        <f>(F194+D194)/2</f>
        <v>34800</v>
      </c>
      <c r="F194" s="664">
        <v>33700</v>
      </c>
      <c r="G194" s="485"/>
      <c r="H194" s="485"/>
      <c r="I194" s="485"/>
      <c r="J194" s="485"/>
      <c r="K194" s="508" t="s">
        <v>51</v>
      </c>
      <c r="L194" s="433">
        <v>3</v>
      </c>
      <c r="M194" s="480"/>
      <c r="N194" s="480"/>
    </row>
    <row r="195" spans="2:30" outlineLevel="1">
      <c r="B195" s="443" t="s">
        <v>724</v>
      </c>
      <c r="C195" s="509">
        <f>C196+C197</f>
        <v>2.7789999999999999</v>
      </c>
      <c r="D195" s="509">
        <f t="shared" ref="D195:F195" si="25">D196+D197</f>
        <v>2.8250000000000002</v>
      </c>
      <c r="E195" s="509">
        <f t="shared" si="25"/>
        <v>2.8479999999999999</v>
      </c>
      <c r="F195" s="509">
        <f t="shared" si="25"/>
        <v>2.8479999999999999</v>
      </c>
      <c r="G195" s="485"/>
      <c r="H195" s="485"/>
      <c r="I195" s="485"/>
      <c r="J195" s="485"/>
      <c r="K195" s="508"/>
      <c r="L195" s="433">
        <v>3</v>
      </c>
      <c r="M195" s="510"/>
      <c r="N195" s="421"/>
    </row>
    <row r="196" spans="2:30" outlineLevel="1">
      <c r="B196" s="560" t="s">
        <v>883</v>
      </c>
      <c r="C196" s="574">
        <f>C175/100*73</f>
        <v>1.679</v>
      </c>
      <c r="D196" s="574">
        <f>D175/100*75</f>
        <v>1.7249999999999999</v>
      </c>
      <c r="E196" s="574">
        <f>E175/100*76</f>
        <v>1.748</v>
      </c>
      <c r="F196" s="574">
        <f>F175/100*76</f>
        <v>1.748</v>
      </c>
      <c r="G196" s="575"/>
      <c r="H196" s="575"/>
      <c r="I196" s="575"/>
      <c r="J196" s="575"/>
      <c r="K196" s="563" t="s">
        <v>52</v>
      </c>
      <c r="L196" s="564">
        <v>3</v>
      </c>
      <c r="M196" s="510"/>
      <c r="N196" s="421"/>
    </row>
    <row r="197" spans="2:30" outlineLevel="1">
      <c r="B197" s="560" t="s">
        <v>884</v>
      </c>
      <c r="C197" s="576">
        <v>1.1000000000000001</v>
      </c>
      <c r="D197" s="576">
        <v>1.1000000000000001</v>
      </c>
      <c r="E197" s="576">
        <v>1.1000000000000001</v>
      </c>
      <c r="F197" s="576">
        <v>1.1000000000000001</v>
      </c>
      <c r="G197" s="575"/>
      <c r="H197" s="575"/>
      <c r="I197" s="575"/>
      <c r="J197" s="575"/>
      <c r="K197" s="577"/>
      <c r="L197" s="564">
        <v>3</v>
      </c>
      <c r="M197" s="423"/>
      <c r="N197" s="423"/>
    </row>
    <row r="198" spans="2:30" outlineLevel="1">
      <c r="B198" s="501"/>
      <c r="C198" s="741"/>
      <c r="D198" s="741"/>
      <c r="E198" s="741"/>
      <c r="F198" s="741"/>
      <c r="G198" s="485"/>
      <c r="H198" s="485"/>
      <c r="I198" s="485"/>
      <c r="J198" s="485"/>
      <c r="K198" s="504"/>
      <c r="L198" s="484"/>
      <c r="M198" s="427"/>
      <c r="N198" s="427"/>
      <c r="P198" s="999">
        <f>C195</f>
        <v>2.7789999999999999</v>
      </c>
      <c r="Q198" s="977"/>
      <c r="R198" s="977"/>
      <c r="S198" s="977"/>
      <c r="T198" s="977"/>
      <c r="U198" s="1000"/>
    </row>
    <row r="199" spans="2:30" ht="15" outlineLevel="1" thickBot="1">
      <c r="B199" s="579"/>
      <c r="C199" s="502"/>
      <c r="D199" s="580"/>
      <c r="E199" s="580"/>
      <c r="F199" s="581"/>
      <c r="G199" s="485"/>
      <c r="H199" s="485"/>
      <c r="I199" s="485"/>
      <c r="J199" s="485"/>
      <c r="K199" s="508"/>
      <c r="L199" s="484"/>
      <c r="M199" s="423"/>
      <c r="N199" s="423"/>
      <c r="P199" s="1001">
        <f>C196</f>
        <v>1.679</v>
      </c>
      <c r="Q199" s="1002"/>
      <c r="R199" s="1002"/>
      <c r="S199" s="1002"/>
      <c r="T199" s="1002"/>
      <c r="U199" s="1003"/>
    </row>
    <row r="200" spans="2:30" ht="15" outlineLevel="1" thickBot="1">
      <c r="B200" s="461" t="s">
        <v>727</v>
      </c>
      <c r="C200" s="462"/>
      <c r="D200" s="463"/>
      <c r="E200" s="464"/>
      <c r="F200" s="465"/>
      <c r="G200" s="466"/>
      <c r="H200" s="466"/>
      <c r="I200" s="466"/>
      <c r="J200" s="466"/>
      <c r="K200" s="519"/>
      <c r="L200" s="520"/>
      <c r="M200" s="423"/>
      <c r="N200" s="423"/>
      <c r="P200" s="53" t="s">
        <v>357</v>
      </c>
    </row>
    <row r="201" spans="2:30" ht="27.6" outlineLevel="1">
      <c r="B201" s="582" t="s">
        <v>887</v>
      </c>
      <c r="C201" s="730">
        <v>3.5000000000000003E-2</v>
      </c>
      <c r="D201" s="730">
        <v>0.03</v>
      </c>
      <c r="E201" s="730">
        <v>0.03</v>
      </c>
      <c r="F201" s="730">
        <v>0.03</v>
      </c>
      <c r="G201" s="584"/>
      <c r="H201" s="584"/>
      <c r="I201" s="584"/>
      <c r="J201" s="584"/>
      <c r="K201" s="584" t="s">
        <v>55</v>
      </c>
      <c r="L201" s="585"/>
      <c r="M201" s="423"/>
      <c r="N201" s="423"/>
      <c r="P201" s="46" t="s">
        <v>335</v>
      </c>
      <c r="Q201" s="46" t="s">
        <v>336</v>
      </c>
      <c r="R201" s="47" t="s">
        <v>337</v>
      </c>
      <c r="S201" s="47" t="s">
        <v>338</v>
      </c>
      <c r="T201" s="47" t="s">
        <v>339</v>
      </c>
      <c r="U201" s="48" t="s">
        <v>340</v>
      </c>
      <c r="V201" s="49" t="s">
        <v>341</v>
      </c>
      <c r="W201" s="49" t="s">
        <v>342</v>
      </c>
      <c r="X201" s="49" t="s">
        <v>343</v>
      </c>
      <c r="Y201" s="49" t="s">
        <v>344</v>
      </c>
      <c r="Z201" s="49" t="s">
        <v>345</v>
      </c>
      <c r="AA201" s="49" t="s">
        <v>346</v>
      </c>
      <c r="AB201" s="49" t="s">
        <v>347</v>
      </c>
      <c r="AC201" s="49" t="s">
        <v>348</v>
      </c>
      <c r="AD201" s="49" t="s">
        <v>349</v>
      </c>
    </row>
    <row r="202" spans="2:30" ht="15" outlineLevel="1" thickBot="1">
      <c r="B202" s="560" t="s">
        <v>888</v>
      </c>
      <c r="C202" s="586" t="s">
        <v>36</v>
      </c>
      <c r="D202" s="587" t="s">
        <v>36</v>
      </c>
      <c r="E202" s="587" t="s">
        <v>36</v>
      </c>
      <c r="F202" s="588" t="s">
        <v>36</v>
      </c>
      <c r="G202" s="588"/>
      <c r="H202" s="588"/>
      <c r="I202" s="588"/>
      <c r="J202" s="588"/>
      <c r="K202" s="589" t="s">
        <v>49</v>
      </c>
      <c r="L202" s="585"/>
      <c r="M202" s="423"/>
      <c r="N202" s="423"/>
      <c r="P202" s="50"/>
      <c r="Q202" s="50"/>
      <c r="R202" s="51"/>
      <c r="S202" s="51"/>
      <c r="T202" s="51"/>
      <c r="U202" s="51" t="s">
        <v>885</v>
      </c>
      <c r="V202" s="50" t="s">
        <v>886</v>
      </c>
      <c r="W202" s="50"/>
      <c r="X202" s="50"/>
      <c r="Y202" s="50"/>
      <c r="Z202" s="50"/>
      <c r="AA202" s="50"/>
      <c r="AB202" s="50"/>
      <c r="AC202" s="50"/>
      <c r="AD202" s="50"/>
    </row>
    <row r="203" spans="2:30" ht="43.2" outlineLevel="1">
      <c r="B203" s="560" t="s">
        <v>889</v>
      </c>
      <c r="C203" s="586" t="s">
        <v>36</v>
      </c>
      <c r="D203" s="587" t="s">
        <v>36</v>
      </c>
      <c r="E203" s="587" t="s">
        <v>36</v>
      </c>
      <c r="F203" s="588" t="s">
        <v>36</v>
      </c>
      <c r="G203" s="575"/>
      <c r="H203" s="575"/>
      <c r="I203" s="575"/>
      <c r="J203" s="575"/>
      <c r="K203" s="575"/>
      <c r="L203" s="564"/>
      <c r="M203" s="423"/>
      <c r="N203" s="423"/>
      <c r="O203" s="521" t="s">
        <v>857</v>
      </c>
      <c r="P203" s="56"/>
      <c r="Q203" s="56"/>
      <c r="R203" s="57"/>
      <c r="S203" s="57"/>
      <c r="T203" s="57"/>
      <c r="U203" s="56" t="s">
        <v>350</v>
      </c>
      <c r="V203" s="56" t="s">
        <v>326</v>
      </c>
      <c r="W203" s="56" t="s">
        <v>327</v>
      </c>
      <c r="X203" s="56" t="s">
        <v>351</v>
      </c>
      <c r="Y203" s="56" t="s">
        <v>351</v>
      </c>
      <c r="Z203" s="56" t="s">
        <v>352</v>
      </c>
      <c r="AA203" s="56" t="s">
        <v>352</v>
      </c>
      <c r="AB203" s="56" t="s">
        <v>352</v>
      </c>
      <c r="AC203" s="56" t="s">
        <v>352</v>
      </c>
      <c r="AD203" s="56" t="s">
        <v>352</v>
      </c>
    </row>
    <row r="204" spans="2:30" outlineLevel="1">
      <c r="B204" s="560" t="s">
        <v>890</v>
      </c>
      <c r="C204" s="745">
        <v>90</v>
      </c>
      <c r="D204" s="590">
        <v>90</v>
      </c>
      <c r="E204" s="590">
        <v>90</v>
      </c>
      <c r="F204" s="590">
        <v>90</v>
      </c>
      <c r="G204" s="591"/>
      <c r="H204" s="591"/>
      <c r="I204" s="591"/>
      <c r="J204" s="591"/>
      <c r="K204" s="591"/>
      <c r="L204" s="564">
        <v>3</v>
      </c>
      <c r="M204" s="423"/>
      <c r="N204" s="423"/>
      <c r="O204" s="525">
        <f>C174</f>
        <v>90</v>
      </c>
      <c r="P204" s="526">
        <f>C170</f>
        <v>2020</v>
      </c>
      <c r="Q204" s="58">
        <f>P204</f>
        <v>2020</v>
      </c>
      <c r="R204" s="526">
        <f>O204/100</f>
        <v>0.9</v>
      </c>
      <c r="S204" s="58"/>
      <c r="T204" s="526">
        <f>C178</f>
        <v>25</v>
      </c>
      <c r="U204" s="527">
        <f>C208</f>
        <v>4605.4545454545441</v>
      </c>
      <c r="V204" s="527">
        <f>C210</f>
        <v>251.065</v>
      </c>
      <c r="W204" s="527">
        <f>C211</f>
        <v>5.7509861111111107</v>
      </c>
      <c r="X204" s="58"/>
      <c r="Y204" s="58"/>
      <c r="Z204" s="526">
        <f>C185</f>
        <v>11</v>
      </c>
      <c r="AA204" s="528">
        <f>C187</f>
        <v>63</v>
      </c>
      <c r="AB204" s="528">
        <f>C188</f>
        <v>11</v>
      </c>
      <c r="AC204" s="528">
        <f>C189</f>
        <v>3</v>
      </c>
      <c r="AD204" s="528">
        <f>C186</f>
        <v>10</v>
      </c>
    </row>
    <row r="205" spans="2:30" outlineLevel="1">
      <c r="B205" s="592" t="s">
        <v>891</v>
      </c>
      <c r="C205" s="586"/>
      <c r="D205" s="587"/>
      <c r="E205" s="587"/>
      <c r="F205" s="588"/>
      <c r="G205" s="591"/>
      <c r="H205" s="591"/>
      <c r="I205" s="591"/>
      <c r="J205" s="591"/>
      <c r="K205" s="591"/>
      <c r="L205" s="593"/>
      <c r="M205" s="427"/>
      <c r="N205" s="427"/>
      <c r="O205" s="525">
        <f>D174</f>
        <v>90</v>
      </c>
      <c r="P205" s="526">
        <f>D170</f>
        <v>2030</v>
      </c>
      <c r="Q205" s="58"/>
      <c r="R205" s="526">
        <f>O205/100</f>
        <v>0.9</v>
      </c>
      <c r="S205" s="58"/>
      <c r="T205" s="526">
        <f>D178</f>
        <v>25</v>
      </c>
      <c r="U205" s="527">
        <f>D208</f>
        <v>4402.2727272727279</v>
      </c>
      <c r="V205" s="527">
        <f>D210</f>
        <v>267.45499999999998</v>
      </c>
      <c r="W205" s="527">
        <f>D211</f>
        <v>5.8461805555555557</v>
      </c>
      <c r="X205" s="58"/>
      <c r="Y205" s="58"/>
      <c r="Z205" s="526">
        <f>D185</f>
        <v>11</v>
      </c>
      <c r="AA205" s="528">
        <f>D187</f>
        <v>49</v>
      </c>
      <c r="AB205" s="528">
        <f>D188</f>
        <v>8</v>
      </c>
      <c r="AC205" s="528">
        <f>D189</f>
        <v>3</v>
      </c>
      <c r="AD205" s="528">
        <f>D186</f>
        <v>10</v>
      </c>
    </row>
    <row r="206" spans="2:30" outlineLevel="1">
      <c r="B206" s="592" t="s">
        <v>892</v>
      </c>
      <c r="C206" s="586"/>
      <c r="D206" s="587"/>
      <c r="E206" s="587"/>
      <c r="F206" s="588"/>
      <c r="G206" s="591"/>
      <c r="H206" s="591"/>
      <c r="I206" s="591"/>
      <c r="J206" s="591"/>
      <c r="K206" s="591"/>
      <c r="L206" s="593"/>
      <c r="M206" s="423"/>
      <c r="N206" s="423"/>
      <c r="O206" s="525">
        <f>E174</f>
        <v>90</v>
      </c>
      <c r="P206" s="526">
        <f>E170</f>
        <v>2040</v>
      </c>
      <c r="Q206" s="58"/>
      <c r="R206" s="526">
        <f>O206/100</f>
        <v>0.9</v>
      </c>
      <c r="S206" s="58"/>
      <c r="T206" s="526">
        <f>E178</f>
        <v>25</v>
      </c>
      <c r="U206" s="527">
        <f>E208</f>
        <v>4199.0909090909081</v>
      </c>
      <c r="V206" s="527">
        <f>E210</f>
        <v>259.26</v>
      </c>
      <c r="W206" s="527">
        <f>E211</f>
        <v>5.8937777777777782</v>
      </c>
      <c r="X206" s="58"/>
      <c r="Y206" s="58"/>
      <c r="Z206" s="526">
        <f>E185</f>
        <v>11</v>
      </c>
      <c r="AA206" s="528">
        <f>E187</f>
        <v>46</v>
      </c>
      <c r="AB206" s="528">
        <f>E188</f>
        <v>6</v>
      </c>
      <c r="AC206" s="528">
        <f>E189</f>
        <v>1</v>
      </c>
      <c r="AD206" s="528">
        <f>E186</f>
        <v>10</v>
      </c>
    </row>
    <row r="207" spans="2:30" ht="15" outlineLevel="1" thickBot="1">
      <c r="B207" s="594" t="s">
        <v>893</v>
      </c>
      <c r="C207" s="595"/>
      <c r="D207" s="596"/>
      <c r="E207" s="596"/>
      <c r="F207" s="597"/>
      <c r="G207" s="598"/>
      <c r="H207" s="598"/>
      <c r="I207" s="598"/>
      <c r="J207" s="598"/>
      <c r="K207" s="598"/>
      <c r="L207" s="599"/>
      <c r="M207" s="423"/>
      <c r="N207" s="423"/>
      <c r="O207" s="525">
        <f>F174</f>
        <v>91</v>
      </c>
      <c r="P207" s="526">
        <f>F170</f>
        <v>2050</v>
      </c>
      <c r="Q207" s="58"/>
      <c r="R207" s="526">
        <f>O207/100</f>
        <v>0.91</v>
      </c>
      <c r="S207" s="58"/>
      <c r="T207" s="526">
        <f>F178</f>
        <v>25</v>
      </c>
      <c r="U207" s="527">
        <f>F208</f>
        <v>3995.9090909090883</v>
      </c>
      <c r="V207" s="527">
        <f>F210</f>
        <v>251.065</v>
      </c>
      <c r="W207" s="527">
        <f>F211</f>
        <v>5.8937777777777782</v>
      </c>
      <c r="X207" s="58"/>
      <c r="Y207" s="58"/>
      <c r="Z207" s="526">
        <f>F185</f>
        <v>11</v>
      </c>
      <c r="AA207" s="528">
        <f>F187</f>
        <v>41</v>
      </c>
      <c r="AB207" s="528">
        <f>F188</f>
        <v>4</v>
      </c>
      <c r="AC207" s="528">
        <f>F189</f>
        <v>1</v>
      </c>
      <c r="AD207" s="528">
        <f>F186</f>
        <v>10</v>
      </c>
    </row>
    <row r="208" spans="2:30" ht="57.6" outlineLevel="1">
      <c r="B208" s="521" t="s">
        <v>894</v>
      </c>
      <c r="C208" s="543">
        <f>C191*$F$4*1000</f>
        <v>4605.4545454545441</v>
      </c>
      <c r="D208" s="543">
        <f t="shared" ref="D208:F208" si="26">D191*$F$4*1000</f>
        <v>4402.2727272727279</v>
      </c>
      <c r="E208" s="543">
        <f t="shared" si="26"/>
        <v>4199.0909090909081</v>
      </c>
      <c r="F208" s="543">
        <f t="shared" si="26"/>
        <v>3995.9090909090883</v>
      </c>
      <c r="G208" s="543"/>
      <c r="H208" s="544"/>
      <c r="I208" s="480" t="s">
        <v>332</v>
      </c>
      <c r="J208" s="480"/>
      <c r="K208" s="544"/>
      <c r="L208" s="544"/>
      <c r="N208" s="480"/>
    </row>
    <row r="209" spans="1:16" outlineLevel="1">
      <c r="B209" s="545" t="s">
        <v>895</v>
      </c>
      <c r="C209" s="546">
        <f>C208*$I209</f>
        <v>2302727.272727272</v>
      </c>
      <c r="D209" s="546">
        <f>D208*$I209</f>
        <v>2201136.3636363638</v>
      </c>
      <c r="E209" s="546">
        <f>E208*$I209</f>
        <v>2099545.4545454541</v>
      </c>
      <c r="F209" s="546">
        <f>F208*$I209</f>
        <v>1997954.545454544</v>
      </c>
      <c r="G209" s="546"/>
      <c r="H209" s="544"/>
      <c r="I209" s="71">
        <v>500</v>
      </c>
      <c r="J209" s="480" t="s">
        <v>330</v>
      </c>
      <c r="K209" s="544"/>
      <c r="L209" s="544"/>
      <c r="N209" s="480"/>
    </row>
    <row r="210" spans="1:16" ht="43.2" outlineLevel="1">
      <c r="B210" s="521" t="s">
        <v>970</v>
      </c>
      <c r="C210" s="419">
        <f>C194*$F$4/1000</f>
        <v>251.065</v>
      </c>
      <c r="D210" s="419">
        <f t="shared" ref="D210:F210" si="27">D194*$F$4/1000</f>
        <v>267.45499999999998</v>
      </c>
      <c r="E210" s="419">
        <f t="shared" si="27"/>
        <v>259.26</v>
      </c>
      <c r="F210" s="419">
        <f t="shared" si="27"/>
        <v>251.065</v>
      </c>
      <c r="G210" s="419"/>
      <c r="I210" s="480" t="s">
        <v>333</v>
      </c>
      <c r="J210" s="480"/>
      <c r="N210" s="480"/>
    </row>
    <row r="211" spans="1:16" ht="43.2" outlineLevel="1">
      <c r="B211" s="521" t="s">
        <v>971</v>
      </c>
      <c r="C211" s="547">
        <f>C195*$F$4/3.6</f>
        <v>5.7509861111111107</v>
      </c>
      <c r="D211" s="547">
        <f t="shared" ref="D211:F211" si="28">D195*$F$4/3.6</f>
        <v>5.8461805555555557</v>
      </c>
      <c r="E211" s="547">
        <f t="shared" si="28"/>
        <v>5.8937777777777782</v>
      </c>
      <c r="F211" s="547">
        <f t="shared" si="28"/>
        <v>5.8937777777777782</v>
      </c>
      <c r="G211" s="419"/>
      <c r="M211" s="480"/>
      <c r="N211" s="480"/>
    </row>
    <row r="212" spans="1:16" outlineLevel="1"/>
    <row r="213" spans="1:16" outlineLevel="1">
      <c r="A213" s="548"/>
      <c r="B213" s="549"/>
      <c r="D213" s="550"/>
      <c r="E213" s="550"/>
      <c r="F213" s="550"/>
      <c r="G213" s="417"/>
      <c r="H213" s="417"/>
      <c r="I213" s="417"/>
      <c r="J213" s="417"/>
      <c r="K213" s="417"/>
      <c r="L213" s="417"/>
      <c r="N213" s="630"/>
    </row>
    <row r="214" spans="1:16" outlineLevel="1">
      <c r="A214" s="551"/>
      <c r="B214" s="552"/>
      <c r="D214" s="550"/>
      <c r="E214" s="550"/>
      <c r="F214" s="550"/>
      <c r="G214" s="417"/>
      <c r="H214" s="417"/>
      <c r="I214" s="417"/>
      <c r="J214" s="417"/>
      <c r="K214" s="417"/>
      <c r="L214" s="417"/>
      <c r="N214" s="630"/>
    </row>
    <row r="215" spans="1:16" outlineLevel="1">
      <c r="A215" s="551"/>
      <c r="B215" s="553"/>
      <c r="D215" s="550"/>
      <c r="E215" s="550"/>
      <c r="F215" s="550"/>
      <c r="G215" s="417"/>
      <c r="H215" s="417"/>
      <c r="I215" s="417"/>
      <c r="J215" s="417"/>
      <c r="K215" s="417"/>
      <c r="L215" s="417"/>
      <c r="N215" s="630"/>
    </row>
    <row r="216" spans="1:16" outlineLevel="1">
      <c r="A216" s="551"/>
      <c r="B216" s="548" t="s">
        <v>898</v>
      </c>
      <c r="C216" s="549"/>
      <c r="E216" s="417"/>
      <c r="F216" s="550"/>
      <c r="G216" s="417"/>
      <c r="H216" s="417"/>
      <c r="I216" s="417"/>
      <c r="J216" s="417"/>
      <c r="K216" s="417"/>
      <c r="L216" s="417"/>
      <c r="N216" s="630"/>
      <c r="O216" s="549"/>
      <c r="P216" s="550"/>
    </row>
    <row r="217" spans="1:16" outlineLevel="1">
      <c r="A217" s="551"/>
      <c r="B217" s="551">
        <v>1</v>
      </c>
      <c r="C217" s="552" t="s">
        <v>899</v>
      </c>
      <c r="E217" s="417"/>
      <c r="F217" s="550"/>
      <c r="G217" s="417"/>
      <c r="H217" s="417"/>
      <c r="I217" s="417"/>
      <c r="J217" s="417"/>
      <c r="K217" s="417"/>
      <c r="L217" s="417"/>
      <c r="N217" s="630"/>
      <c r="O217" s="549"/>
      <c r="P217" s="550"/>
    </row>
    <row r="218" spans="1:16" outlineLevel="1">
      <c r="A218" s="417"/>
      <c r="B218" s="551">
        <v>2</v>
      </c>
      <c r="C218" s="553" t="s">
        <v>900</v>
      </c>
      <c r="E218" s="417"/>
      <c r="F218" s="550"/>
      <c r="G218" s="417"/>
      <c r="H218" s="417"/>
      <c r="I218" s="417"/>
      <c r="J218" s="417"/>
      <c r="K218" s="417"/>
      <c r="L218" s="417"/>
      <c r="O218" s="549"/>
      <c r="P218" s="550"/>
    </row>
    <row r="219" spans="1:16" outlineLevel="1">
      <c r="A219" s="417"/>
      <c r="B219" s="551">
        <v>3</v>
      </c>
      <c r="C219" s="553" t="s">
        <v>901</v>
      </c>
      <c r="E219" s="417"/>
      <c r="F219" s="550"/>
      <c r="G219" s="417"/>
      <c r="H219" s="417"/>
      <c r="I219" s="417"/>
      <c r="J219" s="417"/>
      <c r="K219" s="417"/>
      <c r="L219" s="417"/>
      <c r="O219" s="549"/>
      <c r="P219" s="550"/>
    </row>
    <row r="220" spans="1:16" outlineLevel="1">
      <c r="A220" s="417"/>
      <c r="B220" s="551">
        <v>4</v>
      </c>
      <c r="C220" s="553" t="s">
        <v>902</v>
      </c>
      <c r="E220" s="417"/>
      <c r="F220" s="550"/>
      <c r="G220" s="417"/>
      <c r="H220" s="417"/>
      <c r="I220" s="417"/>
      <c r="J220" s="417"/>
      <c r="K220" s="417"/>
      <c r="L220" s="417"/>
      <c r="O220" s="549"/>
      <c r="P220" s="550"/>
    </row>
    <row r="221" spans="1:16" outlineLevel="1">
      <c r="A221" s="417"/>
      <c r="B221" s="417">
        <v>5</v>
      </c>
      <c r="C221" s="554" t="s">
        <v>903</v>
      </c>
      <c r="F221" s="550"/>
      <c r="G221" s="417"/>
      <c r="H221" s="417"/>
      <c r="I221" s="417"/>
      <c r="J221" s="417"/>
      <c r="K221" s="417"/>
      <c r="L221" s="417"/>
    </row>
    <row r="222" spans="1:16" outlineLevel="1">
      <c r="A222" s="417"/>
      <c r="B222" s="417">
        <v>6</v>
      </c>
      <c r="C222" s="552" t="s">
        <v>904</v>
      </c>
      <c r="F222" s="550"/>
      <c r="G222" s="417"/>
      <c r="H222" s="417"/>
      <c r="I222" s="417"/>
      <c r="J222" s="417"/>
      <c r="K222" s="417"/>
      <c r="L222" s="417"/>
    </row>
    <row r="223" spans="1:16" outlineLevel="1">
      <c r="A223" s="417"/>
      <c r="B223" s="417">
        <v>7</v>
      </c>
      <c r="C223" s="555" t="s">
        <v>899</v>
      </c>
      <c r="F223" s="550"/>
      <c r="G223" s="417"/>
      <c r="H223" s="417"/>
      <c r="I223" s="417"/>
      <c r="J223" s="417"/>
      <c r="K223" s="417"/>
      <c r="L223" s="417"/>
    </row>
    <row r="224" spans="1:16" outlineLevel="1">
      <c r="A224" s="548"/>
      <c r="B224" s="417">
        <v>8</v>
      </c>
      <c r="C224" s="555" t="s">
        <v>905</v>
      </c>
      <c r="F224" s="550"/>
      <c r="G224" s="417"/>
      <c r="H224" s="417"/>
      <c r="I224" s="417"/>
      <c r="J224" s="417"/>
      <c r="K224" s="417"/>
      <c r="L224" s="417"/>
    </row>
    <row r="225" spans="1:16" outlineLevel="1">
      <c r="A225" s="556"/>
      <c r="B225" s="417">
        <v>9</v>
      </c>
      <c r="C225" s="549" t="s">
        <v>906</v>
      </c>
      <c r="F225" s="550"/>
      <c r="G225" s="417"/>
      <c r="H225" s="417"/>
      <c r="I225" s="417"/>
      <c r="J225" s="417"/>
      <c r="K225" s="417"/>
      <c r="L225" s="417"/>
      <c r="N225" s="630"/>
    </row>
    <row r="226" spans="1:16" outlineLevel="1">
      <c r="A226" s="556"/>
      <c r="B226" s="417">
        <v>10</v>
      </c>
      <c r="C226" s="550" t="s">
        <v>907</v>
      </c>
      <c r="F226" s="550"/>
      <c r="G226" s="417"/>
      <c r="H226" s="417"/>
      <c r="I226" s="417"/>
      <c r="J226" s="417"/>
      <c r="K226" s="417"/>
      <c r="L226" s="417"/>
      <c r="N226" s="630"/>
    </row>
    <row r="227" spans="1:16" outlineLevel="1">
      <c r="A227" s="556"/>
      <c r="B227" s="548" t="s">
        <v>908</v>
      </c>
      <c r="C227" s="549"/>
      <c r="F227" s="550"/>
      <c r="G227" s="417"/>
      <c r="H227" s="417"/>
      <c r="I227" s="417"/>
      <c r="J227" s="417"/>
      <c r="K227" s="417"/>
      <c r="L227" s="417"/>
      <c r="N227" s="630"/>
    </row>
    <row r="228" spans="1:16" outlineLevel="1">
      <c r="A228" s="556"/>
      <c r="B228" s="556" t="s">
        <v>6</v>
      </c>
      <c r="C228" s="557" t="s">
        <v>1100</v>
      </c>
      <c r="D228" s="549"/>
      <c r="F228" s="550"/>
      <c r="G228" s="417"/>
      <c r="H228" s="417"/>
      <c r="I228" s="417"/>
      <c r="J228" s="417"/>
      <c r="K228" s="417"/>
      <c r="L228" s="417"/>
      <c r="N228" s="630"/>
      <c r="O228" s="549"/>
      <c r="P228" s="550"/>
    </row>
    <row r="229" spans="1:16" outlineLevel="1">
      <c r="A229" s="556"/>
      <c r="B229" s="556" t="s">
        <v>59</v>
      </c>
      <c r="C229" s="549" t="s">
        <v>910</v>
      </c>
      <c r="D229" s="549"/>
      <c r="F229" s="550"/>
      <c r="G229" s="417"/>
      <c r="H229" s="417"/>
      <c r="I229" s="417"/>
      <c r="J229" s="417"/>
      <c r="K229" s="417"/>
      <c r="L229" s="417"/>
      <c r="N229" s="630"/>
      <c r="O229" s="549"/>
      <c r="P229" s="550"/>
    </row>
    <row r="230" spans="1:16" outlineLevel="1">
      <c r="A230" s="556"/>
      <c r="B230" s="556" t="s">
        <v>16</v>
      </c>
      <c r="C230" s="549" t="s">
        <v>1101</v>
      </c>
      <c r="D230" s="549"/>
      <c r="F230" s="550"/>
      <c r="G230" s="417"/>
      <c r="H230" s="417"/>
      <c r="I230" s="417"/>
      <c r="J230" s="417"/>
      <c r="K230" s="417"/>
      <c r="L230" s="417"/>
      <c r="N230" s="630"/>
      <c r="O230" s="549"/>
      <c r="P230" s="550"/>
    </row>
    <row r="231" spans="1:16" outlineLevel="1">
      <c r="A231" s="556"/>
      <c r="B231" s="556" t="s">
        <v>20</v>
      </c>
      <c r="C231" s="549" t="s">
        <v>1102</v>
      </c>
      <c r="D231" s="549"/>
      <c r="F231" s="550"/>
      <c r="G231" s="417"/>
      <c r="H231" s="417"/>
      <c r="I231" s="417"/>
      <c r="J231" s="417"/>
      <c r="K231" s="417"/>
      <c r="L231" s="417"/>
      <c r="N231" s="630"/>
      <c r="O231" s="549"/>
      <c r="P231" s="550"/>
    </row>
    <row r="232" spans="1:16" outlineLevel="1">
      <c r="A232" s="556"/>
      <c r="B232" s="556" t="s">
        <v>76</v>
      </c>
      <c r="C232" s="549" t="s">
        <v>911</v>
      </c>
      <c r="D232" s="549"/>
      <c r="F232" s="550"/>
      <c r="G232" s="417"/>
      <c r="H232" s="417"/>
      <c r="I232" s="417"/>
      <c r="J232" s="417"/>
      <c r="K232" s="417"/>
      <c r="L232" s="417"/>
      <c r="N232" s="630"/>
      <c r="O232" s="549"/>
      <c r="P232" s="550"/>
    </row>
    <row r="233" spans="1:16" outlineLevel="1">
      <c r="A233" s="556"/>
      <c r="B233" s="556" t="s">
        <v>25</v>
      </c>
      <c r="C233" s="549" t="s">
        <v>1103</v>
      </c>
      <c r="D233" s="549"/>
      <c r="F233" s="550"/>
      <c r="G233" s="417"/>
      <c r="H233" s="417"/>
      <c r="I233" s="417"/>
      <c r="J233" s="417"/>
      <c r="K233" s="417"/>
      <c r="L233" s="417"/>
      <c r="N233" s="630"/>
      <c r="O233" s="549"/>
      <c r="P233" s="550"/>
    </row>
    <row r="234" spans="1:16" outlineLevel="1">
      <c r="A234" s="556"/>
      <c r="B234" s="556" t="s">
        <v>33</v>
      </c>
      <c r="C234" s="549" t="s">
        <v>1104</v>
      </c>
      <c r="D234" s="549"/>
      <c r="F234" s="550"/>
      <c r="G234" s="417"/>
      <c r="H234" s="417"/>
      <c r="I234" s="417"/>
      <c r="J234" s="417"/>
      <c r="K234" s="417"/>
      <c r="L234" s="417"/>
      <c r="N234" s="630"/>
      <c r="O234" s="549"/>
      <c r="P234" s="550"/>
    </row>
    <row r="235" spans="1:16" outlineLevel="1">
      <c r="A235" s="556"/>
      <c r="B235" s="556" t="s">
        <v>51</v>
      </c>
      <c r="C235" s="549" t="s">
        <v>1105</v>
      </c>
      <c r="D235" s="549"/>
      <c r="F235" s="550"/>
      <c r="G235" s="417"/>
      <c r="H235" s="417"/>
      <c r="I235" s="417"/>
      <c r="J235" s="417"/>
      <c r="K235" s="417"/>
      <c r="L235" s="417"/>
      <c r="N235" s="630"/>
      <c r="O235" s="549"/>
      <c r="P235" s="550"/>
    </row>
    <row r="236" spans="1:16" outlineLevel="1">
      <c r="A236" s="556"/>
      <c r="B236" s="556" t="s">
        <v>52</v>
      </c>
      <c r="C236" s="558" t="s">
        <v>913</v>
      </c>
      <c r="D236" s="549"/>
      <c r="F236" s="550"/>
      <c r="G236" s="417"/>
      <c r="H236" s="417"/>
      <c r="I236" s="417"/>
      <c r="J236" s="417"/>
      <c r="K236" s="417"/>
      <c r="L236" s="417"/>
      <c r="N236" s="630"/>
      <c r="O236" s="549"/>
      <c r="P236" s="550"/>
    </row>
    <row r="237" spans="1:16" outlineLevel="1">
      <c r="A237" s="556"/>
      <c r="B237" s="556" t="s">
        <v>55</v>
      </c>
      <c r="C237" s="549" t="s">
        <v>929</v>
      </c>
      <c r="D237" s="549"/>
      <c r="F237" s="550"/>
      <c r="G237" s="417"/>
      <c r="H237" s="417"/>
      <c r="I237" s="417"/>
      <c r="J237" s="417"/>
      <c r="K237" s="417"/>
      <c r="L237" s="417"/>
      <c r="N237" s="631"/>
      <c r="O237" s="549"/>
      <c r="P237" s="550"/>
    </row>
    <row r="238" spans="1:16" outlineLevel="1">
      <c r="A238" s="556"/>
      <c r="B238" s="556" t="s">
        <v>49</v>
      </c>
      <c r="C238" s="549" t="s">
        <v>914</v>
      </c>
      <c r="D238" s="549"/>
      <c r="F238" s="550"/>
      <c r="G238" s="417"/>
      <c r="H238" s="417"/>
      <c r="I238" s="417"/>
      <c r="J238" s="417"/>
      <c r="K238" s="417"/>
      <c r="L238" s="417"/>
      <c r="N238" s="632"/>
      <c r="O238" s="549"/>
      <c r="P238" s="550"/>
    </row>
    <row r="239" spans="1:16" outlineLevel="1">
      <c r="A239" s="556"/>
      <c r="F239" s="550"/>
      <c r="G239" s="417"/>
      <c r="H239" s="417"/>
      <c r="I239" s="417"/>
      <c r="J239" s="417"/>
      <c r="K239" s="417"/>
      <c r="L239" s="417"/>
      <c r="N239" s="633"/>
      <c r="O239" s="549"/>
      <c r="P239" s="550"/>
    </row>
    <row r="240" spans="1:16" outlineLevel="1">
      <c r="A240" s="556"/>
      <c r="B240" s="558"/>
      <c r="C240" s="550"/>
      <c r="D240" s="550"/>
      <c r="E240" s="550"/>
      <c r="F240" s="550"/>
      <c r="G240" s="417"/>
      <c r="H240" s="417"/>
      <c r="I240" s="417"/>
      <c r="J240" s="417"/>
      <c r="K240" s="417"/>
      <c r="L240" s="417"/>
      <c r="N240" s="633"/>
      <c r="O240" s="549"/>
      <c r="P240" s="550"/>
    </row>
    <row r="241" spans="1:44" outlineLevel="1">
      <c r="A241" s="556"/>
      <c r="B241" s="549"/>
      <c r="C241" s="550"/>
      <c r="D241" s="550"/>
      <c r="E241" s="550"/>
      <c r="F241" s="550"/>
      <c r="G241" s="417"/>
      <c r="H241" s="417"/>
      <c r="I241" s="417"/>
      <c r="J241" s="417"/>
      <c r="K241" s="417"/>
      <c r="L241" s="417"/>
      <c r="N241" s="549"/>
      <c r="O241" s="549"/>
      <c r="P241" s="550"/>
    </row>
    <row r="242" spans="1:44" outlineLevel="1">
      <c r="A242" s="556"/>
      <c r="B242" s="549"/>
      <c r="C242" s="550"/>
      <c r="D242" s="550"/>
      <c r="E242" s="550"/>
      <c r="F242" s="550"/>
      <c r="G242" s="417"/>
      <c r="H242" s="417"/>
      <c r="I242" s="417"/>
      <c r="J242" s="417"/>
      <c r="K242" s="417"/>
      <c r="L242" s="417"/>
      <c r="N242" s="550"/>
      <c r="O242" s="549"/>
      <c r="P242" s="550"/>
    </row>
    <row r="243" spans="1:44" outlineLevel="1">
      <c r="O243" s="550"/>
      <c r="P243" s="550"/>
    </row>
    <row r="244" spans="1:44" outlineLevel="1">
      <c r="O244" s="550"/>
      <c r="P244" s="550"/>
    </row>
    <row r="245" spans="1:44">
      <c r="O245" s="550"/>
      <c r="P245" s="550"/>
    </row>
    <row r="246" spans="1:44">
      <c r="A246" s="420" t="s">
        <v>1120</v>
      </c>
      <c r="B246" s="976"/>
      <c r="C246" s="977"/>
      <c r="D246" s="977"/>
      <c r="E246" s="977"/>
      <c r="F246" s="977"/>
      <c r="G246" s="977"/>
      <c r="H246" s="977"/>
      <c r="I246" s="977"/>
      <c r="J246" s="977"/>
      <c r="K246" s="977"/>
      <c r="L246" s="977"/>
      <c r="M246" s="977"/>
      <c r="N246" s="421"/>
    </row>
    <row r="247" spans="1:44" ht="20.7" customHeight="1" outlineLevel="1" thickBot="1">
      <c r="B247" s="976"/>
      <c r="C247" s="977"/>
      <c r="D247" s="977"/>
      <c r="E247" s="977"/>
      <c r="F247" s="977"/>
      <c r="G247" s="977"/>
      <c r="H247" s="977"/>
      <c r="I247" s="977"/>
      <c r="J247" s="977"/>
      <c r="K247" s="977"/>
      <c r="L247" s="977"/>
      <c r="M247" s="977"/>
      <c r="N247" s="421"/>
    </row>
    <row r="248" spans="1:44" ht="15" customHeight="1" outlineLevel="1" thickBot="1">
      <c r="B248" s="422" t="s">
        <v>0</v>
      </c>
      <c r="C248" s="1018" t="s">
        <v>1116</v>
      </c>
      <c r="D248" s="1019"/>
      <c r="E248" s="1019"/>
      <c r="F248" s="1019"/>
      <c r="G248" s="1019"/>
      <c r="H248" s="1019"/>
      <c r="I248" s="1019"/>
      <c r="J248" s="1019"/>
      <c r="K248" s="1019"/>
      <c r="L248" s="1020"/>
      <c r="M248" s="423"/>
      <c r="N248" s="423"/>
      <c r="AK248" s="989" t="s">
        <v>841</v>
      </c>
      <c r="AL248" s="990"/>
      <c r="AM248" s="989" t="s">
        <v>842</v>
      </c>
      <c r="AN248" s="990"/>
      <c r="AO248" s="989" t="s">
        <v>843</v>
      </c>
      <c r="AP248" s="990"/>
      <c r="AQ248" s="1004" t="s">
        <v>844</v>
      </c>
      <c r="AR248" s="1005"/>
    </row>
    <row r="249" spans="1:44" ht="15" customHeight="1" outlineLevel="1" thickBot="1">
      <c r="B249" s="1010" t="s">
        <v>4</v>
      </c>
      <c r="C249" s="1012">
        <v>2020</v>
      </c>
      <c r="D249" s="1012">
        <v>2030</v>
      </c>
      <c r="E249" s="1012">
        <v>2040</v>
      </c>
      <c r="F249" s="1012">
        <v>2050</v>
      </c>
      <c r="G249" s="1014" t="s">
        <v>846</v>
      </c>
      <c r="H249" s="1015"/>
      <c r="I249" s="1014" t="s">
        <v>693</v>
      </c>
      <c r="J249" s="1015"/>
      <c r="K249" s="1016" t="s">
        <v>2</v>
      </c>
      <c r="L249" s="1016" t="s">
        <v>3</v>
      </c>
      <c r="M249" s="427"/>
      <c r="N249" s="427"/>
      <c r="P249" s="977"/>
      <c r="Q249" s="977"/>
      <c r="R249" s="977"/>
      <c r="S249" s="977"/>
      <c r="T249" s="977"/>
      <c r="U249" s="977"/>
      <c r="AK249" s="991"/>
      <c r="AL249" s="992"/>
      <c r="AM249" s="991"/>
      <c r="AN249" s="992"/>
      <c r="AO249" s="991"/>
      <c r="AP249" s="992"/>
      <c r="AQ249" s="1006"/>
      <c r="AR249" s="1007"/>
    </row>
    <row r="250" spans="1:44" ht="15" outlineLevel="1" thickBot="1">
      <c r="B250" s="1011"/>
      <c r="C250" s="1013"/>
      <c r="D250" s="1013"/>
      <c r="E250" s="1013"/>
      <c r="F250" s="1013"/>
      <c r="G250" s="559" t="s">
        <v>694</v>
      </c>
      <c r="H250" s="559" t="s">
        <v>695</v>
      </c>
      <c r="I250" s="559" t="s">
        <v>694</v>
      </c>
      <c r="J250" s="559" t="s">
        <v>695</v>
      </c>
      <c r="K250" s="1017"/>
      <c r="L250" s="1017"/>
      <c r="M250" s="430"/>
      <c r="N250" s="430"/>
      <c r="P250" s="977"/>
      <c r="Q250" s="977"/>
      <c r="R250" s="977"/>
      <c r="S250" s="977"/>
      <c r="T250" s="977"/>
      <c r="U250" s="977"/>
      <c r="AK250" s="991"/>
      <c r="AL250" s="992"/>
      <c r="AM250" s="991"/>
      <c r="AN250" s="992"/>
      <c r="AO250" s="991"/>
      <c r="AP250" s="992"/>
      <c r="AQ250" s="1008"/>
      <c r="AR250" s="1009"/>
    </row>
    <row r="251" spans="1:44" ht="14.7" customHeight="1" outlineLevel="1" thickBot="1">
      <c r="B251" s="431" t="s">
        <v>696</v>
      </c>
      <c r="C251" s="432">
        <v>20</v>
      </c>
      <c r="D251" s="432">
        <v>20</v>
      </c>
      <c r="E251" s="432">
        <v>20</v>
      </c>
      <c r="F251" s="432">
        <v>20</v>
      </c>
      <c r="G251" s="432">
        <v>1</v>
      </c>
      <c r="H251" s="432">
        <v>50</v>
      </c>
      <c r="I251" s="432">
        <v>1</v>
      </c>
      <c r="J251" s="432">
        <v>50</v>
      </c>
      <c r="K251" s="432" t="s">
        <v>6</v>
      </c>
      <c r="L251" s="433" t="s">
        <v>850</v>
      </c>
      <c r="M251" s="430"/>
      <c r="N251" s="430"/>
      <c r="P251" s="424" t="s">
        <v>838</v>
      </c>
      <c r="Q251" s="425"/>
      <c r="R251" s="426"/>
      <c r="S251" s="985" t="s">
        <v>839</v>
      </c>
      <c r="T251" s="989" t="s">
        <v>840</v>
      </c>
      <c r="U251" s="990"/>
      <c r="V251" s="989" t="s">
        <v>841</v>
      </c>
      <c r="W251" s="990"/>
      <c r="X251" s="989" t="s">
        <v>842</v>
      </c>
      <c r="Y251" s="990"/>
      <c r="Z251" s="989" t="s">
        <v>843</v>
      </c>
      <c r="AA251" s="990"/>
      <c r="AB251" s="989" t="s">
        <v>844</v>
      </c>
      <c r="AC251" s="990"/>
      <c r="AE251" s="424" t="s">
        <v>845</v>
      </c>
      <c r="AF251" s="425"/>
      <c r="AG251" s="426"/>
      <c r="AH251" s="985" t="s">
        <v>839</v>
      </c>
      <c r="AI251" s="989" t="s">
        <v>840</v>
      </c>
      <c r="AJ251" s="990"/>
      <c r="AK251" s="434" t="s">
        <v>851</v>
      </c>
      <c r="AL251" s="435" t="s">
        <v>852</v>
      </c>
      <c r="AM251" s="434" t="s">
        <v>851</v>
      </c>
      <c r="AN251" s="435" t="s">
        <v>852</v>
      </c>
      <c r="AO251" s="434" t="s">
        <v>851</v>
      </c>
      <c r="AP251" s="435" t="s">
        <v>852</v>
      </c>
      <c r="AQ251" s="434" t="s">
        <v>851</v>
      </c>
      <c r="AR251" s="435" t="s">
        <v>852</v>
      </c>
    </row>
    <row r="252" spans="1:44" outlineLevel="1">
      <c r="B252" s="560" t="s">
        <v>853</v>
      </c>
      <c r="C252" s="728">
        <v>116.18960947726835</v>
      </c>
      <c r="D252" s="728">
        <v>116.18960947726835</v>
      </c>
      <c r="E252" s="729">
        <v>116.18960947726835</v>
      </c>
      <c r="F252" s="728">
        <v>116.18960947726835</v>
      </c>
      <c r="G252" s="561">
        <v>88</v>
      </c>
      <c r="H252" s="561">
        <v>117</v>
      </c>
      <c r="I252" s="561">
        <v>88</v>
      </c>
      <c r="J252" s="561">
        <v>117</v>
      </c>
      <c r="K252" s="563" t="s">
        <v>1107</v>
      </c>
      <c r="L252" s="564">
        <v>11</v>
      </c>
      <c r="M252" s="430"/>
      <c r="N252" s="430"/>
      <c r="P252" s="993" t="s">
        <v>0</v>
      </c>
      <c r="Q252" s="428"/>
      <c r="R252" s="428"/>
      <c r="S252" s="986"/>
      <c r="T252" s="991"/>
      <c r="U252" s="992"/>
      <c r="V252" s="991"/>
      <c r="W252" s="992"/>
      <c r="X252" s="991"/>
      <c r="Y252" s="992"/>
      <c r="Z252" s="991"/>
      <c r="AA252" s="992"/>
      <c r="AB252" s="991"/>
      <c r="AC252" s="992"/>
      <c r="AE252" s="993" t="s">
        <v>0</v>
      </c>
      <c r="AF252" s="428"/>
      <c r="AG252" s="428"/>
      <c r="AH252" s="986"/>
      <c r="AI252" s="991"/>
      <c r="AJ252" s="992"/>
      <c r="AK252" s="1024">
        <v>0</v>
      </c>
      <c r="AL252" s="1021">
        <v>0</v>
      </c>
      <c r="AM252" s="1024">
        <v>0</v>
      </c>
      <c r="AN252" s="1021">
        <v>0</v>
      </c>
      <c r="AO252" s="1024">
        <v>0</v>
      </c>
      <c r="AP252" s="1021">
        <v>0</v>
      </c>
      <c r="AQ252" s="1024">
        <v>0</v>
      </c>
      <c r="AR252" s="1021">
        <v>0</v>
      </c>
    </row>
    <row r="253" spans="1:44" outlineLevel="1">
      <c r="B253" s="443" t="s">
        <v>857</v>
      </c>
      <c r="C253" s="637">
        <v>116.18960947726835</v>
      </c>
      <c r="D253" s="637">
        <v>116.18960947726835</v>
      </c>
      <c r="E253" s="637">
        <v>116.18960947726835</v>
      </c>
      <c r="F253" s="637">
        <v>116.18960947726835</v>
      </c>
      <c r="G253" s="565">
        <v>88</v>
      </c>
      <c r="H253" s="565">
        <v>117</v>
      </c>
      <c r="I253" s="565">
        <v>88</v>
      </c>
      <c r="J253" s="565">
        <v>117</v>
      </c>
      <c r="K253" s="432" t="s">
        <v>1107</v>
      </c>
      <c r="L253" s="433">
        <v>11</v>
      </c>
      <c r="M253" s="430"/>
      <c r="N253" s="430"/>
      <c r="P253" s="994"/>
      <c r="Q253" s="996" t="s">
        <v>847</v>
      </c>
      <c r="R253" s="997" t="s">
        <v>848</v>
      </c>
      <c r="S253" s="987"/>
      <c r="T253" s="991"/>
      <c r="U253" s="992"/>
      <c r="V253" s="991"/>
      <c r="W253" s="992"/>
      <c r="X253" s="991"/>
      <c r="Y253" s="992"/>
      <c r="Z253" s="991"/>
      <c r="AA253" s="992"/>
      <c r="AB253" s="991"/>
      <c r="AC253" s="992"/>
      <c r="AE253" s="994"/>
      <c r="AF253" s="1040" t="s">
        <v>847</v>
      </c>
      <c r="AG253" s="997" t="s">
        <v>848</v>
      </c>
      <c r="AH253" s="987"/>
      <c r="AI253" s="991"/>
      <c r="AJ253" s="992"/>
      <c r="AK253" s="1025"/>
      <c r="AL253" s="1022"/>
      <c r="AM253" s="1025"/>
      <c r="AN253" s="1022"/>
      <c r="AO253" s="1025"/>
      <c r="AP253" s="1022"/>
      <c r="AQ253" s="1025"/>
      <c r="AR253" s="1022"/>
    </row>
    <row r="254" spans="1:44" ht="14.7" customHeight="1" outlineLevel="1" thickBot="1">
      <c r="B254" s="560" t="s">
        <v>859</v>
      </c>
      <c r="C254" s="566">
        <v>2.2999999999999998</v>
      </c>
      <c r="D254" s="567">
        <v>2.2999999999999998</v>
      </c>
      <c r="E254" s="567">
        <v>2.2999999999999998</v>
      </c>
      <c r="F254" s="568">
        <v>2.2999999999999998</v>
      </c>
      <c r="G254" s="567">
        <v>2.2000000000000002</v>
      </c>
      <c r="H254" s="567">
        <v>2.5</v>
      </c>
      <c r="I254" s="567">
        <v>1.8</v>
      </c>
      <c r="J254" s="567">
        <v>2.5</v>
      </c>
      <c r="K254" s="563" t="s">
        <v>59</v>
      </c>
      <c r="L254" s="564">
        <v>3</v>
      </c>
      <c r="M254" s="430"/>
      <c r="N254" s="430"/>
      <c r="O254" s="74"/>
      <c r="P254" s="995"/>
      <c r="Q254" s="988"/>
      <c r="R254" s="998"/>
      <c r="S254" s="988"/>
      <c r="T254" s="434" t="s">
        <v>851</v>
      </c>
      <c r="U254" s="435" t="s">
        <v>852</v>
      </c>
      <c r="V254" s="434" t="s">
        <v>851</v>
      </c>
      <c r="W254" s="435" t="s">
        <v>852</v>
      </c>
      <c r="X254" s="434" t="s">
        <v>851</v>
      </c>
      <c r="Y254" s="435" t="s">
        <v>852</v>
      </c>
      <c r="Z254" s="434" t="s">
        <v>851</v>
      </c>
      <c r="AA254" s="435" t="s">
        <v>852</v>
      </c>
      <c r="AB254" s="434" t="s">
        <v>851</v>
      </c>
      <c r="AC254" s="435" t="s">
        <v>852</v>
      </c>
      <c r="AE254" s="995"/>
      <c r="AF254" s="1041"/>
      <c r="AG254" s="998"/>
      <c r="AH254" s="988"/>
      <c r="AI254" s="434" t="s">
        <v>851</v>
      </c>
      <c r="AJ254" s="435" t="s">
        <v>852</v>
      </c>
      <c r="AK254" s="1026"/>
      <c r="AL254" s="1023"/>
      <c r="AM254" s="1026"/>
      <c r="AN254" s="1023"/>
      <c r="AO254" s="1026"/>
      <c r="AP254" s="1023"/>
      <c r="AQ254" s="1026"/>
      <c r="AR254" s="1023"/>
    </row>
    <row r="255" spans="1:44" outlineLevel="1">
      <c r="B255" s="560" t="s">
        <v>702</v>
      </c>
      <c r="C255" s="747">
        <v>3</v>
      </c>
      <c r="D255" s="747">
        <v>3</v>
      </c>
      <c r="E255" s="747">
        <v>3</v>
      </c>
      <c r="F255" s="747">
        <v>3</v>
      </c>
      <c r="G255" s="747">
        <v>3</v>
      </c>
      <c r="H255" s="747">
        <v>3</v>
      </c>
      <c r="I255" s="747">
        <v>3</v>
      </c>
      <c r="J255" s="747">
        <v>3</v>
      </c>
      <c r="K255" s="563" t="s">
        <v>16</v>
      </c>
      <c r="L255" s="564">
        <v>3</v>
      </c>
      <c r="M255" s="430"/>
      <c r="N255" s="430"/>
      <c r="P255" s="1042" t="str">
        <f>C248</f>
        <v>Hot water boiler, Wood chips (Condensing)</v>
      </c>
      <c r="Q255" s="1030" t="s">
        <v>855</v>
      </c>
      <c r="R255" s="441" t="s">
        <v>856</v>
      </c>
      <c r="S255" s="442"/>
      <c r="T255" s="1033">
        <v>0</v>
      </c>
      <c r="U255" s="1021">
        <v>0</v>
      </c>
      <c r="V255" s="1024">
        <v>0</v>
      </c>
      <c r="W255" s="1021">
        <v>0</v>
      </c>
      <c r="X255" s="1024">
        <v>0</v>
      </c>
      <c r="Y255" s="1021">
        <v>0</v>
      </c>
      <c r="Z255" s="1024">
        <v>0</v>
      </c>
      <c r="AA255" s="1021">
        <v>0</v>
      </c>
      <c r="AB255" s="1024">
        <v>0</v>
      </c>
      <c r="AC255" s="1021">
        <v>0</v>
      </c>
      <c r="AE255" s="1027" t="str">
        <f>P255</f>
        <v>Hot water boiler, Wood chips (Condensing)</v>
      </c>
      <c r="AF255" s="1030" t="s">
        <v>855</v>
      </c>
      <c r="AG255" s="441" t="s">
        <v>856</v>
      </c>
      <c r="AH255" s="442"/>
      <c r="AI255" s="1033">
        <v>0</v>
      </c>
      <c r="AJ255" s="1021">
        <v>0</v>
      </c>
      <c r="AK255" s="1033">
        <v>0</v>
      </c>
      <c r="AL255" s="1033">
        <f>W258/4</f>
        <v>0</v>
      </c>
      <c r="AM255" s="1033">
        <v>0</v>
      </c>
      <c r="AN255" s="1033">
        <f>Y258/4</f>
        <v>0</v>
      </c>
      <c r="AO255" s="1033">
        <v>0</v>
      </c>
      <c r="AP255" s="1033">
        <f>AA258/4</f>
        <v>1.4999999999999999E-2</v>
      </c>
      <c r="AQ255" s="1033">
        <v>0</v>
      </c>
      <c r="AR255" s="1021">
        <f>AC258/4</f>
        <v>0</v>
      </c>
    </row>
    <row r="256" spans="1:44" outlineLevel="1">
      <c r="B256" s="560" t="s">
        <v>703</v>
      </c>
      <c r="C256" s="566">
        <v>3</v>
      </c>
      <c r="D256" s="566">
        <v>3</v>
      </c>
      <c r="E256" s="566">
        <v>3</v>
      </c>
      <c r="F256" s="566">
        <v>3</v>
      </c>
      <c r="G256" s="566">
        <v>2.6</v>
      </c>
      <c r="H256" s="566">
        <v>3.5</v>
      </c>
      <c r="I256" s="566">
        <v>2.2999999999999998</v>
      </c>
      <c r="J256" s="566">
        <v>3.8</v>
      </c>
      <c r="K256" s="563" t="s">
        <v>16</v>
      </c>
      <c r="L256" s="564">
        <v>3</v>
      </c>
      <c r="M256" s="427"/>
      <c r="N256" s="427"/>
      <c r="O256" s="71"/>
      <c r="P256" s="1028"/>
      <c r="Q256" s="1031"/>
      <c r="R256" s="448" t="s">
        <v>858</v>
      </c>
      <c r="S256" s="449"/>
      <c r="T256" s="1034"/>
      <c r="U256" s="1022"/>
      <c r="V256" s="1025"/>
      <c r="W256" s="1022"/>
      <c r="X256" s="1025"/>
      <c r="Y256" s="1022"/>
      <c r="Z256" s="1025"/>
      <c r="AA256" s="1022"/>
      <c r="AB256" s="1025"/>
      <c r="AC256" s="1022"/>
      <c r="AE256" s="1028"/>
      <c r="AF256" s="1031"/>
      <c r="AG256" s="448" t="s">
        <v>858</v>
      </c>
      <c r="AH256" s="449"/>
      <c r="AI256" s="1034"/>
      <c r="AJ256" s="1022"/>
      <c r="AK256" s="1036"/>
      <c r="AL256" s="1036"/>
      <c r="AM256" s="1036"/>
      <c r="AN256" s="1036"/>
      <c r="AO256" s="1036"/>
      <c r="AP256" s="1036"/>
      <c r="AQ256" s="1036"/>
      <c r="AR256" s="1038"/>
    </row>
    <row r="257" spans="1:44" ht="15" outlineLevel="1" thickBot="1">
      <c r="B257" s="443" t="s">
        <v>11</v>
      </c>
      <c r="C257" s="457">
        <v>25</v>
      </c>
      <c r="D257" s="457">
        <v>25</v>
      </c>
      <c r="E257" s="457">
        <v>25</v>
      </c>
      <c r="F257" s="457">
        <v>25</v>
      </c>
      <c r="G257" s="459">
        <v>20</v>
      </c>
      <c r="H257" s="459">
        <v>35</v>
      </c>
      <c r="I257" s="459">
        <v>20</v>
      </c>
      <c r="J257" s="459">
        <v>35</v>
      </c>
      <c r="K257" s="432"/>
      <c r="L257" s="433" t="s">
        <v>865</v>
      </c>
      <c r="M257" s="423"/>
      <c r="N257" s="423"/>
      <c r="O257" s="71"/>
      <c r="P257" s="1028"/>
      <c r="Q257" s="1032"/>
      <c r="R257" s="453" t="s">
        <v>860</v>
      </c>
      <c r="S257" s="454"/>
      <c r="T257" s="1035"/>
      <c r="U257" s="1023"/>
      <c r="V257" s="1026"/>
      <c r="W257" s="1023"/>
      <c r="X257" s="1026"/>
      <c r="Y257" s="1023"/>
      <c r="Z257" s="1026"/>
      <c r="AA257" s="1023"/>
      <c r="AB257" s="1026"/>
      <c r="AC257" s="1023"/>
      <c r="AE257" s="1028"/>
      <c r="AF257" s="1032"/>
      <c r="AG257" s="453" t="s">
        <v>860</v>
      </c>
      <c r="AH257" s="454"/>
      <c r="AI257" s="1035"/>
      <c r="AJ257" s="1023"/>
      <c r="AK257" s="1036"/>
      <c r="AL257" s="1036"/>
      <c r="AM257" s="1036"/>
      <c r="AN257" s="1036"/>
      <c r="AO257" s="1036"/>
      <c r="AP257" s="1036"/>
      <c r="AQ257" s="1036"/>
      <c r="AR257" s="1038"/>
    </row>
    <row r="258" spans="1:44" ht="15" outlineLevel="1" thickBot="1">
      <c r="B258" s="560" t="s">
        <v>273</v>
      </c>
      <c r="C258" s="566">
        <v>1</v>
      </c>
      <c r="D258" s="566">
        <v>1</v>
      </c>
      <c r="E258" s="566">
        <v>1</v>
      </c>
      <c r="F258" s="566">
        <v>1</v>
      </c>
      <c r="G258" s="566">
        <v>0.5</v>
      </c>
      <c r="H258" s="566">
        <v>1.5</v>
      </c>
      <c r="I258" s="566">
        <v>0.5</v>
      </c>
      <c r="J258" s="566">
        <v>1.5</v>
      </c>
      <c r="K258" s="432"/>
      <c r="L258" s="460"/>
      <c r="M258" s="423"/>
      <c r="N258" s="423"/>
      <c r="O258" s="71"/>
      <c r="P258" s="1028"/>
      <c r="Q258" s="1030" t="s">
        <v>861</v>
      </c>
      <c r="R258" s="455" t="s">
        <v>862</v>
      </c>
      <c r="S258" s="456" t="s">
        <v>863</v>
      </c>
      <c r="T258" s="1033">
        <v>0</v>
      </c>
      <c r="U258" s="1033">
        <v>0.17</v>
      </c>
      <c r="V258" s="1033">
        <v>0</v>
      </c>
      <c r="W258" s="1033">
        <v>0</v>
      </c>
      <c r="X258" s="1033">
        <v>0</v>
      </c>
      <c r="Y258" s="1033">
        <v>0</v>
      </c>
      <c r="Z258" s="1033">
        <v>0</v>
      </c>
      <c r="AA258" s="1033">
        <v>0.06</v>
      </c>
      <c r="AB258" s="1033">
        <v>0</v>
      </c>
      <c r="AC258" s="1021">
        <v>0</v>
      </c>
      <c r="AE258" s="1028"/>
      <c r="AF258" s="1030" t="s">
        <v>861</v>
      </c>
      <c r="AG258" s="455" t="s">
        <v>862</v>
      </c>
      <c r="AH258" s="456" t="s">
        <v>863</v>
      </c>
      <c r="AI258" s="1033">
        <v>0</v>
      </c>
      <c r="AJ258" s="1033">
        <f>U258/4</f>
        <v>4.2500000000000003E-2</v>
      </c>
      <c r="AK258" s="1036"/>
      <c r="AL258" s="1036"/>
      <c r="AM258" s="1036"/>
      <c r="AN258" s="1036"/>
      <c r="AO258" s="1036"/>
      <c r="AP258" s="1036"/>
      <c r="AQ258" s="1036"/>
      <c r="AR258" s="1038"/>
    </row>
    <row r="259" spans="1:44" ht="15" outlineLevel="1" thickBot="1">
      <c r="B259" s="461" t="s">
        <v>868</v>
      </c>
      <c r="C259" s="462"/>
      <c r="D259" s="463"/>
      <c r="E259" s="464"/>
      <c r="F259" s="465"/>
      <c r="G259" s="466"/>
      <c r="H259" s="466"/>
      <c r="I259" s="466"/>
      <c r="J259" s="466"/>
      <c r="K259" s="467"/>
      <c r="L259" s="468"/>
      <c r="M259" s="423"/>
      <c r="N259" s="423"/>
      <c r="O259" s="71"/>
      <c r="P259" s="1028"/>
      <c r="Q259" s="1031"/>
      <c r="R259" s="455" t="s">
        <v>864</v>
      </c>
      <c r="S259" s="456" t="s">
        <v>863</v>
      </c>
      <c r="T259" s="1036"/>
      <c r="U259" s="1036"/>
      <c r="V259" s="1036"/>
      <c r="W259" s="1036"/>
      <c r="X259" s="1036"/>
      <c r="Y259" s="1036"/>
      <c r="Z259" s="1036"/>
      <c r="AA259" s="1036"/>
      <c r="AB259" s="1036"/>
      <c r="AC259" s="1038"/>
      <c r="AE259" s="1028"/>
      <c r="AF259" s="1031"/>
      <c r="AG259" s="455" t="s">
        <v>864</v>
      </c>
      <c r="AH259" s="456" t="s">
        <v>863</v>
      </c>
      <c r="AI259" s="1036"/>
      <c r="AJ259" s="1036"/>
      <c r="AK259" s="1037"/>
      <c r="AL259" s="1037"/>
      <c r="AM259" s="1037"/>
      <c r="AN259" s="1037"/>
      <c r="AO259" s="1037"/>
      <c r="AP259" s="1037"/>
      <c r="AQ259" s="1037"/>
      <c r="AR259" s="1039"/>
    </row>
    <row r="260" spans="1:44" ht="15" outlineLevel="1" thickBot="1">
      <c r="B260" s="560" t="s">
        <v>708</v>
      </c>
      <c r="C260" s="566">
        <v>20</v>
      </c>
      <c r="D260" s="566">
        <v>20</v>
      </c>
      <c r="E260" s="566">
        <v>20</v>
      </c>
      <c r="F260" s="566">
        <v>20</v>
      </c>
      <c r="G260" s="567"/>
      <c r="H260" s="567"/>
      <c r="I260" s="567"/>
      <c r="J260" s="567"/>
      <c r="K260" s="563"/>
      <c r="L260" s="564">
        <v>3</v>
      </c>
      <c r="M260" s="423"/>
      <c r="N260" s="423"/>
      <c r="P260" s="1028"/>
      <c r="Q260" s="1031"/>
      <c r="R260" s="455" t="s">
        <v>866</v>
      </c>
      <c r="S260" s="456"/>
      <c r="T260" s="1036"/>
      <c r="U260" s="1036"/>
      <c r="V260" s="1036"/>
      <c r="W260" s="1036"/>
      <c r="X260" s="1036"/>
      <c r="Y260" s="1036"/>
      <c r="Z260" s="1036"/>
      <c r="AA260" s="1036"/>
      <c r="AB260" s="1036"/>
      <c r="AC260" s="1038"/>
      <c r="AE260" s="1028"/>
      <c r="AF260" s="1031"/>
      <c r="AG260" s="455" t="s">
        <v>866</v>
      </c>
      <c r="AH260" s="689" t="s">
        <v>863</v>
      </c>
      <c r="AI260" s="1036"/>
      <c r="AJ260" s="1036"/>
      <c r="AK260" s="476">
        <v>0</v>
      </c>
      <c r="AL260" s="475">
        <v>0</v>
      </c>
      <c r="AM260" s="476">
        <v>0</v>
      </c>
      <c r="AN260" s="475">
        <v>0</v>
      </c>
      <c r="AO260" s="476">
        <v>1</v>
      </c>
      <c r="AP260" s="475">
        <v>1</v>
      </c>
      <c r="AQ260" s="476">
        <v>0</v>
      </c>
      <c r="AR260" s="477">
        <v>0</v>
      </c>
    </row>
    <row r="261" spans="1:44" outlineLevel="1">
      <c r="B261" s="560" t="s">
        <v>709</v>
      </c>
      <c r="C261" s="566">
        <v>0.3</v>
      </c>
      <c r="D261" s="566">
        <v>0.3</v>
      </c>
      <c r="E261" s="566">
        <v>0.3</v>
      </c>
      <c r="F261" s="566">
        <v>0.3</v>
      </c>
      <c r="G261" s="569"/>
      <c r="H261" s="569"/>
      <c r="I261" s="569"/>
      <c r="J261" s="569"/>
      <c r="K261" s="570"/>
      <c r="L261" s="564">
        <v>3</v>
      </c>
      <c r="M261" s="423"/>
      <c r="N261" s="423"/>
      <c r="P261" s="1028"/>
      <c r="Q261" s="1031"/>
      <c r="R261" s="455" t="s">
        <v>867</v>
      </c>
      <c r="S261" s="456" t="s">
        <v>863</v>
      </c>
      <c r="T261" s="1036"/>
      <c r="U261" s="1036"/>
      <c r="V261" s="1036"/>
      <c r="W261" s="1036"/>
      <c r="X261" s="1036"/>
      <c r="Y261" s="1036"/>
      <c r="Z261" s="1036"/>
      <c r="AA261" s="1036"/>
      <c r="AB261" s="1036"/>
      <c r="AC261" s="1038"/>
      <c r="AE261" s="1028"/>
      <c r="AF261" s="1031"/>
      <c r="AG261" s="455" t="s">
        <v>867</v>
      </c>
      <c r="AH261" s="456"/>
      <c r="AI261" s="1036"/>
      <c r="AJ261" s="1036"/>
    </row>
    <row r="262" spans="1:44" ht="15" outlineLevel="1" thickBot="1">
      <c r="B262" s="560" t="s">
        <v>711</v>
      </c>
      <c r="C262" s="566">
        <v>0.5</v>
      </c>
      <c r="D262" s="566">
        <v>0.5</v>
      </c>
      <c r="E262" s="566">
        <v>0.5</v>
      </c>
      <c r="F262" s="566">
        <v>0.5</v>
      </c>
      <c r="G262" s="569"/>
      <c r="H262" s="569"/>
      <c r="I262" s="569"/>
      <c r="J262" s="569"/>
      <c r="K262" s="570"/>
      <c r="L262" s="564">
        <v>3</v>
      </c>
      <c r="M262" s="480"/>
      <c r="N262" s="423"/>
      <c r="P262" s="1028"/>
      <c r="Q262" s="1032"/>
      <c r="R262" s="469" t="s">
        <v>988</v>
      </c>
      <c r="S262" s="470" t="s">
        <v>863</v>
      </c>
      <c r="T262" s="1037"/>
      <c r="U262" s="1037"/>
      <c r="V262" s="1037"/>
      <c r="W262" s="1037"/>
      <c r="X262" s="1037"/>
      <c r="Y262" s="1037"/>
      <c r="Z262" s="1037"/>
      <c r="AA262" s="1037"/>
      <c r="AB262" s="1037"/>
      <c r="AC262" s="1039"/>
      <c r="AE262" s="1028"/>
      <c r="AF262" s="1032"/>
      <c r="AG262" s="469" t="s">
        <v>988</v>
      </c>
      <c r="AH262" s="470" t="s">
        <v>863</v>
      </c>
      <c r="AI262" s="1037"/>
      <c r="AJ262" s="1037"/>
    </row>
    <row r="263" spans="1:44" ht="29.4" outlineLevel="1" thickBot="1">
      <c r="B263" s="481" t="s">
        <v>12</v>
      </c>
      <c r="C263" s="459"/>
      <c r="D263" s="459"/>
      <c r="E263" s="459"/>
      <c r="F263" s="459"/>
      <c r="G263" s="482"/>
      <c r="H263" s="482"/>
      <c r="I263" s="482"/>
      <c r="J263" s="482"/>
      <c r="K263" s="483"/>
      <c r="L263" s="484"/>
      <c r="M263" s="480"/>
      <c r="N263" s="480"/>
      <c r="P263" s="1029"/>
      <c r="Q263" s="471" t="s">
        <v>870</v>
      </c>
      <c r="R263" s="472" t="s">
        <v>871</v>
      </c>
      <c r="S263" s="690" t="s">
        <v>863</v>
      </c>
      <c r="T263" s="476">
        <v>1</v>
      </c>
      <c r="U263" s="475">
        <v>1</v>
      </c>
      <c r="V263" s="476">
        <v>0</v>
      </c>
      <c r="W263" s="475">
        <v>0</v>
      </c>
      <c r="X263" s="476">
        <v>0</v>
      </c>
      <c r="Y263" s="475">
        <v>0</v>
      </c>
      <c r="Z263" s="476">
        <v>1</v>
      </c>
      <c r="AA263" s="475">
        <v>1</v>
      </c>
      <c r="AB263" s="476">
        <v>0</v>
      </c>
      <c r="AC263" s="477">
        <v>0</v>
      </c>
      <c r="AE263" s="1029"/>
      <c r="AF263" s="471" t="s">
        <v>870</v>
      </c>
      <c r="AG263" s="691" t="s">
        <v>871</v>
      </c>
      <c r="AH263" s="692" t="s">
        <v>863</v>
      </c>
      <c r="AI263" s="476">
        <v>1</v>
      </c>
      <c r="AJ263" s="475">
        <v>1</v>
      </c>
    </row>
    <row r="264" spans="1:44" outlineLevel="1">
      <c r="B264" s="443" t="s">
        <v>968</v>
      </c>
      <c r="C264" s="457">
        <v>11</v>
      </c>
      <c r="D264" s="457">
        <v>11</v>
      </c>
      <c r="E264" s="457">
        <v>11</v>
      </c>
      <c r="F264" s="457">
        <v>11</v>
      </c>
      <c r="G264" s="482"/>
      <c r="H264" s="485"/>
      <c r="I264" s="485"/>
      <c r="J264" s="485"/>
      <c r="K264" s="486" t="s">
        <v>20</v>
      </c>
      <c r="L264" s="487" t="s">
        <v>873</v>
      </c>
      <c r="M264" s="488"/>
      <c r="N264" s="488"/>
    </row>
    <row r="265" spans="1:44" outlineLevel="1">
      <c r="B265" s="443" t="s">
        <v>874</v>
      </c>
      <c r="C265" s="457">
        <v>10</v>
      </c>
      <c r="D265" s="457">
        <v>10</v>
      </c>
      <c r="E265" s="457">
        <v>10</v>
      </c>
      <c r="F265" s="457">
        <v>10</v>
      </c>
      <c r="G265" s="485"/>
      <c r="H265" s="485"/>
      <c r="I265" s="485"/>
      <c r="J265" s="485"/>
      <c r="K265" s="483"/>
      <c r="L265" s="487">
        <v>9</v>
      </c>
      <c r="M265" s="488"/>
      <c r="N265" s="488"/>
    </row>
    <row r="266" spans="1:44" outlineLevel="1">
      <c r="B266" s="443" t="s">
        <v>969</v>
      </c>
      <c r="C266" s="457">
        <v>63</v>
      </c>
      <c r="D266" s="457">
        <v>49</v>
      </c>
      <c r="E266" s="457">
        <v>46</v>
      </c>
      <c r="F266" s="457">
        <v>41</v>
      </c>
      <c r="G266" s="485"/>
      <c r="H266" s="485"/>
      <c r="I266" s="485"/>
      <c r="J266" s="485"/>
      <c r="K266" s="483"/>
      <c r="L266" s="487" t="s">
        <v>873</v>
      </c>
      <c r="M266" s="488"/>
      <c r="N266" s="488"/>
    </row>
    <row r="267" spans="1:44" outlineLevel="1">
      <c r="B267" s="443" t="s">
        <v>366</v>
      </c>
      <c r="C267" s="457">
        <v>11</v>
      </c>
      <c r="D267" s="457">
        <v>8</v>
      </c>
      <c r="E267" s="457">
        <v>6</v>
      </c>
      <c r="F267" s="457">
        <v>4</v>
      </c>
      <c r="G267" s="485"/>
      <c r="H267" s="485"/>
      <c r="I267" s="485"/>
      <c r="J267" s="485"/>
      <c r="K267" s="483"/>
      <c r="L267" s="487" t="s">
        <v>873</v>
      </c>
      <c r="M267" s="488"/>
      <c r="N267" s="488"/>
    </row>
    <row r="268" spans="1:44" ht="15" outlineLevel="1" thickBot="1">
      <c r="B268" s="489" t="s">
        <v>367</v>
      </c>
      <c r="C268" s="686">
        <v>3</v>
      </c>
      <c r="D268" s="686">
        <v>3</v>
      </c>
      <c r="E268" s="686">
        <v>1</v>
      </c>
      <c r="F268" s="686">
        <v>1</v>
      </c>
      <c r="G268" s="485"/>
      <c r="H268" s="485"/>
      <c r="I268" s="485"/>
      <c r="J268" s="485"/>
      <c r="K268" s="483"/>
      <c r="L268" s="487" t="s">
        <v>873</v>
      </c>
      <c r="M268" s="488"/>
      <c r="N268" s="488"/>
    </row>
    <row r="269" spans="1:44" ht="15" outlineLevel="1" thickBot="1">
      <c r="B269" s="491" t="s">
        <v>719</v>
      </c>
      <c r="C269" s="492"/>
      <c r="D269" s="463"/>
      <c r="E269" s="463"/>
      <c r="F269" s="493"/>
      <c r="G269" s="494"/>
      <c r="H269" s="466"/>
      <c r="I269" s="466"/>
      <c r="J269" s="466"/>
      <c r="K269" s="467"/>
      <c r="L269" s="468"/>
      <c r="M269" s="488"/>
      <c r="N269" s="488"/>
    </row>
    <row r="270" spans="1:44" ht="26.4" outlineLevel="1">
      <c r="A270" s="495"/>
      <c r="B270" s="496" t="s">
        <v>1035</v>
      </c>
      <c r="C270" s="611">
        <f>0.68</f>
        <v>0.68</v>
      </c>
      <c r="D270" s="707">
        <f>0.65</f>
        <v>0.65</v>
      </c>
      <c r="E270" s="707">
        <f>0.62</f>
        <v>0.62</v>
      </c>
      <c r="F270" s="708">
        <f>0.59</f>
        <v>0.59</v>
      </c>
      <c r="G270" s="485"/>
      <c r="H270" s="485"/>
      <c r="I270" s="485"/>
      <c r="J270" s="485"/>
      <c r="K270" s="486" t="s">
        <v>1117</v>
      </c>
      <c r="L270" s="500" t="s">
        <v>878</v>
      </c>
      <c r="M270" s="480"/>
      <c r="N270" s="480"/>
    </row>
    <row r="271" spans="1:44" outlineLevel="1">
      <c r="B271" s="501" t="s">
        <v>964</v>
      </c>
      <c r="C271" s="502">
        <v>65</v>
      </c>
      <c r="D271" s="502">
        <v>65</v>
      </c>
      <c r="E271" s="502">
        <v>65</v>
      </c>
      <c r="F271" s="502">
        <v>65</v>
      </c>
      <c r="G271" s="485"/>
      <c r="H271" s="485"/>
      <c r="I271" s="485"/>
      <c r="J271" s="485"/>
      <c r="K271" s="504"/>
      <c r="L271" s="433">
        <v>3</v>
      </c>
      <c r="M271" s="71"/>
      <c r="N271" s="480"/>
    </row>
    <row r="272" spans="1:44" outlineLevel="1">
      <c r="B272" s="501" t="s">
        <v>965</v>
      </c>
      <c r="C272" s="502">
        <f>100-C271</f>
        <v>35</v>
      </c>
      <c r="D272" s="502">
        <f>100-D271</f>
        <v>35</v>
      </c>
      <c r="E272" s="502">
        <f>100-E271</f>
        <v>35</v>
      </c>
      <c r="F272" s="502">
        <f>100-F271</f>
        <v>35</v>
      </c>
      <c r="G272" s="485"/>
      <c r="H272" s="485"/>
      <c r="I272" s="485"/>
      <c r="J272" s="485"/>
      <c r="K272" s="504"/>
      <c r="L272" s="433">
        <v>3</v>
      </c>
      <c r="M272" s="480"/>
      <c r="N272" s="480"/>
    </row>
    <row r="273" spans="2:30" outlineLevel="1">
      <c r="B273" s="443" t="s">
        <v>966</v>
      </c>
      <c r="C273" s="505">
        <v>37000</v>
      </c>
      <c r="D273" s="506">
        <v>35900</v>
      </c>
      <c r="E273" s="506">
        <f>(F273+D273)/2</f>
        <v>34800</v>
      </c>
      <c r="F273" s="507">
        <v>33700</v>
      </c>
      <c r="G273" s="485"/>
      <c r="H273" s="485"/>
      <c r="I273" s="485"/>
      <c r="J273" s="485"/>
      <c r="K273" s="508" t="s">
        <v>33</v>
      </c>
      <c r="L273" s="433">
        <v>3</v>
      </c>
      <c r="M273" s="480"/>
      <c r="N273" s="480"/>
    </row>
    <row r="274" spans="2:30" outlineLevel="1">
      <c r="B274" s="443" t="s">
        <v>724</v>
      </c>
      <c r="C274" s="509">
        <f>C275+C276</f>
        <v>2.7789999999999999</v>
      </c>
      <c r="D274" s="509">
        <f t="shared" ref="D274:F274" si="29">D275+D276</f>
        <v>2.8250000000000002</v>
      </c>
      <c r="E274" s="509">
        <f t="shared" si="29"/>
        <v>2.8479999999999999</v>
      </c>
      <c r="F274" s="509">
        <f t="shared" si="29"/>
        <v>2.8479999999999999</v>
      </c>
      <c r="G274" s="485"/>
      <c r="H274" s="485"/>
      <c r="I274" s="485"/>
      <c r="J274" s="485"/>
      <c r="K274" s="508"/>
      <c r="L274" s="433">
        <v>3</v>
      </c>
      <c r="M274" s="510"/>
      <c r="N274" s="421"/>
    </row>
    <row r="275" spans="2:30" outlineLevel="1">
      <c r="B275" s="560" t="s">
        <v>883</v>
      </c>
      <c r="C275" s="574">
        <f>C254/100*73</f>
        <v>1.679</v>
      </c>
      <c r="D275" s="574">
        <f>D254/100*75</f>
        <v>1.7249999999999999</v>
      </c>
      <c r="E275" s="574">
        <f>E254/100*76</f>
        <v>1.748</v>
      </c>
      <c r="F275" s="574">
        <f>F254/100*76</f>
        <v>1.748</v>
      </c>
      <c r="G275" s="575"/>
      <c r="H275" s="575"/>
      <c r="I275" s="575"/>
      <c r="J275" s="575"/>
      <c r="K275" s="563" t="s">
        <v>51</v>
      </c>
      <c r="L275" s="564">
        <v>3</v>
      </c>
      <c r="M275" s="510"/>
      <c r="N275" s="421"/>
    </row>
    <row r="276" spans="2:30" outlineLevel="1">
      <c r="B276" s="560" t="s">
        <v>884</v>
      </c>
      <c r="C276" s="576">
        <v>1.1000000000000001</v>
      </c>
      <c r="D276" s="576">
        <v>1.1000000000000001</v>
      </c>
      <c r="E276" s="576">
        <v>1.1000000000000001</v>
      </c>
      <c r="F276" s="576">
        <v>1.1000000000000001</v>
      </c>
      <c r="G276" s="575"/>
      <c r="H276" s="575"/>
      <c r="I276" s="575"/>
      <c r="J276" s="575"/>
      <c r="K276" s="577"/>
      <c r="L276" s="564">
        <v>3</v>
      </c>
      <c r="M276" s="423"/>
      <c r="N276" s="423"/>
    </row>
    <row r="277" spans="2:30" outlineLevel="1">
      <c r="B277" s="501"/>
      <c r="C277" s="741"/>
      <c r="D277" s="741"/>
      <c r="E277" s="741"/>
      <c r="F277" s="741"/>
      <c r="G277" s="485"/>
      <c r="H277" s="485"/>
      <c r="I277" s="485"/>
      <c r="J277" s="485"/>
      <c r="K277" s="504"/>
      <c r="L277" s="484"/>
      <c r="M277" s="427"/>
      <c r="N277" s="427"/>
      <c r="P277" s="999">
        <f>C274</f>
        <v>2.7789999999999999</v>
      </c>
      <c r="Q277" s="977"/>
      <c r="R277" s="977"/>
      <c r="S277" s="977"/>
      <c r="T277" s="977"/>
      <c r="U277" s="1000"/>
    </row>
    <row r="278" spans="2:30" ht="15" outlineLevel="1" thickBot="1">
      <c r="B278" s="579"/>
      <c r="C278" s="502"/>
      <c r="D278" s="580"/>
      <c r="E278" s="580"/>
      <c r="F278" s="581"/>
      <c r="G278" s="485"/>
      <c r="H278" s="485"/>
      <c r="I278" s="485"/>
      <c r="J278" s="485"/>
      <c r="K278" s="508"/>
      <c r="L278" s="484"/>
      <c r="M278" s="423"/>
      <c r="N278" s="423"/>
      <c r="P278" s="1001">
        <f>C275</f>
        <v>1.679</v>
      </c>
      <c r="Q278" s="1002"/>
      <c r="R278" s="1002"/>
      <c r="S278" s="1002"/>
      <c r="T278" s="1002"/>
      <c r="U278" s="1003"/>
    </row>
    <row r="279" spans="2:30" ht="15" outlineLevel="1" thickBot="1">
      <c r="B279" s="461" t="s">
        <v>727</v>
      </c>
      <c r="C279" s="462"/>
      <c r="D279" s="463"/>
      <c r="E279" s="464"/>
      <c r="F279" s="465"/>
      <c r="G279" s="466"/>
      <c r="H279" s="466"/>
      <c r="I279" s="466"/>
      <c r="J279" s="466"/>
      <c r="K279" s="519"/>
      <c r="L279" s="520"/>
      <c r="M279" s="423"/>
      <c r="N279" s="423"/>
      <c r="P279" s="53" t="s">
        <v>357</v>
      </c>
    </row>
    <row r="280" spans="2:30" ht="27.6" outlineLevel="1">
      <c r="B280" s="582" t="s">
        <v>887</v>
      </c>
      <c r="C280" s="730">
        <v>3.5000000000000003E-2</v>
      </c>
      <c r="D280" s="730">
        <v>0.03</v>
      </c>
      <c r="E280" s="730">
        <v>0.03</v>
      </c>
      <c r="F280" s="730">
        <v>0.03</v>
      </c>
      <c r="G280" s="584"/>
      <c r="H280" s="584"/>
      <c r="I280" s="584"/>
      <c r="J280" s="584"/>
      <c r="K280" s="584" t="s">
        <v>52</v>
      </c>
      <c r="L280" s="585"/>
      <c r="M280" s="423"/>
      <c r="N280" s="423"/>
      <c r="P280" s="46" t="s">
        <v>335</v>
      </c>
      <c r="Q280" s="46" t="s">
        <v>336</v>
      </c>
      <c r="R280" s="47" t="s">
        <v>337</v>
      </c>
      <c r="S280" s="47" t="s">
        <v>338</v>
      </c>
      <c r="T280" s="47" t="s">
        <v>339</v>
      </c>
      <c r="U280" s="48" t="s">
        <v>340</v>
      </c>
      <c r="V280" s="49" t="s">
        <v>341</v>
      </c>
      <c r="W280" s="49" t="s">
        <v>342</v>
      </c>
      <c r="X280" s="49" t="s">
        <v>343</v>
      </c>
      <c r="Y280" s="49" t="s">
        <v>344</v>
      </c>
      <c r="Z280" s="49" t="s">
        <v>345</v>
      </c>
      <c r="AA280" s="49" t="s">
        <v>346</v>
      </c>
      <c r="AB280" s="49" t="s">
        <v>347</v>
      </c>
      <c r="AC280" s="49" t="s">
        <v>348</v>
      </c>
      <c r="AD280" s="49" t="s">
        <v>349</v>
      </c>
    </row>
    <row r="281" spans="2:30" ht="15" outlineLevel="1" thickBot="1">
      <c r="B281" s="560" t="s">
        <v>888</v>
      </c>
      <c r="C281" s="586" t="s">
        <v>36</v>
      </c>
      <c r="D281" s="587" t="s">
        <v>36</v>
      </c>
      <c r="E281" s="587" t="s">
        <v>36</v>
      </c>
      <c r="F281" s="588" t="s">
        <v>36</v>
      </c>
      <c r="G281" s="588"/>
      <c r="H281" s="588"/>
      <c r="I281" s="588"/>
      <c r="J281" s="588"/>
      <c r="K281" s="589" t="s">
        <v>55</v>
      </c>
      <c r="L281" s="585"/>
      <c r="M281" s="423"/>
      <c r="N281" s="423"/>
      <c r="P281" s="50"/>
      <c r="Q281" s="50"/>
      <c r="R281" s="51"/>
      <c r="S281" s="51"/>
      <c r="T281" s="51"/>
      <c r="U281" s="51" t="s">
        <v>885</v>
      </c>
      <c r="V281" s="50" t="s">
        <v>886</v>
      </c>
      <c r="W281" s="50"/>
      <c r="X281" s="50"/>
      <c r="Y281" s="50"/>
      <c r="Z281" s="50"/>
      <c r="AA281" s="50"/>
      <c r="AB281" s="50"/>
      <c r="AC281" s="50"/>
      <c r="AD281" s="50"/>
    </row>
    <row r="282" spans="2:30" ht="43.2" outlineLevel="1">
      <c r="B282" s="560" t="s">
        <v>889</v>
      </c>
      <c r="C282" s="586" t="s">
        <v>36</v>
      </c>
      <c r="D282" s="587" t="s">
        <v>36</v>
      </c>
      <c r="E282" s="587" t="s">
        <v>36</v>
      </c>
      <c r="F282" s="588" t="s">
        <v>36</v>
      </c>
      <c r="G282" s="575"/>
      <c r="H282" s="575"/>
      <c r="I282" s="575"/>
      <c r="J282" s="575"/>
      <c r="K282" s="575"/>
      <c r="L282" s="564"/>
      <c r="M282" s="423"/>
      <c r="N282" s="423"/>
      <c r="O282" s="521" t="s">
        <v>857</v>
      </c>
      <c r="P282" s="56"/>
      <c r="Q282" s="56"/>
      <c r="R282" s="57"/>
      <c r="S282" s="57"/>
      <c r="T282" s="57"/>
      <c r="U282" s="56" t="s">
        <v>350</v>
      </c>
      <c r="V282" s="56" t="s">
        <v>326</v>
      </c>
      <c r="W282" s="56" t="s">
        <v>327</v>
      </c>
      <c r="X282" s="56" t="s">
        <v>351</v>
      </c>
      <c r="Y282" s="56" t="s">
        <v>351</v>
      </c>
      <c r="Z282" s="56" t="s">
        <v>352</v>
      </c>
      <c r="AA282" s="56" t="s">
        <v>352</v>
      </c>
      <c r="AB282" s="56" t="s">
        <v>352</v>
      </c>
      <c r="AC282" s="56" t="s">
        <v>352</v>
      </c>
      <c r="AD282" s="56" t="s">
        <v>352</v>
      </c>
    </row>
    <row r="283" spans="2:30" outlineLevel="1">
      <c r="B283" s="560" t="s">
        <v>890</v>
      </c>
      <c r="C283" s="745">
        <v>90</v>
      </c>
      <c r="D283" s="590">
        <v>90</v>
      </c>
      <c r="E283" s="590">
        <v>90</v>
      </c>
      <c r="F283" s="590">
        <v>90</v>
      </c>
      <c r="G283" s="591"/>
      <c r="H283" s="591"/>
      <c r="I283" s="591"/>
      <c r="J283" s="591"/>
      <c r="K283" s="591"/>
      <c r="L283" s="564">
        <v>3</v>
      </c>
      <c r="M283" s="423"/>
      <c r="N283" s="423"/>
      <c r="O283" s="525">
        <f>C253</f>
        <v>116.18960947726835</v>
      </c>
      <c r="P283" s="526">
        <f>C249</f>
        <v>2020</v>
      </c>
      <c r="Q283" s="58">
        <f>P283</f>
        <v>2020</v>
      </c>
      <c r="R283" s="526">
        <f>O283/100</f>
        <v>1.1618960947726835</v>
      </c>
      <c r="S283" s="58"/>
      <c r="T283" s="526">
        <f>C257</f>
        <v>25</v>
      </c>
      <c r="U283" s="527">
        <f>C287</f>
        <v>5066.0000000000009</v>
      </c>
      <c r="V283" s="527">
        <f>C289</f>
        <v>275.64999999999998</v>
      </c>
      <c r="W283" s="527">
        <f>C290</f>
        <v>5.7509861111111107</v>
      </c>
      <c r="X283" s="58"/>
      <c r="Y283" s="58"/>
      <c r="Z283" s="526">
        <f>C264</f>
        <v>11</v>
      </c>
      <c r="AA283" s="528">
        <f>C266</f>
        <v>63</v>
      </c>
      <c r="AB283" s="528">
        <f>C267</f>
        <v>11</v>
      </c>
      <c r="AC283" s="528">
        <f>C268</f>
        <v>3</v>
      </c>
      <c r="AD283" s="528">
        <f>C265</f>
        <v>10</v>
      </c>
    </row>
    <row r="284" spans="2:30" outlineLevel="1">
      <c r="B284" s="592" t="s">
        <v>891</v>
      </c>
      <c r="C284" s="586"/>
      <c r="D284" s="587"/>
      <c r="E284" s="587"/>
      <c r="F284" s="588"/>
      <c r="G284" s="591"/>
      <c r="H284" s="591"/>
      <c r="I284" s="591"/>
      <c r="J284" s="591"/>
      <c r="K284" s="591"/>
      <c r="L284" s="593"/>
      <c r="M284" s="427"/>
      <c r="N284" s="427"/>
      <c r="O284" s="525">
        <f>D253</f>
        <v>116.18960947726835</v>
      </c>
      <c r="P284" s="526">
        <f>D249</f>
        <v>2030</v>
      </c>
      <c r="Q284" s="58"/>
      <c r="R284" s="526">
        <f>O284/100</f>
        <v>1.1618960947726835</v>
      </c>
      <c r="S284" s="58"/>
      <c r="T284" s="526">
        <f>D257</f>
        <v>25</v>
      </c>
      <c r="U284" s="527">
        <f>D287</f>
        <v>4842.5</v>
      </c>
      <c r="V284" s="527">
        <f>D289</f>
        <v>267.45499999999998</v>
      </c>
      <c r="W284" s="527">
        <f>D290</f>
        <v>5.8461805555555557</v>
      </c>
      <c r="X284" s="58"/>
      <c r="Y284" s="58"/>
      <c r="Z284" s="526">
        <f>D264</f>
        <v>11</v>
      </c>
      <c r="AA284" s="528">
        <f>D266</f>
        <v>49</v>
      </c>
      <c r="AB284" s="528">
        <f>D267</f>
        <v>8</v>
      </c>
      <c r="AC284" s="528">
        <f>D268</f>
        <v>3</v>
      </c>
      <c r="AD284" s="528">
        <f>D265</f>
        <v>10</v>
      </c>
    </row>
    <row r="285" spans="2:30" outlineLevel="1">
      <c r="B285" s="592" t="s">
        <v>892</v>
      </c>
      <c r="C285" s="586"/>
      <c r="D285" s="587"/>
      <c r="E285" s="587"/>
      <c r="F285" s="588"/>
      <c r="G285" s="591"/>
      <c r="H285" s="591"/>
      <c r="I285" s="591"/>
      <c r="J285" s="591"/>
      <c r="K285" s="591"/>
      <c r="L285" s="593"/>
      <c r="M285" s="423"/>
      <c r="N285" s="423"/>
      <c r="O285" s="525">
        <f>E253</f>
        <v>116.18960947726835</v>
      </c>
      <c r="P285" s="526">
        <f>E249</f>
        <v>2040</v>
      </c>
      <c r="Q285" s="58"/>
      <c r="R285" s="526">
        <f>O285/100</f>
        <v>1.1618960947726835</v>
      </c>
      <c r="S285" s="58"/>
      <c r="T285" s="526">
        <f>E257</f>
        <v>25</v>
      </c>
      <c r="U285" s="527">
        <f>E287</f>
        <v>4619</v>
      </c>
      <c r="V285" s="527">
        <f>E289</f>
        <v>259.26</v>
      </c>
      <c r="W285" s="527">
        <f>E290</f>
        <v>5.8937777777777782</v>
      </c>
      <c r="X285" s="58"/>
      <c r="Y285" s="58"/>
      <c r="Z285" s="526">
        <f>E264</f>
        <v>11</v>
      </c>
      <c r="AA285" s="528">
        <f>E266</f>
        <v>46</v>
      </c>
      <c r="AB285" s="528">
        <f>E267</f>
        <v>6</v>
      </c>
      <c r="AC285" s="528">
        <f>E268</f>
        <v>1</v>
      </c>
      <c r="AD285" s="528">
        <f>E265</f>
        <v>10</v>
      </c>
    </row>
    <row r="286" spans="2:30" ht="15" outlineLevel="1" thickBot="1">
      <c r="B286" s="594" t="s">
        <v>893</v>
      </c>
      <c r="C286" s="595"/>
      <c r="D286" s="596"/>
      <c r="E286" s="596"/>
      <c r="F286" s="597"/>
      <c r="G286" s="598"/>
      <c r="H286" s="598"/>
      <c r="I286" s="598"/>
      <c r="J286" s="598"/>
      <c r="K286" s="598"/>
      <c r="L286" s="599"/>
      <c r="M286" s="423"/>
      <c r="N286" s="423"/>
      <c r="O286" s="525">
        <f>F253</f>
        <v>116.18960947726835</v>
      </c>
      <c r="P286" s="526">
        <f>F249</f>
        <v>2050</v>
      </c>
      <c r="Q286" s="58"/>
      <c r="R286" s="526">
        <f>O286/100</f>
        <v>1.1618960947726835</v>
      </c>
      <c r="S286" s="58"/>
      <c r="T286" s="526">
        <f>F257</f>
        <v>25</v>
      </c>
      <c r="U286" s="527">
        <f>F287</f>
        <v>4395.5</v>
      </c>
      <c r="V286" s="527">
        <f>F289</f>
        <v>251.065</v>
      </c>
      <c r="W286" s="527">
        <f>F290</f>
        <v>5.8937777777777782</v>
      </c>
      <c r="X286" s="58"/>
      <c r="Y286" s="58"/>
      <c r="Z286" s="526">
        <f>F264</f>
        <v>11</v>
      </c>
      <c r="AA286" s="528">
        <f>F266</f>
        <v>41</v>
      </c>
      <c r="AB286" s="528">
        <f>F267</f>
        <v>4</v>
      </c>
      <c r="AC286" s="528">
        <f>F268</f>
        <v>1</v>
      </c>
      <c r="AD286" s="528">
        <f>F265</f>
        <v>10</v>
      </c>
    </row>
    <row r="287" spans="2:30" ht="57.6" outlineLevel="1">
      <c r="B287" s="521" t="s">
        <v>894</v>
      </c>
      <c r="C287" s="543">
        <f>C270*$F$4*1000</f>
        <v>5066.0000000000009</v>
      </c>
      <c r="D287" s="543">
        <f t="shared" ref="D287:F287" si="30">D270*$F$4*1000</f>
        <v>4842.5</v>
      </c>
      <c r="E287" s="543">
        <f t="shared" si="30"/>
        <v>4619</v>
      </c>
      <c r="F287" s="543">
        <f t="shared" si="30"/>
        <v>4395.5</v>
      </c>
      <c r="G287" s="543"/>
      <c r="H287" s="544"/>
      <c r="I287" s="480" t="s">
        <v>332</v>
      </c>
      <c r="J287" s="480"/>
      <c r="K287" s="544"/>
      <c r="L287" s="544"/>
      <c r="N287" s="480"/>
    </row>
    <row r="288" spans="2:30" outlineLevel="1">
      <c r="B288" s="545" t="s">
        <v>895</v>
      </c>
      <c r="C288" s="546">
        <f>C287*$I288</f>
        <v>2533000.0000000005</v>
      </c>
      <c r="D288" s="546">
        <f>D287*$I288</f>
        <v>2421250</v>
      </c>
      <c r="E288" s="546">
        <f>E287*$I288</f>
        <v>2309500</v>
      </c>
      <c r="F288" s="546">
        <f>F287*$I288</f>
        <v>2197750</v>
      </c>
      <c r="G288" s="546"/>
      <c r="H288" s="544"/>
      <c r="I288" s="71">
        <v>500</v>
      </c>
      <c r="J288" s="480" t="s">
        <v>330</v>
      </c>
      <c r="K288" s="544"/>
      <c r="L288" s="544"/>
      <c r="N288" s="480"/>
    </row>
    <row r="289" spans="1:15" ht="43.2" outlineLevel="1">
      <c r="B289" s="521" t="s">
        <v>970</v>
      </c>
      <c r="C289" s="419">
        <f>C273*$F$4/1000</f>
        <v>275.64999999999998</v>
      </c>
      <c r="D289" s="419">
        <f t="shared" ref="D289:F289" si="31">D273*$F$4/1000</f>
        <v>267.45499999999998</v>
      </c>
      <c r="E289" s="419">
        <f t="shared" si="31"/>
        <v>259.26</v>
      </c>
      <c r="F289" s="419">
        <f t="shared" si="31"/>
        <v>251.065</v>
      </c>
      <c r="G289" s="419"/>
      <c r="I289" s="480" t="s">
        <v>333</v>
      </c>
      <c r="J289" s="480"/>
      <c r="N289" s="480"/>
    </row>
    <row r="290" spans="1:15" ht="43.2" outlineLevel="1">
      <c r="B290" s="521" t="s">
        <v>971</v>
      </c>
      <c r="C290" s="547">
        <f>C274*$F$4/3.6</f>
        <v>5.7509861111111107</v>
      </c>
      <c r="D290" s="547">
        <f t="shared" ref="D290:F290" si="32">D274*$F$4/3.6</f>
        <v>5.8461805555555557</v>
      </c>
      <c r="E290" s="547">
        <f t="shared" si="32"/>
        <v>5.8937777777777782</v>
      </c>
      <c r="F290" s="547">
        <f t="shared" si="32"/>
        <v>5.8937777777777782</v>
      </c>
      <c r="G290" s="419"/>
      <c r="M290" s="480"/>
      <c r="N290" s="480"/>
    </row>
    <row r="291" spans="1:15" outlineLevel="1">
      <c r="A291" s="548"/>
      <c r="B291" s="549"/>
      <c r="D291" s="550"/>
      <c r="E291" s="550"/>
      <c r="F291" s="550"/>
      <c r="G291" s="417"/>
      <c r="H291" s="417"/>
      <c r="I291" s="417"/>
      <c r="J291" s="417"/>
      <c r="K291" s="417"/>
      <c r="L291" s="417"/>
    </row>
    <row r="292" spans="1:15" outlineLevel="1">
      <c r="A292" s="551"/>
      <c r="B292" s="552"/>
      <c r="D292" s="550"/>
      <c r="E292" s="550"/>
      <c r="F292" s="550"/>
      <c r="G292" s="417"/>
      <c r="H292" s="417"/>
      <c r="I292" s="417"/>
      <c r="J292" s="417"/>
      <c r="K292" s="417"/>
      <c r="L292" s="417"/>
    </row>
    <row r="293" spans="1:15" outlineLevel="1">
      <c r="A293" s="551"/>
      <c r="B293" s="553"/>
      <c r="D293" s="550"/>
      <c r="E293" s="550"/>
      <c r="F293" s="550"/>
      <c r="G293" s="417"/>
      <c r="H293" s="417"/>
      <c r="I293" s="417"/>
      <c r="J293" s="417"/>
      <c r="K293" s="417"/>
      <c r="L293" s="417"/>
    </row>
    <row r="294" spans="1:15" outlineLevel="1">
      <c r="A294" s="551"/>
      <c r="B294" s="548" t="s">
        <v>898</v>
      </c>
      <c r="C294" s="549"/>
      <c r="E294" s="417"/>
      <c r="F294" s="550"/>
      <c r="G294" s="417"/>
      <c r="H294" s="417"/>
      <c r="I294" s="417"/>
      <c r="J294" s="417"/>
      <c r="K294" s="417"/>
      <c r="L294" s="417"/>
    </row>
    <row r="295" spans="1:15" outlineLevel="1">
      <c r="A295" s="551"/>
      <c r="B295" s="551">
        <v>1</v>
      </c>
      <c r="C295" s="552" t="s">
        <v>899</v>
      </c>
      <c r="E295" s="417"/>
      <c r="F295" s="550"/>
      <c r="G295" s="417"/>
      <c r="H295" s="417"/>
      <c r="I295" s="417"/>
      <c r="J295" s="417"/>
      <c r="K295" s="417"/>
      <c r="L295" s="417"/>
    </row>
    <row r="296" spans="1:15" outlineLevel="1">
      <c r="A296" s="417"/>
      <c r="B296" s="551">
        <v>2</v>
      </c>
      <c r="C296" s="553" t="s">
        <v>900</v>
      </c>
      <c r="E296" s="417"/>
      <c r="F296" s="550"/>
      <c r="G296" s="417"/>
      <c r="H296" s="417"/>
      <c r="I296" s="417"/>
      <c r="J296" s="417"/>
      <c r="K296" s="417"/>
      <c r="L296" s="417"/>
      <c r="M296" s="630"/>
      <c r="N296" s="549"/>
    </row>
    <row r="297" spans="1:15" outlineLevel="1">
      <c r="A297" s="417"/>
      <c r="B297" s="551">
        <v>3</v>
      </c>
      <c r="C297" s="553" t="s">
        <v>901</v>
      </c>
      <c r="E297" s="417"/>
      <c r="F297" s="550"/>
      <c r="G297" s="417"/>
      <c r="H297" s="417"/>
      <c r="I297" s="417"/>
      <c r="J297" s="417"/>
      <c r="K297" s="417"/>
      <c r="L297" s="417"/>
    </row>
    <row r="298" spans="1:15" outlineLevel="1">
      <c r="A298" s="417"/>
      <c r="B298" s="551">
        <v>4</v>
      </c>
      <c r="C298" s="553" t="s">
        <v>902</v>
      </c>
      <c r="E298" s="417"/>
      <c r="F298" s="550"/>
      <c r="G298" s="417"/>
      <c r="H298" s="417"/>
      <c r="I298" s="417"/>
      <c r="J298" s="417"/>
      <c r="K298" s="417"/>
      <c r="L298" s="417"/>
    </row>
    <row r="299" spans="1:15" outlineLevel="1">
      <c r="A299" s="417"/>
      <c r="B299" s="417">
        <v>5</v>
      </c>
      <c r="C299" s="554" t="s">
        <v>903</v>
      </c>
      <c r="F299" s="550"/>
      <c r="G299" s="417"/>
      <c r="H299" s="417"/>
      <c r="I299" s="417"/>
      <c r="J299" s="417"/>
      <c r="K299" s="417"/>
      <c r="L299" s="417"/>
      <c r="O299" s="550"/>
    </row>
    <row r="300" spans="1:15" outlineLevel="1">
      <c r="A300" s="417"/>
      <c r="B300" s="417">
        <v>6</v>
      </c>
      <c r="C300" s="552" t="s">
        <v>904</v>
      </c>
      <c r="F300" s="550"/>
      <c r="G300" s="417"/>
      <c r="H300" s="417"/>
      <c r="I300" s="417"/>
      <c r="J300" s="417"/>
      <c r="K300" s="417"/>
      <c r="L300" s="417"/>
      <c r="O300" s="550"/>
    </row>
    <row r="301" spans="1:15" outlineLevel="1">
      <c r="A301" s="417"/>
      <c r="B301" s="417">
        <v>7</v>
      </c>
      <c r="C301" s="555" t="s">
        <v>899</v>
      </c>
      <c r="F301" s="550"/>
      <c r="G301" s="417"/>
      <c r="H301" s="417"/>
      <c r="I301" s="417"/>
      <c r="J301" s="417"/>
      <c r="K301" s="417"/>
      <c r="L301" s="417"/>
      <c r="O301" s="550"/>
    </row>
    <row r="302" spans="1:15" outlineLevel="1">
      <c r="A302" s="548"/>
      <c r="B302" s="417">
        <v>8</v>
      </c>
      <c r="C302" s="555" t="s">
        <v>905</v>
      </c>
      <c r="F302" s="550"/>
      <c r="G302" s="417"/>
      <c r="H302" s="417"/>
      <c r="I302" s="417"/>
      <c r="J302" s="417"/>
      <c r="K302" s="417"/>
      <c r="L302" s="417"/>
      <c r="O302" s="550"/>
    </row>
    <row r="303" spans="1:15" outlineLevel="1">
      <c r="A303" s="548"/>
      <c r="B303" s="417">
        <v>9</v>
      </c>
      <c r="C303" s="549" t="s">
        <v>906</v>
      </c>
      <c r="F303" s="550"/>
      <c r="G303" s="417"/>
      <c r="H303" s="417"/>
      <c r="I303" s="417"/>
      <c r="J303" s="417"/>
      <c r="K303" s="417"/>
      <c r="L303" s="417"/>
      <c r="O303" s="550"/>
    </row>
    <row r="304" spans="1:15" outlineLevel="1">
      <c r="A304" s="548"/>
      <c r="B304" s="417">
        <v>10</v>
      </c>
      <c r="C304" s="550" t="s">
        <v>907</v>
      </c>
      <c r="F304" s="550"/>
      <c r="G304" s="417"/>
      <c r="H304" s="417"/>
      <c r="I304" s="417"/>
      <c r="J304" s="417"/>
      <c r="K304" s="417"/>
      <c r="L304" s="417"/>
      <c r="O304" s="550"/>
    </row>
    <row r="305" spans="1:15" outlineLevel="1">
      <c r="A305" s="548"/>
      <c r="B305" s="548" t="s">
        <v>908</v>
      </c>
      <c r="C305" s="549"/>
      <c r="F305" s="550"/>
      <c r="G305" s="417"/>
      <c r="H305" s="417"/>
      <c r="I305" s="417"/>
      <c r="J305" s="417"/>
      <c r="K305" s="417"/>
      <c r="L305" s="417"/>
      <c r="O305" s="550"/>
    </row>
    <row r="306" spans="1:15" outlineLevel="1">
      <c r="A306" s="548"/>
      <c r="B306" s="556" t="s">
        <v>6</v>
      </c>
      <c r="C306" s="557" t="s">
        <v>1100</v>
      </c>
      <c r="D306" s="549"/>
      <c r="F306" s="550"/>
      <c r="G306" s="417"/>
      <c r="H306" s="417"/>
      <c r="I306" s="417"/>
      <c r="J306" s="417"/>
      <c r="K306" s="417"/>
      <c r="L306" s="417"/>
      <c r="O306" s="550"/>
    </row>
    <row r="307" spans="1:15" outlineLevel="1">
      <c r="A307" s="548"/>
      <c r="B307" s="556" t="s">
        <v>59</v>
      </c>
      <c r="C307" s="549" t="s">
        <v>910</v>
      </c>
      <c r="D307" s="549"/>
      <c r="F307" s="550"/>
      <c r="G307" s="417"/>
      <c r="H307" s="417"/>
      <c r="I307" s="417"/>
      <c r="J307" s="417"/>
      <c r="K307" s="417"/>
      <c r="L307" s="417"/>
      <c r="O307" s="550"/>
    </row>
    <row r="308" spans="1:15" outlineLevel="1">
      <c r="A308" s="548"/>
      <c r="B308" s="556" t="s">
        <v>16</v>
      </c>
      <c r="C308" s="549" t="s">
        <v>1101</v>
      </c>
      <c r="D308" s="549"/>
      <c r="F308" s="550"/>
      <c r="G308" s="417"/>
      <c r="H308" s="417"/>
      <c r="I308" s="417"/>
      <c r="J308" s="417"/>
      <c r="K308" s="417"/>
      <c r="L308" s="417"/>
      <c r="O308" s="550"/>
    </row>
    <row r="309" spans="1:15" outlineLevel="1">
      <c r="A309" s="548"/>
      <c r="B309" s="556" t="s">
        <v>20</v>
      </c>
      <c r="C309" s="549" t="s">
        <v>1102</v>
      </c>
      <c r="D309" s="549"/>
      <c r="F309" s="550"/>
      <c r="G309" s="417"/>
      <c r="H309" s="417"/>
      <c r="I309" s="417"/>
      <c r="J309" s="417"/>
      <c r="K309" s="417"/>
      <c r="L309" s="417"/>
      <c r="O309" s="550"/>
    </row>
    <row r="310" spans="1:15" outlineLevel="1">
      <c r="A310" s="548"/>
      <c r="B310" s="556" t="s">
        <v>76</v>
      </c>
      <c r="C310" s="549" t="s">
        <v>911</v>
      </c>
      <c r="D310" s="549"/>
      <c r="F310" s="550"/>
      <c r="G310" s="417"/>
      <c r="H310" s="417"/>
      <c r="I310" s="417"/>
      <c r="J310" s="417"/>
      <c r="K310" s="417"/>
      <c r="L310" s="417"/>
      <c r="O310" s="550"/>
    </row>
    <row r="311" spans="1:15" outlineLevel="1">
      <c r="A311" s="548"/>
      <c r="B311" s="556" t="s">
        <v>25</v>
      </c>
      <c r="C311" s="549" t="s">
        <v>1103</v>
      </c>
      <c r="D311" s="549"/>
      <c r="F311" s="550"/>
      <c r="G311" s="417"/>
      <c r="H311" s="417"/>
      <c r="I311" s="417"/>
      <c r="J311" s="417"/>
      <c r="K311" s="417"/>
      <c r="L311" s="417"/>
      <c r="O311" s="550"/>
    </row>
    <row r="312" spans="1:15" outlineLevel="1">
      <c r="A312" s="548"/>
      <c r="B312" s="556" t="s">
        <v>33</v>
      </c>
      <c r="C312" s="549" t="s">
        <v>1104</v>
      </c>
      <c r="D312" s="549"/>
      <c r="F312" s="550"/>
      <c r="G312" s="417"/>
      <c r="H312" s="417"/>
      <c r="I312" s="417"/>
      <c r="J312" s="417"/>
      <c r="K312" s="417"/>
      <c r="L312" s="417"/>
      <c r="O312" s="550"/>
    </row>
    <row r="313" spans="1:15" outlineLevel="1">
      <c r="A313" s="548"/>
      <c r="B313" s="556" t="s">
        <v>51</v>
      </c>
      <c r="C313" s="549" t="s">
        <v>1105</v>
      </c>
      <c r="D313" s="549"/>
      <c r="F313" s="550"/>
      <c r="G313" s="417"/>
      <c r="H313" s="417"/>
      <c r="I313" s="417"/>
      <c r="J313" s="417"/>
      <c r="K313" s="417"/>
      <c r="L313" s="417"/>
      <c r="O313" s="550"/>
    </row>
    <row r="314" spans="1:15" outlineLevel="1">
      <c r="A314" s="548"/>
      <c r="B314" s="556" t="s">
        <v>52</v>
      </c>
      <c r="C314" s="558" t="s">
        <v>913</v>
      </c>
      <c r="D314" s="549"/>
      <c r="F314" s="550"/>
      <c r="G314" s="417"/>
      <c r="H314" s="417"/>
      <c r="I314" s="417"/>
      <c r="J314" s="417"/>
      <c r="K314" s="417"/>
      <c r="L314" s="417"/>
      <c r="O314" s="550"/>
    </row>
    <row r="315" spans="1:15" outlineLevel="1">
      <c r="A315" s="548"/>
      <c r="B315" s="556" t="s">
        <v>55</v>
      </c>
      <c r="C315" s="549" t="s">
        <v>929</v>
      </c>
      <c r="D315" s="549"/>
      <c r="F315" s="550"/>
      <c r="G315" s="417"/>
      <c r="H315" s="417"/>
      <c r="I315" s="417"/>
      <c r="J315" s="417"/>
      <c r="K315" s="417"/>
      <c r="L315" s="417"/>
      <c r="O315" s="550"/>
    </row>
    <row r="316" spans="1:15" outlineLevel="1">
      <c r="A316" s="556"/>
      <c r="B316" s="556" t="s">
        <v>49</v>
      </c>
      <c r="C316" s="549" t="s">
        <v>914</v>
      </c>
      <c r="D316" s="549"/>
      <c r="F316" s="550"/>
      <c r="G316" s="417"/>
      <c r="H316" s="417"/>
      <c r="I316" s="417"/>
      <c r="J316" s="417"/>
      <c r="K316" s="417"/>
      <c r="L316" s="417"/>
      <c r="M316" s="630"/>
      <c r="N316" s="549"/>
      <c r="O316" s="550"/>
    </row>
    <row r="317" spans="1:15" outlineLevel="1">
      <c r="A317" s="556"/>
      <c r="F317" s="550"/>
      <c r="G317" s="417"/>
      <c r="H317" s="417"/>
      <c r="I317" s="417"/>
      <c r="J317" s="417"/>
      <c r="K317" s="417"/>
      <c r="L317" s="417"/>
      <c r="M317" s="631"/>
      <c r="N317" s="549"/>
      <c r="O317" s="550"/>
    </row>
    <row r="318" spans="1:15" outlineLevel="1">
      <c r="A318" s="556"/>
      <c r="B318" s="549"/>
      <c r="D318" s="550"/>
      <c r="E318" s="550"/>
      <c r="F318" s="550"/>
      <c r="G318" s="417"/>
      <c r="H318" s="417"/>
      <c r="I318" s="417"/>
      <c r="J318" s="417"/>
      <c r="K318" s="417"/>
      <c r="L318" s="417"/>
      <c r="M318" s="632"/>
      <c r="N318" s="549"/>
      <c r="O318" s="550"/>
    </row>
    <row r="319" spans="1:15" outlineLevel="1">
      <c r="A319" s="556"/>
      <c r="B319" s="558"/>
      <c r="D319" s="550"/>
      <c r="E319" s="550"/>
      <c r="F319" s="550"/>
      <c r="G319" s="417"/>
      <c r="H319" s="417"/>
      <c r="I319" s="417"/>
      <c r="J319" s="417"/>
      <c r="K319" s="417"/>
      <c r="L319" s="417"/>
      <c r="M319" s="633"/>
      <c r="N319" s="549"/>
      <c r="O319" s="550"/>
    </row>
    <row r="320" spans="1:15" outlineLevel="1">
      <c r="A320" s="556"/>
      <c r="B320" s="549"/>
      <c r="D320" s="550"/>
      <c r="E320" s="550"/>
      <c r="F320" s="550"/>
      <c r="G320" s="417"/>
      <c r="H320" s="417"/>
      <c r="I320" s="417"/>
      <c r="J320" s="417"/>
      <c r="K320" s="417"/>
      <c r="L320" s="417"/>
      <c r="M320" s="633"/>
      <c r="N320" s="550"/>
      <c r="O320" s="550"/>
    </row>
    <row r="321" spans="1:44" outlineLevel="1">
      <c r="A321" s="556"/>
      <c r="B321" s="549"/>
      <c r="D321" s="550"/>
      <c r="E321" s="550"/>
      <c r="F321" s="550"/>
      <c r="G321" s="417"/>
      <c r="H321" s="417"/>
      <c r="I321" s="417"/>
      <c r="J321" s="417"/>
      <c r="K321" s="417"/>
      <c r="L321" s="417"/>
      <c r="M321" s="549"/>
      <c r="N321" s="550"/>
      <c r="O321" s="550"/>
    </row>
    <row r="322" spans="1:44" outlineLevel="1">
      <c r="O322" s="550"/>
    </row>
    <row r="323" spans="1:44">
      <c r="O323" s="550"/>
    </row>
    <row r="324" spans="1:44">
      <c r="O324" s="550"/>
    </row>
    <row r="325" spans="1:44" ht="15" thickBot="1">
      <c r="A325" s="420"/>
    </row>
    <row r="326" spans="1:44" ht="20.7" customHeight="1" thickBot="1">
      <c r="B326" s="422"/>
      <c r="C326" s="1043"/>
      <c r="D326" s="1044"/>
      <c r="E326" s="1044"/>
      <c r="F326" s="1044"/>
      <c r="G326" s="1044"/>
      <c r="H326" s="1044"/>
      <c r="I326" s="1044"/>
      <c r="J326" s="1044"/>
      <c r="K326" s="1044"/>
      <c r="L326" s="1045"/>
      <c r="M326" s="423"/>
      <c r="N326" s="423"/>
      <c r="AK326" s="989"/>
      <c r="AL326" s="990"/>
      <c r="AM326" s="989"/>
      <c r="AN326" s="990"/>
      <c r="AO326" s="989"/>
      <c r="AP326" s="990"/>
      <c r="AQ326" s="1004"/>
      <c r="AR326" s="1005"/>
    </row>
    <row r="327" spans="1:44" ht="15" customHeight="1" thickBot="1">
      <c r="B327" s="1010"/>
      <c r="C327" s="1012"/>
      <c r="D327" s="1012"/>
      <c r="E327" s="1012"/>
      <c r="F327" s="1012"/>
      <c r="G327" s="1048"/>
      <c r="H327" s="1049"/>
      <c r="I327" s="1048"/>
      <c r="J327" s="1049"/>
      <c r="K327" s="1046"/>
      <c r="L327" s="1046"/>
      <c r="M327" s="427"/>
      <c r="N327" s="427"/>
      <c r="AK327" s="991"/>
      <c r="AL327" s="992"/>
      <c r="AM327" s="991"/>
      <c r="AN327" s="992"/>
      <c r="AO327" s="991"/>
      <c r="AP327" s="992"/>
      <c r="AQ327" s="1006"/>
      <c r="AR327" s="1007"/>
    </row>
    <row r="328" spans="1:44" ht="15" customHeight="1" thickBot="1">
      <c r="B328" s="1011"/>
      <c r="C328" s="1013"/>
      <c r="D328" s="1013"/>
      <c r="E328" s="1013"/>
      <c r="F328" s="1013"/>
      <c r="G328" s="466"/>
      <c r="H328" s="466"/>
      <c r="I328" s="466"/>
      <c r="J328" s="466"/>
      <c r="K328" s="1047"/>
      <c r="L328" s="1047"/>
      <c r="M328" s="430"/>
      <c r="N328" s="430"/>
      <c r="AK328" s="991"/>
      <c r="AL328" s="992"/>
      <c r="AM328" s="991"/>
      <c r="AN328" s="992"/>
      <c r="AO328" s="991"/>
      <c r="AP328" s="992"/>
      <c r="AQ328" s="1008"/>
      <c r="AR328" s="1009"/>
    </row>
    <row r="329" spans="1:44" ht="21.6" thickBot="1">
      <c r="B329" s="431"/>
      <c r="C329" s="432"/>
      <c r="D329" s="432"/>
      <c r="E329" s="432"/>
      <c r="F329" s="432"/>
      <c r="G329" s="432"/>
      <c r="H329" s="432"/>
      <c r="I329" s="432"/>
      <c r="J329" s="432"/>
      <c r="K329" s="432"/>
      <c r="L329" s="433"/>
      <c r="M329" s="430"/>
      <c r="N329" s="430"/>
      <c r="P329" s="424"/>
      <c r="Q329" s="425"/>
      <c r="R329" s="426"/>
      <c r="S329" s="985"/>
      <c r="T329" s="989"/>
      <c r="U329" s="990"/>
      <c r="V329" s="989"/>
      <c r="W329" s="990"/>
      <c r="X329" s="989"/>
      <c r="Y329" s="990"/>
      <c r="Z329" s="989"/>
      <c r="AA329" s="990"/>
      <c r="AB329" s="989"/>
      <c r="AC329" s="990"/>
      <c r="AE329" s="424"/>
      <c r="AF329" s="425"/>
      <c r="AG329" s="426"/>
      <c r="AH329" s="985"/>
      <c r="AI329" s="989"/>
      <c r="AJ329" s="990"/>
      <c r="AK329" s="434"/>
      <c r="AL329" s="435"/>
      <c r="AM329" s="434"/>
      <c r="AN329" s="435"/>
      <c r="AO329" s="434"/>
      <c r="AP329" s="435"/>
      <c r="AQ329" s="434"/>
      <c r="AR329" s="435"/>
    </row>
    <row r="330" spans="1:44" ht="14.7" customHeight="1">
      <c r="B330" s="634"/>
      <c r="C330" s="635"/>
      <c r="D330" s="635"/>
      <c r="E330" s="635"/>
      <c r="F330" s="635"/>
      <c r="G330" s="636"/>
      <c r="H330" s="636"/>
      <c r="I330" s="636"/>
      <c r="J330" s="636"/>
      <c r="K330" s="432"/>
      <c r="L330" s="433"/>
      <c r="M330" s="430"/>
      <c r="N330" s="430"/>
      <c r="P330" s="993"/>
      <c r="Q330" s="428"/>
      <c r="R330" s="428"/>
      <c r="S330" s="986"/>
      <c r="T330" s="991"/>
      <c r="U330" s="992"/>
      <c r="V330" s="991"/>
      <c r="W330" s="992"/>
      <c r="X330" s="991"/>
      <c r="Y330" s="992"/>
      <c r="Z330" s="991"/>
      <c r="AA330" s="992"/>
      <c r="AB330" s="991"/>
      <c r="AC330" s="992"/>
      <c r="AE330" s="993"/>
      <c r="AF330" s="428"/>
      <c r="AG330" s="428"/>
      <c r="AH330" s="986"/>
      <c r="AI330" s="991"/>
      <c r="AJ330" s="992"/>
      <c r="AK330" s="1033"/>
      <c r="AL330" s="1021"/>
      <c r="AM330" s="1033"/>
      <c r="AN330" s="1021"/>
      <c r="AO330" s="1033"/>
      <c r="AP330" s="1021"/>
      <c r="AQ330" s="1024"/>
      <c r="AR330" s="1021"/>
    </row>
    <row r="331" spans="1:44">
      <c r="B331" s="443"/>
      <c r="C331" s="637"/>
      <c r="D331" s="637"/>
      <c r="E331" s="637"/>
      <c r="F331" s="637"/>
      <c r="G331" s="636"/>
      <c r="H331" s="636"/>
      <c r="I331" s="636"/>
      <c r="J331" s="636"/>
      <c r="K331" s="432"/>
      <c r="L331" s="433"/>
      <c r="M331" s="430"/>
      <c r="N331" s="430"/>
      <c r="P331" s="994"/>
      <c r="Q331" s="996"/>
      <c r="R331" s="997"/>
      <c r="S331" s="987"/>
      <c r="T331" s="991"/>
      <c r="U331" s="992"/>
      <c r="V331" s="991"/>
      <c r="W331" s="992"/>
      <c r="X331" s="991"/>
      <c r="Y331" s="992"/>
      <c r="Z331" s="991"/>
      <c r="AA331" s="992"/>
      <c r="AB331" s="991"/>
      <c r="AC331" s="992"/>
      <c r="AE331" s="994"/>
      <c r="AF331" s="996"/>
      <c r="AG331" s="997"/>
      <c r="AH331" s="987"/>
      <c r="AI331" s="991"/>
      <c r="AJ331" s="992"/>
      <c r="AK331" s="1034"/>
      <c r="AL331" s="1022"/>
      <c r="AM331" s="1034"/>
      <c r="AN331" s="1022"/>
      <c r="AO331" s="1034"/>
      <c r="AP331" s="1022"/>
      <c r="AQ331" s="1025"/>
      <c r="AR331" s="1022"/>
    </row>
    <row r="332" spans="1:44" ht="15" thickBot="1">
      <c r="B332" s="634"/>
      <c r="C332" s="638"/>
      <c r="D332" s="638"/>
      <c r="E332" s="638"/>
      <c r="F332" s="638"/>
      <c r="G332" s="638"/>
      <c r="H332" s="638"/>
      <c r="I332" s="638"/>
      <c r="J332" s="638"/>
      <c r="K332" s="639"/>
      <c r="L332" s="640"/>
      <c r="M332" s="430"/>
      <c r="N332" s="430"/>
      <c r="O332" s="74"/>
      <c r="P332" s="995"/>
      <c r="Q332" s="988"/>
      <c r="R332" s="998"/>
      <c r="S332" s="988"/>
      <c r="T332" s="434"/>
      <c r="U332" s="435"/>
      <c r="V332" s="434"/>
      <c r="W332" s="435"/>
      <c r="X332" s="434"/>
      <c r="Y332" s="435"/>
      <c r="Z332" s="434"/>
      <c r="AA332" s="435"/>
      <c r="AB332" s="434"/>
      <c r="AC332" s="435"/>
      <c r="AE332" s="995"/>
      <c r="AF332" s="988"/>
      <c r="AG332" s="998"/>
      <c r="AH332" s="988"/>
      <c r="AI332" s="434"/>
      <c r="AJ332" s="435"/>
      <c r="AK332" s="1035"/>
      <c r="AL332" s="1023"/>
      <c r="AM332" s="1035"/>
      <c r="AN332" s="1023"/>
      <c r="AO332" s="1035"/>
      <c r="AP332" s="1023"/>
      <c r="AQ332" s="1026"/>
      <c r="AR332" s="1023"/>
    </row>
    <row r="333" spans="1:44" ht="14.7" customHeight="1">
      <c r="B333" s="634"/>
      <c r="C333" s="641"/>
      <c r="D333" s="641"/>
      <c r="E333" s="641"/>
      <c r="F333" s="641"/>
      <c r="G333" s="641"/>
      <c r="H333" s="641"/>
      <c r="I333" s="641"/>
      <c r="J333" s="641"/>
      <c r="K333" s="639"/>
      <c r="L333" s="640"/>
      <c r="M333" s="430"/>
      <c r="N333" s="430"/>
      <c r="P333" s="1027"/>
      <c r="Q333" s="1030"/>
      <c r="R333" s="441"/>
      <c r="S333" s="442"/>
      <c r="T333" s="1033"/>
      <c r="U333" s="1021"/>
      <c r="V333" s="1033"/>
      <c r="W333" s="1021"/>
      <c r="X333" s="1033"/>
      <c r="Y333" s="1021"/>
      <c r="Z333" s="1033"/>
      <c r="AA333" s="1021"/>
      <c r="AB333" s="1024"/>
      <c r="AC333" s="1021"/>
      <c r="AE333" s="1027"/>
      <c r="AF333" s="1030"/>
      <c r="AG333" s="441"/>
      <c r="AH333" s="442"/>
      <c r="AI333" s="1033"/>
      <c r="AJ333" s="1021"/>
      <c r="AK333" s="1033"/>
      <c r="AL333" s="1033"/>
      <c r="AM333" s="1033"/>
      <c r="AN333" s="1033"/>
      <c r="AO333" s="1033"/>
      <c r="AP333" s="1033"/>
      <c r="AQ333" s="1033"/>
      <c r="AR333" s="1033"/>
    </row>
    <row r="334" spans="1:44">
      <c r="B334" s="634"/>
      <c r="C334" s="642"/>
      <c r="D334" s="642"/>
      <c r="E334" s="642"/>
      <c r="F334" s="642"/>
      <c r="G334" s="642"/>
      <c r="H334" s="642"/>
      <c r="I334" s="642"/>
      <c r="J334" s="642"/>
      <c r="K334" s="639"/>
      <c r="L334" s="640"/>
      <c r="M334" s="427"/>
      <c r="N334" s="427"/>
      <c r="O334" s="71"/>
      <c r="P334" s="1052"/>
      <c r="Q334" s="1031"/>
      <c r="R334" s="448"/>
      <c r="S334" s="449"/>
      <c r="T334" s="1034"/>
      <c r="U334" s="1022"/>
      <c r="V334" s="1034"/>
      <c r="W334" s="1022"/>
      <c r="X334" s="1034"/>
      <c r="Y334" s="1022"/>
      <c r="Z334" s="1034"/>
      <c r="AA334" s="1022"/>
      <c r="AB334" s="1025"/>
      <c r="AC334" s="1022"/>
      <c r="AE334" s="1052"/>
      <c r="AF334" s="1031"/>
      <c r="AG334" s="448"/>
      <c r="AH334" s="449"/>
      <c r="AI334" s="1034"/>
      <c r="AJ334" s="1022"/>
      <c r="AK334" s="1050"/>
      <c r="AL334" s="1050"/>
      <c r="AM334" s="1050"/>
      <c r="AN334" s="1050"/>
      <c r="AO334" s="1050"/>
      <c r="AP334" s="1050"/>
      <c r="AQ334" s="1034"/>
      <c r="AR334" s="1050"/>
    </row>
    <row r="335" spans="1:44" ht="15" thickBot="1">
      <c r="B335" s="443"/>
      <c r="C335" s="457"/>
      <c r="D335" s="457"/>
      <c r="E335" s="457"/>
      <c r="F335" s="457"/>
      <c r="G335" s="458"/>
      <c r="H335" s="458"/>
      <c r="I335" s="458"/>
      <c r="J335" s="458"/>
      <c r="K335" s="432"/>
      <c r="L335" s="433"/>
      <c r="M335" s="423"/>
      <c r="N335" s="423"/>
      <c r="O335" s="71"/>
      <c r="P335" s="1052"/>
      <c r="Q335" s="1032"/>
      <c r="R335" s="453"/>
      <c r="S335" s="454"/>
      <c r="T335" s="1035"/>
      <c r="U335" s="1023"/>
      <c r="V335" s="1035"/>
      <c r="W335" s="1023"/>
      <c r="X335" s="1035"/>
      <c r="Y335" s="1023"/>
      <c r="Z335" s="1035"/>
      <c r="AA335" s="1023"/>
      <c r="AB335" s="1026"/>
      <c r="AC335" s="1023"/>
      <c r="AE335" s="1052"/>
      <c r="AF335" s="1032"/>
      <c r="AG335" s="453"/>
      <c r="AH335" s="454"/>
      <c r="AI335" s="1035"/>
      <c r="AJ335" s="1023"/>
      <c r="AK335" s="1050"/>
      <c r="AL335" s="1050"/>
      <c r="AM335" s="1050"/>
      <c r="AN335" s="1050"/>
      <c r="AO335" s="1050"/>
      <c r="AP335" s="1050"/>
      <c r="AQ335" s="1034"/>
      <c r="AR335" s="1050"/>
    </row>
    <row r="336" spans="1:44" ht="15" thickBot="1">
      <c r="B336" s="634"/>
      <c r="C336" s="642"/>
      <c r="D336" s="642"/>
      <c r="E336" s="642"/>
      <c r="F336" s="642"/>
      <c r="G336" s="642"/>
      <c r="H336" s="642"/>
      <c r="I336" s="642"/>
      <c r="J336" s="642"/>
      <c r="K336" s="432"/>
      <c r="L336" s="433"/>
      <c r="M336" s="423"/>
      <c r="N336" s="423"/>
      <c r="O336" s="71"/>
      <c r="P336" s="1052"/>
      <c r="Q336" s="1054"/>
      <c r="R336" s="455"/>
      <c r="S336" s="456"/>
      <c r="T336" s="1033"/>
      <c r="U336" s="1033"/>
      <c r="V336" s="1033"/>
      <c r="W336" s="1033"/>
      <c r="X336" s="1033"/>
      <c r="Y336" s="1033"/>
      <c r="Z336" s="1033"/>
      <c r="AA336" s="1033"/>
      <c r="AB336" s="1033"/>
      <c r="AC336" s="1033"/>
      <c r="AE336" s="1052"/>
      <c r="AF336" s="1054"/>
      <c r="AG336" s="455"/>
      <c r="AH336" s="456"/>
      <c r="AI336" s="1033"/>
      <c r="AJ336" s="1033"/>
      <c r="AK336" s="1050"/>
      <c r="AL336" s="1050"/>
      <c r="AM336" s="1050"/>
      <c r="AN336" s="1050"/>
      <c r="AO336" s="1050"/>
      <c r="AP336" s="1050"/>
      <c r="AQ336" s="1034"/>
      <c r="AR336" s="1050"/>
    </row>
    <row r="337" spans="1:44" ht="15" thickBot="1">
      <c r="B337" s="461"/>
      <c r="C337" s="643"/>
      <c r="D337" s="644"/>
      <c r="E337" s="645"/>
      <c r="F337" s="646"/>
      <c r="G337" s="466"/>
      <c r="H337" s="466"/>
      <c r="I337" s="466"/>
      <c r="J337" s="466"/>
      <c r="K337" s="467"/>
      <c r="L337" s="647"/>
      <c r="M337" s="423"/>
      <c r="N337" s="423"/>
      <c r="O337" s="71"/>
      <c r="P337" s="1052"/>
      <c r="Q337" s="1055"/>
      <c r="R337" s="455"/>
      <c r="S337" s="456"/>
      <c r="T337" s="1050"/>
      <c r="U337" s="1050"/>
      <c r="V337" s="1050"/>
      <c r="W337" s="1050"/>
      <c r="X337" s="1050"/>
      <c r="Y337" s="1050"/>
      <c r="Z337" s="1050"/>
      <c r="AA337" s="1050"/>
      <c r="AB337" s="1034"/>
      <c r="AC337" s="1050"/>
      <c r="AE337" s="1052"/>
      <c r="AF337" s="1055"/>
      <c r="AG337" s="455"/>
      <c r="AH337" s="456"/>
      <c r="AI337" s="1050"/>
      <c r="AJ337" s="1050"/>
      <c r="AK337" s="1051"/>
      <c r="AL337" s="1051"/>
      <c r="AM337" s="1051"/>
      <c r="AN337" s="1051"/>
      <c r="AO337" s="1051"/>
      <c r="AP337" s="1051"/>
      <c r="AQ337" s="1035"/>
      <c r="AR337" s="1051"/>
    </row>
    <row r="338" spans="1:44" ht="15" thickBot="1">
      <c r="B338" s="634"/>
      <c r="C338" s="648"/>
      <c r="D338" s="648"/>
      <c r="E338" s="648"/>
      <c r="F338" s="648"/>
      <c r="G338" s="649"/>
      <c r="H338" s="649"/>
      <c r="I338" s="650"/>
      <c r="J338" s="650"/>
      <c r="K338" s="639"/>
      <c r="L338" s="640"/>
      <c r="M338" s="423"/>
      <c r="N338" s="423"/>
      <c r="P338" s="1052"/>
      <c r="Q338" s="1055"/>
      <c r="R338" s="455"/>
      <c r="S338" s="456"/>
      <c r="T338" s="1050"/>
      <c r="U338" s="1050"/>
      <c r="V338" s="1050"/>
      <c r="W338" s="1050"/>
      <c r="X338" s="1050"/>
      <c r="Y338" s="1050"/>
      <c r="Z338" s="1050"/>
      <c r="AA338" s="1050"/>
      <c r="AB338" s="1034"/>
      <c r="AC338" s="1050"/>
      <c r="AE338" s="1052"/>
      <c r="AF338" s="1055"/>
      <c r="AG338" s="455"/>
      <c r="AH338" s="456"/>
      <c r="AI338" s="1050"/>
      <c r="AJ338" s="1050"/>
      <c r="AK338" s="653"/>
      <c r="AL338" s="652"/>
      <c r="AM338" s="653"/>
      <c r="AN338" s="652"/>
      <c r="AO338" s="653"/>
      <c r="AP338" s="652"/>
      <c r="AQ338" s="653"/>
      <c r="AR338" s="654"/>
    </row>
    <row r="339" spans="1:44">
      <c r="B339" s="634"/>
      <c r="C339" s="642"/>
      <c r="D339" s="642"/>
      <c r="E339" s="642"/>
      <c r="F339" s="642"/>
      <c r="G339" s="655"/>
      <c r="H339" s="655"/>
      <c r="I339" s="655"/>
      <c r="J339" s="655"/>
      <c r="K339" s="656"/>
      <c r="L339" s="640"/>
      <c r="M339" s="423"/>
      <c r="N339" s="423"/>
      <c r="P339" s="1052"/>
      <c r="Q339" s="1055"/>
      <c r="R339" s="455"/>
      <c r="S339" s="456"/>
      <c r="T339" s="1050"/>
      <c r="U339" s="1050"/>
      <c r="V339" s="1050"/>
      <c r="W339" s="1050"/>
      <c r="X339" s="1050"/>
      <c r="Y339" s="1050"/>
      <c r="Z339" s="1050"/>
      <c r="AA339" s="1050"/>
      <c r="AB339" s="1034"/>
      <c r="AC339" s="1050"/>
      <c r="AE339" s="1052"/>
      <c r="AF339" s="1055"/>
      <c r="AG339" s="455"/>
      <c r="AH339" s="456"/>
      <c r="AI339" s="1050"/>
      <c r="AJ339" s="1050"/>
    </row>
    <row r="340" spans="1:44" ht="15" thickBot="1">
      <c r="B340" s="634"/>
      <c r="C340" s="642"/>
      <c r="D340" s="642"/>
      <c r="E340" s="642"/>
      <c r="F340" s="642"/>
      <c r="G340" s="655"/>
      <c r="H340" s="655"/>
      <c r="I340" s="655"/>
      <c r="J340" s="655"/>
      <c r="K340" s="656"/>
      <c r="L340" s="640"/>
      <c r="M340" s="480"/>
      <c r="N340" s="423"/>
      <c r="P340" s="1052"/>
      <c r="Q340" s="1056"/>
      <c r="R340" s="469"/>
      <c r="S340" s="470"/>
      <c r="T340" s="1051"/>
      <c r="U340" s="1051"/>
      <c r="V340" s="1051"/>
      <c r="W340" s="1051"/>
      <c r="X340" s="1051"/>
      <c r="Y340" s="1051"/>
      <c r="Z340" s="1051"/>
      <c r="AA340" s="1051"/>
      <c r="AB340" s="1035"/>
      <c r="AC340" s="1051"/>
      <c r="AE340" s="1052"/>
      <c r="AF340" s="1056"/>
      <c r="AG340" s="469"/>
      <c r="AH340" s="470"/>
      <c r="AI340" s="1051"/>
      <c r="AJ340" s="1051"/>
    </row>
    <row r="341" spans="1:44" ht="15" thickBot="1">
      <c r="B341" s="481"/>
      <c r="C341" s="459"/>
      <c r="D341" s="459"/>
      <c r="E341" s="459"/>
      <c r="F341" s="459"/>
      <c r="G341" s="482"/>
      <c r="H341" s="482"/>
      <c r="I341" s="482"/>
      <c r="J341" s="482"/>
      <c r="K341" s="483"/>
      <c r="L341" s="657"/>
      <c r="M341" s="480"/>
      <c r="N341" s="480"/>
      <c r="P341" s="1053"/>
      <c r="Q341" s="471"/>
      <c r="R341" s="472"/>
      <c r="S341" s="473"/>
      <c r="T341" s="651"/>
      <c r="U341" s="652"/>
      <c r="V341" s="653"/>
      <c r="W341" s="652"/>
      <c r="X341" s="653"/>
      <c r="Y341" s="652"/>
      <c r="Z341" s="653"/>
      <c r="AA341" s="652"/>
      <c r="AB341" s="653"/>
      <c r="AC341" s="654"/>
      <c r="AE341" s="1053"/>
      <c r="AF341" s="471"/>
      <c r="AG341" s="472"/>
      <c r="AH341" s="473"/>
      <c r="AI341" s="651"/>
      <c r="AJ341" s="652"/>
    </row>
    <row r="342" spans="1:44">
      <c r="B342" s="443"/>
      <c r="C342" s="457"/>
      <c r="D342" s="457"/>
      <c r="E342" s="457"/>
      <c r="F342" s="457"/>
      <c r="G342" s="482"/>
      <c r="H342" s="485"/>
      <c r="I342" s="485"/>
      <c r="J342" s="485"/>
      <c r="K342" s="486"/>
      <c r="L342" s="487"/>
      <c r="M342" s="488"/>
      <c r="N342" s="488"/>
    </row>
    <row r="343" spans="1:44">
      <c r="B343" s="443"/>
      <c r="C343" s="457"/>
      <c r="D343" s="457"/>
      <c r="E343" s="457"/>
      <c r="F343" s="457"/>
      <c r="G343" s="485"/>
      <c r="H343" s="485"/>
      <c r="I343" s="485"/>
      <c r="J343" s="485"/>
      <c r="K343" s="483"/>
      <c r="L343" s="487"/>
      <c r="M343" s="488"/>
      <c r="N343" s="488"/>
    </row>
    <row r="344" spans="1:44">
      <c r="B344" s="443"/>
      <c r="C344" s="457"/>
      <c r="D344" s="457"/>
      <c r="E344" s="457"/>
      <c r="F344" s="457"/>
      <c r="G344" s="485"/>
      <c r="H344" s="485"/>
      <c r="I344" s="485"/>
      <c r="J344" s="485"/>
      <c r="K344" s="483"/>
      <c r="L344" s="487"/>
      <c r="M344" s="488"/>
      <c r="N344" s="488"/>
    </row>
    <row r="345" spans="1:44">
      <c r="B345" s="443"/>
      <c r="C345" s="457"/>
      <c r="D345" s="457"/>
      <c r="E345" s="457"/>
      <c r="F345" s="457"/>
      <c r="G345" s="485"/>
      <c r="H345" s="485"/>
      <c r="I345" s="485"/>
      <c r="J345" s="485"/>
      <c r="K345" s="483"/>
      <c r="L345" s="487"/>
      <c r="M345" s="488"/>
      <c r="N345" s="488"/>
    </row>
    <row r="346" spans="1:44" ht="15" thickBot="1">
      <c r="B346" s="489"/>
      <c r="C346" s="457"/>
      <c r="D346" s="457"/>
      <c r="E346" s="457"/>
      <c r="F346" s="457"/>
      <c r="G346" s="485"/>
      <c r="H346" s="485"/>
      <c r="I346" s="485"/>
      <c r="J346" s="485"/>
      <c r="K346" s="483"/>
      <c r="L346" s="487"/>
      <c r="M346" s="488"/>
      <c r="N346" s="488"/>
    </row>
    <row r="347" spans="1:44" ht="15" thickBot="1">
      <c r="B347" s="491"/>
      <c r="C347" s="658"/>
      <c r="D347" s="644"/>
      <c r="E347" s="644"/>
      <c r="F347" s="659"/>
      <c r="G347" s="494"/>
      <c r="H347" s="466"/>
      <c r="I347" s="466"/>
      <c r="J347" s="466"/>
      <c r="K347" s="467"/>
      <c r="L347" s="647"/>
      <c r="M347" s="488"/>
      <c r="N347" s="488"/>
    </row>
    <row r="348" spans="1:44">
      <c r="A348" s="495"/>
      <c r="B348" s="496"/>
      <c r="C348" s="660"/>
      <c r="D348" s="660"/>
      <c r="E348" s="660"/>
      <c r="F348" s="660"/>
      <c r="G348" s="485"/>
      <c r="H348" s="485"/>
      <c r="I348" s="485"/>
      <c r="J348" s="485"/>
      <c r="K348" s="486"/>
      <c r="L348" s="500"/>
      <c r="M348" s="480"/>
      <c r="N348" s="480"/>
    </row>
    <row r="349" spans="1:44">
      <c r="B349" s="501"/>
      <c r="C349" s="661"/>
      <c r="D349" s="661"/>
      <c r="E349" s="661"/>
      <c r="F349" s="661"/>
      <c r="G349" s="485"/>
      <c r="H349" s="485"/>
      <c r="I349" s="485"/>
      <c r="J349" s="485"/>
      <c r="K349" s="504"/>
      <c r="L349" s="433"/>
      <c r="M349" s="71"/>
      <c r="N349" s="480"/>
    </row>
    <row r="350" spans="1:44">
      <c r="B350" s="501"/>
      <c r="C350" s="661"/>
      <c r="D350" s="661"/>
      <c r="E350" s="661"/>
      <c r="F350" s="661"/>
      <c r="G350" s="485"/>
      <c r="H350" s="485"/>
      <c r="I350" s="485"/>
      <c r="J350" s="485"/>
      <c r="K350" s="504"/>
      <c r="L350" s="433"/>
      <c r="M350" s="480"/>
      <c r="N350" s="480"/>
    </row>
    <row r="351" spans="1:44">
      <c r="B351" s="443"/>
      <c r="C351" s="662"/>
      <c r="D351" s="663"/>
      <c r="E351" s="663"/>
      <c r="F351" s="664"/>
      <c r="G351" s="485"/>
      <c r="H351" s="485"/>
      <c r="I351" s="485"/>
      <c r="J351" s="485"/>
      <c r="K351" s="504"/>
      <c r="L351" s="433"/>
      <c r="M351" s="480"/>
      <c r="N351" s="480"/>
    </row>
    <row r="352" spans="1:44">
      <c r="B352" s="443"/>
      <c r="C352" s="665"/>
      <c r="D352" s="665"/>
      <c r="E352" s="665"/>
      <c r="F352" s="665"/>
      <c r="G352" s="485"/>
      <c r="H352" s="485"/>
      <c r="I352" s="485"/>
      <c r="J352" s="485"/>
      <c r="K352" s="504"/>
      <c r="L352" s="433"/>
      <c r="M352" s="510"/>
      <c r="N352" s="421"/>
    </row>
    <row r="353" spans="2:30">
      <c r="B353" s="601"/>
      <c r="C353" s="612"/>
      <c r="D353" s="612"/>
      <c r="E353" s="612"/>
      <c r="F353" s="612"/>
      <c r="G353" s="613"/>
      <c r="H353" s="613"/>
      <c r="I353" s="613"/>
      <c r="J353" s="613"/>
      <c r="K353" s="607"/>
      <c r="L353" s="608"/>
      <c r="M353" s="510"/>
      <c r="N353" s="421"/>
    </row>
    <row r="354" spans="2:30">
      <c r="B354" s="601"/>
      <c r="C354" s="666"/>
      <c r="D354" s="666"/>
      <c r="E354" s="666"/>
      <c r="F354" s="666"/>
      <c r="G354" s="613"/>
      <c r="H354" s="613"/>
      <c r="I354" s="613"/>
      <c r="J354" s="613"/>
      <c r="K354" s="607"/>
      <c r="L354" s="608"/>
      <c r="M354" s="423"/>
      <c r="N354" s="423"/>
    </row>
    <row r="355" spans="2:30">
      <c r="B355" s="601"/>
      <c r="C355" s="667"/>
      <c r="D355" s="607"/>
      <c r="E355" s="607"/>
      <c r="F355" s="623"/>
      <c r="G355" s="610"/>
      <c r="H355" s="610"/>
      <c r="I355" s="610"/>
      <c r="J355" s="610"/>
      <c r="K355" s="607"/>
      <c r="L355" s="668"/>
      <c r="M355" s="427"/>
      <c r="N355" s="427"/>
      <c r="P355" s="999"/>
      <c r="Q355" s="977"/>
      <c r="R355" s="977"/>
      <c r="S355" s="977"/>
      <c r="T355" s="977"/>
      <c r="U355" s="1000"/>
    </row>
    <row r="356" spans="2:30" ht="15" thickBot="1">
      <c r="B356" s="626"/>
      <c r="C356" s="667"/>
      <c r="D356" s="669"/>
      <c r="E356" s="669"/>
      <c r="F356" s="670"/>
      <c r="G356" s="610"/>
      <c r="H356" s="610"/>
      <c r="I356" s="610"/>
      <c r="J356" s="610"/>
      <c r="K356" s="607"/>
      <c r="L356" s="668"/>
      <c r="M356" s="423"/>
      <c r="N356" s="423"/>
      <c r="P356" s="1001"/>
      <c r="Q356" s="1002"/>
      <c r="R356" s="1002"/>
      <c r="S356" s="1002"/>
      <c r="T356" s="1002"/>
      <c r="U356" s="1003"/>
    </row>
    <row r="357" spans="2:30" ht="15" thickBot="1">
      <c r="B357" s="671"/>
      <c r="C357" s="672"/>
      <c r="D357" s="673"/>
      <c r="E357" s="674"/>
      <c r="F357" s="675"/>
      <c r="G357" s="600"/>
      <c r="H357" s="600"/>
      <c r="I357" s="600"/>
      <c r="J357" s="600"/>
      <c r="K357" s="676"/>
      <c r="L357" s="677"/>
      <c r="M357" s="423"/>
      <c r="N357" s="423"/>
      <c r="P357" s="53"/>
    </row>
    <row r="358" spans="2:30">
      <c r="B358" s="616"/>
      <c r="C358" s="678"/>
      <c r="D358" s="678"/>
      <c r="E358" s="678"/>
      <c r="F358" s="678"/>
      <c r="G358" s="678"/>
      <c r="H358" s="678"/>
      <c r="I358" s="678"/>
      <c r="J358" s="678"/>
      <c r="K358" s="678"/>
      <c r="L358" s="679"/>
      <c r="M358" s="423"/>
      <c r="N358" s="423"/>
      <c r="P358" s="46"/>
      <c r="Q358" s="46"/>
      <c r="R358" s="47"/>
      <c r="S358" s="47"/>
      <c r="T358" s="47"/>
      <c r="U358" s="48"/>
      <c r="V358" s="49"/>
      <c r="W358" s="49"/>
      <c r="X358" s="49"/>
      <c r="Y358" s="49"/>
      <c r="Z358" s="49"/>
      <c r="AA358" s="49"/>
      <c r="AB358" s="49"/>
      <c r="AC358" s="49"/>
      <c r="AD358" s="49"/>
    </row>
    <row r="359" spans="2:30" ht="15" thickBot="1">
      <c r="B359" s="601"/>
      <c r="C359" s="618"/>
      <c r="D359" s="618"/>
      <c r="E359" s="618"/>
      <c r="F359" s="618"/>
      <c r="G359" s="623"/>
      <c r="H359" s="623"/>
      <c r="I359" s="623"/>
      <c r="J359" s="623"/>
      <c r="K359" s="623"/>
      <c r="L359" s="608"/>
      <c r="M359" s="423"/>
      <c r="N359" s="423"/>
      <c r="O359" s="71"/>
      <c r="P359" s="50"/>
      <c r="Q359" s="50"/>
      <c r="R359" s="51"/>
      <c r="S359" s="51"/>
      <c r="T359" s="51"/>
      <c r="U359" s="51"/>
      <c r="V359" s="50"/>
      <c r="W359" s="50"/>
      <c r="X359" s="50"/>
      <c r="Y359" s="50"/>
      <c r="Z359" s="50"/>
      <c r="AA359" s="50"/>
      <c r="AB359" s="50"/>
      <c r="AC359" s="50"/>
      <c r="AD359" s="50"/>
    </row>
    <row r="360" spans="2:30">
      <c r="B360" s="601"/>
      <c r="C360" s="618"/>
      <c r="D360" s="618"/>
      <c r="E360" s="618"/>
      <c r="F360" s="618"/>
      <c r="G360" s="623"/>
      <c r="H360" s="623"/>
      <c r="I360" s="623"/>
      <c r="J360" s="623"/>
      <c r="K360" s="623"/>
      <c r="L360" s="608"/>
      <c r="M360" s="423"/>
      <c r="N360" s="423"/>
      <c r="O360" s="521"/>
      <c r="P360" s="56"/>
      <c r="Q360" s="56"/>
      <c r="R360" s="57"/>
      <c r="S360" s="57"/>
      <c r="T360" s="57"/>
      <c r="U360" s="56"/>
      <c r="V360" s="56"/>
      <c r="W360" s="56"/>
      <c r="X360" s="56"/>
      <c r="Y360" s="56"/>
      <c r="Z360" s="56"/>
      <c r="AA360" s="56"/>
      <c r="AB360" s="56"/>
      <c r="AC360" s="56"/>
      <c r="AD360" s="56"/>
    </row>
    <row r="361" spans="2:30">
      <c r="B361" s="601"/>
      <c r="C361" s="624"/>
      <c r="D361" s="624"/>
      <c r="E361" s="624"/>
      <c r="F361" s="624"/>
      <c r="G361" s="681"/>
      <c r="H361" s="681"/>
      <c r="I361" s="681"/>
      <c r="J361" s="681"/>
      <c r="K361" s="681"/>
      <c r="L361" s="608"/>
      <c r="M361" s="423"/>
      <c r="N361" s="423"/>
      <c r="O361" s="680"/>
      <c r="P361" s="526"/>
      <c r="Q361" s="58"/>
      <c r="R361" s="526"/>
      <c r="S361" s="58"/>
      <c r="T361" s="526"/>
      <c r="U361" s="527"/>
      <c r="V361" s="527"/>
      <c r="W361" s="527"/>
      <c r="X361" s="58"/>
      <c r="Y361" s="58"/>
      <c r="Z361" s="526"/>
      <c r="AA361" s="528"/>
      <c r="AB361" s="528"/>
      <c r="AC361" s="528"/>
      <c r="AD361" s="528"/>
    </row>
    <row r="362" spans="2:30">
      <c r="B362" s="626"/>
      <c r="C362" s="618"/>
      <c r="D362" s="618"/>
      <c r="E362" s="618"/>
      <c r="F362" s="618"/>
      <c r="G362" s="623"/>
      <c r="H362" s="623"/>
      <c r="I362" s="623"/>
      <c r="J362" s="623"/>
      <c r="K362" s="623"/>
      <c r="L362" s="608"/>
      <c r="M362" s="427"/>
      <c r="N362" s="427"/>
      <c r="O362" s="680"/>
      <c r="P362" s="526"/>
      <c r="Q362" s="58"/>
      <c r="R362" s="526"/>
      <c r="S362" s="58"/>
      <c r="T362" s="526"/>
      <c r="U362" s="527"/>
      <c r="V362" s="527"/>
      <c r="W362" s="527"/>
      <c r="X362" s="58"/>
      <c r="Y362" s="58"/>
      <c r="Z362" s="526"/>
      <c r="AA362" s="528"/>
      <c r="AB362" s="528"/>
      <c r="AC362" s="528"/>
      <c r="AD362" s="528"/>
    </row>
    <row r="363" spans="2:30">
      <c r="B363" s="626"/>
      <c r="C363" s="618"/>
      <c r="D363" s="618"/>
      <c r="E363" s="618"/>
      <c r="F363" s="618"/>
      <c r="G363" s="623"/>
      <c r="H363" s="623"/>
      <c r="I363" s="623"/>
      <c r="J363" s="623"/>
      <c r="K363" s="623"/>
      <c r="L363" s="608"/>
      <c r="M363" s="423"/>
      <c r="N363" s="423"/>
      <c r="O363" s="680"/>
      <c r="P363" s="526"/>
      <c r="Q363" s="58"/>
      <c r="R363" s="526"/>
      <c r="S363" s="58"/>
      <c r="T363" s="526"/>
      <c r="U363" s="527"/>
      <c r="V363" s="527"/>
      <c r="W363" s="527"/>
      <c r="X363" s="58"/>
      <c r="Y363" s="58"/>
      <c r="Z363" s="526"/>
      <c r="AA363" s="528"/>
      <c r="AB363" s="528"/>
      <c r="AC363" s="528"/>
      <c r="AD363" s="528"/>
    </row>
    <row r="364" spans="2:30" ht="15" thickBot="1">
      <c r="B364" s="627"/>
      <c r="C364" s="682"/>
      <c r="D364" s="682"/>
      <c r="E364" s="682"/>
      <c r="F364" s="682"/>
      <c r="G364" s="683"/>
      <c r="H364" s="683"/>
      <c r="I364" s="683"/>
      <c r="J364" s="683"/>
      <c r="K364" s="683"/>
      <c r="L364" s="684"/>
      <c r="M364" s="423"/>
      <c r="N364" s="423"/>
      <c r="O364" s="680"/>
      <c r="P364" s="526"/>
      <c r="Q364" s="58"/>
      <c r="R364" s="526"/>
      <c r="S364" s="58"/>
      <c r="T364" s="526"/>
      <c r="U364" s="527"/>
      <c r="V364" s="527"/>
      <c r="W364" s="527"/>
      <c r="X364" s="58"/>
      <c r="Y364" s="58"/>
      <c r="Z364" s="526"/>
      <c r="AA364" s="528"/>
      <c r="AB364" s="528"/>
      <c r="AC364" s="528"/>
      <c r="AD364" s="528"/>
    </row>
    <row r="365" spans="2:30">
      <c r="B365" s="521"/>
      <c r="C365" s="543"/>
      <c r="D365" s="543"/>
      <c r="E365" s="543"/>
      <c r="F365" s="543"/>
      <c r="G365" s="543"/>
      <c r="H365" s="544"/>
      <c r="I365" s="480"/>
      <c r="J365" s="480"/>
      <c r="K365" s="544"/>
      <c r="L365" s="544"/>
      <c r="N365" s="480"/>
    </row>
    <row r="366" spans="2:30">
      <c r="B366" s="545"/>
      <c r="C366" s="546"/>
      <c r="D366" s="546"/>
      <c r="E366" s="546"/>
      <c r="F366" s="546"/>
      <c r="G366" s="546"/>
      <c r="H366" s="544"/>
      <c r="I366" s="71"/>
      <c r="J366" s="480"/>
      <c r="K366" s="544"/>
      <c r="L366" s="544"/>
      <c r="N366" s="480"/>
    </row>
    <row r="367" spans="2:30">
      <c r="B367" s="521"/>
      <c r="C367" s="419"/>
      <c r="D367" s="419"/>
      <c r="E367" s="419"/>
      <c r="F367" s="419"/>
      <c r="G367" s="419"/>
      <c r="I367" s="480"/>
      <c r="J367" s="480"/>
      <c r="N367" s="480"/>
    </row>
    <row r="368" spans="2:30">
      <c r="B368" s="521"/>
      <c r="C368" s="547"/>
      <c r="D368" s="547"/>
      <c r="E368" s="547"/>
      <c r="F368" s="547"/>
      <c r="G368" s="419"/>
      <c r="M368" s="480"/>
      <c r="N368" s="480"/>
    </row>
    <row r="371" spans="1:11">
      <c r="A371" s="548"/>
      <c r="B371" s="549"/>
      <c r="D371" s="417"/>
      <c r="E371" s="417"/>
      <c r="F371" s="417"/>
      <c r="G371" s="417"/>
      <c r="H371" s="417"/>
      <c r="I371" s="417"/>
      <c r="J371" s="417"/>
      <c r="K371" s="417"/>
    </row>
    <row r="372" spans="1:11">
      <c r="A372" s="417"/>
      <c r="B372" s="550"/>
      <c r="E372" s="417"/>
      <c r="F372" s="417"/>
      <c r="G372" s="417"/>
      <c r="H372" s="417"/>
      <c r="I372" s="417"/>
      <c r="J372" s="417"/>
      <c r="K372" s="417"/>
    </row>
    <row r="373" spans="1:11">
      <c r="A373" s="417"/>
      <c r="B373" s="550"/>
      <c r="E373" s="417"/>
      <c r="F373" s="417"/>
      <c r="G373" s="417"/>
      <c r="H373" s="417"/>
      <c r="I373" s="417"/>
      <c r="J373" s="417"/>
      <c r="K373" s="417"/>
    </row>
    <row r="374" spans="1:11">
      <c r="A374" s="417"/>
      <c r="B374" s="550"/>
      <c r="E374" s="417"/>
      <c r="F374" s="417"/>
      <c r="G374" s="417"/>
      <c r="H374" s="417"/>
      <c r="I374" s="417"/>
      <c r="J374" s="417"/>
      <c r="K374" s="417"/>
    </row>
    <row r="375" spans="1:11">
      <c r="A375" s="417"/>
      <c r="B375" s="550"/>
      <c r="E375" s="417"/>
      <c r="F375" s="417"/>
      <c r="G375" s="417"/>
      <c r="H375" s="417"/>
      <c r="I375" s="417"/>
      <c r="J375" s="417"/>
      <c r="K375" s="417"/>
    </row>
    <row r="376" spans="1:11">
      <c r="A376" s="417"/>
      <c r="B376" s="550"/>
      <c r="E376" s="417"/>
      <c r="F376" s="417"/>
      <c r="G376" s="417"/>
      <c r="H376" s="417"/>
      <c r="I376" s="417"/>
      <c r="J376" s="417"/>
      <c r="K376" s="417"/>
    </row>
    <row r="377" spans="1:11">
      <c r="A377" s="417"/>
      <c r="B377" s="550"/>
      <c r="E377" s="417"/>
      <c r="F377" s="417"/>
      <c r="G377" s="417"/>
      <c r="H377" s="417"/>
      <c r="I377" s="417"/>
      <c r="J377" s="417"/>
      <c r="K377" s="417"/>
    </row>
    <row r="378" spans="1:11">
      <c r="A378" s="417"/>
      <c r="B378" s="550"/>
      <c r="E378" s="417"/>
      <c r="F378" s="417"/>
      <c r="G378" s="417"/>
      <c r="H378" s="417"/>
      <c r="I378" s="417"/>
      <c r="J378" s="417"/>
      <c r="K378" s="417"/>
    </row>
    <row r="379" spans="1:11">
      <c r="A379" s="417"/>
      <c r="B379" s="685"/>
      <c r="E379" s="417"/>
      <c r="F379" s="417"/>
      <c r="G379" s="417"/>
      <c r="H379" s="417"/>
      <c r="I379" s="417"/>
      <c r="J379" s="417"/>
      <c r="K379" s="417"/>
    </row>
    <row r="380" spans="1:11">
      <c r="A380" s="417"/>
      <c r="B380" s="550"/>
      <c r="E380" s="417"/>
      <c r="F380" s="417"/>
      <c r="G380" s="417"/>
      <c r="H380" s="417"/>
      <c r="I380" s="417"/>
      <c r="J380" s="417"/>
      <c r="K380" s="417"/>
    </row>
    <row r="381" spans="1:11">
      <c r="A381" s="548"/>
      <c r="B381" s="549"/>
      <c r="E381" s="417"/>
      <c r="F381" s="417"/>
      <c r="G381" s="417"/>
      <c r="H381" s="417"/>
      <c r="I381" s="417"/>
      <c r="J381" s="417"/>
      <c r="K381" s="417"/>
    </row>
    <row r="382" spans="1:11">
      <c r="A382" s="556"/>
      <c r="B382" s="550"/>
      <c r="C382" s="549"/>
      <c r="E382" s="417"/>
      <c r="F382" s="417"/>
      <c r="G382" s="417"/>
      <c r="H382" s="417"/>
      <c r="I382" s="417"/>
      <c r="J382" s="417"/>
      <c r="K382" s="417"/>
    </row>
    <row r="383" spans="1:11">
      <c r="A383" s="556"/>
      <c r="B383" s="550"/>
      <c r="C383" s="549"/>
      <c r="E383" s="417"/>
      <c r="F383" s="417"/>
      <c r="G383" s="417"/>
      <c r="H383" s="417"/>
      <c r="I383" s="417"/>
      <c r="J383" s="417"/>
      <c r="K383" s="417"/>
    </row>
    <row r="384" spans="1:11">
      <c r="A384" s="556"/>
      <c r="B384" s="550"/>
      <c r="C384" s="549"/>
      <c r="E384" s="417"/>
      <c r="F384" s="417"/>
      <c r="G384" s="417"/>
      <c r="H384" s="417"/>
      <c r="I384" s="417"/>
      <c r="J384" s="417"/>
      <c r="K384" s="417"/>
    </row>
    <row r="385" spans="1:11">
      <c r="A385" s="556"/>
      <c r="B385" s="550"/>
      <c r="C385" s="549"/>
      <c r="E385" s="417"/>
      <c r="F385" s="417"/>
      <c r="G385" s="417"/>
      <c r="H385" s="417"/>
      <c r="I385" s="417"/>
      <c r="J385" s="417"/>
      <c r="K385" s="417"/>
    </row>
    <row r="386" spans="1:11" ht="15.75" customHeight="1">
      <c r="A386" s="556"/>
      <c r="B386" s="550"/>
      <c r="C386" s="549"/>
      <c r="E386" s="417"/>
      <c r="F386" s="417"/>
      <c r="G386" s="417"/>
      <c r="H386" s="417"/>
      <c r="I386" s="417"/>
      <c r="J386" s="417"/>
      <c r="K386" s="417"/>
    </row>
    <row r="387" spans="1:11" ht="15.75" customHeight="1">
      <c r="A387" s="556"/>
      <c r="B387" s="550"/>
      <c r="C387" s="549"/>
      <c r="E387" s="417"/>
      <c r="F387" s="417"/>
      <c r="G387" s="417"/>
      <c r="H387" s="417"/>
      <c r="I387" s="417"/>
      <c r="J387" s="417"/>
      <c r="K387" s="417"/>
    </row>
  </sheetData>
  <mergeCells count="253">
    <mergeCell ref="P356:U356"/>
    <mergeCell ref="AN333:AN337"/>
    <mergeCell ref="AO333:AO337"/>
    <mergeCell ref="AP333:AP337"/>
    <mergeCell ref="AQ333:AQ337"/>
    <mergeCell ref="AR333:AR337"/>
    <mergeCell ref="P355:U355"/>
    <mergeCell ref="AF336:AF340"/>
    <mergeCell ref="AI336:AI340"/>
    <mergeCell ref="AJ336:AJ340"/>
    <mergeCell ref="AK333:AK337"/>
    <mergeCell ref="AL333:AL337"/>
    <mergeCell ref="AM333:AM337"/>
    <mergeCell ref="X336:X340"/>
    <mergeCell ref="Y336:Y340"/>
    <mergeCell ref="Z336:Z340"/>
    <mergeCell ref="AA336:AA340"/>
    <mergeCell ref="AB336:AB340"/>
    <mergeCell ref="AC336:AC340"/>
    <mergeCell ref="P333:P341"/>
    <mergeCell ref="W333:W335"/>
    <mergeCell ref="X333:X335"/>
    <mergeCell ref="Q336:Q340"/>
    <mergeCell ref="T336:T340"/>
    <mergeCell ref="U336:U340"/>
    <mergeCell ref="V336:V340"/>
    <mergeCell ref="W336:W340"/>
    <mergeCell ref="AF333:AF335"/>
    <mergeCell ref="AI333:AI335"/>
    <mergeCell ref="AJ333:AJ335"/>
    <mergeCell ref="AK330:AK332"/>
    <mergeCell ref="Y333:Y335"/>
    <mergeCell ref="Z333:Z335"/>
    <mergeCell ref="AA333:AA335"/>
    <mergeCell ref="AB333:AB335"/>
    <mergeCell ref="AC333:AC335"/>
    <mergeCell ref="AE333:AE341"/>
    <mergeCell ref="Q333:Q335"/>
    <mergeCell ref="T333:T335"/>
    <mergeCell ref="U333:U335"/>
    <mergeCell ref="V333:V335"/>
    <mergeCell ref="X329:Y331"/>
    <mergeCell ref="B327:B328"/>
    <mergeCell ref="C327:C328"/>
    <mergeCell ref="D327:D328"/>
    <mergeCell ref="E327:E328"/>
    <mergeCell ref="F327:F328"/>
    <mergeCell ref="G327:H327"/>
    <mergeCell ref="I327:J327"/>
    <mergeCell ref="AQ330:AQ332"/>
    <mergeCell ref="AR330:AR332"/>
    <mergeCell ref="AL330:AL332"/>
    <mergeCell ref="AM330:AM332"/>
    <mergeCell ref="AQ326:AR328"/>
    <mergeCell ref="AN330:AN332"/>
    <mergeCell ref="AO330:AO332"/>
    <mergeCell ref="AP330:AP332"/>
    <mergeCell ref="P277:U277"/>
    <mergeCell ref="P278:U278"/>
    <mergeCell ref="AB329:AC331"/>
    <mergeCell ref="AH329:AH332"/>
    <mergeCell ref="AI329:AJ331"/>
    <mergeCell ref="AK326:AL328"/>
    <mergeCell ref="AE330:AE332"/>
    <mergeCell ref="AF331:AF332"/>
    <mergeCell ref="AG331:AG332"/>
    <mergeCell ref="AM326:AN328"/>
    <mergeCell ref="AO326:AP328"/>
    <mergeCell ref="C326:L326"/>
    <mergeCell ref="S329:S332"/>
    <mergeCell ref="T329:U331"/>
    <mergeCell ref="V329:W331"/>
    <mergeCell ref="K327:K328"/>
    <mergeCell ref="L327:L328"/>
    <mergeCell ref="P330:P332"/>
    <mergeCell ref="Q331:Q332"/>
    <mergeCell ref="Z329:AA331"/>
    <mergeCell ref="R331:R332"/>
    <mergeCell ref="X258:X262"/>
    <mergeCell ref="Y258:Y262"/>
    <mergeCell ref="Z258:Z262"/>
    <mergeCell ref="AA258:AA262"/>
    <mergeCell ref="AB258:AB262"/>
    <mergeCell ref="AM252:AM254"/>
    <mergeCell ref="AN252:AN254"/>
    <mergeCell ref="AO252:AO254"/>
    <mergeCell ref="X255:X257"/>
    <mergeCell ref="Y255:Y257"/>
    <mergeCell ref="Z255:Z257"/>
    <mergeCell ref="AA255:AA257"/>
    <mergeCell ref="AB255:AB257"/>
    <mergeCell ref="AC255:AC257"/>
    <mergeCell ref="AM255:AM259"/>
    <mergeCell ref="AN255:AN259"/>
    <mergeCell ref="AO255:AO259"/>
    <mergeCell ref="AC258:AC262"/>
    <mergeCell ref="AF258:AF262"/>
    <mergeCell ref="AI258:AI262"/>
    <mergeCell ref="AJ258:AJ262"/>
    <mergeCell ref="AK255:AK259"/>
    <mergeCell ref="AL255:AL259"/>
    <mergeCell ref="AB251:AC253"/>
    <mergeCell ref="AP252:AP254"/>
    <mergeCell ref="AQ252:AQ254"/>
    <mergeCell ref="AR252:AR254"/>
    <mergeCell ref="AE255:AE263"/>
    <mergeCell ref="AF255:AF257"/>
    <mergeCell ref="AI255:AI257"/>
    <mergeCell ref="AJ255:AJ257"/>
    <mergeCell ref="AK252:AK254"/>
    <mergeCell ref="AL252:AL254"/>
    <mergeCell ref="AP255:AP259"/>
    <mergeCell ref="AQ255:AQ259"/>
    <mergeCell ref="AR255:AR259"/>
    <mergeCell ref="AH251:AH254"/>
    <mergeCell ref="AI251:AJ253"/>
    <mergeCell ref="AE252:AE254"/>
    <mergeCell ref="AF253:AF254"/>
    <mergeCell ref="AG253:AG254"/>
    <mergeCell ref="P255:P263"/>
    <mergeCell ref="Q255:Q257"/>
    <mergeCell ref="T255:T257"/>
    <mergeCell ref="U255:U257"/>
    <mergeCell ref="V255:V257"/>
    <mergeCell ref="W255:W257"/>
    <mergeCell ref="Q258:Q262"/>
    <mergeCell ref="T258:T262"/>
    <mergeCell ref="U258:U262"/>
    <mergeCell ref="V258:V262"/>
    <mergeCell ref="W258:W262"/>
    <mergeCell ref="AQ248:AR250"/>
    <mergeCell ref="B249:B250"/>
    <mergeCell ref="C249:C250"/>
    <mergeCell ref="D249:D250"/>
    <mergeCell ref="E249:E250"/>
    <mergeCell ref="F249:F250"/>
    <mergeCell ref="G249:H249"/>
    <mergeCell ref="I249:J249"/>
    <mergeCell ref="K249:K250"/>
    <mergeCell ref="L249:L250"/>
    <mergeCell ref="AK248:AL250"/>
    <mergeCell ref="AM248:AN250"/>
    <mergeCell ref="AO248:AP250"/>
    <mergeCell ref="C248:L248"/>
    <mergeCell ref="S251:S254"/>
    <mergeCell ref="T251:U253"/>
    <mergeCell ref="V251:W253"/>
    <mergeCell ref="X251:Y253"/>
    <mergeCell ref="Z251:AA253"/>
    <mergeCell ref="P252:P254"/>
    <mergeCell ref="Q253:Q254"/>
    <mergeCell ref="R253:R254"/>
    <mergeCell ref="P198:U198"/>
    <mergeCell ref="P199:U199"/>
    <mergeCell ref="B246:B247"/>
    <mergeCell ref="C246:M246"/>
    <mergeCell ref="P249:U249"/>
    <mergeCell ref="C247:M247"/>
    <mergeCell ref="P250:U250"/>
    <mergeCell ref="X179:X183"/>
    <mergeCell ref="Y179:Y183"/>
    <mergeCell ref="Z179:Z183"/>
    <mergeCell ref="AA179:AA183"/>
    <mergeCell ref="P176:P184"/>
    <mergeCell ref="Q176:Q178"/>
    <mergeCell ref="T176:T178"/>
    <mergeCell ref="U176:U178"/>
    <mergeCell ref="V176:V178"/>
    <mergeCell ref="W176:W178"/>
    <mergeCell ref="Q179:Q183"/>
    <mergeCell ref="T179:T183"/>
    <mergeCell ref="U179:U183"/>
    <mergeCell ref="V179:V183"/>
    <mergeCell ref="W179:W183"/>
    <mergeCell ref="AB179:AB183"/>
    <mergeCell ref="AM173:AM175"/>
    <mergeCell ref="AN173:AN175"/>
    <mergeCell ref="AO173:AO175"/>
    <mergeCell ref="X176:X178"/>
    <mergeCell ref="Y176:Y178"/>
    <mergeCell ref="Z176:Z178"/>
    <mergeCell ref="AA176:AA178"/>
    <mergeCell ref="AB176:AB178"/>
    <mergeCell ref="AC176:AC178"/>
    <mergeCell ref="AM176:AM180"/>
    <mergeCell ref="AN176:AN180"/>
    <mergeCell ref="AO176:AO180"/>
    <mergeCell ref="AC179:AC183"/>
    <mergeCell ref="AF179:AF183"/>
    <mergeCell ref="AI179:AI183"/>
    <mergeCell ref="AJ179:AJ183"/>
    <mergeCell ref="AK176:AK180"/>
    <mergeCell ref="AL176:AL180"/>
    <mergeCell ref="AB172:AC174"/>
    <mergeCell ref="AP173:AP175"/>
    <mergeCell ref="AQ173:AQ175"/>
    <mergeCell ref="AR173:AR175"/>
    <mergeCell ref="AE176:AE184"/>
    <mergeCell ref="AF176:AF178"/>
    <mergeCell ref="AI176:AI178"/>
    <mergeCell ref="AJ176:AJ178"/>
    <mergeCell ref="AK173:AK175"/>
    <mergeCell ref="AL173:AL175"/>
    <mergeCell ref="AP176:AP180"/>
    <mergeCell ref="AQ176:AQ180"/>
    <mergeCell ref="AR176:AR180"/>
    <mergeCell ref="AH172:AH175"/>
    <mergeCell ref="AI172:AJ174"/>
    <mergeCell ref="AE173:AE175"/>
    <mergeCell ref="AF174:AF175"/>
    <mergeCell ref="AG174:AG175"/>
    <mergeCell ref="AQ169:AR171"/>
    <mergeCell ref="B170:B171"/>
    <mergeCell ref="C170:C171"/>
    <mergeCell ref="D170:D171"/>
    <mergeCell ref="E170:E171"/>
    <mergeCell ref="F170:F171"/>
    <mergeCell ref="G170:H170"/>
    <mergeCell ref="I170:J170"/>
    <mergeCell ref="K170:K171"/>
    <mergeCell ref="L170:L171"/>
    <mergeCell ref="AK169:AL171"/>
    <mergeCell ref="AM169:AN171"/>
    <mergeCell ref="AO169:AP171"/>
    <mergeCell ref="C169:L169"/>
    <mergeCell ref="S172:S175"/>
    <mergeCell ref="T172:U174"/>
    <mergeCell ref="V172:W174"/>
    <mergeCell ref="X172:Y174"/>
    <mergeCell ref="Z172:AA174"/>
    <mergeCell ref="P173:P175"/>
    <mergeCell ref="Q174:Q175"/>
    <mergeCell ref="R174:R175"/>
    <mergeCell ref="P116:U116"/>
    <mergeCell ref="P117:U117"/>
    <mergeCell ref="B167:B168"/>
    <mergeCell ref="C167:M167"/>
    <mergeCell ref="P170:U170"/>
    <mergeCell ref="C168:M168"/>
    <mergeCell ref="P171:U171"/>
    <mergeCell ref="C87:M87"/>
    <mergeCell ref="H88:I88"/>
    <mergeCell ref="J88:K88"/>
    <mergeCell ref="B5:B6"/>
    <mergeCell ref="C5:M5"/>
    <mergeCell ref="C6:M6"/>
    <mergeCell ref="C7:M7"/>
    <mergeCell ref="H8:I8"/>
    <mergeCell ref="J8:K8"/>
    <mergeCell ref="B85:B86"/>
    <mergeCell ref="C85:M85"/>
    <mergeCell ref="P88:U88"/>
    <mergeCell ref="C86:M86"/>
  </mergeCells>
  <hyperlinks>
    <hyperlink ref="C7" location="INDEX" display="Post-combustion carbon capture retrofit - 100 MW(th) WtE or biomass CHP plant" xr:uid="{C8FC7AFC-2B29-4C66-AA6A-FE3684710BD7}"/>
    <hyperlink ref="C87" location="INDEX" display="Post-combustion carbon capture retrofit - 100 MW(th) WtE or biomass CHP plant" xr:uid="{3E3C9C98-0497-4384-A8FA-D8DDA3728336}"/>
  </hyperlinks>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DAD7-1139-4BEF-BAF6-9FFB3FDEC562}">
  <sheetPr>
    <tabColor theme="3"/>
  </sheetPr>
  <dimension ref="A2:AS352"/>
  <sheetViews>
    <sheetView topLeftCell="O1" zoomScale="80" zoomScaleNormal="80" workbookViewId="0">
      <selection activeCell="AB11" sqref="AB11:AB13"/>
    </sheetView>
  </sheetViews>
  <sheetFormatPr defaultColWidth="8.6640625" defaultRowHeight="14.4" outlineLevelRow="1"/>
  <cols>
    <col min="1" max="1" width="20.5546875" style="239"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8" t="s">
        <v>835</v>
      </c>
    </row>
    <row r="4" spans="1:45" ht="25.2" customHeight="1">
      <c r="E4" s="239" t="s">
        <v>358</v>
      </c>
      <c r="F4" s="419">
        <v>7.45</v>
      </c>
      <c r="G4" s="419" t="s">
        <v>328</v>
      </c>
      <c r="T4" s="239" t="s">
        <v>840</v>
      </c>
      <c r="U4" s="239" t="s">
        <v>841</v>
      </c>
      <c r="V4" s="239" t="s">
        <v>842</v>
      </c>
      <c r="W4" s="239" t="s">
        <v>843</v>
      </c>
      <c r="X4" s="239" t="s">
        <v>844</v>
      </c>
    </row>
    <row r="5" spans="1:45" ht="15" customHeight="1">
      <c r="A5" s="420" t="s">
        <v>836</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43" t="s">
        <v>837</v>
      </c>
      <c r="D7" s="1019"/>
      <c r="E7" s="1019"/>
      <c r="F7" s="1019"/>
      <c r="G7" s="1019"/>
      <c r="H7" s="1019"/>
      <c r="I7" s="1019"/>
      <c r="J7" s="1019"/>
      <c r="K7" s="1019"/>
      <c r="L7" s="1020"/>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outlineLevel="1" thickBot="1">
      <c r="B8" s="1010" t="s">
        <v>4</v>
      </c>
      <c r="C8" s="1012">
        <v>2020</v>
      </c>
      <c r="D8" s="1012">
        <v>2030</v>
      </c>
      <c r="E8" s="1012">
        <v>2040</v>
      </c>
      <c r="F8" s="1012">
        <v>2050</v>
      </c>
      <c r="G8" s="1065" t="s">
        <v>846</v>
      </c>
      <c r="H8" s="1066"/>
      <c r="I8" s="1065" t="s">
        <v>693</v>
      </c>
      <c r="J8" s="106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30" customHeight="1" outlineLevel="1" thickBot="1">
      <c r="B9" s="1011"/>
      <c r="C9" s="1013"/>
      <c r="D9" s="1013"/>
      <c r="E9" s="1013"/>
      <c r="F9" s="1013"/>
      <c r="G9" s="429" t="s">
        <v>694</v>
      </c>
      <c r="H9" s="429" t="s">
        <v>695</v>
      </c>
      <c r="I9" s="429" t="s">
        <v>694</v>
      </c>
      <c r="J9" s="429" t="s">
        <v>695</v>
      </c>
      <c r="K9" s="1068"/>
      <c r="L9" s="1068"/>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849</v>
      </c>
      <c r="C10" s="432">
        <v>20000</v>
      </c>
      <c r="D10" s="432">
        <v>20000</v>
      </c>
      <c r="E10" s="432">
        <v>20000</v>
      </c>
      <c r="F10" s="432">
        <v>20000</v>
      </c>
      <c r="G10" s="432">
        <v>1000</v>
      </c>
      <c r="H10" s="432">
        <v>50000</v>
      </c>
      <c r="I10" s="432">
        <v>1000</v>
      </c>
      <c r="J10" s="432">
        <v>50000</v>
      </c>
      <c r="K10" s="432" t="s">
        <v>6</v>
      </c>
      <c r="L10" s="433" t="s">
        <v>850</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95</v>
      </c>
      <c r="D11" s="437">
        <v>96</v>
      </c>
      <c r="E11" s="438">
        <v>97</v>
      </c>
      <c r="F11" s="437">
        <v>97</v>
      </c>
      <c r="G11" s="437">
        <v>90</v>
      </c>
      <c r="H11" s="437">
        <v>98</v>
      </c>
      <c r="I11" s="437">
        <v>90</v>
      </c>
      <c r="J11" s="437">
        <v>98</v>
      </c>
      <c r="K11" s="439" t="s">
        <v>59</v>
      </c>
      <c r="L11" s="440" t="s">
        <v>854</v>
      </c>
      <c r="M11" s="430"/>
      <c r="N11" s="430"/>
      <c r="P11" s="1042" t="str">
        <f>C7</f>
        <v>Steam boiler, Oil</v>
      </c>
      <c r="Q11" s="1030" t="s">
        <v>855</v>
      </c>
      <c r="R11" s="441" t="s">
        <v>856</v>
      </c>
      <c r="S11" s="442"/>
      <c r="T11" s="1033">
        <v>0</v>
      </c>
      <c r="U11" s="1021">
        <v>1</v>
      </c>
      <c r="V11" s="1033">
        <v>0</v>
      </c>
      <c r="W11" s="1021">
        <v>1</v>
      </c>
      <c r="X11" s="1033">
        <v>0</v>
      </c>
      <c r="Y11" s="1021">
        <v>1</v>
      </c>
      <c r="Z11" s="1033">
        <v>0</v>
      </c>
      <c r="AA11" s="1021">
        <v>1</v>
      </c>
      <c r="AB11" s="1033">
        <v>0</v>
      </c>
      <c r="AC11" s="1021">
        <v>1</v>
      </c>
      <c r="AD11" s="1062">
        <v>1</v>
      </c>
      <c r="AE11" s="1021">
        <f>AC11</f>
        <v>1</v>
      </c>
      <c r="AF11" s="1027" t="str">
        <f>P11</f>
        <v>Steam boiler, Oil</v>
      </c>
      <c r="AG11" s="1030" t="s">
        <v>855</v>
      </c>
      <c r="AH11" s="441" t="s">
        <v>856</v>
      </c>
      <c r="AI11" s="442"/>
      <c r="AJ11" s="1033">
        <v>0</v>
      </c>
      <c r="AK11" s="1021">
        <v>1</v>
      </c>
      <c r="AL11" s="1033">
        <v>0</v>
      </c>
      <c r="AM11" s="1021">
        <v>1</v>
      </c>
      <c r="AN11" s="1033">
        <v>0</v>
      </c>
      <c r="AO11" s="1021">
        <v>1</v>
      </c>
      <c r="AP11" s="1033">
        <v>0</v>
      </c>
      <c r="AQ11" s="1021">
        <v>1</v>
      </c>
      <c r="AR11" s="1033">
        <v>0</v>
      </c>
      <c r="AS11" s="1021">
        <v>1</v>
      </c>
    </row>
    <row r="12" spans="1:45" ht="32.700000000000003" customHeight="1" outlineLevel="1">
      <c r="B12" s="443" t="s">
        <v>857</v>
      </c>
      <c r="C12" s="444">
        <v>94</v>
      </c>
      <c r="D12" s="444">
        <v>95</v>
      </c>
      <c r="E12" s="444">
        <v>96</v>
      </c>
      <c r="F12" s="444">
        <v>96</v>
      </c>
      <c r="G12" s="445">
        <v>89</v>
      </c>
      <c r="H12" s="445">
        <v>97</v>
      </c>
      <c r="I12" s="445">
        <v>89</v>
      </c>
      <c r="J12" s="445">
        <v>97</v>
      </c>
      <c r="K12" s="446"/>
      <c r="L12" s="447" t="s">
        <v>854</v>
      </c>
      <c r="M12" s="430"/>
      <c r="N12" s="430"/>
      <c r="O12" s="71"/>
      <c r="P12" s="1028"/>
      <c r="Q12" s="1031"/>
      <c r="R12" s="448" t="s">
        <v>858</v>
      </c>
      <c r="S12" s="449"/>
      <c r="T12" s="1034"/>
      <c r="U12" s="1022"/>
      <c r="V12" s="1034"/>
      <c r="W12" s="1022"/>
      <c r="X12" s="1034"/>
      <c r="Y12" s="1022"/>
      <c r="Z12" s="1034"/>
      <c r="AA12" s="1022"/>
      <c r="AB12" s="1034"/>
      <c r="AC12" s="1022"/>
      <c r="AD12" s="1063"/>
      <c r="AE12" s="1022"/>
      <c r="AF12" s="1028"/>
      <c r="AG12" s="1031"/>
      <c r="AH12" s="448" t="s">
        <v>858</v>
      </c>
      <c r="AI12" s="449"/>
      <c r="AJ12" s="1034"/>
      <c r="AK12" s="1022"/>
      <c r="AL12" s="1034"/>
      <c r="AM12" s="1022"/>
      <c r="AN12" s="1034"/>
      <c r="AO12" s="1022"/>
      <c r="AP12" s="1034"/>
      <c r="AQ12" s="1022"/>
      <c r="AR12" s="1034"/>
      <c r="AS12" s="1022"/>
    </row>
    <row r="13" spans="1:45" ht="15" outlineLevel="1" thickBot="1">
      <c r="B13" s="436" t="s">
        <v>859</v>
      </c>
      <c r="C13" s="450">
        <v>0.14000000000000001</v>
      </c>
      <c r="D13" s="451">
        <v>0.12</v>
      </c>
      <c r="E13" s="451">
        <v>0.11</v>
      </c>
      <c r="F13" s="452">
        <v>0.1</v>
      </c>
      <c r="G13" s="451">
        <v>0.1</v>
      </c>
      <c r="H13" s="451">
        <v>0.14000000000000001</v>
      </c>
      <c r="I13" s="451">
        <v>0.08</v>
      </c>
      <c r="J13" s="451">
        <v>0.12</v>
      </c>
      <c r="K13" s="439" t="s">
        <v>16</v>
      </c>
      <c r="L13" s="440">
        <v>3</v>
      </c>
      <c r="M13" s="430"/>
      <c r="N13" s="430"/>
      <c r="O13" s="71"/>
      <c r="P13" s="1028"/>
      <c r="Q13" s="1032"/>
      <c r="R13" s="453" t="s">
        <v>860</v>
      </c>
      <c r="S13" s="454"/>
      <c r="T13" s="1035"/>
      <c r="U13" s="1023"/>
      <c r="V13" s="1035"/>
      <c r="W13" s="1023"/>
      <c r="X13" s="1035"/>
      <c r="Y13" s="1023"/>
      <c r="Z13" s="1035"/>
      <c r="AA13" s="1023"/>
      <c r="AB13" s="1035"/>
      <c r="AC13" s="1023"/>
      <c r="AD13" s="1064"/>
      <c r="AE13" s="1023"/>
      <c r="AF13" s="1028"/>
      <c r="AG13" s="1032"/>
      <c r="AH13" s="453" t="s">
        <v>860</v>
      </c>
      <c r="AI13" s="454"/>
      <c r="AJ13" s="1035"/>
      <c r="AK13" s="1023"/>
      <c r="AL13" s="1035"/>
      <c r="AM13" s="1023"/>
      <c r="AN13" s="1035"/>
      <c r="AO13" s="1023"/>
      <c r="AP13" s="1035"/>
      <c r="AQ13" s="1023"/>
      <c r="AR13" s="1035"/>
      <c r="AS13" s="1023"/>
    </row>
    <row r="14" spans="1:45" ht="15" customHeight="1" outlineLevel="1">
      <c r="B14" s="436" t="s">
        <v>702</v>
      </c>
      <c r="C14" s="450">
        <v>1.1000000000000001</v>
      </c>
      <c r="D14" s="450">
        <v>1.1000000000000001</v>
      </c>
      <c r="E14" s="450">
        <v>1.1000000000000001</v>
      </c>
      <c r="F14" s="450">
        <v>1.1000000000000001</v>
      </c>
      <c r="G14" s="450">
        <v>0.09</v>
      </c>
      <c r="H14" s="450">
        <v>2.1</v>
      </c>
      <c r="I14" s="450">
        <v>0.09</v>
      </c>
      <c r="J14" s="450">
        <v>2.1</v>
      </c>
      <c r="K14" s="439" t="s">
        <v>20</v>
      </c>
      <c r="L14" s="440">
        <v>3</v>
      </c>
      <c r="M14" s="430"/>
      <c r="N14" s="430"/>
      <c r="O14" s="71"/>
      <c r="P14" s="1028"/>
      <c r="Q14" s="1030" t="s">
        <v>861</v>
      </c>
      <c r="R14" s="455" t="s">
        <v>862</v>
      </c>
      <c r="S14" s="456" t="s">
        <v>863</v>
      </c>
      <c r="T14" s="1033">
        <v>0</v>
      </c>
      <c r="U14" s="1033">
        <v>1</v>
      </c>
      <c r="V14" s="1033">
        <v>0</v>
      </c>
      <c r="W14" s="1033">
        <v>1</v>
      </c>
      <c r="X14" s="1033">
        <v>0</v>
      </c>
      <c r="Y14" s="1033">
        <v>0.97</v>
      </c>
      <c r="Z14" s="1033">
        <v>0</v>
      </c>
      <c r="AA14" s="1033">
        <v>1</v>
      </c>
      <c r="AB14" s="1033">
        <v>0</v>
      </c>
      <c r="AC14" s="1033">
        <v>1</v>
      </c>
      <c r="AD14" s="1059">
        <v>1</v>
      </c>
      <c r="AE14" s="1033">
        <f>AC14</f>
        <v>1</v>
      </c>
      <c r="AF14" s="1028"/>
      <c r="AG14" s="1030" t="s">
        <v>861</v>
      </c>
      <c r="AH14" s="455" t="s">
        <v>862</v>
      </c>
      <c r="AI14" s="456" t="s">
        <v>863</v>
      </c>
      <c r="AJ14" s="1033">
        <v>0</v>
      </c>
      <c r="AK14" s="1033">
        <v>1</v>
      </c>
      <c r="AL14" s="1033">
        <v>0</v>
      </c>
      <c r="AM14" s="1033">
        <v>1</v>
      </c>
      <c r="AN14" s="1033">
        <v>0</v>
      </c>
      <c r="AO14" s="1033">
        <v>0.97</v>
      </c>
      <c r="AP14" s="1033">
        <v>0</v>
      </c>
      <c r="AQ14" s="1033">
        <v>1</v>
      </c>
      <c r="AR14" s="1033">
        <v>0</v>
      </c>
      <c r="AS14" s="1033">
        <v>1</v>
      </c>
    </row>
    <row r="15" spans="1:45" outlineLevel="1">
      <c r="B15" s="436" t="s">
        <v>703</v>
      </c>
      <c r="C15" s="450">
        <v>0.60000000000000009</v>
      </c>
      <c r="D15" s="450">
        <v>0.60000000000000009</v>
      </c>
      <c r="E15" s="450">
        <v>0.60000000000000009</v>
      </c>
      <c r="F15" s="450">
        <v>0.60000000000000009</v>
      </c>
      <c r="G15" s="450">
        <v>0.5</v>
      </c>
      <c r="H15" s="450">
        <v>0.8</v>
      </c>
      <c r="I15" s="450">
        <v>0.5</v>
      </c>
      <c r="J15" s="450">
        <v>0.8</v>
      </c>
      <c r="K15" s="439" t="s">
        <v>20</v>
      </c>
      <c r="L15" s="440">
        <v>3</v>
      </c>
      <c r="M15" s="427"/>
      <c r="N15" s="427"/>
      <c r="O15" s="71"/>
      <c r="P15" s="1028"/>
      <c r="Q15" s="1031"/>
      <c r="R15" s="455" t="s">
        <v>864</v>
      </c>
      <c r="S15" s="456" t="s">
        <v>863</v>
      </c>
      <c r="T15" s="1050"/>
      <c r="U15" s="1050"/>
      <c r="V15" s="1050"/>
      <c r="W15" s="1050"/>
      <c r="X15" s="1050"/>
      <c r="Y15" s="1050"/>
      <c r="Z15" s="1050"/>
      <c r="AA15" s="1050"/>
      <c r="AB15" s="1050"/>
      <c r="AC15" s="1050"/>
      <c r="AD15" s="1060"/>
      <c r="AE15" s="1050"/>
      <c r="AF15" s="1028"/>
      <c r="AG15" s="1031"/>
      <c r="AH15" s="455" t="s">
        <v>864</v>
      </c>
      <c r="AI15" s="456" t="s">
        <v>863</v>
      </c>
      <c r="AJ15" s="1050"/>
      <c r="AK15" s="1050"/>
      <c r="AL15" s="1050"/>
      <c r="AM15" s="1050"/>
      <c r="AN15" s="1050"/>
      <c r="AO15" s="1050"/>
      <c r="AP15" s="1050"/>
      <c r="AQ15" s="1050"/>
      <c r="AR15" s="1050"/>
      <c r="AS15" s="1050"/>
    </row>
    <row r="16" spans="1:45" outlineLevel="1">
      <c r="B16" s="443" t="s">
        <v>11</v>
      </c>
      <c r="C16" s="457">
        <v>25</v>
      </c>
      <c r="D16" s="457">
        <v>25</v>
      </c>
      <c r="E16" s="457">
        <v>25</v>
      </c>
      <c r="F16" s="457">
        <v>25</v>
      </c>
      <c r="G16" s="458">
        <v>20</v>
      </c>
      <c r="H16" s="458">
        <v>30</v>
      </c>
      <c r="I16" s="458">
        <v>20</v>
      </c>
      <c r="J16" s="458">
        <v>30</v>
      </c>
      <c r="K16" s="432"/>
      <c r="L16" s="433" t="s">
        <v>865</v>
      </c>
      <c r="M16" s="423"/>
      <c r="N16" s="423"/>
      <c r="P16" s="1028"/>
      <c r="Q16" s="1031"/>
      <c r="R16" s="455" t="s">
        <v>866</v>
      </c>
      <c r="S16" s="456" t="s">
        <v>863</v>
      </c>
      <c r="T16" s="1050"/>
      <c r="U16" s="1050"/>
      <c r="V16" s="1050"/>
      <c r="W16" s="1050"/>
      <c r="X16" s="1050"/>
      <c r="Y16" s="1050"/>
      <c r="Z16" s="1050"/>
      <c r="AA16" s="1050"/>
      <c r="AB16" s="1050"/>
      <c r="AC16" s="1050"/>
      <c r="AD16" s="1060"/>
      <c r="AE16" s="1050"/>
      <c r="AF16" s="1028"/>
      <c r="AG16" s="1031"/>
      <c r="AH16" s="455" t="s">
        <v>866</v>
      </c>
      <c r="AI16" s="456" t="s">
        <v>863</v>
      </c>
      <c r="AJ16" s="1050"/>
      <c r="AK16" s="1050"/>
      <c r="AL16" s="1050"/>
      <c r="AM16" s="1050"/>
      <c r="AN16" s="1050"/>
      <c r="AO16" s="1050"/>
      <c r="AP16" s="1050"/>
      <c r="AQ16" s="1050"/>
      <c r="AR16" s="1050"/>
      <c r="AS16" s="1050"/>
    </row>
    <row r="17" spans="1:45" ht="15" outlineLevel="1" thickBot="1">
      <c r="B17" s="436" t="s">
        <v>273</v>
      </c>
      <c r="C17" s="459">
        <v>0.5</v>
      </c>
      <c r="D17" s="459">
        <v>0.5</v>
      </c>
      <c r="E17" s="459">
        <v>0.5</v>
      </c>
      <c r="F17" s="459">
        <v>0.5</v>
      </c>
      <c r="G17" s="459">
        <v>0.2</v>
      </c>
      <c r="H17" s="459">
        <v>0.7</v>
      </c>
      <c r="I17" s="459">
        <v>0.2</v>
      </c>
      <c r="J17" s="459">
        <v>0.7</v>
      </c>
      <c r="K17" s="432"/>
      <c r="L17" s="460"/>
      <c r="M17" s="423"/>
      <c r="N17" s="423"/>
      <c r="P17" s="1028"/>
      <c r="Q17" s="1031"/>
      <c r="R17" s="455" t="s">
        <v>867</v>
      </c>
      <c r="S17" s="456" t="s">
        <v>863</v>
      </c>
      <c r="T17" s="1050"/>
      <c r="U17" s="1050"/>
      <c r="V17" s="1050"/>
      <c r="W17" s="1050"/>
      <c r="X17" s="1050"/>
      <c r="Y17" s="1050"/>
      <c r="Z17" s="1050"/>
      <c r="AA17" s="1050"/>
      <c r="AB17" s="1050"/>
      <c r="AC17" s="1050"/>
      <c r="AD17" s="1060"/>
      <c r="AE17" s="1050"/>
      <c r="AF17" s="1028"/>
      <c r="AG17" s="1031"/>
      <c r="AH17" s="455" t="s">
        <v>867</v>
      </c>
      <c r="AI17" s="456" t="s">
        <v>863</v>
      </c>
      <c r="AJ17" s="1050"/>
      <c r="AK17" s="1050"/>
      <c r="AL17" s="1050"/>
      <c r="AM17" s="1050"/>
      <c r="AN17" s="1050"/>
      <c r="AO17" s="1050"/>
      <c r="AP17" s="1050"/>
      <c r="AQ17" s="1050"/>
      <c r="AR17" s="1050"/>
      <c r="AS17" s="1050"/>
    </row>
    <row r="18" spans="1:45" ht="15" outlineLevel="1" thickBot="1">
      <c r="B18" s="461" t="s">
        <v>868</v>
      </c>
      <c r="C18" s="462"/>
      <c r="D18" s="463"/>
      <c r="E18" s="464"/>
      <c r="F18" s="465"/>
      <c r="G18" s="466"/>
      <c r="H18" s="466"/>
      <c r="I18" s="466"/>
      <c r="J18" s="466"/>
      <c r="K18" s="467"/>
      <c r="L18" s="468"/>
      <c r="M18" s="423"/>
      <c r="N18" s="423"/>
      <c r="P18" s="1028"/>
      <c r="Q18" s="1031"/>
      <c r="R18" s="469" t="s">
        <v>869</v>
      </c>
      <c r="S18" s="470" t="s">
        <v>863</v>
      </c>
      <c r="T18" s="1051"/>
      <c r="U18" s="1051"/>
      <c r="V18" s="1051"/>
      <c r="W18" s="1051"/>
      <c r="X18" s="1051"/>
      <c r="Y18" s="1051"/>
      <c r="Z18" s="1051"/>
      <c r="AA18" s="1051"/>
      <c r="AB18" s="1051"/>
      <c r="AC18" s="1051"/>
      <c r="AD18" s="1061"/>
      <c r="AE18" s="1051"/>
      <c r="AF18" s="1028"/>
      <c r="AG18" s="1031"/>
      <c r="AH18" s="469" t="s">
        <v>869</v>
      </c>
      <c r="AI18" s="470" t="s">
        <v>863</v>
      </c>
      <c r="AJ18" s="1051"/>
      <c r="AK18" s="1051"/>
      <c r="AL18" s="1051"/>
      <c r="AM18" s="1051"/>
      <c r="AN18" s="1051"/>
      <c r="AO18" s="1051"/>
      <c r="AP18" s="1051"/>
      <c r="AQ18" s="1051"/>
      <c r="AR18" s="1051"/>
      <c r="AS18" s="1051"/>
    </row>
    <row r="19" spans="1:45" ht="29.4" outlineLevel="1" thickBot="1">
      <c r="B19" s="436" t="s">
        <v>708</v>
      </c>
      <c r="C19" s="450">
        <v>15</v>
      </c>
      <c r="D19" s="450">
        <v>15</v>
      </c>
      <c r="E19" s="450">
        <v>15</v>
      </c>
      <c r="F19" s="450">
        <v>15</v>
      </c>
      <c r="G19" s="451"/>
      <c r="H19" s="451"/>
      <c r="I19" s="451"/>
      <c r="J19" s="451"/>
      <c r="K19" s="439"/>
      <c r="L19" s="440">
        <v>3</v>
      </c>
      <c r="M19" s="423"/>
      <c r="N19" s="423"/>
      <c r="P19" s="1029"/>
      <c r="Q19" s="471" t="s">
        <v>870</v>
      </c>
      <c r="R19" s="472" t="s">
        <v>871</v>
      </c>
      <c r="S19" s="473" t="s">
        <v>863</v>
      </c>
      <c r="T19" s="474">
        <v>1</v>
      </c>
      <c r="U19" s="475">
        <v>1</v>
      </c>
      <c r="V19" s="476">
        <v>1</v>
      </c>
      <c r="W19" s="475">
        <v>1</v>
      </c>
      <c r="X19" s="476">
        <v>1</v>
      </c>
      <c r="Y19" s="475">
        <v>1</v>
      </c>
      <c r="Z19" s="476">
        <v>1</v>
      </c>
      <c r="AA19" s="475">
        <v>1</v>
      </c>
      <c r="AB19" s="476">
        <v>1</v>
      </c>
      <c r="AC19" s="477">
        <v>1</v>
      </c>
      <c r="AD19" s="970">
        <v>1</v>
      </c>
      <c r="AE19" s="477">
        <f>AC19</f>
        <v>1</v>
      </c>
      <c r="AF19" s="1029"/>
      <c r="AG19" s="471" t="s">
        <v>870</v>
      </c>
      <c r="AH19" s="472" t="s">
        <v>871</v>
      </c>
      <c r="AI19" s="473" t="s">
        <v>863</v>
      </c>
      <c r="AJ19" s="474">
        <v>1</v>
      </c>
      <c r="AK19" s="475">
        <v>1</v>
      </c>
      <c r="AL19" s="476">
        <v>1</v>
      </c>
      <c r="AM19" s="475">
        <v>1</v>
      </c>
      <c r="AN19" s="476">
        <v>1</v>
      </c>
      <c r="AO19" s="475">
        <v>1</v>
      </c>
      <c r="AP19" s="476">
        <v>1</v>
      </c>
      <c r="AQ19" s="475">
        <v>1</v>
      </c>
      <c r="AR19" s="476">
        <v>1</v>
      </c>
      <c r="AS19" s="477">
        <v>1</v>
      </c>
    </row>
    <row r="20" spans="1:45" outlineLevel="1">
      <c r="B20" s="436" t="s">
        <v>709</v>
      </c>
      <c r="C20" s="450">
        <v>0.1</v>
      </c>
      <c r="D20" s="450">
        <v>0.1</v>
      </c>
      <c r="E20" s="450">
        <v>0.1</v>
      </c>
      <c r="F20" s="450">
        <v>0.1</v>
      </c>
      <c r="G20" s="478"/>
      <c r="H20" s="478"/>
      <c r="I20" s="478"/>
      <c r="J20" s="478"/>
      <c r="K20" s="479"/>
      <c r="L20" s="440">
        <v>3</v>
      </c>
      <c r="M20" s="423"/>
      <c r="N20" s="423"/>
    </row>
    <row r="21" spans="1:45" outlineLevel="1">
      <c r="B21" s="436" t="s">
        <v>711</v>
      </c>
      <c r="C21" s="450">
        <v>0.4</v>
      </c>
      <c r="D21" s="450">
        <v>0.4</v>
      </c>
      <c r="E21" s="450">
        <v>0.4</v>
      </c>
      <c r="F21" s="450">
        <v>0.4</v>
      </c>
      <c r="G21" s="478"/>
      <c r="H21" s="478"/>
      <c r="I21" s="478"/>
      <c r="J21" s="478"/>
      <c r="K21" s="479"/>
      <c r="L21" s="440">
        <v>3</v>
      </c>
      <c r="M21" s="480"/>
      <c r="N21" s="423"/>
    </row>
    <row r="22" spans="1:45" outlineLevel="1">
      <c r="B22" s="481" t="s">
        <v>12</v>
      </c>
      <c r="C22" s="459"/>
      <c r="D22" s="459"/>
      <c r="E22" s="459"/>
      <c r="F22" s="459"/>
      <c r="G22" s="482"/>
      <c r="H22" s="482"/>
      <c r="I22" s="482"/>
      <c r="J22" s="482"/>
      <c r="K22" s="483"/>
      <c r="L22" s="484"/>
      <c r="M22" s="480"/>
      <c r="N22" s="480"/>
    </row>
    <row r="23" spans="1:45" ht="15.6" outlineLevel="1">
      <c r="B23" s="443" t="s">
        <v>872</v>
      </c>
      <c r="C23" s="457">
        <v>0.5</v>
      </c>
      <c r="D23" s="457">
        <v>0.5</v>
      </c>
      <c r="E23" s="457">
        <v>0.5</v>
      </c>
      <c r="F23" s="457">
        <v>0.5</v>
      </c>
      <c r="G23" s="482"/>
      <c r="H23" s="485"/>
      <c r="I23" s="485"/>
      <c r="J23" s="485"/>
      <c r="K23" s="486" t="s">
        <v>76</v>
      </c>
      <c r="L23" s="487" t="s">
        <v>873</v>
      </c>
      <c r="M23" s="488"/>
      <c r="N23" s="488"/>
    </row>
    <row r="24" spans="1:45" outlineLevel="1">
      <c r="B24" s="443" t="s">
        <v>874</v>
      </c>
      <c r="C24" s="457">
        <v>0.1</v>
      </c>
      <c r="D24" s="457">
        <v>0.1</v>
      </c>
      <c r="E24" s="457">
        <v>0.1</v>
      </c>
      <c r="F24" s="457">
        <v>0.1</v>
      </c>
      <c r="G24" s="485"/>
      <c r="H24" s="485"/>
      <c r="I24" s="485"/>
      <c r="J24" s="485"/>
      <c r="K24" s="483"/>
      <c r="L24" s="487">
        <v>9</v>
      </c>
      <c r="M24" s="488"/>
      <c r="N24" s="488"/>
    </row>
    <row r="25" spans="1:45" ht="15.6" outlineLevel="1">
      <c r="B25" s="443" t="s">
        <v>875</v>
      </c>
      <c r="C25" s="457">
        <v>25</v>
      </c>
      <c r="D25" s="457">
        <v>20</v>
      </c>
      <c r="E25" s="457">
        <v>18</v>
      </c>
      <c r="F25" s="457">
        <v>15</v>
      </c>
      <c r="G25" s="485"/>
      <c r="H25" s="485"/>
      <c r="I25" s="485"/>
      <c r="J25" s="485"/>
      <c r="K25" s="483"/>
      <c r="L25" s="487" t="s">
        <v>873</v>
      </c>
      <c r="M25" s="488"/>
      <c r="N25" s="488"/>
      <c r="T25" s="239">
        <f>C$23</f>
        <v>0.5</v>
      </c>
      <c r="U25" s="239">
        <f t="shared" ref="U25:V25" si="0">D$23</f>
        <v>0.5</v>
      </c>
      <c r="V25" s="239">
        <f t="shared" si="0"/>
        <v>0.5</v>
      </c>
    </row>
    <row r="26" spans="1:45" outlineLevel="1">
      <c r="B26" s="443" t="s">
        <v>366</v>
      </c>
      <c r="C26" s="457">
        <v>0</v>
      </c>
      <c r="D26" s="457">
        <v>0</v>
      </c>
      <c r="E26" s="457">
        <v>0</v>
      </c>
      <c r="F26" s="457">
        <v>0</v>
      </c>
      <c r="G26" s="485"/>
      <c r="H26" s="485"/>
      <c r="I26" s="485"/>
      <c r="J26" s="485"/>
      <c r="K26" s="483"/>
      <c r="L26" s="487" t="s">
        <v>873</v>
      </c>
      <c r="M26" s="488"/>
      <c r="N26" s="488"/>
    </row>
    <row r="27" spans="1:45" ht="15" outlineLevel="1" thickBot="1">
      <c r="B27" s="489" t="s">
        <v>367</v>
      </c>
      <c r="C27" s="490">
        <v>0</v>
      </c>
      <c r="D27" s="490">
        <v>0</v>
      </c>
      <c r="E27" s="490">
        <v>0</v>
      </c>
      <c r="F27" s="490">
        <v>0</v>
      </c>
      <c r="G27" s="485"/>
      <c r="H27" s="485"/>
      <c r="I27" s="485"/>
      <c r="J27" s="485"/>
      <c r="K27" s="483"/>
      <c r="L27" s="487" t="s">
        <v>873</v>
      </c>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497">
        <v>5.5E-2</v>
      </c>
      <c r="D29" s="498">
        <v>4.6576380486507002E-2</v>
      </c>
      <c r="E29" s="498">
        <v>4.4600000000000001E-2</v>
      </c>
      <c r="F29" s="499">
        <v>4.4045618468049198E-2</v>
      </c>
      <c r="G29" s="485"/>
      <c r="H29" s="485"/>
      <c r="I29" s="485"/>
      <c r="J29" s="485"/>
      <c r="K29" s="486" t="s">
        <v>877</v>
      </c>
      <c r="L29" s="500" t="s">
        <v>878</v>
      </c>
      <c r="M29" s="480"/>
      <c r="N29" s="480"/>
    </row>
    <row r="30" spans="1:45" outlineLevel="1">
      <c r="B30" s="501" t="s">
        <v>879</v>
      </c>
      <c r="C30" s="502">
        <v>60</v>
      </c>
      <c r="D30" s="503">
        <v>60</v>
      </c>
      <c r="E30" s="503">
        <v>60</v>
      </c>
      <c r="F30" s="503">
        <v>60</v>
      </c>
      <c r="G30" s="485"/>
      <c r="H30" s="485"/>
      <c r="I30" s="485"/>
      <c r="J30" s="485"/>
      <c r="K30" s="504"/>
      <c r="L30" s="433">
        <v>3</v>
      </c>
      <c r="M30" s="71"/>
      <c r="N30" s="480"/>
    </row>
    <row r="31" spans="1:45" outlineLevel="1">
      <c r="B31" s="501" t="s">
        <v>880</v>
      </c>
      <c r="C31" s="502">
        <v>40</v>
      </c>
      <c r="D31" s="502">
        <v>40</v>
      </c>
      <c r="E31" s="502">
        <v>40</v>
      </c>
      <c r="F31" s="502">
        <v>40</v>
      </c>
      <c r="G31" s="485"/>
      <c r="H31" s="485"/>
      <c r="I31" s="485"/>
      <c r="J31" s="485"/>
      <c r="K31" s="504"/>
      <c r="L31" s="433">
        <v>3</v>
      </c>
      <c r="M31" s="480"/>
      <c r="N31" s="480"/>
    </row>
    <row r="32" spans="1:45" ht="26.4" outlineLevel="1">
      <c r="B32" s="443" t="s">
        <v>881</v>
      </c>
      <c r="C32" s="505">
        <v>1.8</v>
      </c>
      <c r="D32" s="506">
        <v>1.7</v>
      </c>
      <c r="E32" s="506">
        <v>1.6</v>
      </c>
      <c r="F32" s="507">
        <v>1.5</v>
      </c>
      <c r="G32" s="485"/>
      <c r="H32" s="485"/>
      <c r="I32" s="485"/>
      <c r="J32" s="485"/>
      <c r="K32" s="508"/>
      <c r="L32" s="433">
        <v>3</v>
      </c>
      <c r="M32" s="480"/>
      <c r="N32" s="480"/>
    </row>
    <row r="33" spans="1:30" ht="37.200000000000003" customHeight="1" outlineLevel="1" thickBot="1">
      <c r="B33" s="443" t="s">
        <v>882</v>
      </c>
      <c r="C33" s="509">
        <f>1/3.6</f>
        <v>0.27777777777777779</v>
      </c>
      <c r="D33" s="509">
        <f>0.9/3.6</f>
        <v>0.25</v>
      </c>
      <c r="E33" s="509">
        <f>0.9/3.6</f>
        <v>0.25</v>
      </c>
      <c r="F33" s="509">
        <f>0.9/3.6</f>
        <v>0.25</v>
      </c>
      <c r="G33" s="485"/>
      <c r="H33" s="485"/>
      <c r="I33" s="485"/>
      <c r="J33" s="485"/>
      <c r="K33" s="508"/>
      <c r="L33" s="433">
        <v>3</v>
      </c>
      <c r="M33" s="510"/>
      <c r="N33" s="421"/>
      <c r="P33" s="999">
        <f>C33</f>
        <v>0.27777777777777779</v>
      </c>
      <c r="Q33" s="977"/>
      <c r="R33" s="977"/>
      <c r="S33" s="977"/>
      <c r="T33" s="977"/>
      <c r="U33" s="1000"/>
    </row>
    <row r="34" spans="1:30" ht="15.75" customHeight="1" outlineLevel="1" thickBot="1">
      <c r="A34" s="239" t="s">
        <v>1121</v>
      </c>
      <c r="B34" s="511" t="s">
        <v>883</v>
      </c>
      <c r="C34" s="512">
        <v>0.10220000000000001</v>
      </c>
      <c r="D34" s="512">
        <v>0.09</v>
      </c>
      <c r="E34" s="512">
        <v>8.3600000000000008E-2</v>
      </c>
      <c r="F34" s="512">
        <v>7.5999999999999998E-2</v>
      </c>
      <c r="G34" s="513"/>
      <c r="H34" s="513"/>
      <c r="I34" s="513"/>
      <c r="J34" s="513"/>
      <c r="K34" s="439" t="s">
        <v>52</v>
      </c>
      <c r="L34" s="440">
        <v>3</v>
      </c>
      <c r="M34" s="510"/>
      <c r="N34" s="421"/>
      <c r="P34" s="1001">
        <f>C34</f>
        <v>0.10220000000000001</v>
      </c>
      <c r="Q34" s="1002"/>
      <c r="R34" s="1002"/>
      <c r="S34" s="1002"/>
      <c r="T34" s="1002"/>
      <c r="U34" s="1003"/>
    </row>
    <row r="35" spans="1:30" outlineLevel="1">
      <c r="B35" s="511" t="s">
        <v>884</v>
      </c>
      <c r="C35" s="514">
        <v>0.89779999999999993</v>
      </c>
      <c r="D35" s="514">
        <v>0.81</v>
      </c>
      <c r="E35" s="514">
        <v>0.81640000000000001</v>
      </c>
      <c r="F35" s="514">
        <v>0.82400000000000007</v>
      </c>
      <c r="G35" s="513"/>
      <c r="H35" s="513"/>
      <c r="I35" s="513"/>
      <c r="J35" s="513"/>
      <c r="K35" s="515"/>
      <c r="L35" s="440">
        <v>3</v>
      </c>
      <c r="M35" s="423"/>
      <c r="N35" s="423"/>
      <c r="P35" s="53" t="s">
        <v>357</v>
      </c>
    </row>
    <row r="36" spans="1:30" ht="27.6" outlineLevel="1">
      <c r="B36" s="501"/>
      <c r="C36" s="516"/>
      <c r="D36" s="516"/>
      <c r="E36" s="516"/>
      <c r="F36" s="516"/>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1: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1: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1430</v>
      </c>
      <c r="V38" s="56" t="s">
        <v>326</v>
      </c>
      <c r="W38" s="56" t="s">
        <v>327</v>
      </c>
      <c r="X38" s="56" t="s">
        <v>351</v>
      </c>
      <c r="Y38" s="56" t="s">
        <v>351</v>
      </c>
      <c r="Z38" s="56" t="s">
        <v>352</v>
      </c>
      <c r="AA38" s="56" t="s">
        <v>352</v>
      </c>
      <c r="AB38" s="56" t="s">
        <v>352</v>
      </c>
      <c r="AC38" s="56" t="s">
        <v>352</v>
      </c>
      <c r="AD38" s="56" t="s">
        <v>352</v>
      </c>
    </row>
    <row r="39" spans="1:30" outlineLevel="1">
      <c r="B39" s="511" t="s">
        <v>887</v>
      </c>
      <c r="C39" s="522" t="s">
        <v>36</v>
      </c>
      <c r="D39" s="522" t="s">
        <v>36</v>
      </c>
      <c r="E39" s="522" t="s">
        <v>36</v>
      </c>
      <c r="F39" s="522" t="s">
        <v>36</v>
      </c>
      <c r="G39" s="523"/>
      <c r="H39" s="523"/>
      <c r="I39" s="523"/>
      <c r="J39" s="523"/>
      <c r="K39" s="523" t="s">
        <v>55</v>
      </c>
      <c r="L39" s="524"/>
      <c r="M39" s="423"/>
      <c r="N39" s="423"/>
      <c r="O39" s="525">
        <f>C12</f>
        <v>94</v>
      </c>
      <c r="P39" s="526">
        <f>C8</f>
        <v>2020</v>
      </c>
      <c r="Q39" s="58">
        <f>P39</f>
        <v>2020</v>
      </c>
      <c r="R39" s="526">
        <f>O39/100</f>
        <v>0.94</v>
      </c>
      <c r="S39" s="58"/>
      <c r="T39" s="526">
        <f>C16</f>
        <v>25</v>
      </c>
      <c r="U39" s="527">
        <f>C46</f>
        <v>409.75</v>
      </c>
      <c r="V39" s="527">
        <f>C48</f>
        <v>13.41</v>
      </c>
      <c r="W39" s="527">
        <f>C49</f>
        <v>2.0694444444444446</v>
      </c>
      <c r="X39" s="58"/>
      <c r="Y39" s="58"/>
      <c r="Z39" s="526">
        <f>C23</f>
        <v>0.5</v>
      </c>
      <c r="AA39" s="528">
        <f>C25</f>
        <v>25</v>
      </c>
      <c r="AB39" s="528">
        <f>C26</f>
        <v>0</v>
      </c>
      <c r="AC39" s="528">
        <f>C27</f>
        <v>0</v>
      </c>
      <c r="AD39" s="528">
        <f>C24</f>
        <v>0.1</v>
      </c>
    </row>
    <row r="40" spans="1:30" ht="14.7" customHeight="1" outlineLevel="1">
      <c r="B40" s="436" t="s">
        <v>888</v>
      </c>
      <c r="C40" s="529" t="s">
        <v>36</v>
      </c>
      <c r="D40" s="530" t="s">
        <v>36</v>
      </c>
      <c r="E40" s="530" t="s">
        <v>36</v>
      </c>
      <c r="F40" s="531" t="s">
        <v>36</v>
      </c>
      <c r="G40" s="531"/>
      <c r="H40" s="531"/>
      <c r="I40" s="531"/>
      <c r="J40" s="531"/>
      <c r="K40" s="532" t="s">
        <v>55</v>
      </c>
      <c r="L40" s="524"/>
      <c r="M40" s="423"/>
      <c r="N40" s="423"/>
      <c r="O40" s="525">
        <f>D12</f>
        <v>95</v>
      </c>
      <c r="P40" s="526">
        <f>D8</f>
        <v>2030</v>
      </c>
      <c r="Q40" s="58"/>
      <c r="R40" s="526">
        <f>O40/100</f>
        <v>0.95</v>
      </c>
      <c r="S40" s="58"/>
      <c r="T40" s="526">
        <f>D16</f>
        <v>25</v>
      </c>
      <c r="U40" s="527">
        <f>D46</f>
        <v>346.99403462447719</v>
      </c>
      <c r="V40" s="527">
        <f>D48</f>
        <v>12.664999999999999</v>
      </c>
      <c r="W40" s="527">
        <f>D49</f>
        <v>1.8625</v>
      </c>
      <c r="X40" s="58"/>
      <c r="Y40" s="58"/>
      <c r="Z40" s="526">
        <f>D23</f>
        <v>0.5</v>
      </c>
      <c r="AA40" s="528">
        <f>D25</f>
        <v>20</v>
      </c>
      <c r="AB40" s="528">
        <f>D26</f>
        <v>0</v>
      </c>
      <c r="AC40" s="528">
        <f>D27</f>
        <v>0</v>
      </c>
      <c r="AD40" s="528">
        <f>D24</f>
        <v>0.1</v>
      </c>
    </row>
    <row r="41" spans="1:30" outlineLevel="1">
      <c r="B41" s="436" t="s">
        <v>889</v>
      </c>
      <c r="C41" s="529" t="s">
        <v>36</v>
      </c>
      <c r="D41" s="530" t="s">
        <v>36</v>
      </c>
      <c r="E41" s="530" t="s">
        <v>36</v>
      </c>
      <c r="F41" s="531" t="s">
        <v>36</v>
      </c>
      <c r="G41" s="513"/>
      <c r="H41" s="513"/>
      <c r="I41" s="513"/>
      <c r="J41" s="513"/>
      <c r="K41" s="513"/>
      <c r="L41" s="440"/>
      <c r="M41" s="423"/>
      <c r="N41" s="423"/>
      <c r="O41" s="525">
        <f>E12</f>
        <v>96</v>
      </c>
      <c r="P41" s="526">
        <f>E8</f>
        <v>2040</v>
      </c>
      <c r="Q41" s="58"/>
      <c r="R41" s="526">
        <f>O41/100</f>
        <v>0.96</v>
      </c>
      <c r="S41" s="58"/>
      <c r="T41" s="526">
        <f>E16</f>
        <v>25</v>
      </c>
      <c r="U41" s="527">
        <f>E46</f>
        <v>332.27</v>
      </c>
      <c r="V41" s="527">
        <f>E48</f>
        <v>11.920000000000002</v>
      </c>
      <c r="W41" s="527">
        <f>E49</f>
        <v>1.8625</v>
      </c>
      <c r="X41" s="58"/>
      <c r="Y41" s="58"/>
      <c r="Z41" s="526">
        <f>E23</f>
        <v>0.5</v>
      </c>
      <c r="AA41" s="528">
        <f>E25</f>
        <v>18</v>
      </c>
      <c r="AB41" s="528">
        <f>E26</f>
        <v>0</v>
      </c>
      <c r="AC41" s="528">
        <f>E27</f>
        <v>0</v>
      </c>
      <c r="AD41" s="528">
        <f>E24</f>
        <v>0.1</v>
      </c>
    </row>
    <row r="42" spans="1:30" outlineLevel="1">
      <c r="B42" s="436" t="s">
        <v>890</v>
      </c>
      <c r="C42" s="533">
        <v>90</v>
      </c>
      <c r="D42" s="533">
        <v>90</v>
      </c>
      <c r="E42" s="533">
        <v>90</v>
      </c>
      <c r="F42" s="533">
        <v>90</v>
      </c>
      <c r="G42" s="534"/>
      <c r="H42" s="534"/>
      <c r="I42" s="534"/>
      <c r="J42" s="534"/>
      <c r="K42" s="534"/>
      <c r="L42" s="440">
        <v>3</v>
      </c>
      <c r="M42" s="423"/>
      <c r="N42" s="423"/>
      <c r="O42" s="525">
        <f>F12</f>
        <v>96</v>
      </c>
      <c r="P42" s="526">
        <f>F8</f>
        <v>2050</v>
      </c>
      <c r="Q42" s="58"/>
      <c r="R42" s="526">
        <f>O42/100</f>
        <v>0.96</v>
      </c>
      <c r="S42" s="58"/>
      <c r="T42" s="526">
        <f>F16</f>
        <v>25</v>
      </c>
      <c r="U42" s="527">
        <f>F46</f>
        <v>328.13985758696651</v>
      </c>
      <c r="V42" s="527">
        <f>F48</f>
        <v>11.175000000000001</v>
      </c>
      <c r="W42" s="527">
        <f>F49</f>
        <v>1.8625</v>
      </c>
      <c r="X42" s="58"/>
      <c r="Y42" s="58"/>
      <c r="Z42" s="526">
        <f>F23</f>
        <v>0.5</v>
      </c>
      <c r="AA42" s="528">
        <f>F25</f>
        <v>15</v>
      </c>
      <c r="AB42" s="528">
        <f>F26</f>
        <v>0</v>
      </c>
      <c r="AC42" s="528">
        <f>F27</f>
        <v>0</v>
      </c>
      <c r="AD42" s="528">
        <f>F24</f>
        <v>0.1</v>
      </c>
    </row>
    <row r="43" spans="1:30" outlineLevel="1">
      <c r="B43" s="535" t="s">
        <v>891</v>
      </c>
      <c r="C43" s="529" t="s">
        <v>36</v>
      </c>
      <c r="D43" s="530" t="s">
        <v>36</v>
      </c>
      <c r="E43" s="530" t="s">
        <v>36</v>
      </c>
      <c r="F43" s="531" t="s">
        <v>36</v>
      </c>
      <c r="G43" s="534"/>
      <c r="H43" s="534"/>
      <c r="I43" s="534"/>
      <c r="J43" s="534"/>
      <c r="K43" s="534"/>
      <c r="L43" s="536"/>
      <c r="M43" s="427"/>
      <c r="N43" s="427"/>
    </row>
    <row r="44" spans="1:30" outlineLevel="1">
      <c r="B44" s="535" t="s">
        <v>892</v>
      </c>
      <c r="C44" s="529" t="s">
        <v>36</v>
      </c>
      <c r="D44" s="530" t="s">
        <v>36</v>
      </c>
      <c r="E44" s="530" t="s">
        <v>36</v>
      </c>
      <c r="F44" s="531" t="s">
        <v>36</v>
      </c>
      <c r="G44" s="534"/>
      <c r="H44" s="534"/>
      <c r="I44" s="534"/>
      <c r="J44" s="534"/>
      <c r="K44" s="534"/>
      <c r="L44" s="536"/>
      <c r="M44" s="423"/>
      <c r="N44" s="423"/>
      <c r="R44" s="964"/>
    </row>
    <row r="45" spans="1:30" ht="15" outlineLevel="1" thickBot="1">
      <c r="B45" s="537" t="s">
        <v>893</v>
      </c>
      <c r="C45" s="538" t="s">
        <v>36</v>
      </c>
      <c r="D45" s="539" t="s">
        <v>36</v>
      </c>
      <c r="E45" s="539" t="s">
        <v>36</v>
      </c>
      <c r="F45" s="540" t="s">
        <v>36</v>
      </c>
      <c r="G45" s="541"/>
      <c r="H45" s="541"/>
      <c r="I45" s="541"/>
      <c r="J45" s="541"/>
      <c r="K45" s="541"/>
      <c r="L45" s="542"/>
      <c r="M45" s="423"/>
      <c r="N45" s="423"/>
    </row>
    <row r="46" spans="1:30" ht="57.6" outlineLevel="1">
      <c r="B46" s="521" t="s">
        <v>894</v>
      </c>
      <c r="C46" s="543">
        <f>C29*$F$4*1000</f>
        <v>409.75</v>
      </c>
      <c r="D46" s="543">
        <f t="shared" ref="D46:F46" si="1">D29*$F$4*1000</f>
        <v>346.99403462447719</v>
      </c>
      <c r="E46" s="543">
        <f t="shared" si="1"/>
        <v>332.27</v>
      </c>
      <c r="F46" s="543">
        <f t="shared" si="1"/>
        <v>328.13985758696651</v>
      </c>
      <c r="G46" s="543"/>
      <c r="H46" s="544"/>
      <c r="I46" s="480" t="s">
        <v>332</v>
      </c>
      <c r="J46" s="480"/>
      <c r="K46" s="544"/>
      <c r="L46" s="544"/>
      <c r="N46" s="480"/>
    </row>
    <row r="47" spans="1:30" outlineLevel="1">
      <c r="B47" s="545" t="s">
        <v>895</v>
      </c>
      <c r="C47" s="546">
        <f>C46*$I47</f>
        <v>204875</v>
      </c>
      <c r="D47" s="546">
        <f>D46*$I47</f>
        <v>173497.0173122386</v>
      </c>
      <c r="E47" s="546">
        <f>E46*$I47</f>
        <v>166135</v>
      </c>
      <c r="F47" s="546">
        <f>F46*$I47</f>
        <v>164069.92879348327</v>
      </c>
      <c r="G47" s="546"/>
      <c r="H47" s="544"/>
      <c r="I47" s="71">
        <v>500</v>
      </c>
      <c r="J47" s="480" t="s">
        <v>330</v>
      </c>
      <c r="K47" s="544"/>
      <c r="L47" s="544"/>
      <c r="N47" s="480"/>
    </row>
    <row r="48" spans="1:30" ht="43.2" outlineLevel="1">
      <c r="B48" s="521" t="s">
        <v>896</v>
      </c>
      <c r="C48" s="419">
        <f>C32*$F$4</f>
        <v>13.41</v>
      </c>
      <c r="D48" s="419">
        <f t="shared" ref="D48:F49" si="2">D32*$F$4</f>
        <v>12.664999999999999</v>
      </c>
      <c r="E48" s="419">
        <f t="shared" si="2"/>
        <v>11.920000000000002</v>
      </c>
      <c r="F48" s="419">
        <f t="shared" si="2"/>
        <v>11.175000000000001</v>
      </c>
      <c r="G48" s="419"/>
      <c r="I48" s="480" t="s">
        <v>333</v>
      </c>
      <c r="J48" s="480"/>
      <c r="N48" s="480"/>
    </row>
    <row r="49" spans="2:14" ht="43.2" outlineLevel="1">
      <c r="B49" s="521" t="s">
        <v>897</v>
      </c>
      <c r="C49" s="547">
        <f>C33*$F$4</f>
        <v>2.0694444444444446</v>
      </c>
      <c r="D49" s="547">
        <f t="shared" si="2"/>
        <v>1.8625</v>
      </c>
      <c r="E49" s="547">
        <f t="shared" si="2"/>
        <v>1.8625</v>
      </c>
      <c r="F49" s="547">
        <f t="shared" si="2"/>
        <v>1.8625</v>
      </c>
      <c r="G49" s="419"/>
      <c r="M49" s="480"/>
      <c r="N49" s="480"/>
    </row>
    <row r="50" spans="2:14" outlineLevel="1"/>
    <row r="51" spans="2:14" outlineLevel="1"/>
    <row r="52" spans="2:14" outlineLevel="1"/>
    <row r="53" spans="2:14" outlineLevel="1"/>
    <row r="54" spans="2:14" outlineLevel="1">
      <c r="B54" s="548" t="s">
        <v>898</v>
      </c>
      <c r="C54" s="549"/>
      <c r="D54" s="550"/>
      <c r="E54" s="550"/>
      <c r="F54" s="550"/>
    </row>
    <row r="55" spans="2:14" outlineLevel="1">
      <c r="B55" s="551">
        <v>1</v>
      </c>
      <c r="C55" s="552" t="s">
        <v>899</v>
      </c>
      <c r="E55" s="550"/>
      <c r="F55" s="550"/>
    </row>
    <row r="56" spans="2:14" outlineLevel="1">
      <c r="B56" s="551">
        <v>2</v>
      </c>
      <c r="C56" s="553" t="s">
        <v>900</v>
      </c>
      <c r="E56" s="550"/>
      <c r="F56" s="550"/>
    </row>
    <row r="57" spans="2:14" outlineLevel="1">
      <c r="B57" s="551">
        <v>3</v>
      </c>
      <c r="C57" s="553" t="s">
        <v>901</v>
      </c>
      <c r="E57" s="550"/>
      <c r="F57" s="550"/>
    </row>
    <row r="58" spans="2:14" outlineLevel="1">
      <c r="B58" s="551">
        <v>4</v>
      </c>
      <c r="C58" s="553" t="s">
        <v>902</v>
      </c>
      <c r="E58" s="550"/>
      <c r="F58" s="550"/>
    </row>
    <row r="59" spans="2:14" outlineLevel="1">
      <c r="B59" s="417">
        <v>5</v>
      </c>
      <c r="C59" s="554" t="s">
        <v>903</v>
      </c>
      <c r="D59" s="550"/>
      <c r="E59" s="550"/>
      <c r="F59" s="550"/>
    </row>
    <row r="60" spans="2:14" outlineLevel="1">
      <c r="B60" s="417">
        <v>6</v>
      </c>
      <c r="C60" s="552" t="s">
        <v>904</v>
      </c>
      <c r="D60" s="550"/>
      <c r="E60" s="550"/>
      <c r="F60" s="550"/>
    </row>
    <row r="61" spans="2:14" outlineLevel="1">
      <c r="B61" s="417">
        <v>7</v>
      </c>
      <c r="C61" s="555" t="s">
        <v>899</v>
      </c>
      <c r="D61" s="550"/>
      <c r="E61" s="550"/>
      <c r="F61" s="550"/>
    </row>
    <row r="62" spans="2:14" outlineLevel="1">
      <c r="B62" s="417">
        <v>8</v>
      </c>
      <c r="C62" s="555" t="s">
        <v>905</v>
      </c>
      <c r="D62" s="550"/>
      <c r="E62" s="550"/>
      <c r="F62" s="550"/>
    </row>
    <row r="63" spans="2:14" outlineLevel="1">
      <c r="B63" s="417">
        <v>9</v>
      </c>
      <c r="C63" s="549" t="s">
        <v>906</v>
      </c>
      <c r="D63" s="550"/>
      <c r="E63" s="550"/>
      <c r="F63" s="550"/>
    </row>
    <row r="64" spans="2:14" outlineLevel="1">
      <c r="B64" s="417">
        <v>10</v>
      </c>
      <c r="C64" s="550" t="s">
        <v>907</v>
      </c>
      <c r="D64" s="550"/>
      <c r="E64" s="550"/>
      <c r="F64" s="550"/>
    </row>
    <row r="65" spans="2:6" outlineLevel="1">
      <c r="B65" s="548" t="s">
        <v>908</v>
      </c>
      <c r="C65" s="549"/>
      <c r="D65" s="550"/>
      <c r="E65" s="550"/>
      <c r="F65" s="550"/>
    </row>
    <row r="66" spans="2:6" outlineLevel="1">
      <c r="B66" s="556" t="s">
        <v>6</v>
      </c>
      <c r="C66" s="557" t="s">
        <v>909</v>
      </c>
      <c r="E66" s="550"/>
      <c r="F66" s="550"/>
    </row>
    <row r="67" spans="2:6" outlineLevel="1">
      <c r="B67" s="556" t="s">
        <v>59</v>
      </c>
      <c r="C67" s="549" t="s">
        <v>910</v>
      </c>
      <c r="E67" s="550"/>
      <c r="F67" s="550"/>
    </row>
    <row r="68" spans="2:6" outlineLevel="1">
      <c r="B68" s="556" t="s">
        <v>16</v>
      </c>
      <c r="C68" s="549" t="s">
        <v>911</v>
      </c>
      <c r="E68" s="550"/>
      <c r="F68" s="550"/>
    </row>
    <row r="69" spans="2:6" outlineLevel="1">
      <c r="B69" s="556" t="s">
        <v>20</v>
      </c>
      <c r="C69" s="549" t="s">
        <v>912</v>
      </c>
      <c r="E69" s="550"/>
      <c r="F69" s="550"/>
    </row>
    <row r="70" spans="2:6" outlineLevel="1">
      <c r="B70" s="556" t="s">
        <v>76</v>
      </c>
      <c r="C70" s="558" t="s">
        <v>913</v>
      </c>
      <c r="E70" s="550"/>
      <c r="F70" s="550"/>
    </row>
    <row r="71" spans="2:6" outlineLevel="1">
      <c r="B71" s="556" t="s">
        <v>25</v>
      </c>
      <c r="C71" s="549" t="s">
        <v>914</v>
      </c>
      <c r="E71" s="550"/>
      <c r="F71" s="55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420" t="s">
        <v>915</v>
      </c>
      <c r="B84" s="976"/>
      <c r="C84" s="977"/>
      <c r="D84" s="977"/>
      <c r="E84" s="977"/>
      <c r="F84" s="977"/>
      <c r="G84" s="977"/>
      <c r="H84" s="977"/>
      <c r="I84" s="977"/>
      <c r="J84" s="977"/>
      <c r="K84" s="977"/>
      <c r="L84" s="977"/>
      <c r="M84" s="977"/>
      <c r="N84" s="421"/>
      <c r="P84" s="977"/>
      <c r="Q84" s="977"/>
      <c r="R84" s="977"/>
      <c r="S84" s="977"/>
      <c r="T84" s="977"/>
      <c r="U84" s="977"/>
    </row>
    <row r="85" spans="1:44" ht="15" outlineLevel="1" thickBot="1">
      <c r="B85" s="976"/>
      <c r="C85" s="977"/>
      <c r="D85" s="977"/>
      <c r="E85" s="977"/>
      <c r="F85" s="977"/>
      <c r="G85" s="977"/>
      <c r="H85" s="977"/>
      <c r="I85" s="977"/>
      <c r="J85" s="977"/>
      <c r="K85" s="977"/>
      <c r="L85" s="977"/>
      <c r="M85" s="977"/>
      <c r="N85" s="421"/>
      <c r="P85" s="752">
        <v>1</v>
      </c>
      <c r="Q85" s="752">
        <v>2</v>
      </c>
      <c r="R85" s="752">
        <v>3</v>
      </c>
      <c r="S85" s="752">
        <v>4</v>
      </c>
      <c r="T85" s="752">
        <v>5</v>
      </c>
      <c r="U85" s="752">
        <v>6</v>
      </c>
      <c r="V85" s="752">
        <v>7</v>
      </c>
      <c r="W85" s="752">
        <v>8</v>
      </c>
      <c r="X85" s="752">
        <v>9</v>
      </c>
      <c r="Y85" s="752">
        <v>10</v>
      </c>
      <c r="Z85" s="752">
        <v>11</v>
      </c>
      <c r="AA85" s="752">
        <v>12</v>
      </c>
      <c r="AB85" s="752">
        <v>13</v>
      </c>
      <c r="AC85" s="752">
        <v>14</v>
      </c>
    </row>
    <row r="86" spans="1:44" ht="20.7" customHeight="1" outlineLevel="1" thickBot="1">
      <c r="B86" s="422" t="s">
        <v>0</v>
      </c>
      <c r="C86" s="1043" t="s">
        <v>916</v>
      </c>
      <c r="D86" s="1019"/>
      <c r="E86" s="1019"/>
      <c r="F86" s="1019"/>
      <c r="G86" s="1019"/>
      <c r="H86" s="1019"/>
      <c r="I86" s="1019"/>
      <c r="J86" s="1019"/>
      <c r="K86" s="1019"/>
      <c r="L86" s="1020"/>
      <c r="M86" s="423"/>
      <c r="N86" s="423"/>
      <c r="P86" s="424" t="s">
        <v>838</v>
      </c>
      <c r="Q86" s="425"/>
      <c r="R86" s="426"/>
      <c r="S86" s="985" t="s">
        <v>839</v>
      </c>
      <c r="T86" s="989" t="s">
        <v>840</v>
      </c>
      <c r="U86" s="990"/>
      <c r="V86" s="989" t="s">
        <v>841</v>
      </c>
      <c r="W86" s="990"/>
      <c r="X86" s="989" t="s">
        <v>842</v>
      </c>
      <c r="Y86" s="990"/>
      <c r="Z86" s="989" t="s">
        <v>843</v>
      </c>
      <c r="AA86" s="990"/>
      <c r="AB86" s="989" t="s">
        <v>844</v>
      </c>
      <c r="AC86" s="990"/>
      <c r="AE86" s="424" t="s">
        <v>845</v>
      </c>
      <c r="AF86" s="425"/>
      <c r="AG86" s="426"/>
      <c r="AH86" s="985" t="s">
        <v>839</v>
      </c>
      <c r="AI86" s="989" t="s">
        <v>840</v>
      </c>
      <c r="AJ86" s="990"/>
      <c r="AK86" s="989" t="s">
        <v>841</v>
      </c>
      <c r="AL86" s="990"/>
      <c r="AM86" s="989" t="s">
        <v>842</v>
      </c>
      <c r="AN86" s="990"/>
      <c r="AO86" s="989" t="s">
        <v>843</v>
      </c>
      <c r="AP86" s="990"/>
      <c r="AQ86" s="989" t="s">
        <v>844</v>
      </c>
      <c r="AR86" s="990"/>
    </row>
    <row r="87" spans="1:44" ht="15" customHeight="1" outlineLevel="1" thickBot="1">
      <c r="B87" s="1010" t="s">
        <v>4</v>
      </c>
      <c r="C87" s="1012">
        <v>2020</v>
      </c>
      <c r="D87" s="1012">
        <v>2030</v>
      </c>
      <c r="E87" s="1012">
        <v>2040</v>
      </c>
      <c r="F87" s="1012">
        <v>2050</v>
      </c>
      <c r="G87" s="1014" t="s">
        <v>846</v>
      </c>
      <c r="H87" s="1015"/>
      <c r="I87" s="1014" t="s">
        <v>693</v>
      </c>
      <c r="J87" s="1015"/>
      <c r="K87" s="1016" t="s">
        <v>2</v>
      </c>
      <c r="L87" s="1016" t="s">
        <v>3</v>
      </c>
      <c r="M87" s="427"/>
      <c r="N87" s="427"/>
      <c r="P87" s="993" t="s">
        <v>0</v>
      </c>
      <c r="Q87" s="428"/>
      <c r="R87" s="428"/>
      <c r="S87" s="986"/>
      <c r="T87" s="991"/>
      <c r="U87" s="992"/>
      <c r="V87" s="991"/>
      <c r="W87" s="992"/>
      <c r="X87" s="991"/>
      <c r="Y87" s="992"/>
      <c r="Z87" s="991"/>
      <c r="AA87" s="992"/>
      <c r="AB87" s="991"/>
      <c r="AC87" s="992"/>
      <c r="AE87" s="993" t="s">
        <v>0</v>
      </c>
      <c r="AF87" s="428"/>
      <c r="AG87" s="428"/>
      <c r="AH87" s="986"/>
      <c r="AI87" s="991"/>
      <c r="AJ87" s="992"/>
      <c r="AK87" s="991"/>
      <c r="AL87" s="992"/>
      <c r="AM87" s="991"/>
      <c r="AN87" s="992"/>
      <c r="AO87" s="991"/>
      <c r="AP87" s="992"/>
      <c r="AQ87" s="991"/>
      <c r="AR87" s="992"/>
    </row>
    <row r="88" spans="1:44" ht="15" customHeight="1" outlineLevel="1" thickBot="1">
      <c r="B88" s="1011"/>
      <c r="C88" s="1013"/>
      <c r="D88" s="1013"/>
      <c r="E88" s="1013"/>
      <c r="F88" s="1013"/>
      <c r="G88" s="559" t="s">
        <v>694</v>
      </c>
      <c r="H88" s="559" t="s">
        <v>695</v>
      </c>
      <c r="I88" s="559" t="s">
        <v>694</v>
      </c>
      <c r="J88" s="559" t="s">
        <v>695</v>
      </c>
      <c r="K88" s="1017"/>
      <c r="L88" s="1017"/>
      <c r="M88" s="430"/>
      <c r="N88" s="430"/>
      <c r="P88" s="994"/>
      <c r="Q88" s="996" t="s">
        <v>847</v>
      </c>
      <c r="R88" s="997" t="s">
        <v>848</v>
      </c>
      <c r="S88" s="987"/>
      <c r="T88" s="991"/>
      <c r="U88" s="992"/>
      <c r="V88" s="991"/>
      <c r="W88" s="992"/>
      <c r="X88" s="991"/>
      <c r="Y88" s="992"/>
      <c r="Z88" s="991"/>
      <c r="AA88" s="992"/>
      <c r="AB88" s="991"/>
      <c r="AC88" s="992"/>
      <c r="AE88" s="994"/>
      <c r="AF88" s="1040" t="s">
        <v>847</v>
      </c>
      <c r="AG88" s="997" t="s">
        <v>848</v>
      </c>
      <c r="AH88" s="987"/>
      <c r="AI88" s="991"/>
      <c r="AJ88" s="992"/>
      <c r="AK88" s="991"/>
      <c r="AL88" s="992"/>
      <c r="AM88" s="991"/>
      <c r="AN88" s="992"/>
      <c r="AO88" s="991"/>
      <c r="AP88" s="992"/>
      <c r="AQ88" s="991"/>
      <c r="AR88" s="992"/>
    </row>
    <row r="89" spans="1:44" ht="29.4" outlineLevel="1" thickBot="1">
      <c r="B89" s="431" t="s">
        <v>696</v>
      </c>
      <c r="C89" s="432">
        <v>20000</v>
      </c>
      <c r="D89" s="432">
        <v>20000</v>
      </c>
      <c r="E89" s="432">
        <v>20000</v>
      </c>
      <c r="F89" s="432">
        <v>20000</v>
      </c>
      <c r="G89" s="432">
        <v>1000</v>
      </c>
      <c r="H89" s="432">
        <v>50000</v>
      </c>
      <c r="I89" s="432">
        <v>1000</v>
      </c>
      <c r="J89" s="432">
        <v>50000</v>
      </c>
      <c r="K89" s="432" t="s">
        <v>6</v>
      </c>
      <c r="L89" s="433" t="s">
        <v>850</v>
      </c>
      <c r="M89" s="430"/>
      <c r="N89" s="430"/>
      <c r="O89" s="74"/>
      <c r="P89" s="995"/>
      <c r="Q89" s="988"/>
      <c r="R89" s="998"/>
      <c r="S89" s="988"/>
      <c r="T89" s="434" t="s">
        <v>851</v>
      </c>
      <c r="U89" s="435" t="s">
        <v>852</v>
      </c>
      <c r="V89" s="434" t="s">
        <v>851</v>
      </c>
      <c r="W89" s="435" t="s">
        <v>852</v>
      </c>
      <c r="X89" s="434" t="s">
        <v>851</v>
      </c>
      <c r="Y89" s="435" t="s">
        <v>852</v>
      </c>
      <c r="Z89" s="434" t="s">
        <v>851</v>
      </c>
      <c r="AA89" s="435" t="s">
        <v>852</v>
      </c>
      <c r="AB89" s="434" t="s">
        <v>851</v>
      </c>
      <c r="AC89" s="435" t="s">
        <v>852</v>
      </c>
      <c r="AE89" s="995"/>
      <c r="AF89" s="1041"/>
      <c r="AG89" s="998"/>
      <c r="AH89" s="988"/>
      <c r="AI89" s="434" t="s">
        <v>851</v>
      </c>
      <c r="AJ89" s="435" t="s">
        <v>852</v>
      </c>
      <c r="AK89" s="434" t="s">
        <v>851</v>
      </c>
      <c r="AL89" s="435" t="s">
        <v>852</v>
      </c>
      <c r="AM89" s="434" t="s">
        <v>851</v>
      </c>
      <c r="AN89" s="435" t="s">
        <v>852</v>
      </c>
      <c r="AO89" s="434" t="s">
        <v>851</v>
      </c>
      <c r="AP89" s="435" t="s">
        <v>852</v>
      </c>
      <c r="AQ89" s="434" t="s">
        <v>851</v>
      </c>
      <c r="AR89" s="435" t="s">
        <v>852</v>
      </c>
    </row>
    <row r="90" spans="1:44" ht="15" customHeight="1" outlineLevel="1">
      <c r="B90" s="560" t="s">
        <v>853</v>
      </c>
      <c r="C90" s="561">
        <v>96</v>
      </c>
      <c r="D90" s="561">
        <v>97</v>
      </c>
      <c r="E90" s="562">
        <v>98</v>
      </c>
      <c r="F90" s="561">
        <v>98</v>
      </c>
      <c r="G90" s="561">
        <v>90</v>
      </c>
      <c r="H90" s="561">
        <v>98</v>
      </c>
      <c r="I90" s="561">
        <v>90</v>
      </c>
      <c r="J90" s="561">
        <v>98</v>
      </c>
      <c r="K90" s="563" t="s">
        <v>59</v>
      </c>
      <c r="L90" s="564" t="s">
        <v>854</v>
      </c>
      <c r="M90" s="430"/>
      <c r="N90" s="430"/>
      <c r="P90" s="1042" t="str">
        <f>C86</f>
        <v>Hot water boiler, Oil</v>
      </c>
      <c r="Q90" s="1030" t="s">
        <v>855</v>
      </c>
      <c r="R90" s="441" t="s">
        <v>856</v>
      </c>
      <c r="S90" s="442"/>
      <c r="T90" s="1033">
        <v>0</v>
      </c>
      <c r="U90" s="1021">
        <v>0</v>
      </c>
      <c r="V90" s="1033">
        <v>0</v>
      </c>
      <c r="W90" s="1021">
        <v>0</v>
      </c>
      <c r="X90" s="1033">
        <v>0</v>
      </c>
      <c r="Y90" s="1021">
        <v>0</v>
      </c>
      <c r="Z90" s="1033">
        <v>0</v>
      </c>
      <c r="AA90" s="1021">
        <v>0</v>
      </c>
      <c r="AB90" s="1033">
        <v>0</v>
      </c>
      <c r="AC90" s="1021">
        <v>0</v>
      </c>
      <c r="AE90" s="1027" t="str">
        <f>P90</f>
        <v>Hot water boiler, Oil</v>
      </c>
      <c r="AF90" s="1030" t="s">
        <v>855</v>
      </c>
      <c r="AG90" s="441" t="s">
        <v>856</v>
      </c>
      <c r="AH90" s="442"/>
      <c r="AI90" s="1033">
        <v>0</v>
      </c>
      <c r="AJ90" s="1021">
        <v>0</v>
      </c>
      <c r="AK90" s="1033">
        <v>0</v>
      </c>
      <c r="AL90" s="1021">
        <v>0</v>
      </c>
      <c r="AM90" s="1033">
        <v>0</v>
      </c>
      <c r="AN90" s="1021">
        <v>0</v>
      </c>
      <c r="AO90" s="1033">
        <v>0</v>
      </c>
      <c r="AP90" s="1021">
        <v>0</v>
      </c>
      <c r="AQ90" s="1033">
        <v>0</v>
      </c>
      <c r="AR90" s="1021">
        <v>0</v>
      </c>
    </row>
    <row r="91" spans="1:44" outlineLevel="1">
      <c r="B91" s="443" t="s">
        <v>857</v>
      </c>
      <c r="C91" s="444">
        <v>95</v>
      </c>
      <c r="D91" s="444">
        <v>96</v>
      </c>
      <c r="E91" s="444">
        <v>97</v>
      </c>
      <c r="F91" s="444">
        <v>97</v>
      </c>
      <c r="G91" s="565">
        <v>89</v>
      </c>
      <c r="H91" s="565">
        <v>97</v>
      </c>
      <c r="I91" s="565">
        <v>89</v>
      </c>
      <c r="J91" s="565">
        <v>97</v>
      </c>
      <c r="K91" s="432"/>
      <c r="L91" s="433" t="s">
        <v>854</v>
      </c>
      <c r="M91" s="430"/>
      <c r="N91" s="430"/>
      <c r="O91" s="71"/>
      <c r="P91" s="1028"/>
      <c r="Q91" s="1031"/>
      <c r="R91" s="448" t="s">
        <v>858</v>
      </c>
      <c r="S91" s="449"/>
      <c r="T91" s="1034"/>
      <c r="U91" s="1022"/>
      <c r="V91" s="1034"/>
      <c r="W91" s="1022"/>
      <c r="X91" s="1034"/>
      <c r="Y91" s="1022"/>
      <c r="Z91" s="1034"/>
      <c r="AA91" s="1022"/>
      <c r="AB91" s="1034"/>
      <c r="AC91" s="1022"/>
      <c r="AE91" s="1028"/>
      <c r="AF91" s="1031"/>
      <c r="AG91" s="448" t="s">
        <v>858</v>
      </c>
      <c r="AH91" s="449"/>
      <c r="AI91" s="1034"/>
      <c r="AJ91" s="1022"/>
      <c r="AK91" s="1034"/>
      <c r="AL91" s="1022"/>
      <c r="AM91" s="1034"/>
      <c r="AN91" s="1022"/>
      <c r="AO91" s="1034"/>
      <c r="AP91" s="1022"/>
      <c r="AQ91" s="1034"/>
      <c r="AR91" s="1022"/>
    </row>
    <row r="92" spans="1:44" ht="15" outlineLevel="1" thickBot="1">
      <c r="B92" s="560" t="s">
        <v>859</v>
      </c>
      <c r="C92" s="566">
        <v>0.14000000000000001</v>
      </c>
      <c r="D92" s="567">
        <v>0.12</v>
      </c>
      <c r="E92" s="567">
        <v>0.11</v>
      </c>
      <c r="F92" s="568">
        <v>0.1</v>
      </c>
      <c r="G92" s="567">
        <v>0.1</v>
      </c>
      <c r="H92" s="567">
        <v>0.14000000000000001</v>
      </c>
      <c r="I92" s="567">
        <v>0.08</v>
      </c>
      <c r="J92" s="567">
        <v>0.12</v>
      </c>
      <c r="K92" s="563" t="s">
        <v>16</v>
      </c>
      <c r="L92" s="564">
        <v>3</v>
      </c>
      <c r="M92" s="430"/>
      <c r="N92" s="430"/>
      <c r="O92" s="71"/>
      <c r="P92" s="1028"/>
      <c r="Q92" s="1032"/>
      <c r="R92" s="453" t="s">
        <v>860</v>
      </c>
      <c r="S92" s="454"/>
      <c r="T92" s="1035"/>
      <c r="U92" s="1023"/>
      <c r="V92" s="1035"/>
      <c r="W92" s="1023"/>
      <c r="X92" s="1035"/>
      <c r="Y92" s="1023"/>
      <c r="Z92" s="1035"/>
      <c r="AA92" s="1023"/>
      <c r="AB92" s="1035"/>
      <c r="AC92" s="1023"/>
      <c r="AE92" s="1028"/>
      <c r="AF92" s="1032"/>
      <c r="AG92" s="453" t="s">
        <v>860</v>
      </c>
      <c r="AH92" s="454"/>
      <c r="AI92" s="1035"/>
      <c r="AJ92" s="1023"/>
      <c r="AK92" s="1035"/>
      <c r="AL92" s="1023"/>
      <c r="AM92" s="1035"/>
      <c r="AN92" s="1023"/>
      <c r="AO92" s="1035"/>
      <c r="AP92" s="1023"/>
      <c r="AQ92" s="1035"/>
      <c r="AR92" s="1023"/>
    </row>
    <row r="93" spans="1:44" ht="15" customHeight="1" outlineLevel="1">
      <c r="B93" s="560" t="s">
        <v>702</v>
      </c>
      <c r="C93" s="566">
        <v>1.1000000000000001</v>
      </c>
      <c r="D93" s="566">
        <v>1.1000000000000001</v>
      </c>
      <c r="E93" s="566">
        <v>1.1000000000000001</v>
      </c>
      <c r="F93" s="566">
        <v>1.1000000000000001</v>
      </c>
      <c r="G93" s="566">
        <v>0.09</v>
      </c>
      <c r="H93" s="566">
        <v>2.1</v>
      </c>
      <c r="I93" s="566">
        <v>0.09</v>
      </c>
      <c r="J93" s="566">
        <v>2.1</v>
      </c>
      <c r="K93" s="563" t="s">
        <v>20</v>
      </c>
      <c r="L93" s="564">
        <v>3</v>
      </c>
      <c r="M93" s="430"/>
      <c r="N93" s="430"/>
      <c r="O93" s="71"/>
      <c r="P93" s="1028"/>
      <c r="Q93" s="1030" t="s">
        <v>861</v>
      </c>
      <c r="R93" s="455" t="s">
        <v>862</v>
      </c>
      <c r="S93" s="456" t="s">
        <v>863</v>
      </c>
      <c r="T93" s="1033">
        <v>0</v>
      </c>
      <c r="U93" s="1033">
        <v>0.67</v>
      </c>
      <c r="V93" s="1033">
        <v>0</v>
      </c>
      <c r="W93" s="1033">
        <v>0.56999999999999995</v>
      </c>
      <c r="X93" s="1033">
        <v>0</v>
      </c>
      <c r="Y93" s="1033">
        <v>0.5</v>
      </c>
      <c r="Z93" s="1033">
        <v>0</v>
      </c>
      <c r="AA93" s="1033">
        <v>0.51</v>
      </c>
      <c r="AB93" s="1033">
        <v>0</v>
      </c>
      <c r="AC93" s="1033">
        <v>0.41</v>
      </c>
      <c r="AE93" s="1028"/>
      <c r="AF93" s="1030" t="s">
        <v>861</v>
      </c>
      <c r="AG93" s="455" t="s">
        <v>862</v>
      </c>
      <c r="AH93" s="456" t="s">
        <v>863</v>
      </c>
      <c r="AI93" s="1033">
        <v>0</v>
      </c>
      <c r="AJ93" s="1033">
        <v>0.16750000000000001</v>
      </c>
      <c r="AK93" s="1033">
        <v>0</v>
      </c>
      <c r="AL93" s="1033">
        <v>0.14249999999999999</v>
      </c>
      <c r="AM93" s="1033">
        <v>0</v>
      </c>
      <c r="AN93" s="1033">
        <v>0.125</v>
      </c>
      <c r="AO93" s="1033">
        <v>0</v>
      </c>
      <c r="AP93" s="1033">
        <v>0.1275</v>
      </c>
      <c r="AQ93" s="1033">
        <v>0</v>
      </c>
      <c r="AR93" s="1033">
        <v>0.10249999999999999</v>
      </c>
    </row>
    <row r="94" spans="1:44" outlineLevel="1">
      <c r="B94" s="560" t="s">
        <v>703</v>
      </c>
      <c r="C94" s="566">
        <v>0.60000000000000009</v>
      </c>
      <c r="D94" s="566">
        <v>0.60000000000000009</v>
      </c>
      <c r="E94" s="566">
        <v>0.60000000000000009</v>
      </c>
      <c r="F94" s="566">
        <v>0.60000000000000009</v>
      </c>
      <c r="G94" s="566">
        <v>0.5</v>
      </c>
      <c r="H94" s="566">
        <v>0.8</v>
      </c>
      <c r="I94" s="566">
        <v>0.5</v>
      </c>
      <c r="J94" s="566">
        <v>0.8</v>
      </c>
      <c r="K94" s="563" t="s">
        <v>20</v>
      </c>
      <c r="L94" s="564">
        <v>3</v>
      </c>
      <c r="M94" s="427"/>
      <c r="N94" s="427"/>
      <c r="O94" s="71"/>
      <c r="P94" s="1028"/>
      <c r="Q94" s="1031"/>
      <c r="R94" s="455" t="s">
        <v>864</v>
      </c>
      <c r="S94" s="456" t="s">
        <v>863</v>
      </c>
      <c r="T94" s="1050"/>
      <c r="U94" s="1050"/>
      <c r="V94" s="1050"/>
      <c r="W94" s="1050"/>
      <c r="X94" s="1050"/>
      <c r="Y94" s="1050"/>
      <c r="Z94" s="1050"/>
      <c r="AA94" s="1050"/>
      <c r="AB94" s="1050"/>
      <c r="AC94" s="1050"/>
      <c r="AE94" s="1028"/>
      <c r="AF94" s="1031"/>
      <c r="AG94" s="455" t="s">
        <v>864</v>
      </c>
      <c r="AH94" s="456" t="s">
        <v>863</v>
      </c>
      <c r="AI94" s="1050"/>
      <c r="AJ94" s="1050"/>
      <c r="AK94" s="1050"/>
      <c r="AL94" s="1050"/>
      <c r="AM94" s="1050"/>
      <c r="AN94" s="1050"/>
      <c r="AO94" s="1050"/>
      <c r="AP94" s="1050"/>
      <c r="AQ94" s="1050"/>
      <c r="AR94" s="1050"/>
    </row>
    <row r="95" spans="1:44" outlineLevel="1">
      <c r="B95" s="443" t="s">
        <v>11</v>
      </c>
      <c r="C95" s="457">
        <v>25</v>
      </c>
      <c r="D95" s="457">
        <v>25</v>
      </c>
      <c r="E95" s="457">
        <v>25</v>
      </c>
      <c r="F95" s="457">
        <v>25</v>
      </c>
      <c r="G95" s="459">
        <v>20</v>
      </c>
      <c r="H95" s="459">
        <v>30</v>
      </c>
      <c r="I95" s="459">
        <v>20</v>
      </c>
      <c r="J95" s="459">
        <v>30</v>
      </c>
      <c r="K95" s="432"/>
      <c r="L95" s="433" t="s">
        <v>865</v>
      </c>
      <c r="M95" s="423"/>
      <c r="N95" s="423"/>
      <c r="P95" s="1028"/>
      <c r="Q95" s="1031"/>
      <c r="R95" s="455" t="s">
        <v>866</v>
      </c>
      <c r="S95" s="456"/>
      <c r="T95" s="1050"/>
      <c r="U95" s="1050"/>
      <c r="V95" s="1050"/>
      <c r="W95" s="1050"/>
      <c r="X95" s="1050"/>
      <c r="Y95" s="1050"/>
      <c r="Z95" s="1050"/>
      <c r="AA95" s="1050"/>
      <c r="AB95" s="1050"/>
      <c r="AC95" s="1050"/>
      <c r="AE95" s="1028"/>
      <c r="AF95" s="1031"/>
      <c r="AG95" s="455" t="s">
        <v>866</v>
      </c>
      <c r="AH95" s="456" t="s">
        <v>863</v>
      </c>
      <c r="AI95" s="1050"/>
      <c r="AJ95" s="1050"/>
      <c r="AK95" s="1050"/>
      <c r="AL95" s="1050"/>
      <c r="AM95" s="1050"/>
      <c r="AN95" s="1050"/>
      <c r="AO95" s="1050"/>
      <c r="AP95" s="1050"/>
      <c r="AQ95" s="1050"/>
      <c r="AR95" s="1050"/>
    </row>
    <row r="96" spans="1:44" ht="15" outlineLevel="1" thickBot="1">
      <c r="B96" s="560" t="s">
        <v>273</v>
      </c>
      <c r="C96" s="566">
        <v>0.5</v>
      </c>
      <c r="D96" s="566">
        <v>0.5</v>
      </c>
      <c r="E96" s="566">
        <v>0.5</v>
      </c>
      <c r="F96" s="566">
        <v>0.5</v>
      </c>
      <c r="G96" s="566">
        <v>0.2</v>
      </c>
      <c r="H96" s="566">
        <v>0.7</v>
      </c>
      <c r="I96" s="566">
        <v>0.2</v>
      </c>
      <c r="J96" s="566">
        <v>0.7</v>
      </c>
      <c r="K96" s="432"/>
      <c r="L96" s="460"/>
      <c r="M96" s="423"/>
      <c r="N96" s="423"/>
      <c r="P96" s="1028"/>
      <c r="Q96" s="1031"/>
      <c r="R96" s="455" t="s">
        <v>867</v>
      </c>
      <c r="S96" s="456" t="s">
        <v>863</v>
      </c>
      <c r="T96" s="1050"/>
      <c r="U96" s="1050"/>
      <c r="V96" s="1050"/>
      <c r="W96" s="1050"/>
      <c r="X96" s="1050"/>
      <c r="Y96" s="1050"/>
      <c r="Z96" s="1050"/>
      <c r="AA96" s="1050"/>
      <c r="AB96" s="1050"/>
      <c r="AC96" s="1050"/>
      <c r="AE96" s="1028"/>
      <c r="AF96" s="1031"/>
      <c r="AG96" s="455" t="s">
        <v>867</v>
      </c>
      <c r="AH96" s="456" t="s">
        <v>863</v>
      </c>
      <c r="AI96" s="1050"/>
      <c r="AJ96" s="1050"/>
      <c r="AK96" s="1050"/>
      <c r="AL96" s="1050"/>
      <c r="AM96" s="1050"/>
      <c r="AN96" s="1050"/>
      <c r="AO96" s="1050"/>
      <c r="AP96" s="1050"/>
      <c r="AQ96" s="1050"/>
      <c r="AR96" s="1050"/>
    </row>
    <row r="97" spans="1:44" ht="15" outlineLevel="1" thickBot="1">
      <c r="B97" s="461" t="s">
        <v>868</v>
      </c>
      <c r="C97" s="462"/>
      <c r="D97" s="463"/>
      <c r="E97" s="464"/>
      <c r="F97" s="465"/>
      <c r="G97" s="466"/>
      <c r="H97" s="466"/>
      <c r="I97" s="466"/>
      <c r="J97" s="466"/>
      <c r="K97" s="467"/>
      <c r="L97" s="468"/>
      <c r="M97" s="423"/>
      <c r="N97" s="423"/>
      <c r="P97" s="1028"/>
      <c r="Q97" s="1031"/>
      <c r="R97" s="469" t="s">
        <v>869</v>
      </c>
      <c r="S97" s="470" t="s">
        <v>863</v>
      </c>
      <c r="T97" s="1051"/>
      <c r="U97" s="1051"/>
      <c r="V97" s="1051"/>
      <c r="W97" s="1051"/>
      <c r="X97" s="1051"/>
      <c r="Y97" s="1051"/>
      <c r="Z97" s="1051"/>
      <c r="AA97" s="1051"/>
      <c r="AB97" s="1051"/>
      <c r="AC97" s="1051"/>
      <c r="AE97" s="1028"/>
      <c r="AF97" s="1031"/>
      <c r="AG97" s="469" t="s">
        <v>869</v>
      </c>
      <c r="AH97" s="470" t="s">
        <v>863</v>
      </c>
      <c r="AI97" s="1051"/>
      <c r="AJ97" s="1051"/>
      <c r="AK97" s="1051"/>
      <c r="AL97" s="1051"/>
      <c r="AM97" s="1051"/>
      <c r="AN97" s="1051"/>
      <c r="AO97" s="1051"/>
      <c r="AP97" s="1051"/>
      <c r="AQ97" s="1051"/>
      <c r="AR97" s="1051"/>
    </row>
    <row r="98" spans="1:44" ht="29.4" outlineLevel="1" thickBot="1">
      <c r="B98" s="560" t="s">
        <v>708</v>
      </c>
      <c r="C98" s="566">
        <v>15</v>
      </c>
      <c r="D98" s="566">
        <v>15</v>
      </c>
      <c r="E98" s="566">
        <v>15</v>
      </c>
      <c r="F98" s="566">
        <v>15</v>
      </c>
      <c r="G98" s="567"/>
      <c r="H98" s="567"/>
      <c r="I98" s="567"/>
      <c r="J98" s="567"/>
      <c r="K98" s="563"/>
      <c r="L98" s="564">
        <v>3</v>
      </c>
      <c r="M98" s="423"/>
      <c r="N98" s="423"/>
      <c r="P98" s="1029"/>
      <c r="Q98" s="471" t="s">
        <v>870</v>
      </c>
      <c r="R98" s="472" t="s">
        <v>871</v>
      </c>
      <c r="S98" s="473" t="s">
        <v>863</v>
      </c>
      <c r="T98" s="474">
        <v>1</v>
      </c>
      <c r="U98" s="475">
        <v>1</v>
      </c>
      <c r="V98" s="476">
        <v>1</v>
      </c>
      <c r="W98" s="475">
        <v>1</v>
      </c>
      <c r="X98" s="476">
        <v>1</v>
      </c>
      <c r="Y98" s="475">
        <v>1</v>
      </c>
      <c r="Z98" s="476">
        <v>1</v>
      </c>
      <c r="AA98" s="475">
        <v>1</v>
      </c>
      <c r="AB98" s="476">
        <v>1</v>
      </c>
      <c r="AC98" s="477">
        <v>1</v>
      </c>
      <c r="AE98" s="1029"/>
      <c r="AF98" s="471" t="s">
        <v>870</v>
      </c>
      <c r="AG98" s="472" t="s">
        <v>871</v>
      </c>
      <c r="AH98" s="473" t="s">
        <v>863</v>
      </c>
      <c r="AI98" s="474">
        <v>1</v>
      </c>
      <c r="AJ98" s="475">
        <v>1</v>
      </c>
      <c r="AK98" s="474">
        <v>1</v>
      </c>
      <c r="AL98" s="475">
        <v>1</v>
      </c>
      <c r="AM98" s="474">
        <v>1</v>
      </c>
      <c r="AN98" s="475">
        <v>1</v>
      </c>
      <c r="AO98" s="474">
        <v>1</v>
      </c>
      <c r="AP98" s="475">
        <v>1</v>
      </c>
      <c r="AQ98" s="474">
        <v>1</v>
      </c>
      <c r="AR98" s="477">
        <v>1</v>
      </c>
    </row>
    <row r="99" spans="1:44" outlineLevel="1">
      <c r="B99" s="560" t="s">
        <v>709</v>
      </c>
      <c r="C99" s="566">
        <v>0.1</v>
      </c>
      <c r="D99" s="566">
        <v>0.1</v>
      </c>
      <c r="E99" s="566">
        <v>0.1</v>
      </c>
      <c r="F99" s="566">
        <v>0.1</v>
      </c>
      <c r="G99" s="569"/>
      <c r="H99" s="569"/>
      <c r="I99" s="569"/>
      <c r="J99" s="569"/>
      <c r="K99" s="570"/>
      <c r="L99" s="564">
        <v>3</v>
      </c>
      <c r="M99" s="423"/>
      <c r="N99" s="423"/>
    </row>
    <row r="100" spans="1:44" outlineLevel="1">
      <c r="B100" s="560" t="s">
        <v>711</v>
      </c>
      <c r="C100" s="566">
        <v>0.4</v>
      </c>
      <c r="D100" s="566">
        <v>0.4</v>
      </c>
      <c r="E100" s="566">
        <v>0.4</v>
      </c>
      <c r="F100" s="566">
        <v>0.4</v>
      </c>
      <c r="G100" s="569"/>
      <c r="H100" s="569"/>
      <c r="I100" s="569"/>
      <c r="J100" s="569"/>
      <c r="K100" s="570"/>
      <c r="L100" s="564">
        <v>3</v>
      </c>
      <c r="M100" s="480"/>
      <c r="N100" s="423"/>
    </row>
    <row r="101" spans="1:44" outlineLevel="1">
      <c r="B101" s="481" t="s">
        <v>12</v>
      </c>
      <c r="C101" s="459"/>
      <c r="D101" s="459"/>
      <c r="E101" s="459"/>
      <c r="F101" s="459"/>
      <c r="G101" s="482"/>
      <c r="H101" s="482"/>
      <c r="I101" s="482"/>
      <c r="J101" s="482"/>
      <c r="K101" s="483"/>
      <c r="L101" s="484"/>
      <c r="M101" s="480"/>
      <c r="N101" s="480"/>
    </row>
    <row r="102" spans="1:44" ht="15.6" outlineLevel="1">
      <c r="B102" s="443" t="s">
        <v>872</v>
      </c>
      <c r="C102" s="457">
        <v>0.5</v>
      </c>
      <c r="D102" s="457">
        <v>0.5</v>
      </c>
      <c r="E102" s="457">
        <v>0.5</v>
      </c>
      <c r="F102" s="457">
        <v>0.5</v>
      </c>
      <c r="G102" s="482"/>
      <c r="H102" s="485"/>
      <c r="I102" s="485"/>
      <c r="J102" s="485"/>
      <c r="K102" s="486" t="s">
        <v>76</v>
      </c>
      <c r="L102" s="487" t="s">
        <v>873</v>
      </c>
      <c r="M102" s="488"/>
      <c r="N102" s="488"/>
    </row>
    <row r="103" spans="1:44" outlineLevel="1">
      <c r="B103" s="443" t="s">
        <v>874</v>
      </c>
      <c r="C103" s="457">
        <v>0.1</v>
      </c>
      <c r="D103" s="457">
        <v>0.1</v>
      </c>
      <c r="E103" s="457">
        <v>0.1</v>
      </c>
      <c r="F103" s="457">
        <v>0.1</v>
      </c>
      <c r="G103" s="485"/>
      <c r="H103" s="485"/>
      <c r="I103" s="485"/>
      <c r="J103" s="485"/>
      <c r="K103" s="483"/>
      <c r="L103" s="487">
        <v>9</v>
      </c>
      <c r="M103" s="488"/>
      <c r="N103" s="488"/>
    </row>
    <row r="104" spans="1:44" ht="15.6" outlineLevel="1">
      <c r="B104" s="443" t="s">
        <v>875</v>
      </c>
      <c r="C104" s="457">
        <v>25</v>
      </c>
      <c r="D104" s="457">
        <v>20</v>
      </c>
      <c r="E104" s="457">
        <v>18</v>
      </c>
      <c r="F104" s="457">
        <v>15</v>
      </c>
      <c r="G104" s="485"/>
      <c r="H104" s="485"/>
      <c r="I104" s="485"/>
      <c r="J104" s="485"/>
      <c r="K104" s="483"/>
      <c r="L104" s="487" t="s">
        <v>873</v>
      </c>
      <c r="M104" s="488"/>
      <c r="N104" s="488"/>
    </row>
    <row r="105" spans="1:44" outlineLevel="1">
      <c r="B105" s="443" t="s">
        <v>366</v>
      </c>
      <c r="C105" s="457">
        <v>0</v>
      </c>
      <c r="D105" s="457">
        <v>0</v>
      </c>
      <c r="E105" s="457">
        <v>0</v>
      </c>
      <c r="F105" s="457">
        <v>0</v>
      </c>
      <c r="G105" s="485"/>
      <c r="H105" s="485"/>
      <c r="I105" s="485"/>
      <c r="J105" s="485"/>
      <c r="K105" s="483"/>
      <c r="L105" s="487" t="s">
        <v>873</v>
      </c>
      <c r="M105" s="488"/>
      <c r="N105" s="488"/>
    </row>
    <row r="106" spans="1:44" ht="15" outlineLevel="1" thickBot="1">
      <c r="B106" s="489" t="s">
        <v>367</v>
      </c>
      <c r="C106" s="490">
        <v>0</v>
      </c>
      <c r="D106" s="490">
        <v>0</v>
      </c>
      <c r="E106" s="490">
        <v>0</v>
      </c>
      <c r="F106" s="490">
        <v>0</v>
      </c>
      <c r="G106" s="485"/>
      <c r="H106" s="485"/>
      <c r="I106" s="485"/>
      <c r="J106" s="485"/>
      <c r="K106" s="483"/>
      <c r="L106" s="487" t="s">
        <v>873</v>
      </c>
      <c r="M106" s="488"/>
      <c r="N106" s="488"/>
    </row>
    <row r="107" spans="1:44" ht="15" outlineLevel="1" thickBot="1">
      <c r="B107" s="491" t="s">
        <v>719</v>
      </c>
      <c r="C107" s="492"/>
      <c r="D107" s="463"/>
      <c r="E107" s="463"/>
      <c r="F107" s="493"/>
      <c r="G107" s="494"/>
      <c r="H107" s="466"/>
      <c r="I107" s="466"/>
      <c r="J107" s="466"/>
      <c r="K107" s="467"/>
      <c r="L107" s="468"/>
      <c r="M107" s="488"/>
      <c r="N107" s="488"/>
    </row>
    <row r="108" spans="1:44" outlineLevel="1">
      <c r="A108" s="495"/>
      <c r="B108" s="496" t="s">
        <v>917</v>
      </c>
      <c r="C108" s="571">
        <v>4.4000000000000004E-2</v>
      </c>
      <c r="D108" s="572">
        <v>3.7261104389205602E-2</v>
      </c>
      <c r="E108" s="572">
        <v>3.5680000000000003E-2</v>
      </c>
      <c r="F108" s="573">
        <v>3.523649477443936E-2</v>
      </c>
      <c r="G108" s="485"/>
      <c r="H108" s="485"/>
      <c r="I108" s="485"/>
      <c r="J108" s="485"/>
      <c r="K108" s="486" t="s">
        <v>877</v>
      </c>
      <c r="L108" s="500" t="s">
        <v>878</v>
      </c>
      <c r="M108" s="480"/>
      <c r="N108" s="480"/>
    </row>
    <row r="109" spans="1:44" outlineLevel="1">
      <c r="B109" s="501" t="s">
        <v>879</v>
      </c>
      <c r="C109" s="502">
        <v>60</v>
      </c>
      <c r="D109" s="502">
        <v>60</v>
      </c>
      <c r="E109" s="502">
        <v>60</v>
      </c>
      <c r="F109" s="502">
        <v>60</v>
      </c>
      <c r="G109" s="485"/>
      <c r="H109" s="485"/>
      <c r="I109" s="485"/>
      <c r="J109" s="485"/>
      <c r="K109" s="504"/>
      <c r="L109" s="433">
        <v>3</v>
      </c>
      <c r="M109" s="71"/>
      <c r="N109" s="480"/>
    </row>
    <row r="110" spans="1:44" outlineLevel="1">
      <c r="B110" s="501" t="s">
        <v>880</v>
      </c>
      <c r="C110" s="502">
        <v>40</v>
      </c>
      <c r="D110" s="502">
        <v>40</v>
      </c>
      <c r="E110" s="502">
        <v>40</v>
      </c>
      <c r="F110" s="502">
        <v>40</v>
      </c>
      <c r="G110" s="485"/>
      <c r="H110" s="485"/>
      <c r="I110" s="485"/>
      <c r="J110" s="485"/>
      <c r="K110" s="504"/>
      <c r="L110" s="433">
        <v>3</v>
      </c>
      <c r="M110" s="480"/>
      <c r="N110" s="480"/>
    </row>
    <row r="111" spans="1:44" outlineLevel="1">
      <c r="B111" s="443" t="s">
        <v>918</v>
      </c>
      <c r="C111" s="505">
        <f>1800/1000</f>
        <v>1.8</v>
      </c>
      <c r="D111" s="506">
        <v>1.7</v>
      </c>
      <c r="E111" s="506">
        <v>1.6</v>
      </c>
      <c r="F111" s="507">
        <v>1.5</v>
      </c>
      <c r="G111" s="485"/>
      <c r="H111" s="485"/>
      <c r="I111" s="485"/>
      <c r="J111" s="485"/>
      <c r="K111" s="508"/>
      <c r="L111" s="433">
        <v>3</v>
      </c>
      <c r="M111" s="480"/>
      <c r="N111" s="480"/>
    </row>
    <row r="112" spans="1:44" outlineLevel="1">
      <c r="B112" s="443" t="s">
        <v>919</v>
      </c>
      <c r="C112" s="509">
        <f>1/3.6</f>
        <v>0.27777777777777779</v>
      </c>
      <c r="D112" s="509">
        <f>0.9/3.6</f>
        <v>0.25</v>
      </c>
      <c r="E112" s="509">
        <f>0.9/3.6</f>
        <v>0.25</v>
      </c>
      <c r="F112" s="509">
        <f>0.9/3.6</f>
        <v>0.25</v>
      </c>
      <c r="G112" s="485"/>
      <c r="H112" s="485"/>
      <c r="I112" s="485"/>
      <c r="J112" s="485"/>
      <c r="K112" s="508"/>
      <c r="L112" s="433">
        <v>3</v>
      </c>
      <c r="M112" s="510"/>
      <c r="N112" s="421"/>
      <c r="P112" s="999">
        <f>C112</f>
        <v>0.27777777777777779</v>
      </c>
      <c r="Q112" s="977"/>
      <c r="R112" s="977"/>
      <c r="S112" s="977"/>
      <c r="T112" s="977"/>
      <c r="U112" s="1000"/>
    </row>
    <row r="113" spans="2:30" ht="15" outlineLevel="1" thickBot="1">
      <c r="B113" s="560" t="s">
        <v>883</v>
      </c>
      <c r="C113" s="574">
        <v>0.10220000000000001</v>
      </c>
      <c r="D113" s="574">
        <v>0.09</v>
      </c>
      <c r="E113" s="574">
        <v>8.3600000000000008E-2</v>
      </c>
      <c r="F113" s="574">
        <v>7.5999999999999998E-2</v>
      </c>
      <c r="G113" s="575"/>
      <c r="H113" s="575"/>
      <c r="I113" s="575"/>
      <c r="J113" s="575"/>
      <c r="K113" s="563" t="s">
        <v>52</v>
      </c>
      <c r="L113" s="564">
        <v>3</v>
      </c>
      <c r="M113" s="510"/>
      <c r="N113" s="421"/>
      <c r="P113" s="1001">
        <f>C113</f>
        <v>0.10220000000000001</v>
      </c>
      <c r="Q113" s="1002"/>
      <c r="R113" s="1002"/>
      <c r="S113" s="1002"/>
      <c r="T113" s="1002"/>
      <c r="U113" s="1003"/>
    </row>
    <row r="114" spans="2:30" outlineLevel="1">
      <c r="B114" s="560" t="s">
        <v>884</v>
      </c>
      <c r="C114" s="576">
        <v>0.89779999999999993</v>
      </c>
      <c r="D114" s="576">
        <v>0.81</v>
      </c>
      <c r="E114" s="576">
        <v>0.81640000000000001</v>
      </c>
      <c r="F114" s="576">
        <v>0.82400000000000007</v>
      </c>
      <c r="G114" s="575"/>
      <c r="H114" s="575"/>
      <c r="I114" s="575"/>
      <c r="J114" s="575"/>
      <c r="K114" s="577"/>
      <c r="L114" s="564">
        <v>3</v>
      </c>
      <c r="M114" s="423"/>
      <c r="N114" s="423"/>
      <c r="P114" s="53" t="s">
        <v>357</v>
      </c>
    </row>
    <row r="115" spans="2:30" ht="27.6" outlineLevel="1">
      <c r="B115" s="501"/>
      <c r="C115" s="578"/>
      <c r="D115" s="578"/>
      <c r="E115" s="578"/>
      <c r="F115" s="578"/>
      <c r="G115" s="485"/>
      <c r="H115" s="485"/>
      <c r="I115" s="485"/>
      <c r="J115" s="485"/>
      <c r="K115" s="504"/>
      <c r="L115" s="484"/>
      <c r="M115" s="427"/>
      <c r="N115" s="42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79"/>
      <c r="C116" s="502"/>
      <c r="D116" s="580"/>
      <c r="E116" s="580"/>
      <c r="F116" s="581"/>
      <c r="G116" s="485"/>
      <c r="H116" s="485"/>
      <c r="I116" s="485"/>
      <c r="J116" s="485"/>
      <c r="K116" s="508"/>
      <c r="L116" s="484"/>
      <c r="M116" s="423"/>
      <c r="N116" s="423"/>
      <c r="P116" s="50"/>
      <c r="Q116" s="50"/>
      <c r="R116" s="51"/>
      <c r="S116" s="51"/>
      <c r="T116" s="51"/>
      <c r="U116" s="51" t="s">
        <v>885</v>
      </c>
      <c r="V116" s="50" t="s">
        <v>886</v>
      </c>
      <c r="W116" s="50"/>
      <c r="X116" s="50"/>
      <c r="Y116" s="50"/>
      <c r="Z116" s="50"/>
      <c r="AA116" s="50"/>
      <c r="AB116" s="50"/>
      <c r="AC116" s="50"/>
      <c r="AD116" s="50"/>
    </row>
    <row r="117" spans="2:30" ht="43.8" outlineLevel="1" thickBot="1">
      <c r="B117" s="461" t="s">
        <v>727</v>
      </c>
      <c r="C117" s="462"/>
      <c r="D117" s="463"/>
      <c r="E117" s="464"/>
      <c r="F117" s="465"/>
      <c r="G117" s="466"/>
      <c r="H117" s="466"/>
      <c r="I117" s="466"/>
      <c r="J117" s="466"/>
      <c r="K117" s="519"/>
      <c r="L117" s="520"/>
      <c r="M117" s="423"/>
      <c r="N117" s="423"/>
      <c r="O117" s="521" t="s">
        <v>857</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82" t="s">
        <v>887</v>
      </c>
      <c r="C118" s="583">
        <v>3.5000000000000003E-2</v>
      </c>
      <c r="D118" s="583">
        <v>0.03</v>
      </c>
      <c r="E118" s="583">
        <v>0.03</v>
      </c>
      <c r="F118" s="583">
        <v>0.03</v>
      </c>
      <c r="G118" s="584"/>
      <c r="H118" s="584"/>
      <c r="I118" s="584"/>
      <c r="J118" s="584"/>
      <c r="K118" s="584" t="s">
        <v>55</v>
      </c>
      <c r="L118" s="585"/>
      <c r="M118" s="423"/>
      <c r="N118" s="423"/>
      <c r="O118" s="525">
        <f>C91</f>
        <v>95</v>
      </c>
      <c r="P118" s="526">
        <f>C87</f>
        <v>2020</v>
      </c>
      <c r="Q118" s="58">
        <f>P118</f>
        <v>2020</v>
      </c>
      <c r="R118" s="526">
        <f>O118/100</f>
        <v>0.95</v>
      </c>
      <c r="S118" s="58"/>
      <c r="T118" s="526">
        <f>C95</f>
        <v>25</v>
      </c>
      <c r="U118" s="527">
        <f>C125</f>
        <v>327.8</v>
      </c>
      <c r="V118" s="527">
        <f>C127</f>
        <v>13.41</v>
      </c>
      <c r="W118" s="527">
        <f>C128</f>
        <v>2.0694444444444446</v>
      </c>
      <c r="X118" s="58"/>
      <c r="Y118" s="58"/>
      <c r="Z118" s="526">
        <f>C102</f>
        <v>0.5</v>
      </c>
      <c r="AA118" s="528">
        <f>C104</f>
        <v>25</v>
      </c>
      <c r="AB118" s="528">
        <f>C105</f>
        <v>0</v>
      </c>
      <c r="AC118" s="528">
        <f>C106</f>
        <v>0</v>
      </c>
      <c r="AD118" s="528">
        <f>C103</f>
        <v>0.1</v>
      </c>
    </row>
    <row r="119" spans="2:30" outlineLevel="1">
      <c r="B119" s="560" t="s">
        <v>888</v>
      </c>
      <c r="C119" s="586" t="s">
        <v>36</v>
      </c>
      <c r="D119" s="587" t="s">
        <v>36</v>
      </c>
      <c r="E119" s="587" t="s">
        <v>36</v>
      </c>
      <c r="F119" s="588" t="s">
        <v>36</v>
      </c>
      <c r="G119" s="588"/>
      <c r="H119" s="588"/>
      <c r="I119" s="588"/>
      <c r="J119" s="588"/>
      <c r="K119" s="589" t="s">
        <v>49</v>
      </c>
      <c r="L119" s="585"/>
      <c r="M119" s="423"/>
      <c r="N119" s="423"/>
      <c r="O119" s="525">
        <f>D91</f>
        <v>96</v>
      </c>
      <c r="P119" s="526">
        <f>D87</f>
        <v>2030</v>
      </c>
      <c r="Q119" s="58"/>
      <c r="R119" s="526">
        <f>O119/100</f>
        <v>0.96</v>
      </c>
      <c r="S119" s="58"/>
      <c r="T119" s="526">
        <f>D95</f>
        <v>25</v>
      </c>
      <c r="U119" s="527">
        <f>D125</f>
        <v>277.5952276995817</v>
      </c>
      <c r="V119" s="527">
        <f>D127</f>
        <v>12.664999999999999</v>
      </c>
      <c r="W119" s="527">
        <f>D128</f>
        <v>1.8625</v>
      </c>
      <c r="X119" s="58"/>
      <c r="Y119" s="58"/>
      <c r="Z119" s="526">
        <f>D102</f>
        <v>0.5</v>
      </c>
      <c r="AA119" s="528">
        <f>D104</f>
        <v>20</v>
      </c>
      <c r="AB119" s="528">
        <f>D105</f>
        <v>0</v>
      </c>
      <c r="AC119" s="528">
        <f>D106</f>
        <v>0</v>
      </c>
      <c r="AD119" s="528">
        <f>D103</f>
        <v>0.1</v>
      </c>
    </row>
    <row r="120" spans="2:30" outlineLevel="1">
      <c r="B120" s="560" t="s">
        <v>889</v>
      </c>
      <c r="C120" s="586" t="s">
        <v>36</v>
      </c>
      <c r="D120" s="587" t="s">
        <v>36</v>
      </c>
      <c r="E120" s="587" t="s">
        <v>36</v>
      </c>
      <c r="F120" s="588" t="s">
        <v>36</v>
      </c>
      <c r="G120" s="575"/>
      <c r="H120" s="575"/>
      <c r="I120" s="575"/>
      <c r="J120" s="575"/>
      <c r="K120" s="575"/>
      <c r="L120" s="564"/>
      <c r="M120" s="423"/>
      <c r="N120" s="423"/>
      <c r="O120" s="525">
        <f>E91</f>
        <v>97</v>
      </c>
      <c r="P120" s="526">
        <f>E87</f>
        <v>2040</v>
      </c>
      <c r="Q120" s="58"/>
      <c r="R120" s="526">
        <f>O120/100</f>
        <v>0.97</v>
      </c>
      <c r="S120" s="58"/>
      <c r="T120" s="526">
        <f>E95</f>
        <v>25</v>
      </c>
      <c r="U120" s="527">
        <f>E125</f>
        <v>265.81600000000003</v>
      </c>
      <c r="V120" s="527">
        <f>E127</f>
        <v>11.920000000000002</v>
      </c>
      <c r="W120" s="527">
        <f>E128</f>
        <v>1.8625</v>
      </c>
      <c r="X120" s="58"/>
      <c r="Y120" s="58"/>
      <c r="Z120" s="526">
        <f>E102</f>
        <v>0.5</v>
      </c>
      <c r="AA120" s="528">
        <f>E104</f>
        <v>18</v>
      </c>
      <c r="AB120" s="528">
        <f>E105</f>
        <v>0</v>
      </c>
      <c r="AC120" s="528">
        <f>E106</f>
        <v>0</v>
      </c>
      <c r="AD120" s="528">
        <f>E103</f>
        <v>0.1</v>
      </c>
    </row>
    <row r="121" spans="2:30" outlineLevel="1">
      <c r="B121" s="560" t="s">
        <v>890</v>
      </c>
      <c r="C121" s="590">
        <v>90</v>
      </c>
      <c r="D121" s="590">
        <v>90</v>
      </c>
      <c r="E121" s="590">
        <v>90</v>
      </c>
      <c r="F121" s="590">
        <v>90</v>
      </c>
      <c r="G121" s="591"/>
      <c r="H121" s="591"/>
      <c r="I121" s="591"/>
      <c r="J121" s="591"/>
      <c r="K121" s="591"/>
      <c r="L121" s="564">
        <v>3</v>
      </c>
      <c r="M121" s="423"/>
      <c r="N121" s="423"/>
      <c r="O121" s="525">
        <f>F91</f>
        <v>97</v>
      </c>
      <c r="P121" s="526">
        <f>F87</f>
        <v>2050</v>
      </c>
      <c r="Q121" s="58"/>
      <c r="R121" s="526">
        <f>O121/100</f>
        <v>0.97</v>
      </c>
      <c r="S121" s="58"/>
      <c r="T121" s="526">
        <f>F95</f>
        <v>25</v>
      </c>
      <c r="U121" s="527">
        <f>F125</f>
        <v>262.51188606957328</v>
      </c>
      <c r="V121" s="527">
        <f>F127</f>
        <v>11.175000000000001</v>
      </c>
      <c r="W121" s="527">
        <f>F128</f>
        <v>1.8625</v>
      </c>
      <c r="X121" s="58"/>
      <c r="Y121" s="58"/>
      <c r="Z121" s="526">
        <f>F102</f>
        <v>0.5</v>
      </c>
      <c r="AA121" s="528">
        <f>F104</f>
        <v>15</v>
      </c>
      <c r="AB121" s="528">
        <f>F105</f>
        <v>0</v>
      </c>
      <c r="AC121" s="528">
        <f>F106</f>
        <v>0</v>
      </c>
      <c r="AD121" s="528">
        <f>F103</f>
        <v>0.1</v>
      </c>
    </row>
    <row r="122" spans="2:30" outlineLevel="1">
      <c r="B122" s="592" t="s">
        <v>891</v>
      </c>
      <c r="C122" s="586"/>
      <c r="D122" s="587"/>
      <c r="E122" s="587"/>
      <c r="F122" s="588"/>
      <c r="G122" s="591"/>
      <c r="H122" s="591"/>
      <c r="I122" s="591"/>
      <c r="J122" s="591"/>
      <c r="K122" s="591"/>
      <c r="L122" s="593"/>
      <c r="M122" s="427"/>
      <c r="N122" s="427"/>
    </row>
    <row r="123" spans="2:30" outlineLevel="1">
      <c r="B123" s="592" t="s">
        <v>892</v>
      </c>
      <c r="C123" s="586"/>
      <c r="D123" s="587"/>
      <c r="E123" s="587"/>
      <c r="F123" s="588"/>
      <c r="G123" s="591"/>
      <c r="H123" s="591"/>
      <c r="I123" s="591"/>
      <c r="J123" s="591"/>
      <c r="K123" s="591"/>
      <c r="L123" s="593"/>
      <c r="M123" s="423"/>
      <c r="N123" s="423"/>
    </row>
    <row r="124" spans="2:30" ht="15" outlineLevel="1" thickBot="1">
      <c r="B124" s="594" t="s">
        <v>893</v>
      </c>
      <c r="C124" s="595"/>
      <c r="D124" s="596"/>
      <c r="E124" s="596"/>
      <c r="F124" s="597"/>
      <c r="G124" s="598"/>
      <c r="H124" s="598"/>
      <c r="I124" s="598"/>
      <c r="J124" s="598"/>
      <c r="K124" s="598"/>
      <c r="L124" s="599"/>
      <c r="M124" s="423"/>
      <c r="N124" s="423"/>
    </row>
    <row r="125" spans="2:30" ht="57.6" outlineLevel="1">
      <c r="B125" s="521" t="s">
        <v>894</v>
      </c>
      <c r="C125" s="543">
        <f>C108*$F$4*1000</f>
        <v>327.8</v>
      </c>
      <c r="D125" s="543">
        <f t="shared" ref="D125:F125" si="3">D108*$F$4*1000</f>
        <v>277.5952276995817</v>
      </c>
      <c r="E125" s="543">
        <f t="shared" si="3"/>
        <v>265.81600000000003</v>
      </c>
      <c r="F125" s="543">
        <f t="shared" si="3"/>
        <v>262.51188606957328</v>
      </c>
      <c r="G125" s="543"/>
      <c r="H125" s="544"/>
      <c r="I125" s="480" t="s">
        <v>332</v>
      </c>
      <c r="J125" s="480"/>
      <c r="K125" s="544"/>
      <c r="L125" s="544"/>
      <c r="N125" s="480"/>
    </row>
    <row r="126" spans="2:30" outlineLevel="1">
      <c r="B126" s="545" t="s">
        <v>895</v>
      </c>
      <c r="C126" s="546">
        <f>C125*$I126</f>
        <v>163900</v>
      </c>
      <c r="D126" s="546">
        <f>D125*$I126</f>
        <v>138797.61384979085</v>
      </c>
      <c r="E126" s="546">
        <f>E125*$I126</f>
        <v>132908.00000000003</v>
      </c>
      <c r="F126" s="546">
        <f>F125*$I126</f>
        <v>131255.94303478664</v>
      </c>
      <c r="G126" s="546"/>
      <c r="H126" s="544"/>
      <c r="I126" s="71">
        <v>500</v>
      </c>
      <c r="J126" s="480" t="s">
        <v>330</v>
      </c>
      <c r="K126" s="544"/>
      <c r="L126" s="544"/>
      <c r="N126" s="480"/>
    </row>
    <row r="127" spans="2:30" ht="43.2" outlineLevel="1">
      <c r="B127" s="521" t="s">
        <v>896</v>
      </c>
      <c r="C127" s="419">
        <f>C111*$F$4</f>
        <v>13.41</v>
      </c>
      <c r="D127" s="419">
        <f t="shared" ref="D127:F128" si="4">D111*$F$4</f>
        <v>12.664999999999999</v>
      </c>
      <c r="E127" s="419">
        <f t="shared" si="4"/>
        <v>11.920000000000002</v>
      </c>
      <c r="F127" s="419">
        <f t="shared" si="4"/>
        <v>11.175000000000001</v>
      </c>
      <c r="G127" s="419"/>
      <c r="I127" s="480" t="s">
        <v>333</v>
      </c>
      <c r="J127" s="480"/>
      <c r="N127" s="480"/>
    </row>
    <row r="128" spans="2:30" ht="43.2" outlineLevel="1">
      <c r="B128" s="521" t="s">
        <v>897</v>
      </c>
      <c r="C128" s="547">
        <f>C112*$F$4</f>
        <v>2.0694444444444446</v>
      </c>
      <c r="D128" s="547">
        <f t="shared" si="4"/>
        <v>1.8625</v>
      </c>
      <c r="E128" s="547">
        <f t="shared" si="4"/>
        <v>1.8625</v>
      </c>
      <c r="F128" s="547">
        <f t="shared" si="4"/>
        <v>1.8625</v>
      </c>
      <c r="G128" s="419"/>
      <c r="M128" s="480"/>
      <c r="N128" s="480"/>
    </row>
    <row r="129" spans="2:6" outlineLevel="1"/>
    <row r="130" spans="2:6" outlineLevel="1"/>
    <row r="131" spans="2:6" outlineLevel="1"/>
    <row r="132" spans="2:6" outlineLevel="1"/>
    <row r="133" spans="2:6" outlineLevel="1">
      <c r="B133" s="548" t="s">
        <v>898</v>
      </c>
      <c r="C133" s="549"/>
      <c r="D133" s="550"/>
      <c r="E133" s="550"/>
      <c r="F133" s="550"/>
    </row>
    <row r="134" spans="2:6" outlineLevel="1">
      <c r="B134" s="551">
        <v>1</v>
      </c>
      <c r="C134" s="552" t="s">
        <v>899</v>
      </c>
      <c r="E134" s="550"/>
      <c r="F134" s="550"/>
    </row>
    <row r="135" spans="2:6" outlineLevel="1">
      <c r="B135" s="551">
        <v>2</v>
      </c>
      <c r="C135" s="553" t="s">
        <v>900</v>
      </c>
      <c r="E135" s="550"/>
      <c r="F135" s="550"/>
    </row>
    <row r="136" spans="2:6" outlineLevel="1">
      <c r="B136" s="551">
        <v>3</v>
      </c>
      <c r="C136" s="553" t="s">
        <v>901</v>
      </c>
      <c r="E136" s="550"/>
      <c r="F136" s="550"/>
    </row>
    <row r="137" spans="2:6" outlineLevel="1">
      <c r="B137" s="551">
        <v>4</v>
      </c>
      <c r="C137" s="553" t="s">
        <v>902</v>
      </c>
      <c r="E137" s="550"/>
      <c r="F137" s="550"/>
    </row>
    <row r="138" spans="2:6" outlineLevel="1">
      <c r="B138" s="417">
        <v>5</v>
      </c>
      <c r="C138" s="554" t="s">
        <v>903</v>
      </c>
      <c r="D138" s="550"/>
      <c r="E138" s="550"/>
      <c r="F138" s="550"/>
    </row>
    <row r="139" spans="2:6" outlineLevel="1">
      <c r="B139" s="417">
        <v>6</v>
      </c>
      <c r="C139" s="552" t="s">
        <v>904</v>
      </c>
      <c r="D139" s="550"/>
      <c r="E139" s="550"/>
      <c r="F139" s="550"/>
    </row>
    <row r="140" spans="2:6" outlineLevel="1">
      <c r="B140" s="417">
        <v>7</v>
      </c>
      <c r="C140" s="555" t="s">
        <v>899</v>
      </c>
      <c r="D140" s="550"/>
      <c r="E140" s="550"/>
      <c r="F140" s="550"/>
    </row>
    <row r="141" spans="2:6" outlineLevel="1">
      <c r="B141" s="417">
        <v>8</v>
      </c>
      <c r="C141" s="555" t="s">
        <v>905</v>
      </c>
      <c r="D141" s="550"/>
      <c r="E141" s="550"/>
      <c r="F141" s="550"/>
    </row>
    <row r="142" spans="2:6" outlineLevel="1">
      <c r="B142" s="417">
        <v>9</v>
      </c>
      <c r="C142" s="549" t="s">
        <v>906</v>
      </c>
      <c r="D142" s="550"/>
      <c r="E142" s="550"/>
      <c r="F142" s="550"/>
    </row>
    <row r="143" spans="2:6" outlineLevel="1">
      <c r="B143" s="417">
        <v>10</v>
      </c>
      <c r="C143" s="550" t="s">
        <v>907</v>
      </c>
      <c r="D143" s="550"/>
      <c r="E143" s="550"/>
      <c r="F143" s="550"/>
    </row>
    <row r="144" spans="2:6" outlineLevel="1">
      <c r="B144" s="548" t="s">
        <v>908</v>
      </c>
      <c r="C144" s="549"/>
      <c r="D144" s="550"/>
      <c r="E144" s="550"/>
      <c r="F144" s="550"/>
    </row>
    <row r="145" spans="1:44" outlineLevel="1">
      <c r="B145" s="556" t="s">
        <v>6</v>
      </c>
      <c r="C145" s="557" t="s">
        <v>909</v>
      </c>
      <c r="E145" s="550"/>
      <c r="F145" s="550"/>
    </row>
    <row r="146" spans="1:44" outlineLevel="1">
      <c r="B146" s="556" t="s">
        <v>59</v>
      </c>
      <c r="C146" s="549" t="s">
        <v>910</v>
      </c>
      <c r="E146" s="550"/>
      <c r="F146" s="550"/>
    </row>
    <row r="147" spans="1:44" outlineLevel="1">
      <c r="B147" s="556" t="s">
        <v>16</v>
      </c>
      <c r="C147" s="549" t="s">
        <v>911</v>
      </c>
      <c r="E147" s="550"/>
      <c r="F147" s="550"/>
    </row>
    <row r="148" spans="1:44" outlineLevel="1">
      <c r="B148" s="556" t="s">
        <v>20</v>
      </c>
      <c r="C148" s="549" t="s">
        <v>912</v>
      </c>
      <c r="E148" s="550"/>
      <c r="F148" s="550"/>
    </row>
    <row r="149" spans="1:44" outlineLevel="1">
      <c r="B149" s="556" t="s">
        <v>76</v>
      </c>
      <c r="C149" s="558" t="s">
        <v>913</v>
      </c>
      <c r="E149" s="550"/>
      <c r="F149" s="550"/>
    </row>
    <row r="150" spans="1:44" outlineLevel="1">
      <c r="B150" s="556" t="s">
        <v>25</v>
      </c>
      <c r="C150" s="549" t="s">
        <v>914</v>
      </c>
      <c r="E150" s="550"/>
      <c r="F150" s="550"/>
    </row>
    <row r="151" spans="1:44" outlineLevel="1"/>
    <row r="152" spans="1:44" outlineLevel="1">
      <c r="M152" s="226"/>
    </row>
    <row r="153" spans="1:44" outlineLevel="1"/>
    <row r="156" spans="1:44">
      <c r="A156" s="420"/>
      <c r="B156" s="976"/>
      <c r="C156" s="977"/>
      <c r="D156" s="977"/>
      <c r="E156" s="977"/>
      <c r="F156" s="977"/>
      <c r="G156" s="977"/>
      <c r="H156" s="977"/>
      <c r="I156" s="977"/>
      <c r="J156" s="977"/>
      <c r="K156" s="977"/>
      <c r="L156" s="977"/>
      <c r="M156" s="977"/>
      <c r="N156" s="421"/>
      <c r="P156" s="977"/>
      <c r="Q156" s="977"/>
      <c r="R156" s="977"/>
      <c r="S156" s="977"/>
      <c r="T156" s="977"/>
      <c r="U156" s="977"/>
    </row>
    <row r="157" spans="1:44" ht="15" outlineLevel="1" thickBot="1">
      <c r="B157" s="976"/>
      <c r="C157" s="977"/>
      <c r="D157" s="977"/>
      <c r="E157" s="977"/>
      <c r="F157" s="977"/>
      <c r="G157" s="977"/>
      <c r="H157" s="977"/>
      <c r="I157" s="977"/>
      <c r="J157" s="977"/>
      <c r="K157" s="977"/>
      <c r="L157" s="977"/>
      <c r="M157" s="977"/>
      <c r="N157" s="421"/>
      <c r="P157" s="977"/>
      <c r="Q157" s="977"/>
      <c r="R157" s="977"/>
      <c r="S157" s="977"/>
      <c r="T157" s="977"/>
      <c r="U157" s="977"/>
    </row>
    <row r="158" spans="1:44" ht="20.7" customHeight="1" outlineLevel="1" thickBot="1">
      <c r="B158" s="422"/>
      <c r="C158" s="1043"/>
      <c r="D158" s="1019"/>
      <c r="E158" s="1019"/>
      <c r="F158" s="1019"/>
      <c r="G158" s="1019"/>
      <c r="H158" s="1019"/>
      <c r="I158" s="1019"/>
      <c r="J158" s="1019"/>
      <c r="K158" s="1019"/>
      <c r="L158" s="1020"/>
      <c r="M158" s="423"/>
      <c r="N158" s="423"/>
      <c r="P158" s="424"/>
      <c r="Q158" s="425"/>
      <c r="R158" s="426"/>
      <c r="S158" s="985"/>
      <c r="T158" s="989"/>
      <c r="U158" s="990"/>
      <c r="V158" s="989"/>
      <c r="W158" s="990"/>
      <c r="X158" s="989"/>
      <c r="Y158" s="990"/>
      <c r="Z158" s="989"/>
      <c r="AA158" s="990"/>
      <c r="AB158" s="989"/>
      <c r="AC158" s="990"/>
      <c r="AE158" s="424"/>
      <c r="AF158" s="425"/>
      <c r="AG158" s="426"/>
      <c r="AH158" s="985"/>
      <c r="AI158" s="989"/>
      <c r="AJ158" s="990"/>
      <c r="AK158" s="989"/>
      <c r="AL158" s="990"/>
      <c r="AM158" s="989"/>
      <c r="AN158" s="990"/>
      <c r="AO158" s="989"/>
      <c r="AP158" s="990"/>
      <c r="AQ158" s="989"/>
      <c r="AR158" s="990"/>
    </row>
    <row r="159" spans="1:44" ht="15" customHeight="1" outlineLevel="1" thickBot="1">
      <c r="B159" s="1010"/>
      <c r="C159" s="1012"/>
      <c r="D159" s="1012"/>
      <c r="E159" s="1012"/>
      <c r="F159" s="1012"/>
      <c r="G159" s="1057"/>
      <c r="H159" s="1058"/>
      <c r="I159" s="1057"/>
      <c r="J159" s="1058"/>
      <c r="K159" s="1046"/>
      <c r="L159" s="1046"/>
      <c r="M159" s="427"/>
      <c r="N159" s="427"/>
      <c r="P159" s="993"/>
      <c r="Q159" s="428"/>
      <c r="R159" s="428"/>
      <c r="S159" s="986"/>
      <c r="T159" s="991"/>
      <c r="U159" s="992"/>
      <c r="V159" s="991"/>
      <c r="W159" s="992"/>
      <c r="X159" s="991"/>
      <c r="Y159" s="992"/>
      <c r="Z159" s="991"/>
      <c r="AA159" s="992"/>
      <c r="AB159" s="991"/>
      <c r="AC159" s="992"/>
      <c r="AE159" s="993"/>
      <c r="AF159" s="428"/>
      <c r="AG159" s="428"/>
      <c r="AH159" s="986"/>
      <c r="AI159" s="991"/>
      <c r="AJ159" s="992"/>
      <c r="AK159" s="991"/>
      <c r="AL159" s="992"/>
      <c r="AM159" s="991"/>
      <c r="AN159" s="992"/>
      <c r="AO159" s="991"/>
      <c r="AP159" s="992"/>
      <c r="AQ159" s="991"/>
      <c r="AR159" s="992"/>
    </row>
    <row r="160" spans="1:44" ht="15" customHeight="1" outlineLevel="1" thickBot="1">
      <c r="B160" s="1011"/>
      <c r="C160" s="1013"/>
      <c r="D160" s="1013"/>
      <c r="E160" s="1013"/>
      <c r="F160" s="1013"/>
      <c r="G160" s="600"/>
      <c r="H160" s="600"/>
      <c r="I160" s="600"/>
      <c r="J160" s="600"/>
      <c r="K160" s="1047"/>
      <c r="L160" s="1047"/>
      <c r="M160" s="430"/>
      <c r="N160" s="430"/>
      <c r="P160" s="994"/>
      <c r="Q160" s="996"/>
      <c r="R160" s="997"/>
      <c r="S160" s="987"/>
      <c r="T160" s="991"/>
      <c r="U160" s="992"/>
      <c r="V160" s="991"/>
      <c r="W160" s="992"/>
      <c r="X160" s="991"/>
      <c r="Y160" s="992"/>
      <c r="Z160" s="991"/>
      <c r="AA160" s="992"/>
      <c r="AB160" s="991"/>
      <c r="AC160" s="992"/>
      <c r="AE160" s="994"/>
      <c r="AF160" s="1040"/>
      <c r="AG160" s="997"/>
      <c r="AH160" s="987"/>
      <c r="AI160" s="991"/>
      <c r="AJ160" s="992"/>
      <c r="AK160" s="991"/>
      <c r="AL160" s="992"/>
      <c r="AM160" s="991"/>
      <c r="AN160" s="992"/>
      <c r="AO160" s="991"/>
      <c r="AP160" s="992"/>
      <c r="AQ160" s="991"/>
      <c r="AR160" s="992"/>
    </row>
    <row r="161" spans="2:44" ht="15" outlineLevel="1" thickBot="1">
      <c r="B161" s="431"/>
      <c r="C161" s="432"/>
      <c r="D161" s="432"/>
      <c r="E161" s="432"/>
      <c r="F161" s="432"/>
      <c r="G161" s="432"/>
      <c r="H161" s="432"/>
      <c r="I161" s="432"/>
      <c r="J161" s="432"/>
      <c r="K161" s="432"/>
      <c r="L161" s="433"/>
      <c r="M161" s="430"/>
      <c r="N161" s="430"/>
      <c r="O161" s="74"/>
      <c r="P161" s="995"/>
      <c r="Q161" s="988"/>
      <c r="R161" s="998"/>
      <c r="S161" s="988"/>
      <c r="T161" s="434"/>
      <c r="U161" s="435"/>
      <c r="V161" s="434"/>
      <c r="W161" s="435"/>
      <c r="X161" s="434"/>
      <c r="Y161" s="435"/>
      <c r="Z161" s="434"/>
      <c r="AA161" s="435"/>
      <c r="AB161" s="434"/>
      <c r="AC161" s="435"/>
      <c r="AE161" s="995"/>
      <c r="AF161" s="1041"/>
      <c r="AG161" s="998"/>
      <c r="AH161" s="988"/>
      <c r="AI161" s="434"/>
      <c r="AJ161" s="435"/>
      <c r="AK161" s="434"/>
      <c r="AL161" s="435"/>
      <c r="AM161" s="434"/>
      <c r="AN161" s="435"/>
      <c r="AO161" s="434"/>
      <c r="AP161" s="435"/>
      <c r="AQ161" s="434"/>
      <c r="AR161" s="435"/>
    </row>
    <row r="162" spans="2:44" ht="14.7" customHeight="1" outlineLevel="1">
      <c r="B162" s="601"/>
      <c r="C162" s="602"/>
      <c r="D162" s="602"/>
      <c r="E162" s="603"/>
      <c r="F162" s="602"/>
      <c r="G162" s="602"/>
      <c r="H162" s="602"/>
      <c r="I162" s="602"/>
      <c r="J162" s="602"/>
      <c r="K162" s="432"/>
      <c r="L162" s="433"/>
      <c r="M162" s="430"/>
      <c r="N162" s="430"/>
      <c r="P162" s="1027"/>
      <c r="Q162" s="1030"/>
      <c r="R162" s="441"/>
      <c r="S162" s="442"/>
      <c r="T162" s="1033"/>
      <c r="U162" s="1021"/>
      <c r="V162" s="1033"/>
      <c r="W162" s="1021"/>
      <c r="X162" s="1033"/>
      <c r="Y162" s="1021"/>
      <c r="Z162" s="1033"/>
      <c r="AA162" s="1021"/>
      <c r="AB162" s="1033"/>
      <c r="AC162" s="1021"/>
      <c r="AE162" s="1027"/>
      <c r="AF162" s="1030"/>
      <c r="AG162" s="441"/>
      <c r="AH162" s="442"/>
      <c r="AI162" s="1033"/>
      <c r="AJ162" s="1021"/>
      <c r="AK162" s="1033"/>
      <c r="AL162" s="1021"/>
      <c r="AM162" s="1033"/>
      <c r="AN162" s="1021"/>
      <c r="AO162" s="1033"/>
      <c r="AP162" s="1021"/>
      <c r="AQ162" s="1033"/>
      <c r="AR162" s="1021"/>
    </row>
    <row r="163" spans="2:44" outlineLevel="1">
      <c r="B163" s="443"/>
      <c r="C163" s="444"/>
      <c r="D163" s="444"/>
      <c r="E163" s="444"/>
      <c r="F163" s="444"/>
      <c r="G163" s="565"/>
      <c r="H163" s="565"/>
      <c r="I163" s="565"/>
      <c r="J163" s="565"/>
      <c r="K163" s="432"/>
      <c r="L163" s="433"/>
      <c r="M163" s="430"/>
      <c r="N163" s="430"/>
      <c r="O163" s="71"/>
      <c r="P163" s="1028"/>
      <c r="Q163" s="1031"/>
      <c r="R163" s="448"/>
      <c r="S163" s="449"/>
      <c r="T163" s="1034"/>
      <c r="U163" s="1022"/>
      <c r="V163" s="1034"/>
      <c r="W163" s="1022"/>
      <c r="X163" s="1034"/>
      <c r="Y163" s="1022"/>
      <c r="Z163" s="1034"/>
      <c r="AA163" s="1022"/>
      <c r="AB163" s="1034"/>
      <c r="AC163" s="1022"/>
      <c r="AE163" s="1028"/>
      <c r="AF163" s="1031"/>
      <c r="AG163" s="448"/>
      <c r="AH163" s="449"/>
      <c r="AI163" s="1034"/>
      <c r="AJ163" s="1022"/>
      <c r="AK163" s="1034"/>
      <c r="AL163" s="1022"/>
      <c r="AM163" s="1034"/>
      <c r="AN163" s="1022"/>
      <c r="AO163" s="1034"/>
      <c r="AP163" s="1022"/>
      <c r="AQ163" s="1034"/>
      <c r="AR163" s="1022"/>
    </row>
    <row r="164" spans="2:44" ht="15" outlineLevel="1" thickBot="1">
      <c r="B164" s="601"/>
      <c r="C164" s="604"/>
      <c r="D164" s="605"/>
      <c r="E164" s="605"/>
      <c r="F164" s="606"/>
      <c r="G164" s="605"/>
      <c r="H164" s="605"/>
      <c r="I164" s="605"/>
      <c r="J164" s="605"/>
      <c r="K164" s="607"/>
      <c r="L164" s="608"/>
      <c r="M164" s="430"/>
      <c r="N164" s="430"/>
      <c r="O164" s="71"/>
      <c r="P164" s="1028"/>
      <c r="Q164" s="1032"/>
      <c r="R164" s="453"/>
      <c r="S164" s="454"/>
      <c r="T164" s="1035"/>
      <c r="U164" s="1023"/>
      <c r="V164" s="1035"/>
      <c r="W164" s="1023"/>
      <c r="X164" s="1035"/>
      <c r="Y164" s="1023"/>
      <c r="Z164" s="1035"/>
      <c r="AA164" s="1023"/>
      <c r="AB164" s="1035"/>
      <c r="AC164" s="1023"/>
      <c r="AE164" s="1028"/>
      <c r="AF164" s="1032"/>
      <c r="AG164" s="453"/>
      <c r="AH164" s="454"/>
      <c r="AI164" s="1035"/>
      <c r="AJ164" s="1023"/>
      <c r="AK164" s="1035"/>
      <c r="AL164" s="1023"/>
      <c r="AM164" s="1035"/>
      <c r="AN164" s="1023"/>
      <c r="AO164" s="1035"/>
      <c r="AP164" s="1023"/>
      <c r="AQ164" s="1035"/>
      <c r="AR164" s="1023"/>
    </row>
    <row r="165" spans="2:44" ht="14.7" customHeight="1" outlineLevel="1">
      <c r="B165" s="601"/>
      <c r="C165" s="604"/>
      <c r="D165" s="604"/>
      <c r="E165" s="604"/>
      <c r="F165" s="604"/>
      <c r="G165" s="604"/>
      <c r="H165" s="604"/>
      <c r="I165" s="604"/>
      <c r="J165" s="604"/>
      <c r="K165" s="607"/>
      <c r="L165" s="608"/>
      <c r="M165" s="430"/>
      <c r="N165" s="430"/>
      <c r="O165" s="71"/>
      <c r="P165" s="1028"/>
      <c r="Q165" s="1030"/>
      <c r="R165" s="455"/>
      <c r="S165" s="456"/>
      <c r="T165" s="1033"/>
      <c r="U165" s="1033"/>
      <c r="V165" s="1033"/>
      <c r="W165" s="1033"/>
      <c r="X165" s="1033"/>
      <c r="Y165" s="1033"/>
      <c r="Z165" s="1033"/>
      <c r="AA165" s="1033"/>
      <c r="AB165" s="1033"/>
      <c r="AC165" s="1033"/>
      <c r="AE165" s="1028"/>
      <c r="AF165" s="1030"/>
      <c r="AG165" s="455"/>
      <c r="AH165" s="456"/>
      <c r="AI165" s="1033"/>
      <c r="AJ165" s="1033"/>
      <c r="AK165" s="1033"/>
      <c r="AL165" s="1033"/>
      <c r="AM165" s="1033"/>
      <c r="AN165" s="1033"/>
      <c r="AO165" s="1033"/>
      <c r="AP165" s="1033"/>
      <c r="AQ165" s="1033"/>
      <c r="AR165" s="1033"/>
    </row>
    <row r="166" spans="2:44" outlineLevel="1">
      <c r="B166" s="601"/>
      <c r="C166" s="604"/>
      <c r="D166" s="604"/>
      <c r="E166" s="604"/>
      <c r="F166" s="604"/>
      <c r="G166" s="604"/>
      <c r="H166" s="604"/>
      <c r="I166" s="604"/>
      <c r="J166" s="604"/>
      <c r="K166" s="607"/>
      <c r="L166" s="608"/>
      <c r="M166" s="427"/>
      <c r="N166" s="427"/>
      <c r="O166" s="71"/>
      <c r="P166" s="1028"/>
      <c r="Q166" s="1031"/>
      <c r="R166" s="455"/>
      <c r="S166" s="456"/>
      <c r="T166" s="1050"/>
      <c r="U166" s="1050"/>
      <c r="V166" s="1050"/>
      <c r="W166" s="1050"/>
      <c r="X166" s="1050"/>
      <c r="Y166" s="1050"/>
      <c r="Z166" s="1050"/>
      <c r="AA166" s="1050"/>
      <c r="AB166" s="1050"/>
      <c r="AC166" s="1050"/>
      <c r="AE166" s="1028"/>
      <c r="AF166" s="1031"/>
      <c r="AG166" s="455"/>
      <c r="AH166" s="456"/>
      <c r="AI166" s="1050"/>
      <c r="AJ166" s="1050"/>
      <c r="AK166" s="1050"/>
      <c r="AL166" s="1050"/>
      <c r="AM166" s="1050"/>
      <c r="AN166" s="1050"/>
      <c r="AO166" s="1050"/>
      <c r="AP166" s="1050"/>
      <c r="AQ166" s="1050"/>
      <c r="AR166" s="1050"/>
    </row>
    <row r="167" spans="2:44" outlineLevel="1">
      <c r="B167" s="443"/>
      <c r="C167" s="457"/>
      <c r="D167" s="457"/>
      <c r="E167" s="457"/>
      <c r="F167" s="459"/>
      <c r="G167" s="459"/>
      <c r="H167" s="459"/>
      <c r="I167" s="459"/>
      <c r="J167" s="459"/>
      <c r="K167" s="432"/>
      <c r="L167" s="433"/>
      <c r="M167" s="423"/>
      <c r="N167" s="423"/>
      <c r="P167" s="1028"/>
      <c r="Q167" s="1031"/>
      <c r="R167" s="455"/>
      <c r="S167" s="456"/>
      <c r="T167" s="1050"/>
      <c r="U167" s="1050"/>
      <c r="V167" s="1050"/>
      <c r="W167" s="1050"/>
      <c r="X167" s="1050"/>
      <c r="Y167" s="1050"/>
      <c r="Z167" s="1050"/>
      <c r="AA167" s="1050"/>
      <c r="AB167" s="1050"/>
      <c r="AC167" s="1050"/>
      <c r="AE167" s="1028"/>
      <c r="AF167" s="1031"/>
      <c r="AG167" s="455"/>
      <c r="AH167" s="456"/>
      <c r="AI167" s="1050"/>
      <c r="AJ167" s="1050"/>
      <c r="AK167" s="1050"/>
      <c r="AL167" s="1050"/>
      <c r="AM167" s="1050"/>
      <c r="AN167" s="1050"/>
      <c r="AO167" s="1050"/>
      <c r="AP167" s="1050"/>
      <c r="AQ167" s="1050"/>
      <c r="AR167" s="1050"/>
    </row>
    <row r="168" spans="2:44" ht="15" outlineLevel="1" thickBot="1">
      <c r="B168" s="601"/>
      <c r="C168" s="604"/>
      <c r="D168" s="604"/>
      <c r="E168" s="604"/>
      <c r="F168" s="604"/>
      <c r="G168" s="604"/>
      <c r="H168" s="604"/>
      <c r="I168" s="604"/>
      <c r="J168" s="604"/>
      <c r="K168" s="432"/>
      <c r="L168" s="460"/>
      <c r="M168" s="423"/>
      <c r="N168" s="423"/>
      <c r="P168" s="1028"/>
      <c r="Q168" s="1031"/>
      <c r="R168" s="455"/>
      <c r="S168" s="456"/>
      <c r="T168" s="1050"/>
      <c r="U168" s="1050"/>
      <c r="V168" s="1050"/>
      <c r="W168" s="1050"/>
      <c r="X168" s="1050"/>
      <c r="Y168" s="1050"/>
      <c r="Z168" s="1050"/>
      <c r="AA168" s="1050"/>
      <c r="AB168" s="1050"/>
      <c r="AC168" s="1050"/>
      <c r="AE168" s="1028"/>
      <c r="AF168" s="1031"/>
      <c r="AG168" s="455"/>
      <c r="AH168" s="456"/>
      <c r="AI168" s="1050"/>
      <c r="AJ168" s="1050"/>
      <c r="AK168" s="1050"/>
      <c r="AL168" s="1050"/>
      <c r="AM168" s="1050"/>
      <c r="AN168" s="1050"/>
      <c r="AO168" s="1050"/>
      <c r="AP168" s="1050"/>
      <c r="AQ168" s="1050"/>
      <c r="AR168" s="1050"/>
    </row>
    <row r="169" spans="2:44" ht="15" outlineLevel="1" thickBot="1">
      <c r="B169" s="461"/>
      <c r="C169" s="462"/>
      <c r="D169" s="463"/>
      <c r="E169" s="464"/>
      <c r="F169" s="465"/>
      <c r="G169" s="466"/>
      <c r="H169" s="466"/>
      <c r="I169" s="466"/>
      <c r="J169" s="466"/>
      <c r="K169" s="467"/>
      <c r="L169" s="468"/>
      <c r="M169" s="423"/>
      <c r="N169" s="423"/>
      <c r="P169" s="1028"/>
      <c r="Q169" s="1031"/>
      <c r="R169" s="469"/>
      <c r="S169" s="470"/>
      <c r="T169" s="1051"/>
      <c r="U169" s="1051"/>
      <c r="V169" s="1051"/>
      <c r="W169" s="1051"/>
      <c r="X169" s="1051"/>
      <c r="Y169" s="1051"/>
      <c r="Z169" s="1051"/>
      <c r="AA169" s="1051"/>
      <c r="AB169" s="1051"/>
      <c r="AC169" s="1051"/>
      <c r="AE169" s="1028"/>
      <c r="AF169" s="1031"/>
      <c r="AG169" s="469"/>
      <c r="AH169" s="470"/>
      <c r="AI169" s="1051"/>
      <c r="AJ169" s="1051"/>
      <c r="AK169" s="1051"/>
      <c r="AL169" s="1051"/>
      <c r="AM169" s="1051"/>
      <c r="AN169" s="1051"/>
      <c r="AO169" s="1051"/>
      <c r="AP169" s="1051"/>
      <c r="AQ169" s="1051"/>
      <c r="AR169" s="1051"/>
    </row>
    <row r="170" spans="2:44" ht="15" outlineLevel="1" thickBot="1">
      <c r="B170" s="601"/>
      <c r="C170" s="604"/>
      <c r="D170" s="604"/>
      <c r="E170" s="604"/>
      <c r="F170" s="604"/>
      <c r="G170" s="605"/>
      <c r="H170" s="605"/>
      <c r="I170" s="605"/>
      <c r="J170" s="605"/>
      <c r="K170" s="607"/>
      <c r="L170" s="608"/>
      <c r="M170" s="423"/>
      <c r="N170" s="423"/>
      <c r="P170" s="1029"/>
      <c r="Q170" s="471"/>
      <c r="R170" s="472"/>
      <c r="S170" s="473"/>
      <c r="T170" s="474"/>
      <c r="U170" s="475"/>
      <c r="V170" s="476"/>
      <c r="W170" s="475"/>
      <c r="X170" s="476"/>
      <c r="Y170" s="475"/>
      <c r="Z170" s="476"/>
      <c r="AA170" s="475"/>
      <c r="AB170" s="476"/>
      <c r="AC170" s="477"/>
      <c r="AE170" s="1029"/>
      <c r="AF170" s="471"/>
      <c r="AG170" s="472"/>
      <c r="AH170" s="473"/>
      <c r="AI170" s="474"/>
      <c r="AJ170" s="475"/>
      <c r="AK170" s="476"/>
      <c r="AL170" s="475"/>
      <c r="AM170" s="476"/>
      <c r="AN170" s="475"/>
      <c r="AO170" s="476"/>
      <c r="AP170" s="475"/>
      <c r="AQ170" s="476"/>
      <c r="AR170" s="477"/>
    </row>
    <row r="171" spans="2:44" outlineLevel="1">
      <c r="B171" s="601"/>
      <c r="C171" s="604"/>
      <c r="D171" s="604"/>
      <c r="E171" s="604"/>
      <c r="F171" s="604"/>
      <c r="G171" s="609"/>
      <c r="H171" s="609"/>
      <c r="I171" s="609"/>
      <c r="J171" s="609"/>
      <c r="K171" s="610"/>
      <c r="L171" s="608"/>
      <c r="M171" s="423"/>
      <c r="N171" s="423"/>
    </row>
    <row r="172" spans="2:44" outlineLevel="1">
      <c r="B172" s="601"/>
      <c r="C172" s="604"/>
      <c r="D172" s="604"/>
      <c r="E172" s="604"/>
      <c r="F172" s="604"/>
      <c r="G172" s="609"/>
      <c r="H172" s="609"/>
      <c r="I172" s="609"/>
      <c r="J172" s="609"/>
      <c r="K172" s="610"/>
      <c r="L172" s="608"/>
      <c r="M172" s="480"/>
      <c r="N172" s="423"/>
    </row>
    <row r="173" spans="2:44" outlineLevel="1">
      <c r="B173" s="481"/>
      <c r="C173" s="459"/>
      <c r="D173" s="459"/>
      <c r="E173" s="459"/>
      <c r="F173" s="459"/>
      <c r="G173" s="482"/>
      <c r="H173" s="482"/>
      <c r="I173" s="482"/>
      <c r="J173" s="482"/>
      <c r="K173" s="483"/>
      <c r="L173" s="484"/>
      <c r="M173" s="480"/>
      <c r="N173" s="480"/>
    </row>
    <row r="174" spans="2:44" outlineLevel="1">
      <c r="B174" s="443"/>
      <c r="C174" s="457"/>
      <c r="D174" s="457"/>
      <c r="E174" s="457"/>
      <c r="F174" s="457"/>
      <c r="G174" s="482"/>
      <c r="H174" s="485"/>
      <c r="I174" s="485"/>
      <c r="J174" s="485"/>
      <c r="K174" s="486"/>
      <c r="L174" s="487"/>
      <c r="M174" s="488"/>
      <c r="N174" s="488"/>
    </row>
    <row r="175" spans="2:44" outlineLevel="1">
      <c r="B175" s="443"/>
      <c r="C175" s="457"/>
      <c r="D175" s="457"/>
      <c r="E175" s="457"/>
      <c r="F175" s="457"/>
      <c r="G175" s="485"/>
      <c r="H175" s="485"/>
      <c r="I175" s="485"/>
      <c r="J175" s="485"/>
      <c r="K175" s="483"/>
      <c r="L175" s="487"/>
      <c r="M175" s="488"/>
      <c r="N175" s="488"/>
    </row>
    <row r="176" spans="2:44" outlineLevel="1">
      <c r="B176" s="443"/>
      <c r="C176" s="457"/>
      <c r="D176" s="457"/>
      <c r="E176" s="457"/>
      <c r="F176" s="457"/>
      <c r="G176" s="485"/>
      <c r="H176" s="485"/>
      <c r="I176" s="485"/>
      <c r="J176" s="485"/>
      <c r="K176" s="483"/>
      <c r="L176" s="487"/>
      <c r="M176" s="488"/>
      <c r="N176" s="488"/>
    </row>
    <row r="177" spans="1:30" outlineLevel="1">
      <c r="B177" s="443"/>
      <c r="C177" s="457"/>
      <c r="D177" s="457"/>
      <c r="E177" s="457"/>
      <c r="F177" s="457"/>
      <c r="G177" s="485"/>
      <c r="H177" s="485"/>
      <c r="I177" s="485"/>
      <c r="J177" s="485"/>
      <c r="K177" s="483"/>
      <c r="L177" s="487"/>
      <c r="M177" s="488"/>
      <c r="N177" s="488"/>
    </row>
    <row r="178" spans="1:30" ht="15" outlineLevel="1" thickBot="1">
      <c r="B178" s="489"/>
      <c r="C178" s="490"/>
      <c r="D178" s="490"/>
      <c r="E178" s="490"/>
      <c r="F178" s="490"/>
      <c r="G178" s="485"/>
      <c r="H178" s="485"/>
      <c r="I178" s="485"/>
      <c r="J178" s="485"/>
      <c r="K178" s="483"/>
      <c r="L178" s="487"/>
      <c r="M178" s="488"/>
      <c r="N178" s="488"/>
    </row>
    <row r="179" spans="1:30" ht="15" outlineLevel="1" thickBot="1">
      <c r="B179" s="491"/>
      <c r="C179" s="492"/>
      <c r="D179" s="463"/>
      <c r="E179" s="463"/>
      <c r="F179" s="493"/>
      <c r="G179" s="494"/>
      <c r="H179" s="466"/>
      <c r="I179" s="466"/>
      <c r="J179" s="466"/>
      <c r="K179" s="467"/>
      <c r="L179" s="468"/>
      <c r="M179" s="488"/>
      <c r="N179" s="488"/>
    </row>
    <row r="180" spans="1:30" outlineLevel="1">
      <c r="A180" s="495"/>
      <c r="B180" s="496"/>
      <c r="C180" s="611"/>
      <c r="D180" s="498"/>
      <c r="E180" s="498"/>
      <c r="F180" s="499"/>
      <c r="G180" s="485"/>
      <c r="H180" s="485"/>
      <c r="I180" s="485"/>
      <c r="J180" s="485"/>
      <c r="K180" s="486"/>
      <c r="L180" s="500"/>
      <c r="M180" s="480"/>
      <c r="N180" s="480"/>
    </row>
    <row r="181" spans="1:30" outlineLevel="1">
      <c r="B181" s="501"/>
      <c r="C181" s="502"/>
      <c r="D181" s="503"/>
      <c r="E181" s="503"/>
      <c r="F181" s="503"/>
      <c r="G181" s="485"/>
      <c r="H181" s="485"/>
      <c r="I181" s="485"/>
      <c r="J181" s="485"/>
      <c r="K181" s="504"/>
      <c r="L181" s="433"/>
      <c r="M181" s="71"/>
      <c r="N181" s="480"/>
    </row>
    <row r="182" spans="1:30" outlineLevel="1">
      <c r="B182" s="501"/>
      <c r="C182" s="502"/>
      <c r="D182" s="502"/>
      <c r="E182" s="502"/>
      <c r="F182" s="502"/>
      <c r="G182" s="485"/>
      <c r="H182" s="485"/>
      <c r="I182" s="485"/>
      <c r="J182" s="485"/>
      <c r="K182" s="504"/>
      <c r="L182" s="433"/>
      <c r="M182" s="480"/>
      <c r="N182" s="480"/>
    </row>
    <row r="183" spans="1:30" outlineLevel="1">
      <c r="B183" s="443"/>
      <c r="C183" s="505"/>
      <c r="D183" s="506"/>
      <c r="E183" s="506"/>
      <c r="F183" s="507"/>
      <c r="G183" s="485"/>
      <c r="H183" s="485"/>
      <c r="I183" s="485"/>
      <c r="J183" s="485"/>
      <c r="K183" s="508"/>
      <c r="L183" s="433"/>
      <c r="M183" s="480"/>
      <c r="N183" s="480"/>
    </row>
    <row r="184" spans="1:30" outlineLevel="1">
      <c r="B184" s="443"/>
      <c r="C184" s="509"/>
      <c r="D184" s="509"/>
      <c r="E184" s="509"/>
      <c r="F184" s="509"/>
      <c r="G184" s="485"/>
      <c r="H184" s="485"/>
      <c r="I184" s="485"/>
      <c r="J184" s="485"/>
      <c r="K184" s="508"/>
      <c r="L184" s="433"/>
      <c r="M184" s="510"/>
      <c r="N184" s="421"/>
      <c r="P184" s="999"/>
      <c r="Q184" s="977"/>
      <c r="R184" s="977"/>
      <c r="S184" s="977"/>
      <c r="T184" s="977"/>
      <c r="U184" s="1000"/>
    </row>
    <row r="185" spans="1:30" ht="15" outlineLevel="1" thickBot="1">
      <c r="B185" s="601"/>
      <c r="C185" s="612"/>
      <c r="D185" s="612"/>
      <c r="E185" s="612"/>
      <c r="F185" s="612"/>
      <c r="G185" s="613"/>
      <c r="H185" s="613"/>
      <c r="I185" s="613"/>
      <c r="J185" s="613"/>
      <c r="K185" s="607"/>
      <c r="L185" s="608"/>
      <c r="M185" s="510"/>
      <c r="N185" s="421"/>
      <c r="P185" s="1001"/>
      <c r="Q185" s="1002"/>
      <c r="R185" s="1002"/>
      <c r="S185" s="1002"/>
      <c r="T185" s="1002"/>
      <c r="U185" s="1003"/>
    </row>
    <row r="186" spans="1:30" outlineLevel="1">
      <c r="B186" s="601"/>
      <c r="C186" s="614"/>
      <c r="D186" s="614"/>
      <c r="E186" s="614"/>
      <c r="F186" s="614"/>
      <c r="G186" s="613"/>
      <c r="H186" s="613"/>
      <c r="I186" s="613"/>
      <c r="J186" s="613"/>
      <c r="K186" s="615"/>
      <c r="L186" s="608"/>
      <c r="M186" s="423"/>
      <c r="N186" s="423"/>
      <c r="P186" s="53"/>
    </row>
    <row r="187" spans="1:30" outlineLevel="1">
      <c r="B187" s="501"/>
      <c r="C187" s="516"/>
      <c r="D187" s="516"/>
      <c r="E187" s="516"/>
      <c r="F187" s="516"/>
      <c r="G187" s="485"/>
      <c r="H187" s="485"/>
      <c r="I187" s="485"/>
      <c r="J187" s="485"/>
      <c r="K187" s="504"/>
      <c r="L187" s="484"/>
      <c r="M187" s="427"/>
      <c r="N187" s="427"/>
      <c r="P187" s="46"/>
      <c r="Q187" s="46"/>
      <c r="R187" s="47"/>
      <c r="S187" s="47"/>
      <c r="T187" s="47"/>
      <c r="U187" s="48"/>
      <c r="V187" s="49"/>
      <c r="W187" s="49"/>
      <c r="X187" s="49"/>
      <c r="Y187" s="49"/>
      <c r="Z187" s="49"/>
      <c r="AA187" s="49"/>
      <c r="AB187" s="49"/>
      <c r="AC187" s="49"/>
      <c r="AD187" s="49"/>
    </row>
    <row r="188" spans="1:30" ht="15" outlineLevel="1" thickBot="1">
      <c r="B188" s="501"/>
      <c r="C188" s="502"/>
      <c r="D188" s="517"/>
      <c r="E188" s="517"/>
      <c r="F188" s="518"/>
      <c r="G188" s="485"/>
      <c r="H188" s="485"/>
      <c r="I188" s="485"/>
      <c r="J188" s="485"/>
      <c r="K188" s="508"/>
      <c r="L188" s="484"/>
      <c r="M188" s="423"/>
      <c r="N188" s="423"/>
      <c r="P188" s="50"/>
      <c r="Q188" s="50"/>
      <c r="R188" s="51"/>
      <c r="S188" s="51"/>
      <c r="T188" s="51"/>
      <c r="U188" s="51"/>
      <c r="V188" s="50"/>
      <c r="W188" s="50"/>
      <c r="X188" s="50"/>
      <c r="Y188" s="50"/>
      <c r="Z188" s="50"/>
      <c r="AA188" s="50"/>
      <c r="AB188" s="50"/>
      <c r="AC188" s="50"/>
      <c r="AD188" s="50"/>
    </row>
    <row r="189" spans="1:30" ht="15" outlineLevel="1" thickBot="1">
      <c r="B189" s="461"/>
      <c r="C189" s="462"/>
      <c r="D189" s="463"/>
      <c r="E189" s="464"/>
      <c r="F189" s="465"/>
      <c r="G189" s="466"/>
      <c r="H189" s="466"/>
      <c r="I189" s="466"/>
      <c r="J189" s="466"/>
      <c r="K189" s="519"/>
      <c r="L189" s="520"/>
      <c r="M189" s="423"/>
      <c r="N189" s="423"/>
      <c r="O189" s="521"/>
      <c r="P189" s="56"/>
      <c r="Q189" s="56"/>
      <c r="R189" s="57"/>
      <c r="S189" s="57"/>
      <c r="T189" s="57"/>
      <c r="U189" s="56"/>
      <c r="V189" s="56"/>
      <c r="W189" s="56"/>
      <c r="X189" s="56"/>
      <c r="Y189" s="56"/>
      <c r="Z189" s="56"/>
      <c r="AA189" s="56"/>
      <c r="AB189" s="56"/>
      <c r="AC189" s="56"/>
      <c r="AD189" s="56"/>
    </row>
    <row r="190" spans="1:30" outlineLevel="1">
      <c r="B190" s="616"/>
      <c r="C190" s="617"/>
      <c r="D190" s="617"/>
      <c r="E190" s="617"/>
      <c r="F190" s="617"/>
      <c r="G190" s="618"/>
      <c r="H190" s="618"/>
      <c r="I190" s="618"/>
      <c r="J190" s="618"/>
      <c r="K190" s="618"/>
      <c r="L190" s="619"/>
      <c r="M190" s="423"/>
      <c r="N190" s="423"/>
      <c r="O190" s="525"/>
      <c r="P190" s="526"/>
      <c r="Q190" s="58"/>
      <c r="R190" s="526"/>
      <c r="S190" s="58"/>
      <c r="T190" s="526"/>
      <c r="U190" s="527"/>
      <c r="V190" s="527"/>
      <c r="W190" s="527"/>
      <c r="X190" s="58"/>
      <c r="Y190" s="58"/>
      <c r="Z190" s="526"/>
      <c r="AA190" s="528"/>
      <c r="AB190" s="528"/>
      <c r="AC190" s="528"/>
      <c r="AD190" s="528"/>
    </row>
    <row r="191" spans="1:30" outlineLevel="1">
      <c r="B191" s="601"/>
      <c r="C191" s="620"/>
      <c r="D191" s="621"/>
      <c r="E191" s="621"/>
      <c r="F191" s="622"/>
      <c r="G191" s="622"/>
      <c r="H191" s="622"/>
      <c r="I191" s="622"/>
      <c r="J191" s="622"/>
      <c r="K191" s="623"/>
      <c r="L191" s="619"/>
      <c r="M191" s="423"/>
      <c r="N191" s="423"/>
      <c r="O191" s="525"/>
      <c r="P191" s="526"/>
      <c r="Q191" s="58"/>
      <c r="R191" s="526"/>
      <c r="S191" s="58"/>
      <c r="T191" s="526"/>
      <c r="U191" s="527"/>
      <c r="V191" s="527"/>
      <c r="W191" s="527"/>
      <c r="X191" s="58"/>
      <c r="Y191" s="58"/>
      <c r="Z191" s="526"/>
      <c r="AA191" s="528"/>
      <c r="AB191" s="528"/>
      <c r="AC191" s="528"/>
      <c r="AD191" s="528"/>
    </row>
    <row r="192" spans="1:30" outlineLevel="1">
      <c r="B192" s="601"/>
      <c r="C192" s="620"/>
      <c r="D192" s="621"/>
      <c r="E192" s="621"/>
      <c r="F192" s="622"/>
      <c r="G192" s="622"/>
      <c r="H192" s="622"/>
      <c r="I192" s="622"/>
      <c r="J192" s="622"/>
      <c r="K192" s="623"/>
      <c r="L192" s="619"/>
      <c r="M192" s="423"/>
      <c r="N192" s="423"/>
      <c r="O192" s="525"/>
      <c r="P192" s="526"/>
      <c r="Q192" s="58"/>
      <c r="R192" s="526"/>
      <c r="S192" s="58"/>
      <c r="T192" s="526"/>
      <c r="U192" s="527"/>
      <c r="V192" s="527"/>
      <c r="W192" s="527"/>
      <c r="X192" s="58"/>
      <c r="Y192" s="58"/>
      <c r="Z192" s="526"/>
      <c r="AA192" s="528"/>
      <c r="AB192" s="528"/>
      <c r="AC192" s="528"/>
      <c r="AD192" s="528"/>
    </row>
    <row r="193" spans="1:30" outlineLevel="1">
      <c r="B193" s="601"/>
      <c r="C193" s="624"/>
      <c r="D193" s="624"/>
      <c r="E193" s="624"/>
      <c r="F193" s="624"/>
      <c r="G193" s="625"/>
      <c r="H193" s="625"/>
      <c r="I193" s="625"/>
      <c r="J193" s="625"/>
      <c r="K193" s="625"/>
      <c r="L193" s="608"/>
      <c r="M193" s="423"/>
      <c r="N193" s="423"/>
      <c r="O193" s="525"/>
      <c r="P193" s="526"/>
      <c r="Q193" s="58"/>
      <c r="R193" s="526"/>
      <c r="S193" s="58"/>
      <c r="T193" s="526"/>
      <c r="U193" s="527"/>
      <c r="V193" s="527"/>
      <c r="W193" s="527"/>
      <c r="X193" s="58"/>
      <c r="Y193" s="58"/>
      <c r="Z193" s="526"/>
      <c r="AA193" s="528"/>
      <c r="AB193" s="528"/>
      <c r="AC193" s="528"/>
      <c r="AD193" s="528"/>
    </row>
    <row r="194" spans="1:30" outlineLevel="1">
      <c r="B194" s="626"/>
      <c r="C194" s="620"/>
      <c r="D194" s="621"/>
      <c r="E194" s="621"/>
      <c r="F194" s="622"/>
      <c r="G194" s="622"/>
      <c r="H194" s="622"/>
      <c r="I194" s="622"/>
      <c r="J194" s="622"/>
      <c r="K194" s="623"/>
      <c r="L194" s="619"/>
      <c r="M194" s="427"/>
      <c r="N194" s="427"/>
    </row>
    <row r="195" spans="1:30" outlineLevel="1">
      <c r="B195" s="626"/>
      <c r="C195" s="620"/>
      <c r="D195" s="621"/>
      <c r="E195" s="621"/>
      <c r="F195" s="622"/>
      <c r="G195" s="622"/>
      <c r="H195" s="622"/>
      <c r="I195" s="622"/>
      <c r="J195" s="622"/>
      <c r="K195" s="623"/>
      <c r="L195" s="619"/>
      <c r="M195" s="423"/>
      <c r="N195" s="423"/>
    </row>
    <row r="196" spans="1:30" ht="15" outlineLevel="1" thickBot="1">
      <c r="B196" s="627"/>
      <c r="C196" s="628"/>
      <c r="D196" s="628"/>
      <c r="E196" s="628"/>
      <c r="F196" s="628"/>
      <c r="G196" s="628"/>
      <c r="H196" s="628"/>
      <c r="I196" s="628"/>
      <c r="J196" s="628"/>
      <c r="K196" s="628"/>
      <c r="L196" s="629"/>
      <c r="M196" s="423"/>
      <c r="N196" s="423"/>
    </row>
    <row r="197" spans="1:30" outlineLevel="1">
      <c r="B197" s="521"/>
      <c r="C197" s="543"/>
      <c r="D197" s="543"/>
      <c r="E197" s="543"/>
      <c r="F197" s="543"/>
      <c r="G197" s="543"/>
      <c r="H197" s="544"/>
      <c r="I197" s="480"/>
      <c r="J197" s="480"/>
      <c r="K197" s="544"/>
      <c r="L197" s="544"/>
      <c r="N197" s="480"/>
    </row>
    <row r="198" spans="1:30" outlineLevel="1">
      <c r="B198" s="545"/>
      <c r="C198" s="546"/>
      <c r="D198" s="546"/>
      <c r="E198" s="546"/>
      <c r="F198" s="546"/>
      <c r="G198" s="546"/>
      <c r="H198" s="544"/>
      <c r="I198" s="71"/>
      <c r="J198" s="480"/>
      <c r="K198" s="544"/>
      <c r="L198" s="544"/>
      <c r="N198" s="480"/>
    </row>
    <row r="199" spans="1:30" outlineLevel="1">
      <c r="B199" s="521"/>
      <c r="C199" s="419"/>
      <c r="D199" s="419"/>
      <c r="E199" s="419"/>
      <c r="F199" s="419"/>
      <c r="G199" s="419"/>
      <c r="I199" s="480"/>
      <c r="J199" s="480"/>
      <c r="N199" s="480"/>
    </row>
    <row r="200" spans="1:30" outlineLevel="1">
      <c r="B200" s="521"/>
      <c r="C200" s="547"/>
      <c r="D200" s="547"/>
      <c r="E200" s="547"/>
      <c r="F200" s="547"/>
      <c r="G200" s="419"/>
      <c r="M200" s="480"/>
      <c r="N200" s="480"/>
    </row>
    <row r="201" spans="1:30" outlineLevel="1"/>
    <row r="202" spans="1:30" outlineLevel="1">
      <c r="A202" s="548"/>
      <c r="B202" s="549"/>
      <c r="D202" s="550"/>
      <c r="E202" s="550"/>
      <c r="F202" s="550"/>
      <c r="G202" s="417"/>
      <c r="H202" s="417"/>
      <c r="I202" s="417"/>
      <c r="J202" s="417"/>
      <c r="K202" s="417"/>
      <c r="L202" s="417"/>
      <c r="N202" s="630"/>
      <c r="O202" s="549"/>
      <c r="P202" s="550"/>
    </row>
    <row r="203" spans="1:30" outlineLevel="1">
      <c r="A203" s="551"/>
      <c r="B203" s="552"/>
      <c r="D203" s="550"/>
      <c r="E203" s="550"/>
      <c r="F203" s="550"/>
      <c r="G203" s="417"/>
      <c r="H203" s="417"/>
      <c r="I203" s="417"/>
      <c r="J203" s="417"/>
      <c r="K203" s="417"/>
      <c r="L203" s="417"/>
      <c r="N203" s="630"/>
      <c r="O203" s="549"/>
      <c r="P203" s="550"/>
    </row>
    <row r="204" spans="1:30" outlineLevel="1">
      <c r="A204" s="551"/>
      <c r="B204" s="553"/>
      <c r="D204" s="550"/>
      <c r="E204" s="550"/>
      <c r="F204" s="550"/>
      <c r="G204" s="417"/>
      <c r="H204" s="417"/>
      <c r="I204" s="417"/>
      <c r="J204" s="417"/>
      <c r="K204" s="417"/>
      <c r="L204" s="417"/>
      <c r="N204" s="630"/>
      <c r="O204" s="549"/>
      <c r="P204" s="550"/>
    </row>
    <row r="205" spans="1:30" outlineLevel="1">
      <c r="A205" s="551"/>
      <c r="B205" s="553"/>
      <c r="D205" s="550"/>
      <c r="E205" s="550"/>
      <c r="F205" s="550"/>
      <c r="G205" s="417"/>
      <c r="H205" s="417"/>
      <c r="I205" s="417"/>
      <c r="J205" s="417"/>
      <c r="K205" s="417"/>
      <c r="L205" s="417"/>
      <c r="N205" s="630"/>
      <c r="O205" s="549"/>
      <c r="P205" s="550"/>
    </row>
    <row r="206" spans="1:30" outlineLevel="1">
      <c r="A206" s="551"/>
      <c r="B206" s="553"/>
      <c r="D206" s="550"/>
      <c r="E206" s="550"/>
      <c r="F206" s="550"/>
      <c r="G206" s="417"/>
      <c r="H206" s="417"/>
      <c r="I206" s="417"/>
      <c r="J206" s="417"/>
      <c r="K206" s="417"/>
      <c r="L206" s="417"/>
      <c r="N206" s="630"/>
      <c r="O206" s="549"/>
      <c r="P206" s="550"/>
    </row>
    <row r="207" spans="1:30" outlineLevel="1">
      <c r="A207" s="417"/>
      <c r="B207" s="554"/>
      <c r="D207" s="550"/>
      <c r="E207" s="550"/>
      <c r="F207" s="550"/>
      <c r="G207" s="417"/>
      <c r="H207" s="417"/>
      <c r="I207" s="417"/>
      <c r="J207" s="417"/>
      <c r="K207" s="417"/>
      <c r="L207" s="417"/>
    </row>
    <row r="208" spans="1:30" outlineLevel="1">
      <c r="A208" s="417"/>
      <c r="B208" s="552"/>
      <c r="D208" s="550"/>
      <c r="E208" s="550"/>
      <c r="F208" s="550"/>
      <c r="G208" s="417"/>
      <c r="H208" s="417"/>
      <c r="I208" s="417"/>
      <c r="J208" s="417"/>
      <c r="K208" s="417"/>
      <c r="L208" s="417"/>
    </row>
    <row r="209" spans="1:16" outlineLevel="1">
      <c r="A209" s="417"/>
      <c r="B209" s="555"/>
      <c r="D209" s="550"/>
      <c r="E209" s="550"/>
      <c r="F209" s="550"/>
      <c r="G209" s="417"/>
      <c r="H209" s="417"/>
      <c r="I209" s="417"/>
      <c r="J209" s="417"/>
      <c r="K209" s="417"/>
      <c r="L209" s="417"/>
    </row>
    <row r="210" spans="1:16" outlineLevel="1">
      <c r="A210" s="417"/>
      <c r="B210" s="555"/>
      <c r="D210" s="550"/>
      <c r="E210" s="550"/>
      <c r="F210" s="550"/>
      <c r="G210" s="417"/>
      <c r="H210" s="417"/>
      <c r="I210" s="417"/>
      <c r="J210" s="417"/>
      <c r="K210" s="417"/>
      <c r="L210" s="417"/>
    </row>
    <row r="211" spans="1:16" outlineLevel="1">
      <c r="A211" s="417"/>
      <c r="B211" s="549"/>
      <c r="D211" s="550"/>
      <c r="E211" s="550"/>
      <c r="F211" s="550"/>
      <c r="G211" s="417"/>
      <c r="H211" s="417"/>
      <c r="I211" s="417"/>
      <c r="J211" s="417"/>
      <c r="K211" s="417"/>
      <c r="L211" s="417"/>
    </row>
    <row r="212" spans="1:16" outlineLevel="1">
      <c r="A212" s="417"/>
      <c r="B212" s="550"/>
      <c r="D212" s="550"/>
      <c r="E212" s="550"/>
      <c r="F212" s="550"/>
      <c r="G212" s="417"/>
      <c r="H212" s="417"/>
      <c r="I212" s="417"/>
      <c r="J212" s="417"/>
      <c r="K212" s="417"/>
      <c r="L212" s="417"/>
    </row>
    <row r="213" spans="1:16" outlineLevel="1">
      <c r="A213" s="548"/>
      <c r="B213" s="549"/>
      <c r="D213" s="550"/>
      <c r="E213" s="550"/>
      <c r="F213" s="550"/>
      <c r="G213" s="417"/>
      <c r="H213" s="417"/>
      <c r="I213" s="417"/>
      <c r="J213" s="417"/>
      <c r="K213" s="417"/>
      <c r="L213" s="417"/>
    </row>
    <row r="214" spans="1:16" outlineLevel="1">
      <c r="A214" s="556"/>
      <c r="B214" s="557"/>
      <c r="C214" s="550"/>
      <c r="D214" s="550"/>
      <c r="E214" s="550"/>
      <c r="F214" s="550"/>
      <c r="G214" s="417"/>
      <c r="H214" s="417"/>
      <c r="I214" s="417"/>
      <c r="J214" s="417"/>
      <c r="K214" s="417"/>
      <c r="L214" s="417"/>
      <c r="N214" s="630"/>
      <c r="O214" s="549"/>
      <c r="P214" s="550"/>
    </row>
    <row r="215" spans="1:16" outlineLevel="1">
      <c r="A215" s="556"/>
      <c r="B215" s="549"/>
      <c r="C215" s="550"/>
      <c r="D215" s="550"/>
      <c r="E215" s="550"/>
      <c r="F215" s="550"/>
      <c r="G215" s="417"/>
      <c r="H215" s="417"/>
      <c r="I215" s="417"/>
      <c r="J215" s="417"/>
      <c r="K215" s="417"/>
      <c r="L215" s="417"/>
      <c r="N215" s="631"/>
      <c r="O215" s="549"/>
      <c r="P215" s="550"/>
    </row>
    <row r="216" spans="1:16" outlineLevel="1">
      <c r="A216" s="556"/>
      <c r="B216" s="549"/>
      <c r="C216" s="550"/>
      <c r="D216" s="550"/>
      <c r="E216" s="550"/>
      <c r="F216" s="550"/>
      <c r="G216" s="417"/>
      <c r="H216" s="417"/>
      <c r="I216" s="417"/>
      <c r="J216" s="417"/>
      <c r="K216" s="417"/>
      <c r="L216" s="417"/>
      <c r="N216" s="632"/>
      <c r="O216" s="549"/>
      <c r="P216" s="550"/>
    </row>
    <row r="217" spans="1:16" outlineLevel="1">
      <c r="A217" s="556"/>
      <c r="B217" s="549"/>
      <c r="C217" s="550"/>
      <c r="D217" s="550"/>
      <c r="E217" s="550"/>
      <c r="F217" s="550"/>
      <c r="G217" s="417"/>
      <c r="H217" s="417"/>
      <c r="I217" s="417"/>
      <c r="J217" s="417"/>
      <c r="K217" s="417"/>
      <c r="L217" s="417"/>
      <c r="N217" s="633"/>
      <c r="O217" s="549"/>
      <c r="P217" s="550"/>
    </row>
    <row r="218" spans="1:16" outlineLevel="1">
      <c r="A218" s="556"/>
      <c r="B218" s="558"/>
      <c r="C218" s="550"/>
      <c r="D218" s="550"/>
      <c r="E218" s="550"/>
      <c r="F218" s="550"/>
      <c r="G218" s="417"/>
      <c r="H218" s="417"/>
      <c r="I218" s="417"/>
      <c r="J218" s="417"/>
      <c r="K218" s="417"/>
      <c r="L218" s="417"/>
      <c r="N218" s="633"/>
      <c r="O218" s="550"/>
      <c r="P218" s="550"/>
    </row>
    <row r="219" spans="1:16" outlineLevel="1">
      <c r="A219" s="556"/>
      <c r="B219" s="549"/>
      <c r="C219" s="550"/>
      <c r="D219" s="550"/>
      <c r="E219" s="550"/>
      <c r="F219" s="550"/>
      <c r="G219" s="417"/>
      <c r="H219" s="417"/>
      <c r="I219" s="417"/>
      <c r="J219" s="417"/>
      <c r="K219" s="417"/>
      <c r="L219" s="417"/>
      <c r="N219" s="549"/>
      <c r="O219" s="550"/>
      <c r="P219" s="550"/>
    </row>
    <row r="220" spans="1:16" outlineLevel="1">
      <c r="A220" s="556"/>
      <c r="B220" s="549"/>
      <c r="C220" s="550"/>
      <c r="D220" s="550"/>
      <c r="E220" s="550"/>
      <c r="F220" s="550"/>
      <c r="G220" s="417"/>
      <c r="H220" s="417"/>
      <c r="I220" s="417"/>
      <c r="J220" s="417"/>
      <c r="K220" s="417"/>
      <c r="L220" s="417"/>
      <c r="N220" s="550"/>
      <c r="O220" s="550"/>
      <c r="P220" s="550"/>
    </row>
    <row r="221" spans="1:16" outlineLevel="1"/>
    <row r="222" spans="1:16" outlineLevel="1"/>
    <row r="224" spans="1:16" ht="15" thickBot="1">
      <c r="A224" s="420"/>
    </row>
    <row r="225" spans="2:44" ht="20.7" customHeight="1" outlineLevel="1" thickBot="1">
      <c r="B225" s="422"/>
      <c r="C225" s="1043"/>
      <c r="D225" s="1019"/>
      <c r="E225" s="1019"/>
      <c r="F225" s="1019"/>
      <c r="G225" s="1019"/>
      <c r="H225" s="1019"/>
      <c r="I225" s="1019"/>
      <c r="J225" s="1019"/>
      <c r="K225" s="1019"/>
      <c r="L225" s="1020"/>
      <c r="M225" s="423"/>
      <c r="N225" s="423"/>
      <c r="P225" s="424"/>
      <c r="Q225" s="425"/>
      <c r="R225" s="426"/>
      <c r="S225" s="985"/>
      <c r="T225" s="989"/>
      <c r="U225" s="990"/>
      <c r="V225" s="989"/>
      <c r="W225" s="990"/>
      <c r="X225" s="989"/>
      <c r="Y225" s="990"/>
      <c r="Z225" s="989"/>
      <c r="AA225" s="990"/>
      <c r="AB225" s="989"/>
      <c r="AC225" s="990"/>
      <c r="AE225" s="424"/>
      <c r="AF225" s="425"/>
      <c r="AG225" s="426"/>
      <c r="AH225" s="985"/>
      <c r="AI225" s="989"/>
      <c r="AJ225" s="990"/>
      <c r="AK225" s="989"/>
      <c r="AL225" s="990"/>
      <c r="AM225" s="989"/>
      <c r="AN225" s="990"/>
      <c r="AO225" s="989"/>
      <c r="AP225" s="990"/>
      <c r="AQ225" s="989"/>
      <c r="AR225" s="990"/>
    </row>
    <row r="226" spans="2:44" ht="15" customHeight="1" outlineLevel="1" thickBot="1">
      <c r="B226" s="1010"/>
      <c r="C226" s="1012"/>
      <c r="D226" s="1012"/>
      <c r="E226" s="1012"/>
      <c r="F226" s="1012"/>
      <c r="G226" s="1048"/>
      <c r="H226" s="1049"/>
      <c r="I226" s="1048"/>
      <c r="J226" s="1049"/>
      <c r="K226" s="1046"/>
      <c r="L226" s="1046"/>
      <c r="M226" s="427"/>
      <c r="N226" s="427"/>
      <c r="P226" s="993"/>
      <c r="Q226" s="428"/>
      <c r="R226" s="428"/>
      <c r="S226" s="986"/>
      <c r="T226" s="991"/>
      <c r="U226" s="992"/>
      <c r="V226" s="991"/>
      <c r="W226" s="992"/>
      <c r="X226" s="991"/>
      <c r="Y226" s="992"/>
      <c r="Z226" s="991"/>
      <c r="AA226" s="992"/>
      <c r="AB226" s="991"/>
      <c r="AC226" s="992"/>
      <c r="AE226" s="993"/>
      <c r="AF226" s="428"/>
      <c r="AG226" s="428"/>
      <c r="AH226" s="986"/>
      <c r="AI226" s="991"/>
      <c r="AJ226" s="992"/>
      <c r="AK226" s="991"/>
      <c r="AL226" s="992"/>
      <c r="AM226" s="991"/>
      <c r="AN226" s="992"/>
      <c r="AO226" s="991"/>
      <c r="AP226" s="992"/>
      <c r="AQ226" s="991"/>
      <c r="AR226" s="992"/>
    </row>
    <row r="227" spans="2:44" ht="15" customHeight="1" outlineLevel="1" thickBot="1">
      <c r="B227" s="1011"/>
      <c r="C227" s="1013"/>
      <c r="D227" s="1013"/>
      <c r="E227" s="1013"/>
      <c r="F227" s="1013"/>
      <c r="G227" s="466"/>
      <c r="H227" s="466"/>
      <c r="I227" s="466"/>
      <c r="J227" s="466"/>
      <c r="K227" s="1047"/>
      <c r="L227" s="1047"/>
      <c r="M227" s="430"/>
      <c r="N227" s="430"/>
      <c r="P227" s="994"/>
      <c r="Q227" s="996"/>
      <c r="R227" s="997"/>
      <c r="S227" s="987"/>
      <c r="T227" s="991"/>
      <c r="U227" s="992"/>
      <c r="V227" s="991"/>
      <c r="W227" s="992"/>
      <c r="X227" s="991"/>
      <c r="Y227" s="992"/>
      <c r="Z227" s="991"/>
      <c r="AA227" s="992"/>
      <c r="AB227" s="991"/>
      <c r="AC227" s="992"/>
      <c r="AE227" s="994"/>
      <c r="AF227" s="1040"/>
      <c r="AG227" s="997"/>
      <c r="AH227" s="987"/>
      <c r="AI227" s="991"/>
      <c r="AJ227" s="992"/>
      <c r="AK227" s="991"/>
      <c r="AL227" s="992"/>
      <c r="AM227" s="991"/>
      <c r="AN227" s="992"/>
      <c r="AO227" s="991"/>
      <c r="AP227" s="992"/>
      <c r="AQ227" s="991"/>
      <c r="AR227" s="992"/>
    </row>
    <row r="228" spans="2:44" ht="15" outlineLevel="1" thickBot="1">
      <c r="B228" s="431"/>
      <c r="C228" s="432"/>
      <c r="D228" s="432"/>
      <c r="E228" s="432"/>
      <c r="F228" s="432"/>
      <c r="G228" s="432"/>
      <c r="H228" s="432"/>
      <c r="I228" s="432"/>
      <c r="J228" s="432"/>
      <c r="K228" s="432"/>
      <c r="L228" s="433"/>
      <c r="M228" s="430"/>
      <c r="N228" s="430"/>
      <c r="O228" s="74"/>
      <c r="P228" s="995"/>
      <c r="Q228" s="988"/>
      <c r="R228" s="998"/>
      <c r="S228" s="988"/>
      <c r="T228" s="434"/>
      <c r="U228" s="435"/>
      <c r="V228" s="434"/>
      <c r="W228" s="435"/>
      <c r="X228" s="434"/>
      <c r="Y228" s="435"/>
      <c r="Z228" s="434"/>
      <c r="AA228" s="435"/>
      <c r="AB228" s="434"/>
      <c r="AC228" s="435"/>
      <c r="AE228" s="995"/>
      <c r="AF228" s="1041"/>
      <c r="AG228" s="998"/>
      <c r="AH228" s="988"/>
      <c r="AI228" s="434"/>
      <c r="AJ228" s="435"/>
      <c r="AK228" s="434"/>
      <c r="AL228" s="435"/>
      <c r="AM228" s="434"/>
      <c r="AN228" s="435"/>
      <c r="AO228" s="434"/>
      <c r="AP228" s="435"/>
      <c r="AQ228" s="434"/>
      <c r="AR228" s="435"/>
    </row>
    <row r="229" spans="2:44" ht="14.7" customHeight="1" outlineLevel="1">
      <c r="B229" s="601"/>
      <c r="C229" s="602"/>
      <c r="D229" s="602"/>
      <c r="E229" s="603"/>
      <c r="F229" s="602"/>
      <c r="G229" s="602"/>
      <c r="H229" s="602"/>
      <c r="I229" s="602"/>
      <c r="J229" s="602"/>
      <c r="K229" s="607"/>
      <c r="L229" s="608"/>
      <c r="M229" s="430"/>
      <c r="N229" s="430"/>
      <c r="P229" s="1027"/>
      <c r="Q229" s="1030"/>
      <c r="R229" s="441"/>
      <c r="S229" s="442"/>
      <c r="T229" s="1033"/>
      <c r="U229" s="1021"/>
      <c r="V229" s="1033"/>
      <c r="W229" s="1021"/>
      <c r="X229" s="1033"/>
      <c r="Y229" s="1021"/>
      <c r="Z229" s="1033"/>
      <c r="AA229" s="1021"/>
      <c r="AB229" s="1033"/>
      <c r="AC229" s="1021"/>
      <c r="AE229" s="1027"/>
      <c r="AF229" s="1030"/>
      <c r="AG229" s="441"/>
      <c r="AH229" s="442"/>
      <c r="AI229" s="1033"/>
      <c r="AJ229" s="1021"/>
      <c r="AK229" s="1033"/>
      <c r="AL229" s="1021"/>
      <c r="AM229" s="1033"/>
      <c r="AN229" s="1021"/>
      <c r="AO229" s="1033"/>
      <c r="AP229" s="1021"/>
      <c r="AQ229" s="1033"/>
      <c r="AR229" s="1021"/>
    </row>
    <row r="230" spans="2:44" outlineLevel="1">
      <c r="B230" s="443"/>
      <c r="C230" s="444"/>
      <c r="D230" s="444"/>
      <c r="E230" s="444"/>
      <c r="F230" s="444"/>
      <c r="G230" s="565"/>
      <c r="H230" s="565"/>
      <c r="I230" s="565"/>
      <c r="J230" s="565"/>
      <c r="K230" s="432"/>
      <c r="L230" s="433"/>
      <c r="M230" s="430"/>
      <c r="N230" s="430"/>
      <c r="O230" s="71"/>
      <c r="P230" s="1028"/>
      <c r="Q230" s="1031"/>
      <c r="R230" s="448"/>
      <c r="S230" s="449"/>
      <c r="T230" s="1034"/>
      <c r="U230" s="1022"/>
      <c r="V230" s="1034"/>
      <c r="W230" s="1022"/>
      <c r="X230" s="1034"/>
      <c r="Y230" s="1022"/>
      <c r="Z230" s="1034"/>
      <c r="AA230" s="1022"/>
      <c r="AB230" s="1034"/>
      <c r="AC230" s="1022"/>
      <c r="AE230" s="1028"/>
      <c r="AF230" s="1031"/>
      <c r="AG230" s="448"/>
      <c r="AH230" s="449"/>
      <c r="AI230" s="1034"/>
      <c r="AJ230" s="1022"/>
      <c r="AK230" s="1034"/>
      <c r="AL230" s="1022"/>
      <c r="AM230" s="1034"/>
      <c r="AN230" s="1022"/>
      <c r="AO230" s="1034"/>
      <c r="AP230" s="1022"/>
      <c r="AQ230" s="1034"/>
      <c r="AR230" s="1022"/>
    </row>
    <row r="231" spans="2:44" ht="15" outlineLevel="1" thickBot="1">
      <c r="B231" s="601"/>
      <c r="C231" s="604"/>
      <c r="D231" s="605"/>
      <c r="E231" s="605"/>
      <c r="F231" s="606"/>
      <c r="G231" s="605"/>
      <c r="H231" s="605"/>
      <c r="I231" s="605"/>
      <c r="J231" s="605"/>
      <c r="K231" s="607"/>
      <c r="L231" s="608"/>
      <c r="M231" s="430"/>
      <c r="N231" s="430"/>
      <c r="O231" s="71"/>
      <c r="P231" s="1028"/>
      <c r="Q231" s="1032"/>
      <c r="R231" s="453"/>
      <c r="S231" s="454"/>
      <c r="T231" s="1035"/>
      <c r="U231" s="1023"/>
      <c r="V231" s="1035"/>
      <c r="W231" s="1023"/>
      <c r="X231" s="1035"/>
      <c r="Y231" s="1023"/>
      <c r="Z231" s="1035"/>
      <c r="AA231" s="1023"/>
      <c r="AB231" s="1035"/>
      <c r="AC231" s="1023"/>
      <c r="AE231" s="1028"/>
      <c r="AF231" s="1032"/>
      <c r="AG231" s="453"/>
      <c r="AH231" s="454"/>
      <c r="AI231" s="1035"/>
      <c r="AJ231" s="1023"/>
      <c r="AK231" s="1035"/>
      <c r="AL231" s="1023"/>
      <c r="AM231" s="1035"/>
      <c r="AN231" s="1023"/>
      <c r="AO231" s="1035"/>
      <c r="AP231" s="1023"/>
      <c r="AQ231" s="1035"/>
      <c r="AR231" s="1023"/>
    </row>
    <row r="232" spans="2:44" ht="14.7" customHeight="1" outlineLevel="1">
      <c r="B232" s="601"/>
      <c r="C232" s="604"/>
      <c r="D232" s="604"/>
      <c r="E232" s="604"/>
      <c r="F232" s="604"/>
      <c r="G232" s="604"/>
      <c r="H232" s="604"/>
      <c r="I232" s="604"/>
      <c r="J232" s="604"/>
      <c r="K232" s="607"/>
      <c r="L232" s="608"/>
      <c r="M232" s="430"/>
      <c r="N232" s="430"/>
      <c r="O232" s="71"/>
      <c r="P232" s="1028"/>
      <c r="Q232" s="1030"/>
      <c r="R232" s="455"/>
      <c r="S232" s="456"/>
      <c r="T232" s="1033"/>
      <c r="U232" s="1033"/>
      <c r="V232" s="1033"/>
      <c r="W232" s="1033"/>
      <c r="X232" s="1033"/>
      <c r="Y232" s="1033"/>
      <c r="Z232" s="1033"/>
      <c r="AA232" s="1033"/>
      <c r="AB232" s="1033"/>
      <c r="AC232" s="1033"/>
      <c r="AE232" s="1028"/>
      <c r="AF232" s="1030"/>
      <c r="AG232" s="455"/>
      <c r="AH232" s="456"/>
      <c r="AI232" s="1033"/>
      <c r="AJ232" s="1033"/>
      <c r="AK232" s="1033"/>
      <c r="AL232" s="1033"/>
      <c r="AM232" s="1033"/>
      <c r="AN232" s="1033"/>
      <c r="AO232" s="1033"/>
      <c r="AP232" s="1033"/>
      <c r="AQ232" s="1033"/>
      <c r="AR232" s="1033"/>
    </row>
    <row r="233" spans="2:44" outlineLevel="1">
      <c r="B233" s="601"/>
      <c r="C233" s="604"/>
      <c r="D233" s="604"/>
      <c r="E233" s="604"/>
      <c r="F233" s="604"/>
      <c r="G233" s="604"/>
      <c r="H233" s="604"/>
      <c r="I233" s="604"/>
      <c r="J233" s="604"/>
      <c r="K233" s="607"/>
      <c r="L233" s="608"/>
      <c r="M233" s="427"/>
      <c r="N233" s="427"/>
      <c r="O233" s="71"/>
      <c r="P233" s="1028"/>
      <c r="Q233" s="1031"/>
      <c r="R233" s="455"/>
      <c r="S233" s="456"/>
      <c r="T233" s="1050"/>
      <c r="U233" s="1050"/>
      <c r="V233" s="1050"/>
      <c r="W233" s="1050"/>
      <c r="X233" s="1050"/>
      <c r="Y233" s="1050"/>
      <c r="Z233" s="1050"/>
      <c r="AA233" s="1050"/>
      <c r="AB233" s="1050"/>
      <c r="AC233" s="1050"/>
      <c r="AE233" s="1028"/>
      <c r="AF233" s="1031"/>
      <c r="AG233" s="455"/>
      <c r="AH233" s="456"/>
      <c r="AI233" s="1050"/>
      <c r="AJ233" s="1050"/>
      <c r="AK233" s="1050"/>
      <c r="AL233" s="1050"/>
      <c r="AM233" s="1050"/>
      <c r="AN233" s="1050"/>
      <c r="AO233" s="1050"/>
      <c r="AP233" s="1050"/>
      <c r="AQ233" s="1050"/>
      <c r="AR233" s="1050"/>
    </row>
    <row r="234" spans="2:44" outlineLevel="1">
      <c r="B234" s="443"/>
      <c r="C234" s="457"/>
      <c r="D234" s="457"/>
      <c r="E234" s="457"/>
      <c r="F234" s="457"/>
      <c r="G234" s="459"/>
      <c r="H234" s="459"/>
      <c r="I234" s="459"/>
      <c r="J234" s="459"/>
      <c r="K234" s="432"/>
      <c r="L234" s="433"/>
      <c r="M234" s="423"/>
      <c r="N234" s="423"/>
      <c r="P234" s="1028"/>
      <c r="Q234" s="1031"/>
      <c r="R234" s="455"/>
      <c r="S234" s="456"/>
      <c r="T234" s="1050"/>
      <c r="U234" s="1050"/>
      <c r="V234" s="1050"/>
      <c r="W234" s="1050"/>
      <c r="X234" s="1050"/>
      <c r="Y234" s="1050"/>
      <c r="Z234" s="1050"/>
      <c r="AA234" s="1050"/>
      <c r="AB234" s="1050"/>
      <c r="AC234" s="1050"/>
      <c r="AE234" s="1028"/>
      <c r="AF234" s="1031"/>
      <c r="AG234" s="455"/>
      <c r="AH234" s="456"/>
      <c r="AI234" s="1050"/>
      <c r="AJ234" s="1050"/>
      <c r="AK234" s="1050"/>
      <c r="AL234" s="1050"/>
      <c r="AM234" s="1050"/>
      <c r="AN234" s="1050"/>
      <c r="AO234" s="1050"/>
      <c r="AP234" s="1050"/>
      <c r="AQ234" s="1050"/>
      <c r="AR234" s="1050"/>
    </row>
    <row r="235" spans="2:44" ht="15" outlineLevel="1" thickBot="1">
      <c r="B235" s="601"/>
      <c r="C235" s="604"/>
      <c r="D235" s="604"/>
      <c r="E235" s="604"/>
      <c r="F235" s="604"/>
      <c r="G235" s="604"/>
      <c r="H235" s="604"/>
      <c r="I235" s="604"/>
      <c r="J235" s="604"/>
      <c r="K235" s="607"/>
      <c r="L235" s="619"/>
      <c r="M235" s="423"/>
      <c r="N235" s="423"/>
      <c r="P235" s="1028"/>
      <c r="Q235" s="1031"/>
      <c r="R235" s="455"/>
      <c r="S235" s="456"/>
      <c r="T235" s="1050"/>
      <c r="U235" s="1050"/>
      <c r="V235" s="1050"/>
      <c r="W235" s="1050"/>
      <c r="X235" s="1050"/>
      <c r="Y235" s="1050"/>
      <c r="Z235" s="1050"/>
      <c r="AA235" s="1050"/>
      <c r="AB235" s="1050"/>
      <c r="AC235" s="1050"/>
      <c r="AE235" s="1028"/>
      <c r="AF235" s="1031"/>
      <c r="AG235" s="455"/>
      <c r="AH235" s="456"/>
      <c r="AI235" s="1050"/>
      <c r="AJ235" s="1050"/>
      <c r="AK235" s="1050"/>
      <c r="AL235" s="1050"/>
      <c r="AM235" s="1050"/>
      <c r="AN235" s="1050"/>
      <c r="AO235" s="1050"/>
      <c r="AP235" s="1050"/>
      <c r="AQ235" s="1050"/>
      <c r="AR235" s="1050"/>
    </row>
    <row r="236" spans="2:44" ht="15" outlineLevel="1" thickBot="1">
      <c r="B236" s="461"/>
      <c r="C236" s="462"/>
      <c r="D236" s="463"/>
      <c r="E236" s="464"/>
      <c r="F236" s="465"/>
      <c r="G236" s="466"/>
      <c r="H236" s="466"/>
      <c r="I236" s="466"/>
      <c r="J236" s="466"/>
      <c r="K236" s="467"/>
      <c r="L236" s="468"/>
      <c r="M236" s="423"/>
      <c r="N236" s="423"/>
      <c r="P236" s="1028"/>
      <c r="Q236" s="1031"/>
      <c r="R236" s="469"/>
      <c r="S236" s="470"/>
      <c r="T236" s="1051"/>
      <c r="U236" s="1051"/>
      <c r="V236" s="1051"/>
      <c r="W236" s="1051"/>
      <c r="X236" s="1051"/>
      <c r="Y236" s="1051"/>
      <c r="Z236" s="1051"/>
      <c r="AA236" s="1051"/>
      <c r="AB236" s="1051"/>
      <c r="AC236" s="1051"/>
      <c r="AE236" s="1028"/>
      <c r="AF236" s="1031"/>
      <c r="AG236" s="469"/>
      <c r="AH236" s="470"/>
      <c r="AI236" s="1051"/>
      <c r="AJ236" s="1051"/>
      <c r="AK236" s="1051"/>
      <c r="AL236" s="1051"/>
      <c r="AM236" s="1051"/>
      <c r="AN236" s="1051"/>
      <c r="AO236" s="1051"/>
      <c r="AP236" s="1051"/>
      <c r="AQ236" s="1051"/>
      <c r="AR236" s="1051"/>
    </row>
    <row r="237" spans="2:44" ht="15" outlineLevel="1" thickBot="1">
      <c r="B237" s="601"/>
      <c r="C237" s="604"/>
      <c r="D237" s="604"/>
      <c r="E237" s="604"/>
      <c r="F237" s="604"/>
      <c r="G237" s="605"/>
      <c r="H237" s="605"/>
      <c r="I237" s="605"/>
      <c r="J237" s="605"/>
      <c r="K237" s="607"/>
      <c r="L237" s="608"/>
      <c r="M237" s="423"/>
      <c r="N237" s="423"/>
      <c r="P237" s="1029"/>
      <c r="Q237" s="471"/>
      <c r="R237" s="472"/>
      <c r="S237" s="473"/>
      <c r="T237" s="474"/>
      <c r="U237" s="475"/>
      <c r="V237" s="474"/>
      <c r="W237" s="475"/>
      <c r="X237" s="474"/>
      <c r="Y237" s="475"/>
      <c r="Z237" s="474"/>
      <c r="AA237" s="475"/>
      <c r="AB237" s="474"/>
      <c r="AC237" s="477"/>
      <c r="AE237" s="1029"/>
      <c r="AF237" s="471"/>
      <c r="AG237" s="472"/>
      <c r="AH237" s="473"/>
      <c r="AI237" s="474"/>
      <c r="AJ237" s="475"/>
      <c r="AK237" s="474"/>
      <c r="AL237" s="475"/>
      <c r="AM237" s="474"/>
      <c r="AN237" s="475"/>
      <c r="AO237" s="474"/>
      <c r="AP237" s="475"/>
      <c r="AQ237" s="474"/>
      <c r="AR237" s="477"/>
    </row>
    <row r="238" spans="2:44" outlineLevel="1">
      <c r="B238" s="601"/>
      <c r="C238" s="604"/>
      <c r="D238" s="604"/>
      <c r="E238" s="604"/>
      <c r="F238" s="604"/>
      <c r="G238" s="609"/>
      <c r="H238" s="609"/>
      <c r="I238" s="609"/>
      <c r="J238" s="609"/>
      <c r="K238" s="610"/>
      <c r="L238" s="608"/>
      <c r="M238" s="423"/>
      <c r="N238" s="423"/>
    </row>
    <row r="239" spans="2:44" outlineLevel="1">
      <c r="B239" s="601"/>
      <c r="C239" s="604"/>
      <c r="D239" s="604"/>
      <c r="E239" s="604"/>
      <c r="F239" s="604"/>
      <c r="G239" s="609"/>
      <c r="H239" s="609"/>
      <c r="I239" s="609"/>
      <c r="J239" s="609"/>
      <c r="K239" s="610"/>
      <c r="L239" s="608"/>
      <c r="M239" s="480"/>
      <c r="N239" s="423"/>
    </row>
    <row r="240" spans="2:44" outlineLevel="1">
      <c r="B240" s="481"/>
      <c r="C240" s="459"/>
      <c r="D240" s="459"/>
      <c r="E240" s="459"/>
      <c r="F240" s="459"/>
      <c r="G240" s="482"/>
      <c r="H240" s="482"/>
      <c r="I240" s="482"/>
      <c r="J240" s="482"/>
      <c r="K240" s="483"/>
      <c r="L240" s="484"/>
      <c r="M240" s="480"/>
      <c r="N240" s="480"/>
    </row>
    <row r="241" spans="1:30" outlineLevel="1">
      <c r="B241" s="443"/>
      <c r="C241" s="457"/>
      <c r="D241" s="457"/>
      <c r="E241" s="457"/>
      <c r="F241" s="457"/>
      <c r="G241" s="482"/>
      <c r="H241" s="485"/>
      <c r="I241" s="485"/>
      <c r="J241" s="485"/>
      <c r="K241" s="486"/>
      <c r="L241" s="487"/>
      <c r="M241" s="488"/>
      <c r="N241" s="488"/>
    </row>
    <row r="242" spans="1:30" outlineLevel="1">
      <c r="B242" s="443"/>
      <c r="C242" s="457"/>
      <c r="D242" s="457"/>
      <c r="E242" s="457"/>
      <c r="F242" s="457"/>
      <c r="G242" s="485"/>
      <c r="H242" s="485"/>
      <c r="I242" s="485"/>
      <c r="J242" s="485"/>
      <c r="K242" s="483"/>
      <c r="L242" s="487"/>
      <c r="M242" s="488"/>
      <c r="N242" s="488"/>
    </row>
    <row r="243" spans="1:30" outlineLevel="1">
      <c r="B243" s="443"/>
      <c r="C243" s="457"/>
      <c r="D243" s="457"/>
      <c r="E243" s="457"/>
      <c r="F243" s="457"/>
      <c r="G243" s="485"/>
      <c r="H243" s="485"/>
      <c r="I243" s="485"/>
      <c r="J243" s="485"/>
      <c r="K243" s="483"/>
      <c r="L243" s="487"/>
      <c r="M243" s="488"/>
      <c r="N243" s="488"/>
    </row>
    <row r="244" spans="1:30" outlineLevel="1">
      <c r="B244" s="443"/>
      <c r="C244" s="457"/>
      <c r="D244" s="457"/>
      <c r="E244" s="457"/>
      <c r="F244" s="457"/>
      <c r="G244" s="485"/>
      <c r="H244" s="485"/>
      <c r="I244" s="485"/>
      <c r="J244" s="485"/>
      <c r="K244" s="483"/>
      <c r="L244" s="487"/>
      <c r="M244" s="488"/>
      <c r="N244" s="488"/>
    </row>
    <row r="245" spans="1:30" ht="15" outlineLevel="1" thickBot="1">
      <c r="B245" s="489"/>
      <c r="C245" s="490"/>
      <c r="D245" s="490"/>
      <c r="E245" s="490"/>
      <c r="F245" s="490"/>
      <c r="G245" s="485"/>
      <c r="H245" s="485"/>
      <c r="I245" s="485"/>
      <c r="J245" s="485"/>
      <c r="K245" s="483"/>
      <c r="L245" s="487"/>
      <c r="M245" s="488"/>
      <c r="N245" s="488"/>
    </row>
    <row r="246" spans="1:30" ht="15" outlineLevel="1" thickBot="1">
      <c r="B246" s="491"/>
      <c r="C246" s="492"/>
      <c r="D246" s="463"/>
      <c r="E246" s="463"/>
      <c r="F246" s="493"/>
      <c r="G246" s="494"/>
      <c r="H246" s="466"/>
      <c r="I246" s="466"/>
      <c r="J246" s="466"/>
      <c r="K246" s="467"/>
      <c r="L246" s="468"/>
      <c r="M246" s="488"/>
      <c r="N246" s="488"/>
    </row>
    <row r="247" spans="1:30" outlineLevel="1">
      <c r="A247" s="495"/>
      <c r="B247" s="496"/>
      <c r="C247" s="611"/>
      <c r="D247" s="572"/>
      <c r="E247" s="572"/>
      <c r="F247" s="573"/>
      <c r="G247" s="485"/>
      <c r="H247" s="485"/>
      <c r="I247" s="485"/>
      <c r="J247" s="485"/>
      <c r="K247" s="486"/>
      <c r="L247" s="500"/>
      <c r="M247" s="480"/>
      <c r="N247" s="480"/>
    </row>
    <row r="248" spans="1:30" outlineLevel="1">
      <c r="B248" s="501"/>
      <c r="C248" s="503"/>
      <c r="D248" s="502"/>
      <c r="E248" s="502"/>
      <c r="F248" s="502"/>
      <c r="G248" s="485"/>
      <c r="H248" s="485"/>
      <c r="I248" s="485"/>
      <c r="J248" s="485"/>
      <c r="K248" s="504"/>
      <c r="L248" s="433"/>
      <c r="M248" s="71"/>
      <c r="N248" s="480"/>
    </row>
    <row r="249" spans="1:30" outlineLevel="1">
      <c r="B249" s="501"/>
      <c r="C249" s="503"/>
      <c r="D249" s="503"/>
      <c r="E249" s="503"/>
      <c r="F249" s="503"/>
      <c r="G249" s="485"/>
      <c r="H249" s="485"/>
      <c r="I249" s="485"/>
      <c r="J249" s="485"/>
      <c r="K249" s="504"/>
      <c r="L249" s="433"/>
      <c r="M249" s="480"/>
      <c r="N249" s="480"/>
    </row>
    <row r="250" spans="1:30" outlineLevel="1">
      <c r="B250" s="443"/>
      <c r="C250" s="505"/>
      <c r="D250" s="506"/>
      <c r="E250" s="506"/>
      <c r="F250" s="507"/>
      <c r="G250" s="485"/>
      <c r="H250" s="485"/>
      <c r="I250" s="485"/>
      <c r="J250" s="485"/>
      <c r="K250" s="508"/>
      <c r="L250" s="433"/>
      <c r="M250" s="480"/>
      <c r="N250" s="480"/>
    </row>
    <row r="251" spans="1:30" outlineLevel="1">
      <c r="B251" s="443"/>
      <c r="C251" s="509"/>
      <c r="D251" s="509"/>
      <c r="E251" s="509"/>
      <c r="F251" s="509"/>
      <c r="G251" s="485"/>
      <c r="H251" s="485"/>
      <c r="I251" s="485"/>
      <c r="J251" s="485"/>
      <c r="K251" s="508"/>
      <c r="L251" s="433"/>
      <c r="M251" s="510"/>
      <c r="N251" s="421"/>
      <c r="P251" s="999"/>
      <c r="Q251" s="977"/>
      <c r="R251" s="977"/>
      <c r="S251" s="977"/>
      <c r="T251" s="977"/>
      <c r="U251" s="1000"/>
    </row>
    <row r="252" spans="1:30" ht="15" outlineLevel="1" thickBot="1">
      <c r="B252" s="601"/>
      <c r="C252" s="612"/>
      <c r="D252" s="612"/>
      <c r="E252" s="612"/>
      <c r="F252" s="612"/>
      <c r="G252" s="485"/>
      <c r="H252" s="485"/>
      <c r="I252" s="485"/>
      <c r="J252" s="485"/>
      <c r="K252" s="504"/>
      <c r="L252" s="433"/>
      <c r="M252" s="510"/>
      <c r="N252" s="421"/>
      <c r="P252" s="1001"/>
      <c r="Q252" s="1002"/>
      <c r="R252" s="1002"/>
      <c r="S252" s="1002"/>
      <c r="T252" s="1002"/>
      <c r="U252" s="1003"/>
    </row>
    <row r="253" spans="1:30" outlineLevel="1">
      <c r="B253" s="601"/>
      <c r="C253" s="614"/>
      <c r="D253" s="614"/>
      <c r="E253" s="614"/>
      <c r="F253" s="614"/>
      <c r="G253" s="485"/>
      <c r="H253" s="485"/>
      <c r="I253" s="485"/>
      <c r="J253" s="485"/>
      <c r="K253" s="508"/>
      <c r="L253" s="433"/>
      <c r="M253" s="423"/>
      <c r="N253" s="423"/>
      <c r="P253" s="53"/>
    </row>
    <row r="254" spans="1:30" outlineLevel="1">
      <c r="B254" s="501"/>
      <c r="C254" s="578"/>
      <c r="D254" s="578"/>
      <c r="E254" s="578"/>
      <c r="F254" s="578"/>
      <c r="G254" s="485"/>
      <c r="H254" s="485"/>
      <c r="I254" s="485"/>
      <c r="J254" s="485"/>
      <c r="K254" s="504"/>
      <c r="L254" s="484"/>
      <c r="M254" s="427"/>
      <c r="N254" s="427"/>
      <c r="P254" s="46"/>
      <c r="Q254" s="46"/>
      <c r="R254" s="47"/>
      <c r="S254" s="47"/>
      <c r="T254" s="47"/>
      <c r="U254" s="48"/>
      <c r="V254" s="49"/>
      <c r="W254" s="49"/>
      <c r="X254" s="49"/>
      <c r="Y254" s="49"/>
      <c r="Z254" s="49"/>
      <c r="AA254" s="49"/>
      <c r="AB254" s="49"/>
      <c r="AC254" s="49"/>
      <c r="AD254" s="49"/>
    </row>
    <row r="255" spans="1:30" ht="15" outlineLevel="1" thickBot="1">
      <c r="B255" s="579"/>
      <c r="C255" s="502"/>
      <c r="D255" s="580"/>
      <c r="E255" s="580"/>
      <c r="F255" s="581"/>
      <c r="G255" s="485"/>
      <c r="H255" s="485"/>
      <c r="I255" s="485"/>
      <c r="J255" s="485"/>
      <c r="K255" s="508"/>
      <c r="L255" s="484"/>
      <c r="M255" s="423"/>
      <c r="N255" s="423"/>
      <c r="P255" s="50"/>
      <c r="Q255" s="50"/>
      <c r="R255" s="51"/>
      <c r="S255" s="51"/>
      <c r="T255" s="51"/>
      <c r="U255" s="51"/>
      <c r="V255" s="50"/>
      <c r="W255" s="50"/>
      <c r="X255" s="50"/>
      <c r="Y255" s="50"/>
      <c r="Z255" s="50"/>
      <c r="AA255" s="50"/>
      <c r="AB255" s="50"/>
      <c r="AC255" s="50"/>
      <c r="AD255" s="50"/>
    </row>
    <row r="256" spans="1:30" ht="15" outlineLevel="1" thickBot="1">
      <c r="B256" s="461"/>
      <c r="C256" s="462"/>
      <c r="D256" s="463"/>
      <c r="E256" s="464"/>
      <c r="F256" s="465"/>
      <c r="G256" s="466"/>
      <c r="H256" s="466"/>
      <c r="I256" s="466"/>
      <c r="J256" s="466"/>
      <c r="K256" s="519"/>
      <c r="L256" s="520"/>
      <c r="M256" s="423"/>
      <c r="N256" s="423"/>
      <c r="O256" s="521"/>
      <c r="P256" s="56"/>
      <c r="Q256" s="56"/>
      <c r="R256" s="57"/>
      <c r="S256" s="57"/>
      <c r="T256" s="57"/>
      <c r="U256" s="56"/>
      <c r="V256" s="56"/>
      <c r="W256" s="56"/>
      <c r="X256" s="56"/>
      <c r="Y256" s="56"/>
      <c r="Z256" s="56"/>
      <c r="AA256" s="56"/>
      <c r="AB256" s="56"/>
      <c r="AC256" s="56"/>
      <c r="AD256" s="56"/>
    </row>
    <row r="257" spans="1:30" outlineLevel="1">
      <c r="B257" s="616"/>
      <c r="C257" s="617"/>
      <c r="D257" s="617"/>
      <c r="E257" s="617"/>
      <c r="F257" s="617"/>
      <c r="G257" s="618"/>
      <c r="H257" s="618"/>
      <c r="I257" s="618"/>
      <c r="J257" s="618"/>
      <c r="K257" s="618"/>
      <c r="L257" s="619"/>
      <c r="M257" s="423"/>
      <c r="N257" s="423"/>
      <c r="O257" s="525"/>
      <c r="P257" s="526"/>
      <c r="Q257" s="58"/>
      <c r="R257" s="526"/>
      <c r="S257" s="58"/>
      <c r="T257" s="526"/>
      <c r="U257" s="527"/>
      <c r="V257" s="527"/>
      <c r="W257" s="527"/>
      <c r="X257" s="58"/>
      <c r="Y257" s="58"/>
      <c r="Z257" s="526"/>
      <c r="AA257" s="528"/>
      <c r="AB257" s="528"/>
      <c r="AC257" s="528"/>
      <c r="AD257" s="528"/>
    </row>
    <row r="258" spans="1:30" outlineLevel="1">
      <c r="B258" s="601"/>
      <c r="C258" s="620"/>
      <c r="D258" s="621"/>
      <c r="E258" s="621"/>
      <c r="F258" s="622"/>
      <c r="G258" s="622"/>
      <c r="H258" s="622"/>
      <c r="I258" s="622"/>
      <c r="J258" s="622"/>
      <c r="K258" s="623"/>
      <c r="L258" s="619"/>
      <c r="M258" s="423"/>
      <c r="N258" s="423"/>
      <c r="O258" s="525"/>
      <c r="P258" s="526"/>
      <c r="Q258" s="58"/>
      <c r="R258" s="526"/>
      <c r="S258" s="58"/>
      <c r="T258" s="526"/>
      <c r="U258" s="527"/>
      <c r="V258" s="527"/>
      <c r="W258" s="527"/>
      <c r="X258" s="58"/>
      <c r="Y258" s="58"/>
      <c r="Z258" s="526"/>
      <c r="AA258" s="528"/>
      <c r="AB258" s="528"/>
      <c r="AC258" s="528"/>
      <c r="AD258" s="528"/>
    </row>
    <row r="259" spans="1:30" outlineLevel="1">
      <c r="B259" s="601"/>
      <c r="C259" s="620"/>
      <c r="D259" s="621"/>
      <c r="E259" s="621"/>
      <c r="F259" s="622"/>
      <c r="G259" s="622"/>
      <c r="H259" s="622"/>
      <c r="I259" s="622"/>
      <c r="J259" s="622"/>
      <c r="K259" s="623"/>
      <c r="L259" s="619"/>
      <c r="M259" s="423"/>
      <c r="N259" s="423"/>
      <c r="O259" s="525"/>
      <c r="P259" s="526"/>
      <c r="Q259" s="58"/>
      <c r="R259" s="526"/>
      <c r="S259" s="58"/>
      <c r="T259" s="526"/>
      <c r="U259" s="527"/>
      <c r="V259" s="527"/>
      <c r="W259" s="527"/>
      <c r="X259" s="58"/>
      <c r="Y259" s="58"/>
      <c r="Z259" s="526"/>
      <c r="AA259" s="528"/>
      <c r="AB259" s="528"/>
      <c r="AC259" s="528"/>
      <c r="AD259" s="528"/>
    </row>
    <row r="260" spans="1:30" outlineLevel="1">
      <c r="B260" s="601"/>
      <c r="C260" s="624"/>
      <c r="D260" s="624"/>
      <c r="E260" s="624"/>
      <c r="F260" s="624"/>
      <c r="G260" s="625"/>
      <c r="H260" s="625"/>
      <c r="I260" s="625"/>
      <c r="J260" s="625"/>
      <c r="K260" s="625"/>
      <c r="L260" s="608"/>
      <c r="M260" s="423"/>
      <c r="N260" s="423"/>
      <c r="O260" s="525"/>
      <c r="P260" s="526"/>
      <c r="Q260" s="58"/>
      <c r="R260" s="526"/>
      <c r="S260" s="58"/>
      <c r="T260" s="526"/>
      <c r="U260" s="527"/>
      <c r="V260" s="527"/>
      <c r="W260" s="527"/>
      <c r="X260" s="58"/>
      <c r="Y260" s="58"/>
      <c r="Z260" s="526"/>
      <c r="AA260" s="528"/>
      <c r="AB260" s="528"/>
      <c r="AC260" s="528"/>
      <c r="AD260" s="528"/>
    </row>
    <row r="261" spans="1:30" outlineLevel="1">
      <c r="B261" s="626"/>
      <c r="C261" s="620"/>
      <c r="D261" s="621"/>
      <c r="E261" s="621"/>
      <c r="F261" s="622"/>
      <c r="G261" s="622"/>
      <c r="H261" s="622"/>
      <c r="I261" s="622"/>
      <c r="J261" s="622"/>
      <c r="K261" s="623"/>
      <c r="L261" s="619"/>
      <c r="M261" s="427"/>
      <c r="N261" s="427"/>
    </row>
    <row r="262" spans="1:30" outlineLevel="1">
      <c r="B262" s="626"/>
      <c r="C262" s="620"/>
      <c r="D262" s="621"/>
      <c r="E262" s="621"/>
      <c r="F262" s="622"/>
      <c r="G262" s="622"/>
      <c r="H262" s="622"/>
      <c r="I262" s="622"/>
      <c r="J262" s="622"/>
      <c r="K262" s="623"/>
      <c r="L262" s="619"/>
      <c r="M262" s="423"/>
      <c r="N262" s="423"/>
    </row>
    <row r="263" spans="1:30" ht="15" outlineLevel="1" thickBot="1">
      <c r="B263" s="627"/>
      <c r="C263" s="628"/>
      <c r="D263" s="628"/>
      <c r="E263" s="628"/>
      <c r="F263" s="628"/>
      <c r="G263" s="628"/>
      <c r="H263" s="628"/>
      <c r="I263" s="628"/>
      <c r="J263" s="628"/>
      <c r="K263" s="628"/>
      <c r="L263" s="629"/>
      <c r="M263" s="423"/>
      <c r="N263" s="423"/>
    </row>
    <row r="264" spans="1:30" outlineLevel="1">
      <c r="B264" s="521"/>
      <c r="C264" s="543"/>
      <c r="D264" s="543"/>
      <c r="E264" s="543"/>
      <c r="F264" s="543"/>
      <c r="G264" s="543"/>
      <c r="H264" s="544"/>
      <c r="I264" s="480"/>
      <c r="J264" s="480"/>
      <c r="K264" s="544"/>
      <c r="L264" s="544"/>
      <c r="N264" s="480"/>
    </row>
    <row r="265" spans="1:30" outlineLevel="1">
      <c r="B265" s="545"/>
      <c r="C265" s="546"/>
      <c r="D265" s="546"/>
      <c r="E265" s="546"/>
      <c r="F265" s="546"/>
      <c r="G265" s="546"/>
      <c r="H265" s="544"/>
      <c r="I265" s="71"/>
      <c r="J265" s="480"/>
      <c r="K265" s="544"/>
      <c r="L265" s="544"/>
      <c r="N265" s="480"/>
    </row>
    <row r="266" spans="1:30" outlineLevel="1">
      <c r="B266" s="521"/>
      <c r="C266" s="419"/>
      <c r="D266" s="419"/>
      <c r="E266" s="419"/>
      <c r="F266" s="419"/>
      <c r="G266" s="419"/>
      <c r="I266" s="480"/>
      <c r="J266" s="480"/>
      <c r="N266" s="480"/>
    </row>
    <row r="267" spans="1:30" outlineLevel="1">
      <c r="B267" s="521"/>
      <c r="C267" s="547"/>
      <c r="D267" s="547"/>
      <c r="E267" s="547"/>
      <c r="F267" s="547"/>
      <c r="G267" s="419"/>
      <c r="M267" s="480"/>
      <c r="N267" s="480"/>
    </row>
    <row r="268" spans="1:30" outlineLevel="1"/>
    <row r="269" spans="1:30" outlineLevel="1">
      <c r="A269" s="548"/>
      <c r="B269" s="549"/>
      <c r="D269" s="550"/>
      <c r="E269" s="550"/>
      <c r="F269" s="550"/>
      <c r="G269" s="417"/>
      <c r="H269" s="417"/>
      <c r="I269" s="417"/>
      <c r="J269" s="417"/>
      <c r="K269" s="417"/>
      <c r="L269" s="417"/>
    </row>
    <row r="270" spans="1:30" outlineLevel="1">
      <c r="A270" s="551"/>
      <c r="B270" s="552"/>
      <c r="D270" s="550"/>
      <c r="E270" s="550"/>
      <c r="F270" s="550"/>
      <c r="G270" s="417"/>
      <c r="H270" s="417"/>
      <c r="I270" s="417"/>
      <c r="J270" s="417"/>
      <c r="K270" s="417"/>
      <c r="L270" s="417"/>
    </row>
    <row r="271" spans="1:30" outlineLevel="1">
      <c r="A271" s="551"/>
      <c r="B271" s="553"/>
      <c r="D271" s="550"/>
      <c r="E271" s="550"/>
      <c r="F271" s="550"/>
      <c r="G271" s="417"/>
      <c r="H271" s="417"/>
      <c r="I271" s="417"/>
      <c r="J271" s="417"/>
      <c r="K271" s="417"/>
      <c r="L271" s="417"/>
    </row>
    <row r="272" spans="1:30" outlineLevel="1">
      <c r="A272" s="551"/>
      <c r="B272" s="553"/>
      <c r="D272" s="550"/>
      <c r="E272" s="550"/>
      <c r="F272" s="550"/>
      <c r="G272" s="417"/>
      <c r="H272" s="417"/>
      <c r="I272" s="417"/>
      <c r="J272" s="417"/>
      <c r="K272" s="417"/>
      <c r="L272" s="417"/>
    </row>
    <row r="273" spans="1:15" outlineLevel="1">
      <c r="A273" s="551"/>
      <c r="B273" s="553"/>
      <c r="D273" s="550"/>
      <c r="E273" s="550"/>
      <c r="F273" s="550"/>
      <c r="G273" s="417"/>
      <c r="H273" s="417"/>
      <c r="I273" s="417"/>
      <c r="J273" s="417"/>
      <c r="K273" s="417"/>
      <c r="L273" s="417"/>
    </row>
    <row r="274" spans="1:15" outlineLevel="1">
      <c r="A274" s="417"/>
      <c r="B274" s="554"/>
      <c r="D274" s="550"/>
      <c r="E274" s="550"/>
      <c r="F274" s="550"/>
      <c r="G274" s="417"/>
      <c r="H274" s="417"/>
      <c r="I274" s="417"/>
      <c r="J274" s="417"/>
      <c r="K274" s="417"/>
      <c r="L274" s="417"/>
      <c r="M274" s="630"/>
      <c r="N274" s="549"/>
      <c r="O274" s="550"/>
    </row>
    <row r="275" spans="1:15" outlineLevel="1">
      <c r="A275" s="417"/>
      <c r="B275" s="552"/>
      <c r="D275" s="550"/>
      <c r="E275" s="550"/>
      <c r="F275" s="550"/>
      <c r="G275" s="417"/>
      <c r="H275" s="417"/>
      <c r="I275" s="417"/>
      <c r="J275" s="417"/>
      <c r="K275" s="417"/>
      <c r="L275" s="417"/>
      <c r="O275" s="550"/>
    </row>
    <row r="276" spans="1:15" outlineLevel="1">
      <c r="A276" s="417"/>
      <c r="B276" s="555"/>
      <c r="D276" s="550"/>
      <c r="E276" s="550"/>
      <c r="F276" s="550"/>
      <c r="G276" s="417"/>
      <c r="H276" s="417"/>
      <c r="I276" s="417"/>
      <c r="J276" s="417"/>
      <c r="K276" s="417"/>
      <c r="L276" s="417"/>
      <c r="O276" s="550"/>
    </row>
    <row r="277" spans="1:15" outlineLevel="1">
      <c r="A277" s="417"/>
      <c r="B277" s="555"/>
      <c r="D277" s="550"/>
      <c r="E277" s="550"/>
      <c r="F277" s="550"/>
      <c r="G277" s="417"/>
      <c r="H277" s="417"/>
      <c r="I277" s="417"/>
      <c r="J277" s="417"/>
      <c r="K277" s="417"/>
      <c r="L277" s="417"/>
      <c r="O277" s="550"/>
    </row>
    <row r="278" spans="1:15" outlineLevel="1">
      <c r="A278" s="417"/>
      <c r="B278" s="549"/>
      <c r="D278" s="550"/>
      <c r="E278" s="550"/>
      <c r="F278" s="550"/>
      <c r="G278" s="417"/>
      <c r="H278" s="417"/>
      <c r="I278" s="417"/>
      <c r="J278" s="417"/>
      <c r="K278" s="417"/>
      <c r="L278" s="417"/>
      <c r="O278" s="550"/>
    </row>
    <row r="279" spans="1:15" outlineLevel="1">
      <c r="A279" s="417"/>
      <c r="B279" s="550"/>
      <c r="D279" s="550"/>
      <c r="E279" s="550"/>
      <c r="F279" s="550"/>
      <c r="G279" s="417"/>
      <c r="H279" s="417"/>
      <c r="I279" s="417"/>
      <c r="J279" s="417"/>
      <c r="K279" s="417"/>
      <c r="L279" s="417"/>
      <c r="O279" s="550"/>
    </row>
    <row r="280" spans="1:15" outlineLevel="1">
      <c r="A280" s="548"/>
      <c r="B280" s="549"/>
      <c r="D280" s="550"/>
      <c r="E280" s="550"/>
      <c r="F280" s="550"/>
      <c r="G280" s="417"/>
      <c r="H280" s="417"/>
      <c r="I280" s="417"/>
      <c r="J280" s="417"/>
      <c r="K280" s="417"/>
      <c r="L280" s="417"/>
      <c r="O280" s="550"/>
    </row>
    <row r="281" spans="1:15" outlineLevel="1">
      <c r="A281" s="556"/>
      <c r="B281" s="557"/>
      <c r="D281" s="550"/>
      <c r="E281" s="550"/>
      <c r="F281" s="550"/>
      <c r="G281" s="417"/>
      <c r="H281" s="417"/>
      <c r="I281" s="417"/>
      <c r="J281" s="417"/>
      <c r="K281" s="417"/>
      <c r="L281" s="417"/>
      <c r="M281" s="630"/>
      <c r="N281" s="549"/>
      <c r="O281" s="550"/>
    </row>
    <row r="282" spans="1:15" outlineLevel="1">
      <c r="A282" s="556"/>
      <c r="B282" s="549"/>
      <c r="D282" s="550"/>
      <c r="E282" s="550"/>
      <c r="F282" s="550"/>
      <c r="G282" s="417"/>
      <c r="H282" s="417"/>
      <c r="I282" s="417"/>
      <c r="J282" s="417"/>
      <c r="K282" s="417"/>
      <c r="L282" s="417"/>
      <c r="M282" s="631"/>
      <c r="N282" s="549"/>
      <c r="O282" s="550"/>
    </row>
    <row r="283" spans="1:15" outlineLevel="1">
      <c r="A283" s="556"/>
      <c r="B283" s="549"/>
      <c r="D283" s="550"/>
      <c r="E283" s="550"/>
      <c r="F283" s="550"/>
      <c r="G283" s="417"/>
      <c r="H283" s="417"/>
      <c r="I283" s="417"/>
      <c r="J283" s="417"/>
      <c r="K283" s="417"/>
      <c r="L283" s="417"/>
      <c r="M283" s="632"/>
      <c r="N283" s="549"/>
      <c r="O283" s="550"/>
    </row>
    <row r="284" spans="1:15" outlineLevel="1">
      <c r="A284" s="556"/>
      <c r="B284" s="558"/>
      <c r="D284" s="550"/>
      <c r="E284" s="550"/>
      <c r="F284" s="550"/>
      <c r="G284" s="417"/>
      <c r="H284" s="417"/>
      <c r="I284" s="417"/>
      <c r="J284" s="417"/>
      <c r="K284" s="417"/>
      <c r="L284" s="417"/>
      <c r="M284" s="633"/>
      <c r="N284" s="549"/>
      <c r="O284" s="550"/>
    </row>
    <row r="285" spans="1:15" outlineLevel="1">
      <c r="A285" s="556"/>
      <c r="B285" s="549"/>
      <c r="D285" s="550"/>
      <c r="E285" s="550"/>
      <c r="F285" s="550"/>
      <c r="G285" s="417"/>
      <c r="H285" s="417"/>
      <c r="I285" s="417"/>
      <c r="J285" s="417"/>
      <c r="K285" s="417"/>
      <c r="L285" s="417"/>
      <c r="M285" s="633"/>
      <c r="N285" s="550"/>
      <c r="O285" s="550"/>
    </row>
    <row r="286" spans="1:15" outlineLevel="1">
      <c r="A286" s="556"/>
      <c r="B286" s="549"/>
      <c r="D286" s="550"/>
      <c r="E286" s="550"/>
      <c r="F286" s="550"/>
      <c r="G286" s="417"/>
      <c r="H286" s="417"/>
      <c r="I286" s="417"/>
      <c r="J286" s="417"/>
      <c r="K286" s="417"/>
      <c r="L286" s="417"/>
      <c r="M286" s="549"/>
      <c r="N286" s="550"/>
      <c r="O286" s="550"/>
    </row>
    <row r="287" spans="1:15" outlineLevel="1"/>
    <row r="290" spans="1:44" ht="15" thickBot="1">
      <c r="A290" s="420"/>
    </row>
    <row r="291" spans="1:44" ht="20.7" customHeight="1" thickBot="1">
      <c r="B291" s="422"/>
      <c r="C291" s="1043"/>
      <c r="D291" s="1044"/>
      <c r="E291" s="1044"/>
      <c r="F291" s="1044"/>
      <c r="G291" s="1044"/>
      <c r="H291" s="1044"/>
      <c r="I291" s="1044"/>
      <c r="J291" s="1044"/>
      <c r="K291" s="1044"/>
      <c r="L291" s="1045"/>
      <c r="M291" s="423"/>
      <c r="N291" s="423"/>
      <c r="P291" s="424"/>
      <c r="Q291" s="425"/>
      <c r="R291" s="426"/>
      <c r="S291" s="985"/>
      <c r="T291" s="989"/>
      <c r="U291" s="990"/>
      <c r="V291" s="989"/>
      <c r="W291" s="990"/>
      <c r="X291" s="989"/>
      <c r="Y291" s="990"/>
      <c r="Z291" s="989"/>
      <c r="AA291" s="990"/>
      <c r="AB291" s="989"/>
      <c r="AC291" s="990"/>
      <c r="AE291" s="424"/>
      <c r="AF291" s="425"/>
      <c r="AG291" s="426"/>
      <c r="AH291" s="985"/>
      <c r="AI291" s="989"/>
      <c r="AJ291" s="990"/>
      <c r="AK291" s="989"/>
      <c r="AL291" s="990"/>
      <c r="AM291" s="989"/>
      <c r="AN291" s="990"/>
      <c r="AO291" s="989"/>
      <c r="AP291" s="990"/>
      <c r="AQ291" s="989"/>
      <c r="AR291" s="990"/>
    </row>
    <row r="292" spans="1:44" ht="15" customHeight="1" thickBot="1">
      <c r="B292" s="1010"/>
      <c r="C292" s="1012"/>
      <c r="D292" s="1012"/>
      <c r="E292" s="1012"/>
      <c r="F292" s="1012"/>
      <c r="G292" s="1048"/>
      <c r="H292" s="1049"/>
      <c r="I292" s="1048"/>
      <c r="J292" s="1049"/>
      <c r="K292" s="1046"/>
      <c r="L292" s="1046"/>
      <c r="M292" s="427"/>
      <c r="N292" s="427"/>
      <c r="P292" s="993"/>
      <c r="Q292" s="428"/>
      <c r="R292" s="428"/>
      <c r="S292" s="986"/>
      <c r="T292" s="991"/>
      <c r="U292" s="992"/>
      <c r="V292" s="991"/>
      <c r="W292" s="992"/>
      <c r="X292" s="991"/>
      <c r="Y292" s="992"/>
      <c r="Z292" s="991"/>
      <c r="AA292" s="992"/>
      <c r="AB292" s="991"/>
      <c r="AC292" s="992"/>
      <c r="AE292" s="993"/>
      <c r="AF292" s="428"/>
      <c r="AG292" s="428"/>
      <c r="AH292" s="986"/>
      <c r="AI292" s="991"/>
      <c r="AJ292" s="992"/>
      <c r="AK292" s="991"/>
      <c r="AL292" s="992"/>
      <c r="AM292" s="991"/>
      <c r="AN292" s="992"/>
      <c r="AO292" s="991"/>
      <c r="AP292" s="992"/>
      <c r="AQ292" s="991"/>
      <c r="AR292" s="992"/>
    </row>
    <row r="293" spans="1:44" ht="15" customHeight="1" thickBot="1">
      <c r="B293" s="1011"/>
      <c r="C293" s="1013"/>
      <c r="D293" s="1013"/>
      <c r="E293" s="1013"/>
      <c r="F293" s="1013"/>
      <c r="G293" s="466"/>
      <c r="H293" s="466"/>
      <c r="I293" s="466"/>
      <c r="J293" s="466"/>
      <c r="K293" s="1047"/>
      <c r="L293" s="1047"/>
      <c r="M293" s="430"/>
      <c r="N293" s="430"/>
      <c r="P293" s="994"/>
      <c r="Q293" s="996"/>
      <c r="R293" s="997"/>
      <c r="S293" s="987"/>
      <c r="T293" s="991"/>
      <c r="U293" s="992"/>
      <c r="V293" s="991"/>
      <c r="W293" s="992"/>
      <c r="X293" s="991"/>
      <c r="Y293" s="992"/>
      <c r="Z293" s="991"/>
      <c r="AA293" s="992"/>
      <c r="AB293" s="991"/>
      <c r="AC293" s="992"/>
      <c r="AE293" s="994"/>
      <c r="AF293" s="996"/>
      <c r="AG293" s="997"/>
      <c r="AH293" s="987"/>
      <c r="AI293" s="991"/>
      <c r="AJ293" s="992"/>
      <c r="AK293" s="991"/>
      <c r="AL293" s="992"/>
      <c r="AM293" s="991"/>
      <c r="AN293" s="992"/>
      <c r="AO293" s="991"/>
      <c r="AP293" s="992"/>
      <c r="AQ293" s="991"/>
      <c r="AR293" s="992"/>
    </row>
    <row r="294" spans="1:44" ht="15" thickBot="1">
      <c r="B294" s="431"/>
      <c r="C294" s="432"/>
      <c r="D294" s="432"/>
      <c r="E294" s="432"/>
      <c r="F294" s="432"/>
      <c r="G294" s="432"/>
      <c r="H294" s="432"/>
      <c r="I294" s="432"/>
      <c r="J294" s="432"/>
      <c r="K294" s="432"/>
      <c r="L294" s="433"/>
      <c r="M294" s="430"/>
      <c r="N294" s="430"/>
      <c r="O294" s="74"/>
      <c r="P294" s="995"/>
      <c r="Q294" s="988"/>
      <c r="R294" s="998"/>
      <c r="S294" s="988"/>
      <c r="T294" s="434"/>
      <c r="U294" s="435"/>
      <c r="V294" s="434"/>
      <c r="W294" s="435"/>
      <c r="X294" s="434"/>
      <c r="Y294" s="435"/>
      <c r="Z294" s="434"/>
      <c r="AA294" s="435"/>
      <c r="AB294" s="434"/>
      <c r="AC294" s="435"/>
      <c r="AE294" s="995"/>
      <c r="AF294" s="988"/>
      <c r="AG294" s="998"/>
      <c r="AH294" s="988"/>
      <c r="AI294" s="434"/>
      <c r="AJ294" s="435"/>
      <c r="AK294" s="434"/>
      <c r="AL294" s="435"/>
      <c r="AM294" s="434"/>
      <c r="AN294" s="435"/>
      <c r="AO294" s="434"/>
      <c r="AP294" s="435"/>
      <c r="AQ294" s="434"/>
      <c r="AR294" s="435"/>
    </row>
    <row r="295" spans="1:44" ht="14.7" customHeight="1">
      <c r="B295" s="634"/>
      <c r="C295" s="635"/>
      <c r="D295" s="635"/>
      <c r="E295" s="635"/>
      <c r="F295" s="635"/>
      <c r="G295" s="636"/>
      <c r="H295" s="636"/>
      <c r="I295" s="636"/>
      <c r="J295" s="636"/>
      <c r="K295" s="432"/>
      <c r="L295" s="433"/>
      <c r="M295" s="430"/>
      <c r="N295" s="430"/>
      <c r="P295" s="1027"/>
      <c r="Q295" s="1030"/>
      <c r="R295" s="441"/>
      <c r="S295" s="442"/>
      <c r="T295" s="1033"/>
      <c r="U295" s="1021"/>
      <c r="V295" s="1033"/>
      <c r="W295" s="1021"/>
      <c r="X295" s="1033"/>
      <c r="Y295" s="1021"/>
      <c r="Z295" s="1033"/>
      <c r="AA295" s="1021"/>
      <c r="AB295" s="1024"/>
      <c r="AC295" s="1021"/>
      <c r="AE295" s="1027"/>
      <c r="AF295" s="1030"/>
      <c r="AG295" s="441"/>
      <c r="AH295" s="442"/>
      <c r="AI295" s="1033"/>
      <c r="AJ295" s="1021"/>
      <c r="AK295" s="1033"/>
      <c r="AL295" s="1021"/>
      <c r="AM295" s="1033"/>
      <c r="AN295" s="1021"/>
      <c r="AO295" s="1033"/>
      <c r="AP295" s="1021"/>
      <c r="AQ295" s="1024"/>
      <c r="AR295" s="1021"/>
    </row>
    <row r="296" spans="1:44">
      <c r="B296" s="443"/>
      <c r="C296" s="637"/>
      <c r="D296" s="637"/>
      <c r="E296" s="637"/>
      <c r="F296" s="637"/>
      <c r="G296" s="636"/>
      <c r="H296" s="636"/>
      <c r="I296" s="636"/>
      <c r="J296" s="636"/>
      <c r="K296" s="432"/>
      <c r="L296" s="433"/>
      <c r="M296" s="430"/>
      <c r="N296" s="430"/>
      <c r="O296" s="71"/>
      <c r="P296" s="1052"/>
      <c r="Q296" s="1031"/>
      <c r="R296" s="448"/>
      <c r="S296" s="449"/>
      <c r="T296" s="1034"/>
      <c r="U296" s="1022"/>
      <c r="V296" s="1034"/>
      <c r="W296" s="1022"/>
      <c r="X296" s="1034"/>
      <c r="Y296" s="1022"/>
      <c r="Z296" s="1034"/>
      <c r="AA296" s="1022"/>
      <c r="AB296" s="1025"/>
      <c r="AC296" s="1022"/>
      <c r="AE296" s="1052"/>
      <c r="AF296" s="1031"/>
      <c r="AG296" s="448"/>
      <c r="AH296" s="449"/>
      <c r="AI296" s="1034"/>
      <c r="AJ296" s="1022"/>
      <c r="AK296" s="1034"/>
      <c r="AL296" s="1022"/>
      <c r="AM296" s="1034"/>
      <c r="AN296" s="1022"/>
      <c r="AO296" s="1034"/>
      <c r="AP296" s="1022"/>
      <c r="AQ296" s="1025"/>
      <c r="AR296" s="1022"/>
    </row>
    <row r="297" spans="1:44" ht="15" thickBot="1">
      <c r="B297" s="634"/>
      <c r="C297" s="638"/>
      <c r="D297" s="638"/>
      <c r="E297" s="638"/>
      <c r="F297" s="638"/>
      <c r="G297" s="638"/>
      <c r="H297" s="638"/>
      <c r="I297" s="638"/>
      <c r="J297" s="638"/>
      <c r="K297" s="639"/>
      <c r="L297" s="640"/>
      <c r="M297" s="430"/>
      <c r="N297" s="430"/>
      <c r="O297" s="71"/>
      <c r="P297" s="1052"/>
      <c r="Q297" s="1032"/>
      <c r="R297" s="453"/>
      <c r="S297" s="454"/>
      <c r="T297" s="1035"/>
      <c r="U297" s="1023"/>
      <c r="V297" s="1035"/>
      <c r="W297" s="1023"/>
      <c r="X297" s="1035"/>
      <c r="Y297" s="1023"/>
      <c r="Z297" s="1035"/>
      <c r="AA297" s="1023"/>
      <c r="AB297" s="1026"/>
      <c r="AC297" s="1023"/>
      <c r="AE297" s="1052"/>
      <c r="AF297" s="1032"/>
      <c r="AG297" s="453"/>
      <c r="AH297" s="454"/>
      <c r="AI297" s="1035"/>
      <c r="AJ297" s="1023"/>
      <c r="AK297" s="1035"/>
      <c r="AL297" s="1023"/>
      <c r="AM297" s="1035"/>
      <c r="AN297" s="1023"/>
      <c r="AO297" s="1035"/>
      <c r="AP297" s="1023"/>
      <c r="AQ297" s="1026"/>
      <c r="AR297" s="1023"/>
    </row>
    <row r="298" spans="1:44" ht="14.7" customHeight="1">
      <c r="B298" s="634"/>
      <c r="C298" s="641"/>
      <c r="D298" s="641"/>
      <c r="E298" s="641"/>
      <c r="F298" s="641"/>
      <c r="G298" s="641"/>
      <c r="H298" s="641"/>
      <c r="I298" s="641"/>
      <c r="J298" s="641"/>
      <c r="K298" s="639"/>
      <c r="L298" s="640"/>
      <c r="M298" s="430"/>
      <c r="N298" s="430"/>
      <c r="O298" s="71"/>
      <c r="P298" s="1052"/>
      <c r="Q298" s="1054"/>
      <c r="R298" s="455"/>
      <c r="S298" s="456"/>
      <c r="T298" s="1033"/>
      <c r="U298" s="1033"/>
      <c r="V298" s="1033"/>
      <c r="W298" s="1033"/>
      <c r="X298" s="1033"/>
      <c r="Y298" s="1033"/>
      <c r="Z298" s="1033"/>
      <c r="AA298" s="1033"/>
      <c r="AB298" s="1033"/>
      <c r="AC298" s="1033"/>
      <c r="AE298" s="1052"/>
      <c r="AF298" s="1054"/>
      <c r="AG298" s="455"/>
      <c r="AH298" s="456"/>
      <c r="AI298" s="1033"/>
      <c r="AJ298" s="1033"/>
      <c r="AK298" s="1033"/>
      <c r="AL298" s="1033"/>
      <c r="AM298" s="1033"/>
      <c r="AN298" s="1033"/>
      <c r="AO298" s="1033"/>
      <c r="AP298" s="1033"/>
      <c r="AQ298" s="1033"/>
      <c r="AR298" s="1033"/>
    </row>
    <row r="299" spans="1:44">
      <c r="B299" s="634"/>
      <c r="C299" s="642"/>
      <c r="D299" s="642"/>
      <c r="E299" s="642"/>
      <c r="F299" s="642"/>
      <c r="G299" s="642"/>
      <c r="H299" s="642"/>
      <c r="I299" s="642"/>
      <c r="J299" s="642"/>
      <c r="K299" s="639"/>
      <c r="L299" s="640"/>
      <c r="M299" s="427"/>
      <c r="N299" s="427"/>
      <c r="O299" s="71"/>
      <c r="P299" s="1052"/>
      <c r="Q299" s="1055"/>
      <c r="R299" s="455"/>
      <c r="S299" s="456"/>
      <c r="T299" s="1050"/>
      <c r="U299" s="1050"/>
      <c r="V299" s="1050"/>
      <c r="W299" s="1050"/>
      <c r="X299" s="1050"/>
      <c r="Y299" s="1050"/>
      <c r="Z299" s="1050"/>
      <c r="AA299" s="1050"/>
      <c r="AB299" s="1034"/>
      <c r="AC299" s="1050"/>
      <c r="AE299" s="1052"/>
      <c r="AF299" s="1055"/>
      <c r="AG299" s="455"/>
      <c r="AH299" s="456"/>
      <c r="AI299" s="1050"/>
      <c r="AJ299" s="1050"/>
      <c r="AK299" s="1050"/>
      <c r="AL299" s="1050"/>
      <c r="AM299" s="1050"/>
      <c r="AN299" s="1050"/>
      <c r="AO299" s="1050"/>
      <c r="AP299" s="1050"/>
      <c r="AQ299" s="1034"/>
      <c r="AR299" s="1050"/>
    </row>
    <row r="300" spans="1:44">
      <c r="B300" s="443"/>
      <c r="C300" s="457"/>
      <c r="D300" s="457"/>
      <c r="E300" s="457"/>
      <c r="F300" s="457"/>
      <c r="G300" s="458"/>
      <c r="H300" s="458"/>
      <c r="I300" s="458"/>
      <c r="J300" s="458"/>
      <c r="K300" s="432"/>
      <c r="L300" s="433"/>
      <c r="M300" s="423"/>
      <c r="N300" s="423"/>
      <c r="P300" s="1052"/>
      <c r="Q300" s="1055"/>
      <c r="R300" s="455"/>
      <c r="S300" s="456"/>
      <c r="T300" s="1050"/>
      <c r="U300" s="1050"/>
      <c r="V300" s="1050"/>
      <c r="W300" s="1050"/>
      <c r="X300" s="1050"/>
      <c r="Y300" s="1050"/>
      <c r="Z300" s="1050"/>
      <c r="AA300" s="1050"/>
      <c r="AB300" s="1034"/>
      <c r="AC300" s="1050"/>
      <c r="AE300" s="1052"/>
      <c r="AF300" s="1055"/>
      <c r="AG300" s="455"/>
      <c r="AH300" s="456"/>
      <c r="AI300" s="1050"/>
      <c r="AJ300" s="1050"/>
      <c r="AK300" s="1050"/>
      <c r="AL300" s="1050"/>
      <c r="AM300" s="1050"/>
      <c r="AN300" s="1050"/>
      <c r="AO300" s="1050"/>
      <c r="AP300" s="1050"/>
      <c r="AQ300" s="1034"/>
      <c r="AR300" s="1050"/>
    </row>
    <row r="301" spans="1:44" ht="15" thickBot="1">
      <c r="B301" s="634"/>
      <c r="C301" s="642"/>
      <c r="D301" s="642"/>
      <c r="E301" s="642"/>
      <c r="F301" s="642"/>
      <c r="G301" s="642"/>
      <c r="H301" s="642"/>
      <c r="I301" s="642"/>
      <c r="J301" s="642"/>
      <c r="K301" s="432"/>
      <c r="L301" s="433"/>
      <c r="M301" s="423"/>
      <c r="N301" s="423"/>
      <c r="P301" s="1052"/>
      <c r="Q301" s="1055"/>
      <c r="R301" s="455"/>
      <c r="S301" s="456"/>
      <c r="T301" s="1050"/>
      <c r="U301" s="1050"/>
      <c r="V301" s="1050"/>
      <c r="W301" s="1050"/>
      <c r="X301" s="1050"/>
      <c r="Y301" s="1050"/>
      <c r="Z301" s="1050"/>
      <c r="AA301" s="1050"/>
      <c r="AB301" s="1034"/>
      <c r="AC301" s="1050"/>
      <c r="AE301" s="1052"/>
      <c r="AF301" s="1055"/>
      <c r="AG301" s="455"/>
      <c r="AH301" s="456"/>
      <c r="AI301" s="1050"/>
      <c r="AJ301" s="1050"/>
      <c r="AK301" s="1050"/>
      <c r="AL301" s="1050"/>
      <c r="AM301" s="1050"/>
      <c r="AN301" s="1050"/>
      <c r="AO301" s="1050"/>
      <c r="AP301" s="1050"/>
      <c r="AQ301" s="1034"/>
      <c r="AR301" s="1050"/>
    </row>
    <row r="302" spans="1:44" ht="15" thickBot="1">
      <c r="B302" s="461"/>
      <c r="C302" s="643"/>
      <c r="D302" s="644"/>
      <c r="E302" s="645"/>
      <c r="F302" s="646"/>
      <c r="G302" s="466"/>
      <c r="H302" s="466"/>
      <c r="I302" s="466"/>
      <c r="J302" s="466"/>
      <c r="K302" s="467"/>
      <c r="L302" s="647"/>
      <c r="M302" s="423"/>
      <c r="N302" s="423"/>
      <c r="P302" s="1052"/>
      <c r="Q302" s="1056"/>
      <c r="R302" s="469"/>
      <c r="S302" s="470"/>
      <c r="T302" s="1051"/>
      <c r="U302" s="1051"/>
      <c r="V302" s="1051"/>
      <c r="W302" s="1051"/>
      <c r="X302" s="1051"/>
      <c r="Y302" s="1051"/>
      <c r="Z302" s="1051"/>
      <c r="AA302" s="1051"/>
      <c r="AB302" s="1035"/>
      <c r="AC302" s="1051"/>
      <c r="AE302" s="1052"/>
      <c r="AF302" s="1056"/>
      <c r="AG302" s="469"/>
      <c r="AH302" s="470"/>
      <c r="AI302" s="1051"/>
      <c r="AJ302" s="1051"/>
      <c r="AK302" s="1051"/>
      <c r="AL302" s="1051"/>
      <c r="AM302" s="1051"/>
      <c r="AN302" s="1051"/>
      <c r="AO302" s="1051"/>
      <c r="AP302" s="1051"/>
      <c r="AQ302" s="1035"/>
      <c r="AR302" s="1051"/>
    </row>
    <row r="303" spans="1:44" ht="15" thickBot="1">
      <c r="B303" s="634"/>
      <c r="C303" s="648"/>
      <c r="D303" s="648"/>
      <c r="E303" s="648"/>
      <c r="F303" s="648"/>
      <c r="G303" s="649"/>
      <c r="H303" s="649"/>
      <c r="I303" s="650"/>
      <c r="J303" s="650"/>
      <c r="K303" s="639"/>
      <c r="L303" s="640"/>
      <c r="M303" s="423"/>
      <c r="N303" s="423"/>
      <c r="P303" s="1053"/>
      <c r="Q303" s="471"/>
      <c r="R303" s="472"/>
      <c r="S303" s="473"/>
      <c r="T303" s="651"/>
      <c r="U303" s="652"/>
      <c r="V303" s="653"/>
      <c r="W303" s="652"/>
      <c r="X303" s="653"/>
      <c r="Y303" s="652"/>
      <c r="Z303" s="653"/>
      <c r="AA303" s="652"/>
      <c r="AB303" s="653"/>
      <c r="AC303" s="654"/>
      <c r="AE303" s="1053"/>
      <c r="AF303" s="471"/>
      <c r="AG303" s="472"/>
      <c r="AH303" s="473"/>
      <c r="AI303" s="651"/>
      <c r="AJ303" s="652"/>
      <c r="AK303" s="653"/>
      <c r="AL303" s="652"/>
      <c r="AM303" s="653"/>
      <c r="AN303" s="652"/>
      <c r="AO303" s="653"/>
      <c r="AP303" s="652"/>
      <c r="AQ303" s="653"/>
      <c r="AR303" s="654"/>
    </row>
    <row r="304" spans="1:44">
      <c r="B304" s="634"/>
      <c r="C304" s="642"/>
      <c r="D304" s="642"/>
      <c r="E304" s="642"/>
      <c r="F304" s="642"/>
      <c r="G304" s="655"/>
      <c r="H304" s="655"/>
      <c r="I304" s="655"/>
      <c r="J304" s="655"/>
      <c r="K304" s="656"/>
      <c r="L304" s="640"/>
      <c r="M304" s="423"/>
      <c r="N304" s="423"/>
    </row>
    <row r="305" spans="1:30">
      <c r="B305" s="634"/>
      <c r="C305" s="642"/>
      <c r="D305" s="642"/>
      <c r="E305" s="642"/>
      <c r="F305" s="642"/>
      <c r="G305" s="655"/>
      <c r="H305" s="655"/>
      <c r="I305" s="655"/>
      <c r="J305" s="655"/>
      <c r="K305" s="656"/>
      <c r="L305" s="640"/>
      <c r="M305" s="480"/>
      <c r="N305" s="423"/>
    </row>
    <row r="306" spans="1:30">
      <c r="B306" s="481"/>
      <c r="C306" s="459"/>
      <c r="D306" s="459"/>
      <c r="E306" s="459"/>
      <c r="F306" s="459"/>
      <c r="G306" s="482"/>
      <c r="H306" s="482"/>
      <c r="I306" s="482"/>
      <c r="J306" s="482"/>
      <c r="K306" s="483"/>
      <c r="L306" s="657"/>
      <c r="M306" s="480"/>
      <c r="N306" s="480"/>
    </row>
    <row r="307" spans="1:30">
      <c r="B307" s="443"/>
      <c r="C307" s="457"/>
      <c r="D307" s="457"/>
      <c r="E307" s="457"/>
      <c r="F307" s="457"/>
      <c r="G307" s="482"/>
      <c r="H307" s="485"/>
      <c r="I307" s="485"/>
      <c r="J307" s="485"/>
      <c r="K307" s="486"/>
      <c r="L307" s="487"/>
      <c r="M307" s="488"/>
      <c r="N307" s="488"/>
    </row>
    <row r="308" spans="1:30">
      <c r="B308" s="443"/>
      <c r="C308" s="457"/>
      <c r="D308" s="457"/>
      <c r="E308" s="457"/>
      <c r="F308" s="457"/>
      <c r="G308" s="485"/>
      <c r="H308" s="485"/>
      <c r="I308" s="485"/>
      <c r="J308" s="485"/>
      <c r="K308" s="483"/>
      <c r="L308" s="487"/>
      <c r="M308" s="488"/>
      <c r="N308" s="488"/>
    </row>
    <row r="309" spans="1:30">
      <c r="B309" s="443"/>
      <c r="C309" s="457"/>
      <c r="D309" s="457"/>
      <c r="E309" s="457"/>
      <c r="F309" s="457"/>
      <c r="G309" s="485"/>
      <c r="H309" s="485"/>
      <c r="I309" s="485"/>
      <c r="J309" s="485"/>
      <c r="K309" s="483"/>
      <c r="L309" s="487"/>
      <c r="M309" s="488"/>
      <c r="N309" s="488"/>
    </row>
    <row r="310" spans="1:30">
      <c r="B310" s="443"/>
      <c r="C310" s="457"/>
      <c r="D310" s="457"/>
      <c r="E310" s="457"/>
      <c r="F310" s="457"/>
      <c r="G310" s="485"/>
      <c r="H310" s="485"/>
      <c r="I310" s="485"/>
      <c r="J310" s="485"/>
      <c r="K310" s="483"/>
      <c r="L310" s="487"/>
      <c r="M310" s="488"/>
      <c r="N310" s="488"/>
    </row>
    <row r="311" spans="1:30" ht="15" thickBot="1">
      <c r="B311" s="489"/>
      <c r="C311" s="457"/>
      <c r="D311" s="457"/>
      <c r="E311" s="457"/>
      <c r="F311" s="457"/>
      <c r="G311" s="485"/>
      <c r="H311" s="485"/>
      <c r="I311" s="485"/>
      <c r="J311" s="485"/>
      <c r="K311" s="483"/>
      <c r="L311" s="487"/>
      <c r="M311" s="488"/>
      <c r="N311" s="488"/>
    </row>
    <row r="312" spans="1:30" ht="15" thickBot="1">
      <c r="B312" s="491"/>
      <c r="C312" s="658"/>
      <c r="D312" s="644"/>
      <c r="E312" s="644"/>
      <c r="F312" s="659"/>
      <c r="G312" s="494"/>
      <c r="H312" s="466"/>
      <c r="I312" s="466"/>
      <c r="J312" s="466"/>
      <c r="K312" s="467"/>
      <c r="L312" s="647"/>
      <c r="M312" s="488"/>
      <c r="N312" s="488"/>
    </row>
    <row r="313" spans="1:30">
      <c r="A313" s="495"/>
      <c r="B313" s="496"/>
      <c r="C313" s="660"/>
      <c r="D313" s="660"/>
      <c r="E313" s="660"/>
      <c r="F313" s="660"/>
      <c r="G313" s="485"/>
      <c r="H313" s="485"/>
      <c r="I313" s="485"/>
      <c r="J313" s="485"/>
      <c r="K313" s="486"/>
      <c r="L313" s="500"/>
      <c r="M313" s="480"/>
      <c r="N313" s="480"/>
    </row>
    <row r="314" spans="1:30">
      <c r="B314" s="501"/>
      <c r="C314" s="661"/>
      <c r="D314" s="661"/>
      <c r="E314" s="661"/>
      <c r="F314" s="661"/>
      <c r="G314" s="485"/>
      <c r="H314" s="485"/>
      <c r="I314" s="485"/>
      <c r="J314" s="485"/>
      <c r="K314" s="504"/>
      <c r="L314" s="433"/>
      <c r="M314" s="71"/>
      <c r="N314" s="480"/>
    </row>
    <row r="315" spans="1:30">
      <c r="B315" s="501"/>
      <c r="C315" s="661"/>
      <c r="D315" s="661"/>
      <c r="E315" s="661"/>
      <c r="F315" s="661"/>
      <c r="G315" s="485"/>
      <c r="H315" s="485"/>
      <c r="I315" s="485"/>
      <c r="J315" s="485"/>
      <c r="K315" s="504"/>
      <c r="L315" s="433"/>
      <c r="M315" s="480"/>
      <c r="N315" s="480"/>
    </row>
    <row r="316" spans="1:30">
      <c r="B316" s="443"/>
      <c r="C316" s="662"/>
      <c r="D316" s="663"/>
      <c r="E316" s="663"/>
      <c r="F316" s="664"/>
      <c r="G316" s="485"/>
      <c r="H316" s="485"/>
      <c r="I316" s="485"/>
      <c r="J316" s="485"/>
      <c r="K316" s="504"/>
      <c r="L316" s="433"/>
      <c r="M316" s="480"/>
      <c r="N316" s="480"/>
    </row>
    <row r="317" spans="1:30">
      <c r="B317" s="443"/>
      <c r="C317" s="665"/>
      <c r="D317" s="665"/>
      <c r="E317" s="665"/>
      <c r="F317" s="665"/>
      <c r="G317" s="485"/>
      <c r="H317" s="485"/>
      <c r="I317" s="485"/>
      <c r="J317" s="485"/>
      <c r="K317" s="504"/>
      <c r="L317" s="433"/>
      <c r="M317" s="510"/>
      <c r="N317" s="421"/>
      <c r="P317" s="999"/>
      <c r="Q317" s="977"/>
      <c r="R317" s="977"/>
      <c r="S317" s="977"/>
      <c r="T317" s="977"/>
      <c r="U317" s="1000"/>
    </row>
    <row r="318" spans="1:30" ht="15" thickBot="1">
      <c r="B318" s="601"/>
      <c r="C318" s="612"/>
      <c r="D318" s="612"/>
      <c r="E318" s="612"/>
      <c r="F318" s="612"/>
      <c r="G318" s="613"/>
      <c r="H318" s="613"/>
      <c r="I318" s="613"/>
      <c r="J318" s="613"/>
      <c r="K318" s="607"/>
      <c r="L318" s="608"/>
      <c r="M318" s="510"/>
      <c r="N318" s="421"/>
      <c r="P318" s="1001"/>
      <c r="Q318" s="1002"/>
      <c r="R318" s="1002"/>
      <c r="S318" s="1002"/>
      <c r="T318" s="1002"/>
      <c r="U318" s="1003"/>
    </row>
    <row r="319" spans="1:30">
      <c r="B319" s="601"/>
      <c r="C319" s="666"/>
      <c r="D319" s="666"/>
      <c r="E319" s="666"/>
      <c r="F319" s="666"/>
      <c r="G319" s="613"/>
      <c r="H319" s="613"/>
      <c r="I319" s="613"/>
      <c r="J319" s="613"/>
      <c r="K319" s="607"/>
      <c r="L319" s="608"/>
      <c r="M319" s="423"/>
      <c r="N319" s="423"/>
      <c r="P319" s="53"/>
    </row>
    <row r="320" spans="1:30">
      <c r="B320" s="601"/>
      <c r="C320" s="667"/>
      <c r="D320" s="607"/>
      <c r="E320" s="607"/>
      <c r="F320" s="623"/>
      <c r="G320" s="610"/>
      <c r="H320" s="610"/>
      <c r="I320" s="610"/>
      <c r="J320" s="610"/>
      <c r="K320" s="607"/>
      <c r="L320" s="668"/>
      <c r="M320" s="427"/>
      <c r="N320" s="427"/>
      <c r="P320" s="46"/>
      <c r="Q320" s="46"/>
      <c r="R320" s="47"/>
      <c r="S320" s="47"/>
      <c r="T320" s="47"/>
      <c r="U320" s="48"/>
      <c r="V320" s="49"/>
      <c r="W320" s="49"/>
      <c r="X320" s="49"/>
      <c r="Y320" s="49"/>
      <c r="Z320" s="49"/>
      <c r="AA320" s="49"/>
      <c r="AB320" s="49"/>
      <c r="AC320" s="49"/>
      <c r="AD320" s="49"/>
    </row>
    <row r="321" spans="1:30" ht="15" thickBot="1">
      <c r="B321" s="626"/>
      <c r="C321" s="667"/>
      <c r="D321" s="669"/>
      <c r="E321" s="669"/>
      <c r="F321" s="670"/>
      <c r="G321" s="610"/>
      <c r="H321" s="610"/>
      <c r="I321" s="610"/>
      <c r="J321" s="610"/>
      <c r="K321" s="607"/>
      <c r="L321" s="668"/>
      <c r="M321" s="423"/>
      <c r="N321" s="423"/>
      <c r="O321" s="71"/>
      <c r="P321" s="50"/>
      <c r="Q321" s="50"/>
      <c r="R321" s="51"/>
      <c r="S321" s="51"/>
      <c r="T321" s="51"/>
      <c r="U321" s="51"/>
      <c r="V321" s="50"/>
      <c r="W321" s="50"/>
      <c r="X321" s="50"/>
      <c r="Y321" s="50"/>
      <c r="Z321" s="50"/>
      <c r="AA321" s="50"/>
      <c r="AB321" s="50"/>
      <c r="AC321" s="50"/>
      <c r="AD321" s="50"/>
    </row>
    <row r="322" spans="1:30" ht="15" thickBot="1">
      <c r="B322" s="671"/>
      <c r="C322" s="672"/>
      <c r="D322" s="673"/>
      <c r="E322" s="674"/>
      <c r="F322" s="675"/>
      <c r="G322" s="600"/>
      <c r="H322" s="600"/>
      <c r="I322" s="600"/>
      <c r="J322" s="600"/>
      <c r="K322" s="676"/>
      <c r="L322" s="677"/>
      <c r="M322" s="423"/>
      <c r="N322" s="423"/>
      <c r="O322" s="521"/>
      <c r="P322" s="56"/>
      <c r="Q322" s="56"/>
      <c r="R322" s="57"/>
      <c r="S322" s="57"/>
      <c r="T322" s="57"/>
      <c r="U322" s="56"/>
      <c r="V322" s="56"/>
      <c r="W322" s="56"/>
      <c r="X322" s="56"/>
      <c r="Y322" s="56"/>
      <c r="Z322" s="56"/>
      <c r="AA322" s="56"/>
      <c r="AB322" s="56"/>
      <c r="AC322" s="56"/>
      <c r="AD322" s="56"/>
    </row>
    <row r="323" spans="1:30">
      <c r="B323" s="616"/>
      <c r="C323" s="678"/>
      <c r="D323" s="678"/>
      <c r="E323" s="678"/>
      <c r="F323" s="678"/>
      <c r="G323" s="678"/>
      <c r="H323" s="678"/>
      <c r="I323" s="678"/>
      <c r="J323" s="678"/>
      <c r="K323" s="678"/>
      <c r="L323" s="679"/>
      <c r="M323" s="423"/>
      <c r="N323" s="423"/>
      <c r="O323" s="680"/>
      <c r="P323" s="526"/>
      <c r="Q323" s="58"/>
      <c r="R323" s="526"/>
      <c r="S323" s="58"/>
      <c r="T323" s="526"/>
      <c r="U323" s="527"/>
      <c r="V323" s="527"/>
      <c r="W323" s="527"/>
      <c r="X323" s="58"/>
      <c r="Y323" s="58"/>
      <c r="Z323" s="526"/>
      <c r="AA323" s="528"/>
      <c r="AB323" s="528"/>
      <c r="AC323" s="528"/>
      <c r="AD323" s="528"/>
    </row>
    <row r="324" spans="1:30">
      <c r="B324" s="601"/>
      <c r="C324" s="618"/>
      <c r="D324" s="618"/>
      <c r="E324" s="618"/>
      <c r="F324" s="618"/>
      <c r="G324" s="623"/>
      <c r="H324" s="623"/>
      <c r="I324" s="623"/>
      <c r="J324" s="623"/>
      <c r="K324" s="623"/>
      <c r="L324" s="608"/>
      <c r="M324" s="423"/>
      <c r="N324" s="423"/>
      <c r="O324" s="680"/>
      <c r="P324" s="526"/>
      <c r="Q324" s="58"/>
      <c r="R324" s="526"/>
      <c r="S324" s="58"/>
      <c r="T324" s="526"/>
      <c r="U324" s="527"/>
      <c r="V324" s="527"/>
      <c r="W324" s="527"/>
      <c r="X324" s="58"/>
      <c r="Y324" s="58"/>
      <c r="Z324" s="526"/>
      <c r="AA324" s="528"/>
      <c r="AB324" s="528"/>
      <c r="AC324" s="528"/>
      <c r="AD324" s="528"/>
    </row>
    <row r="325" spans="1:30">
      <c r="B325" s="601"/>
      <c r="C325" s="618"/>
      <c r="D325" s="618"/>
      <c r="E325" s="618"/>
      <c r="F325" s="618"/>
      <c r="G325" s="623"/>
      <c r="H325" s="623"/>
      <c r="I325" s="623"/>
      <c r="J325" s="623"/>
      <c r="K325" s="623"/>
      <c r="L325" s="608"/>
      <c r="M325" s="423"/>
      <c r="N325" s="423"/>
      <c r="O325" s="680"/>
      <c r="P325" s="526"/>
      <c r="Q325" s="58"/>
      <c r="R325" s="526"/>
      <c r="S325" s="58"/>
      <c r="T325" s="526"/>
      <c r="U325" s="527"/>
      <c r="V325" s="527"/>
      <c r="W325" s="527"/>
      <c r="X325" s="58"/>
      <c r="Y325" s="58"/>
      <c r="Z325" s="526"/>
      <c r="AA325" s="528"/>
      <c r="AB325" s="528"/>
      <c r="AC325" s="528"/>
      <c r="AD325" s="528"/>
    </row>
    <row r="326" spans="1:30">
      <c r="B326" s="601"/>
      <c r="C326" s="624"/>
      <c r="D326" s="624"/>
      <c r="E326" s="624"/>
      <c r="F326" s="624"/>
      <c r="G326" s="681"/>
      <c r="H326" s="681"/>
      <c r="I326" s="681"/>
      <c r="J326" s="681"/>
      <c r="K326" s="681"/>
      <c r="L326" s="608"/>
      <c r="M326" s="423"/>
      <c r="N326" s="423"/>
      <c r="O326" s="680"/>
      <c r="P326" s="526"/>
      <c r="Q326" s="58"/>
      <c r="R326" s="526"/>
      <c r="S326" s="58"/>
      <c r="T326" s="526"/>
      <c r="U326" s="527"/>
      <c r="V326" s="527"/>
      <c r="W326" s="527"/>
      <c r="X326" s="58"/>
      <c r="Y326" s="58"/>
      <c r="Z326" s="526"/>
      <c r="AA326" s="528"/>
      <c r="AB326" s="528"/>
      <c r="AC326" s="528"/>
      <c r="AD326" s="528"/>
    </row>
    <row r="327" spans="1:30">
      <c r="B327" s="626"/>
      <c r="C327" s="618"/>
      <c r="D327" s="618"/>
      <c r="E327" s="618"/>
      <c r="F327" s="618"/>
      <c r="G327" s="623"/>
      <c r="H327" s="623"/>
      <c r="I327" s="623"/>
      <c r="J327" s="623"/>
      <c r="K327" s="623"/>
      <c r="L327" s="608"/>
      <c r="M327" s="427"/>
      <c r="N327" s="427"/>
    </row>
    <row r="328" spans="1:30">
      <c r="B328" s="626"/>
      <c r="C328" s="618"/>
      <c r="D328" s="618"/>
      <c r="E328" s="618"/>
      <c r="F328" s="618"/>
      <c r="G328" s="623"/>
      <c r="H328" s="623"/>
      <c r="I328" s="623"/>
      <c r="J328" s="623"/>
      <c r="K328" s="623"/>
      <c r="L328" s="608"/>
      <c r="M328" s="423"/>
      <c r="N328" s="423"/>
    </row>
    <row r="329" spans="1:30" ht="15" thickBot="1">
      <c r="B329" s="627"/>
      <c r="C329" s="682"/>
      <c r="D329" s="682"/>
      <c r="E329" s="682"/>
      <c r="F329" s="682"/>
      <c r="G329" s="683"/>
      <c r="H329" s="683"/>
      <c r="I329" s="683"/>
      <c r="J329" s="683"/>
      <c r="K329" s="683"/>
      <c r="L329" s="684"/>
      <c r="M329" s="423"/>
      <c r="N329" s="423"/>
    </row>
    <row r="330" spans="1:30">
      <c r="B330" s="521"/>
      <c r="C330" s="543"/>
      <c r="D330" s="543"/>
      <c r="E330" s="543"/>
      <c r="F330" s="543"/>
      <c r="G330" s="543"/>
      <c r="H330" s="544"/>
      <c r="I330" s="480"/>
      <c r="J330" s="480"/>
      <c r="K330" s="544"/>
      <c r="L330" s="544"/>
      <c r="N330" s="480"/>
    </row>
    <row r="331" spans="1:30">
      <c r="B331" s="545"/>
      <c r="C331" s="546"/>
      <c r="D331" s="546"/>
      <c r="E331" s="546"/>
      <c r="F331" s="546"/>
      <c r="G331" s="546"/>
      <c r="H331" s="544"/>
      <c r="I331" s="71"/>
      <c r="J331" s="480"/>
      <c r="K331" s="544"/>
      <c r="L331" s="544"/>
      <c r="N331" s="480"/>
    </row>
    <row r="332" spans="1:30">
      <c r="B332" s="521"/>
      <c r="C332" s="419"/>
      <c r="D332" s="419"/>
      <c r="E332" s="419"/>
      <c r="F332" s="419"/>
      <c r="G332" s="419"/>
      <c r="I332" s="480"/>
      <c r="J332" s="480"/>
      <c r="N332" s="480"/>
    </row>
    <row r="333" spans="1:30">
      <c r="B333" s="521"/>
      <c r="C333" s="547"/>
      <c r="D333" s="547"/>
      <c r="E333" s="547"/>
      <c r="F333" s="547"/>
      <c r="G333" s="419"/>
      <c r="M333" s="480"/>
      <c r="N333" s="480"/>
    </row>
    <row r="336" spans="1:30">
      <c r="A336" s="548"/>
      <c r="B336" s="549"/>
      <c r="D336" s="417"/>
      <c r="E336" s="417"/>
      <c r="F336" s="417"/>
      <c r="G336" s="417"/>
      <c r="H336" s="417"/>
      <c r="I336" s="417"/>
      <c r="J336" s="417"/>
      <c r="K336" s="417"/>
    </row>
    <row r="337" spans="1:11">
      <c r="A337" s="417"/>
      <c r="B337" s="550"/>
      <c r="E337" s="417"/>
      <c r="F337" s="417"/>
      <c r="G337" s="417"/>
      <c r="H337" s="417"/>
      <c r="I337" s="417"/>
      <c r="J337" s="417"/>
      <c r="K337" s="417"/>
    </row>
    <row r="338" spans="1:11">
      <c r="A338" s="417"/>
      <c r="B338" s="550"/>
      <c r="E338" s="417"/>
      <c r="F338" s="417"/>
      <c r="G338" s="417"/>
      <c r="H338" s="417"/>
      <c r="I338" s="417"/>
      <c r="J338" s="417"/>
      <c r="K338" s="417"/>
    </row>
    <row r="339" spans="1:11">
      <c r="A339" s="417"/>
      <c r="B339" s="550"/>
      <c r="E339" s="417"/>
      <c r="F339" s="417"/>
      <c r="G339" s="417"/>
      <c r="H339" s="417"/>
      <c r="I339" s="417"/>
      <c r="J339" s="417"/>
      <c r="K339" s="417"/>
    </row>
    <row r="340" spans="1:11">
      <c r="A340" s="417"/>
      <c r="B340" s="550"/>
      <c r="E340" s="417"/>
      <c r="F340" s="417"/>
      <c r="G340" s="417"/>
      <c r="H340" s="417"/>
      <c r="I340" s="417"/>
      <c r="J340" s="417"/>
      <c r="K340" s="417"/>
    </row>
    <row r="341" spans="1:11">
      <c r="A341" s="417"/>
      <c r="B341" s="550"/>
      <c r="E341" s="417"/>
      <c r="F341" s="417"/>
      <c r="G341" s="417"/>
      <c r="H341" s="417"/>
      <c r="I341" s="417"/>
      <c r="J341" s="417"/>
      <c r="K341" s="417"/>
    </row>
    <row r="342" spans="1:11">
      <c r="A342" s="417"/>
      <c r="B342" s="550"/>
      <c r="E342" s="417"/>
      <c r="F342" s="417"/>
      <c r="G342" s="417"/>
      <c r="H342" s="417"/>
      <c r="I342" s="417"/>
      <c r="J342" s="417"/>
      <c r="K342" s="417"/>
    </row>
    <row r="343" spans="1:11">
      <c r="A343" s="417"/>
      <c r="B343" s="550"/>
      <c r="E343" s="417"/>
      <c r="F343" s="417"/>
      <c r="G343" s="417"/>
      <c r="H343" s="417"/>
      <c r="I343" s="417"/>
      <c r="J343" s="417"/>
      <c r="K343" s="417"/>
    </row>
    <row r="344" spans="1:11">
      <c r="A344" s="417"/>
      <c r="B344" s="685"/>
      <c r="E344" s="417"/>
      <c r="F344" s="417"/>
      <c r="G344" s="417"/>
      <c r="H344" s="417"/>
      <c r="I344" s="417"/>
      <c r="J344" s="417"/>
      <c r="K344" s="417"/>
    </row>
    <row r="345" spans="1:11">
      <c r="A345" s="417"/>
      <c r="B345" s="550"/>
      <c r="E345" s="417"/>
      <c r="F345" s="417"/>
      <c r="G345" s="417"/>
      <c r="H345" s="417"/>
      <c r="I345" s="417"/>
      <c r="J345" s="417"/>
      <c r="K345" s="417"/>
    </row>
    <row r="346" spans="1:11">
      <c r="A346" s="548"/>
      <c r="B346" s="549"/>
      <c r="E346" s="417"/>
      <c r="F346" s="417"/>
      <c r="G346" s="417"/>
      <c r="H346" s="417"/>
      <c r="I346" s="417"/>
      <c r="J346" s="417"/>
      <c r="K346" s="417"/>
    </row>
    <row r="347" spans="1:11">
      <c r="A347" s="556"/>
      <c r="B347" s="550"/>
      <c r="C347" s="549"/>
      <c r="E347" s="417"/>
      <c r="F347" s="417"/>
      <c r="G347" s="417"/>
      <c r="H347" s="417"/>
      <c r="I347" s="417"/>
      <c r="J347" s="417"/>
      <c r="K347" s="417"/>
    </row>
    <row r="348" spans="1:11">
      <c r="A348" s="556"/>
      <c r="B348" s="550"/>
      <c r="C348" s="549"/>
      <c r="E348" s="417"/>
      <c r="F348" s="417"/>
      <c r="G348" s="417"/>
      <c r="H348" s="417"/>
      <c r="I348" s="417"/>
      <c r="J348" s="417"/>
      <c r="K348" s="417"/>
    </row>
    <row r="349" spans="1:11">
      <c r="A349" s="556"/>
      <c r="B349" s="550"/>
      <c r="C349" s="549"/>
      <c r="E349" s="417"/>
      <c r="F349" s="417"/>
      <c r="G349" s="417"/>
      <c r="H349" s="417"/>
      <c r="I349" s="417"/>
      <c r="J349" s="417"/>
      <c r="K349" s="417"/>
    </row>
    <row r="350" spans="1:11">
      <c r="A350" s="556"/>
      <c r="B350" s="550"/>
      <c r="C350" s="549"/>
      <c r="E350" s="417"/>
      <c r="F350" s="417"/>
      <c r="G350" s="417"/>
      <c r="H350" s="417"/>
      <c r="I350" s="417"/>
      <c r="J350" s="417"/>
      <c r="K350" s="417"/>
    </row>
    <row r="351" spans="1:11" ht="15.75" customHeight="1">
      <c r="A351" s="556"/>
      <c r="B351" s="550"/>
      <c r="C351" s="549"/>
      <c r="E351" s="417"/>
      <c r="F351" s="417"/>
      <c r="G351" s="417"/>
      <c r="H351" s="417"/>
      <c r="I351" s="417"/>
      <c r="J351" s="417"/>
      <c r="K351" s="417"/>
    </row>
    <row r="352" spans="1:11" ht="15.75" customHeight="1">
      <c r="A352" s="556"/>
      <c r="B352" s="550"/>
      <c r="C352" s="549"/>
      <c r="E352" s="417"/>
      <c r="F352" s="417"/>
      <c r="G352" s="417"/>
      <c r="H352" s="417"/>
      <c r="I352" s="417"/>
      <c r="J352" s="417"/>
      <c r="K352" s="417"/>
    </row>
  </sheetData>
  <mergeCells count="398">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86:AA88"/>
    <mergeCell ref="P87:P89"/>
    <mergeCell ref="Q88:Q89"/>
    <mergeCell ref="R88:R89"/>
    <mergeCell ref="P33:U33"/>
    <mergeCell ref="P34:U34"/>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58:AA160"/>
    <mergeCell ref="P159:P161"/>
    <mergeCell ref="Q160:Q161"/>
    <mergeCell ref="R160:R161"/>
    <mergeCell ref="P112:U112"/>
    <mergeCell ref="P113:U113"/>
    <mergeCell ref="B156:B157"/>
    <mergeCell ref="C156:M156"/>
    <mergeCell ref="P156:U156"/>
    <mergeCell ref="C157:M157"/>
    <mergeCell ref="P157:U157"/>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P162:P170"/>
    <mergeCell ref="Q162:Q164"/>
    <mergeCell ref="T162:T164"/>
    <mergeCell ref="U162:U164"/>
    <mergeCell ref="V162:V164"/>
    <mergeCell ref="W162:W164"/>
    <mergeCell ref="Q165:Q169"/>
    <mergeCell ref="T165:T169"/>
    <mergeCell ref="U165:U169"/>
    <mergeCell ref="V165:V169"/>
    <mergeCell ref="W165:W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P184:U184"/>
    <mergeCell ref="P185:U185"/>
    <mergeCell ref="C225:L225"/>
    <mergeCell ref="S225:S228"/>
    <mergeCell ref="T225:U227"/>
    <mergeCell ref="V225:W227"/>
    <mergeCell ref="K226:K227"/>
    <mergeCell ref="L226:L227"/>
    <mergeCell ref="P226:P228"/>
    <mergeCell ref="Q227:Q228"/>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A232:AA236"/>
    <mergeCell ref="AB232:AB236"/>
    <mergeCell ref="AC232:AC236"/>
    <mergeCell ref="P229:P237"/>
    <mergeCell ref="Q229:Q231"/>
    <mergeCell ref="T229:T231"/>
    <mergeCell ref="U229:U231"/>
    <mergeCell ref="V229:V231"/>
    <mergeCell ref="W229:W231"/>
    <mergeCell ref="X229:X231"/>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s>
  <hyperlinks>
    <hyperlink ref="C86" location="INDEX" display="Hot water boiler, Oil" xr:uid="{D26382D3-0D40-4E40-9DC0-E5D60ECCEBED}"/>
    <hyperlink ref="C7" location="INDEX" display="Steam boiler, Oil" xr:uid="{09DB974D-A2E6-4242-946A-0A9DBB0EEA15}"/>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A0B0-6287-4C28-9ABD-44CA871A0883}">
  <sheetPr>
    <tabColor theme="3"/>
  </sheetPr>
  <dimension ref="A2:AS374"/>
  <sheetViews>
    <sheetView topLeftCell="N1" zoomScale="80" zoomScaleNormal="80" workbookViewId="0">
      <selection activeCell="AL28" sqref="AL28"/>
    </sheetView>
  </sheetViews>
  <sheetFormatPr defaultColWidth="8.6640625" defaultRowHeight="14.4" outlineLevelRow="1"/>
  <cols>
    <col min="1" max="1" width="20.5546875" style="239"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8" t="s">
        <v>308</v>
      </c>
    </row>
    <row r="4" spans="1:45" ht="25.2" customHeight="1">
      <c r="E4" s="239" t="s">
        <v>358</v>
      </c>
      <c r="F4" s="419">
        <v>7.45</v>
      </c>
      <c r="G4" s="419" t="s">
        <v>328</v>
      </c>
    </row>
    <row r="5" spans="1:45" ht="15" customHeight="1">
      <c r="A5" s="420" t="s">
        <v>920</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1.6" outlineLevel="1" thickBot="1">
      <c r="B7" s="422" t="s">
        <v>0</v>
      </c>
      <c r="C7" s="1043" t="s">
        <v>921</v>
      </c>
      <c r="D7" s="1019"/>
      <c r="E7" s="1019"/>
      <c r="F7" s="1019"/>
      <c r="G7" s="1019"/>
      <c r="H7" s="1019"/>
      <c r="I7" s="1019"/>
      <c r="J7" s="1019"/>
      <c r="K7" s="1019"/>
      <c r="L7" s="1020"/>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outlineLevel="1" thickBot="1">
      <c r="B8" s="1010" t="s">
        <v>4</v>
      </c>
      <c r="C8" s="1012">
        <v>2020</v>
      </c>
      <c r="D8" s="1012">
        <v>2030</v>
      </c>
      <c r="E8" s="1012">
        <v>2040</v>
      </c>
      <c r="F8" s="1012">
        <v>2050</v>
      </c>
      <c r="G8" s="1065" t="s">
        <v>846</v>
      </c>
      <c r="H8" s="1066"/>
      <c r="I8" s="1065" t="s">
        <v>693</v>
      </c>
      <c r="J8" s="106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11"/>
      <c r="C9" s="1013"/>
      <c r="D9" s="1013"/>
      <c r="E9" s="1013"/>
      <c r="F9" s="1013"/>
      <c r="G9" s="429" t="s">
        <v>694</v>
      </c>
      <c r="H9" s="429" t="s">
        <v>695</v>
      </c>
      <c r="I9" s="429" t="s">
        <v>694</v>
      </c>
      <c r="J9" s="429" t="s">
        <v>695</v>
      </c>
      <c r="K9" s="1068"/>
      <c r="L9" s="1068"/>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849</v>
      </c>
      <c r="C10" s="432">
        <f>20*1000</f>
        <v>20000</v>
      </c>
      <c r="D10" s="432">
        <f>20*1000</f>
        <v>20000</v>
      </c>
      <c r="E10" s="432">
        <f>20*1000</f>
        <v>20000</v>
      </c>
      <c r="F10" s="432">
        <f>20*1000</f>
        <v>20000</v>
      </c>
      <c r="G10" s="432">
        <f>1*1000</f>
        <v>1000</v>
      </c>
      <c r="H10" s="432">
        <f>50*1000</f>
        <v>50000</v>
      </c>
      <c r="I10" s="432">
        <f>1*1000</f>
        <v>1000</v>
      </c>
      <c r="J10" s="432">
        <f>50*1000</f>
        <v>50000</v>
      </c>
      <c r="K10" s="432" t="s">
        <v>6</v>
      </c>
      <c r="L10" s="433" t="s">
        <v>850</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93</v>
      </c>
      <c r="D11" s="437">
        <f>C11+1</f>
        <v>94</v>
      </c>
      <c r="E11" s="438">
        <f>D11</f>
        <v>94</v>
      </c>
      <c r="F11" s="437">
        <f>D11+1</f>
        <v>95</v>
      </c>
      <c r="G11" s="437">
        <v>90</v>
      </c>
      <c r="H11" s="437">
        <v>96</v>
      </c>
      <c r="I11" s="437">
        <v>90</v>
      </c>
      <c r="J11" s="437">
        <v>97</v>
      </c>
      <c r="K11" s="439" t="s">
        <v>59</v>
      </c>
      <c r="L11" s="440" t="s">
        <v>854</v>
      </c>
      <c r="M11" s="430"/>
      <c r="N11" s="430"/>
      <c r="P11" s="1042" t="str">
        <f>C7</f>
        <v>Steam boiler, Natural gas or biogas</v>
      </c>
      <c r="Q11" s="1030" t="s">
        <v>855</v>
      </c>
      <c r="R11" s="441" t="s">
        <v>856</v>
      </c>
      <c r="S11" s="442"/>
      <c r="T11" s="1069">
        <v>1</v>
      </c>
      <c r="U11" s="1021">
        <v>1</v>
      </c>
      <c r="V11" s="1069">
        <v>1</v>
      </c>
      <c r="W11" s="1021">
        <v>1</v>
      </c>
      <c r="X11" s="1069">
        <v>1</v>
      </c>
      <c r="Y11" s="1021">
        <v>1</v>
      </c>
      <c r="Z11" s="1069">
        <v>0.2</v>
      </c>
      <c r="AA11" s="1021">
        <v>1</v>
      </c>
      <c r="AB11" s="1072">
        <v>1</v>
      </c>
      <c r="AC11" s="1021">
        <v>1</v>
      </c>
      <c r="AD11" s="1062">
        <v>1</v>
      </c>
      <c r="AE11" s="1021">
        <f>AC11</f>
        <v>1</v>
      </c>
      <c r="AF11" s="1027" t="str">
        <f>P11</f>
        <v>Steam boiler, Natural gas or biogas</v>
      </c>
      <c r="AG11" s="1030" t="s">
        <v>855</v>
      </c>
      <c r="AH11" s="441" t="s">
        <v>856</v>
      </c>
      <c r="AI11" s="442"/>
      <c r="AJ11" s="1033">
        <v>0</v>
      </c>
      <c r="AK11" s="1021">
        <v>1</v>
      </c>
      <c r="AL11" s="1033">
        <v>0</v>
      </c>
      <c r="AM11" s="1021">
        <v>1</v>
      </c>
      <c r="AN11" s="1033">
        <v>0</v>
      </c>
      <c r="AO11" s="1021">
        <v>1</v>
      </c>
      <c r="AP11" s="1033">
        <v>0</v>
      </c>
      <c r="AQ11" s="1021">
        <v>1</v>
      </c>
      <c r="AR11" s="1033">
        <v>0</v>
      </c>
      <c r="AS11" s="1021">
        <v>1</v>
      </c>
    </row>
    <row r="12" spans="1:45" ht="32.700000000000003" customHeight="1" outlineLevel="1">
      <c r="B12" s="443" t="s">
        <v>857</v>
      </c>
      <c r="C12" s="444">
        <f t="shared" ref="C12:J12" si="0">C11-1</f>
        <v>92</v>
      </c>
      <c r="D12" s="444">
        <f t="shared" si="0"/>
        <v>93</v>
      </c>
      <c r="E12" s="444">
        <f t="shared" si="0"/>
        <v>93</v>
      </c>
      <c r="F12" s="444">
        <f t="shared" si="0"/>
        <v>94</v>
      </c>
      <c r="G12" s="445">
        <f t="shared" si="0"/>
        <v>89</v>
      </c>
      <c r="H12" s="445">
        <f t="shared" si="0"/>
        <v>95</v>
      </c>
      <c r="I12" s="445">
        <f t="shared" si="0"/>
        <v>89</v>
      </c>
      <c r="J12" s="445">
        <f t="shared" si="0"/>
        <v>96</v>
      </c>
      <c r="K12" s="446"/>
      <c r="L12" s="447" t="s">
        <v>854</v>
      </c>
      <c r="M12" s="430"/>
      <c r="N12" s="430"/>
      <c r="O12" s="71"/>
      <c r="P12" s="1028"/>
      <c r="Q12" s="1031"/>
      <c r="R12" s="448" t="s">
        <v>858</v>
      </c>
      <c r="S12" s="449"/>
      <c r="T12" s="1070"/>
      <c r="U12" s="1022"/>
      <c r="V12" s="1070"/>
      <c r="W12" s="1022"/>
      <c r="X12" s="1070"/>
      <c r="Y12" s="1022"/>
      <c r="Z12" s="1070"/>
      <c r="AA12" s="1022"/>
      <c r="AB12" s="1073"/>
      <c r="AC12" s="1022"/>
      <c r="AD12" s="1063"/>
      <c r="AE12" s="1022"/>
      <c r="AF12" s="1028"/>
      <c r="AG12" s="1031"/>
      <c r="AH12" s="448" t="s">
        <v>858</v>
      </c>
      <c r="AI12" s="449"/>
      <c r="AJ12" s="1034"/>
      <c r="AK12" s="1022"/>
      <c r="AL12" s="1034"/>
      <c r="AM12" s="1022"/>
      <c r="AN12" s="1034"/>
      <c r="AO12" s="1022"/>
      <c r="AP12" s="1034"/>
      <c r="AQ12" s="1022"/>
      <c r="AR12" s="1034"/>
      <c r="AS12" s="1022"/>
    </row>
    <row r="13" spans="1:45" ht="15" outlineLevel="1" thickBot="1">
      <c r="B13" s="436" t="s">
        <v>859</v>
      </c>
      <c r="C13" s="450">
        <v>0.14000000000000001</v>
      </c>
      <c r="D13" s="451">
        <v>0.12</v>
      </c>
      <c r="E13" s="451">
        <v>0.11</v>
      </c>
      <c r="F13" s="452">
        <v>0.1</v>
      </c>
      <c r="G13" s="451">
        <v>0.1</v>
      </c>
      <c r="H13" s="451">
        <v>0.14000000000000001</v>
      </c>
      <c r="I13" s="451">
        <v>0.08</v>
      </c>
      <c r="J13" s="451">
        <v>0.12</v>
      </c>
      <c r="K13" s="439"/>
      <c r="L13" s="440">
        <v>3</v>
      </c>
      <c r="M13" s="430"/>
      <c r="N13" s="430"/>
      <c r="O13" s="71"/>
      <c r="P13" s="1028"/>
      <c r="Q13" s="1032"/>
      <c r="R13" s="453" t="s">
        <v>860</v>
      </c>
      <c r="S13" s="454"/>
      <c r="T13" s="1071"/>
      <c r="U13" s="1023"/>
      <c r="V13" s="1071"/>
      <c r="W13" s="1023"/>
      <c r="X13" s="1071"/>
      <c r="Y13" s="1023"/>
      <c r="Z13" s="1071"/>
      <c r="AA13" s="1023"/>
      <c r="AB13" s="1074"/>
      <c r="AC13" s="1023"/>
      <c r="AD13" s="1064"/>
      <c r="AE13" s="1023"/>
      <c r="AF13" s="1028"/>
      <c r="AG13" s="1032"/>
      <c r="AH13" s="453" t="s">
        <v>860</v>
      </c>
      <c r="AI13" s="454"/>
      <c r="AJ13" s="1035"/>
      <c r="AK13" s="1023"/>
      <c r="AL13" s="1035"/>
      <c r="AM13" s="1023"/>
      <c r="AN13" s="1035"/>
      <c r="AO13" s="1023"/>
      <c r="AP13" s="1035"/>
      <c r="AQ13" s="1023"/>
      <c r="AR13" s="1035"/>
      <c r="AS13" s="1023"/>
    </row>
    <row r="14" spans="1:45" outlineLevel="1">
      <c r="B14" s="436" t="s">
        <v>702</v>
      </c>
      <c r="C14" s="450">
        <v>1</v>
      </c>
      <c r="D14" s="450">
        <v>1</v>
      </c>
      <c r="E14" s="450">
        <v>1</v>
      </c>
      <c r="F14" s="450">
        <v>1</v>
      </c>
      <c r="G14" s="450">
        <v>0.08</v>
      </c>
      <c r="H14" s="450">
        <v>2</v>
      </c>
      <c r="I14" s="450">
        <v>0.08</v>
      </c>
      <c r="J14" s="450">
        <v>2</v>
      </c>
      <c r="K14" s="439"/>
      <c r="L14" s="440">
        <v>3</v>
      </c>
      <c r="M14" s="430"/>
      <c r="N14" s="430"/>
      <c r="O14" s="71"/>
      <c r="P14" s="1028"/>
      <c r="Q14" s="1030" t="s">
        <v>861</v>
      </c>
      <c r="R14" s="455" t="s">
        <v>862</v>
      </c>
      <c r="S14" s="456" t="s">
        <v>863</v>
      </c>
      <c r="T14" s="1069">
        <v>1</v>
      </c>
      <c r="U14" s="1033">
        <v>1</v>
      </c>
      <c r="V14" s="1069">
        <v>1</v>
      </c>
      <c r="W14" s="1033">
        <v>1</v>
      </c>
      <c r="X14" s="1069">
        <v>1</v>
      </c>
      <c r="Y14" s="1033">
        <v>0.97</v>
      </c>
      <c r="Z14" s="1069">
        <v>1</v>
      </c>
      <c r="AA14" s="1033">
        <v>1</v>
      </c>
      <c r="AB14" s="1069">
        <v>0</v>
      </c>
      <c r="AC14" s="1033">
        <v>1</v>
      </c>
      <c r="AD14" s="1059">
        <v>1</v>
      </c>
      <c r="AE14" s="1033">
        <f>AC14</f>
        <v>1</v>
      </c>
      <c r="AF14" s="1028"/>
      <c r="AG14" s="1030" t="s">
        <v>861</v>
      </c>
      <c r="AH14" s="455" t="s">
        <v>862</v>
      </c>
      <c r="AI14" s="456" t="s">
        <v>863</v>
      </c>
      <c r="AJ14" s="1033">
        <v>0</v>
      </c>
      <c r="AK14" s="1033">
        <v>1</v>
      </c>
      <c r="AL14" s="1033">
        <v>0</v>
      </c>
      <c r="AM14" s="1033">
        <v>1</v>
      </c>
      <c r="AN14" s="1033">
        <v>0</v>
      </c>
      <c r="AO14" s="1033">
        <v>0.97</v>
      </c>
      <c r="AP14" s="1033">
        <v>0</v>
      </c>
      <c r="AQ14" s="1033">
        <v>1</v>
      </c>
      <c r="AR14" s="1033">
        <v>0</v>
      </c>
      <c r="AS14" s="1033">
        <v>1</v>
      </c>
    </row>
    <row r="15" spans="1:45" outlineLevel="1">
      <c r="B15" s="436" t="s">
        <v>703</v>
      </c>
      <c r="C15" s="450">
        <v>0.4</v>
      </c>
      <c r="D15" s="450">
        <v>0.4</v>
      </c>
      <c r="E15" s="450">
        <v>0.4</v>
      </c>
      <c r="F15" s="450">
        <v>0.4</v>
      </c>
      <c r="G15" s="450">
        <v>0.3</v>
      </c>
      <c r="H15" s="450">
        <v>0.6</v>
      </c>
      <c r="I15" s="450">
        <v>0.3</v>
      </c>
      <c r="J15" s="450">
        <v>0.6</v>
      </c>
      <c r="K15" s="439"/>
      <c r="L15" s="440">
        <v>3</v>
      </c>
      <c r="M15" s="427"/>
      <c r="N15" s="427"/>
      <c r="O15" s="71"/>
      <c r="P15" s="1028"/>
      <c r="Q15" s="1031"/>
      <c r="R15" s="455" t="s">
        <v>864</v>
      </c>
      <c r="S15" s="456" t="s">
        <v>863</v>
      </c>
      <c r="T15" s="1075"/>
      <c r="U15" s="1050"/>
      <c r="V15" s="1075"/>
      <c r="W15" s="1050"/>
      <c r="X15" s="1075"/>
      <c r="Y15" s="1050"/>
      <c r="Z15" s="1075"/>
      <c r="AA15" s="1050"/>
      <c r="AB15" s="1070"/>
      <c r="AC15" s="1050"/>
      <c r="AD15" s="1060"/>
      <c r="AE15" s="1050"/>
      <c r="AF15" s="1028"/>
      <c r="AG15" s="1031"/>
      <c r="AH15" s="455" t="s">
        <v>864</v>
      </c>
      <c r="AI15" s="456" t="s">
        <v>863</v>
      </c>
      <c r="AJ15" s="1050"/>
      <c r="AK15" s="1050"/>
      <c r="AL15" s="1050"/>
      <c r="AM15" s="1050"/>
      <c r="AN15" s="1050"/>
      <c r="AO15" s="1050"/>
      <c r="AP15" s="1050"/>
      <c r="AQ15" s="1050"/>
      <c r="AR15" s="1050"/>
      <c r="AS15" s="1050"/>
    </row>
    <row r="16" spans="1:45" outlineLevel="1">
      <c r="B16" s="443" t="s">
        <v>11</v>
      </c>
      <c r="C16" s="457">
        <v>25</v>
      </c>
      <c r="D16" s="457">
        <v>25</v>
      </c>
      <c r="E16" s="457">
        <v>25</v>
      </c>
      <c r="F16" s="457">
        <v>25</v>
      </c>
      <c r="G16" s="458">
        <v>25</v>
      </c>
      <c r="H16" s="458">
        <v>30</v>
      </c>
      <c r="I16" s="458">
        <v>25</v>
      </c>
      <c r="J16" s="458">
        <v>30</v>
      </c>
      <c r="K16" s="432"/>
      <c r="L16" s="433" t="s">
        <v>865</v>
      </c>
      <c r="M16" s="423"/>
      <c r="N16" s="423"/>
      <c r="P16" s="1028"/>
      <c r="Q16" s="1031"/>
      <c r="R16" s="455" t="s">
        <v>866</v>
      </c>
      <c r="S16" s="456" t="s">
        <v>863</v>
      </c>
      <c r="T16" s="1075"/>
      <c r="U16" s="1050"/>
      <c r="V16" s="1075"/>
      <c r="W16" s="1050"/>
      <c r="X16" s="1075"/>
      <c r="Y16" s="1050"/>
      <c r="Z16" s="1075"/>
      <c r="AA16" s="1050"/>
      <c r="AB16" s="1070"/>
      <c r="AC16" s="1050"/>
      <c r="AD16" s="1060"/>
      <c r="AE16" s="1050"/>
      <c r="AF16" s="1028"/>
      <c r="AG16" s="1031"/>
      <c r="AH16" s="455" t="s">
        <v>866</v>
      </c>
      <c r="AI16" s="456" t="s">
        <v>863</v>
      </c>
      <c r="AJ16" s="1050"/>
      <c r="AK16" s="1050"/>
      <c r="AL16" s="1050"/>
      <c r="AM16" s="1050"/>
      <c r="AN16" s="1050"/>
      <c r="AO16" s="1050"/>
      <c r="AP16" s="1050"/>
      <c r="AQ16" s="1050"/>
      <c r="AR16" s="1050"/>
      <c r="AS16" s="1050"/>
    </row>
    <row r="17" spans="1:45" ht="15" outlineLevel="1" thickBot="1">
      <c r="B17" s="436" t="s">
        <v>273</v>
      </c>
      <c r="C17" s="459">
        <v>0.5</v>
      </c>
      <c r="D17" s="459">
        <v>0.5</v>
      </c>
      <c r="E17" s="459">
        <v>0.5</v>
      </c>
      <c r="F17" s="459">
        <v>0.5</v>
      </c>
      <c r="G17" s="459">
        <v>0.2</v>
      </c>
      <c r="H17" s="459">
        <v>0.7</v>
      </c>
      <c r="I17" s="459">
        <v>0.2</v>
      </c>
      <c r="J17" s="459">
        <v>0.7</v>
      </c>
      <c r="K17" s="432"/>
      <c r="L17" s="460"/>
      <c r="M17" s="423"/>
      <c r="N17" s="423"/>
      <c r="P17" s="1028"/>
      <c r="Q17" s="1031"/>
      <c r="R17" s="455" t="s">
        <v>867</v>
      </c>
      <c r="S17" s="456" t="s">
        <v>863</v>
      </c>
      <c r="T17" s="1075"/>
      <c r="U17" s="1050"/>
      <c r="V17" s="1075"/>
      <c r="W17" s="1050"/>
      <c r="X17" s="1075"/>
      <c r="Y17" s="1050"/>
      <c r="Z17" s="1075"/>
      <c r="AA17" s="1050"/>
      <c r="AB17" s="1070"/>
      <c r="AC17" s="1050"/>
      <c r="AD17" s="1060"/>
      <c r="AE17" s="1050"/>
      <c r="AF17" s="1028"/>
      <c r="AG17" s="1031"/>
      <c r="AH17" s="455" t="s">
        <v>867</v>
      </c>
      <c r="AI17" s="456" t="s">
        <v>863</v>
      </c>
      <c r="AJ17" s="1050"/>
      <c r="AK17" s="1050"/>
      <c r="AL17" s="1050"/>
      <c r="AM17" s="1050"/>
      <c r="AN17" s="1050"/>
      <c r="AO17" s="1050"/>
      <c r="AP17" s="1050"/>
      <c r="AQ17" s="1050"/>
      <c r="AR17" s="1050"/>
      <c r="AS17" s="1050"/>
    </row>
    <row r="18" spans="1:45" ht="15" outlineLevel="1" thickBot="1">
      <c r="B18" s="461" t="s">
        <v>868</v>
      </c>
      <c r="C18" s="462"/>
      <c r="D18" s="463"/>
      <c r="E18" s="464"/>
      <c r="F18" s="465"/>
      <c r="G18" s="466"/>
      <c r="H18" s="466"/>
      <c r="I18" s="466"/>
      <c r="J18" s="466"/>
      <c r="K18" s="467"/>
      <c r="L18" s="468"/>
      <c r="M18" s="423"/>
      <c r="N18" s="423"/>
      <c r="P18" s="1028"/>
      <c r="Q18" s="1031"/>
      <c r="R18" s="469" t="s">
        <v>869</v>
      </c>
      <c r="S18" s="470" t="s">
        <v>863</v>
      </c>
      <c r="T18" s="1076"/>
      <c r="U18" s="1051"/>
      <c r="V18" s="1076"/>
      <c r="W18" s="1051"/>
      <c r="X18" s="1076"/>
      <c r="Y18" s="1051"/>
      <c r="Z18" s="1076"/>
      <c r="AA18" s="1051"/>
      <c r="AB18" s="1071"/>
      <c r="AC18" s="1051"/>
      <c r="AD18" s="1061"/>
      <c r="AE18" s="1051"/>
      <c r="AF18" s="1028"/>
      <c r="AG18" s="1031"/>
      <c r="AH18" s="469" t="s">
        <v>869</v>
      </c>
      <c r="AI18" s="470" t="s">
        <v>863</v>
      </c>
      <c r="AJ18" s="1051"/>
      <c r="AK18" s="1051"/>
      <c r="AL18" s="1051"/>
      <c r="AM18" s="1051"/>
      <c r="AN18" s="1051"/>
      <c r="AO18" s="1051"/>
      <c r="AP18" s="1051"/>
      <c r="AQ18" s="1051"/>
      <c r="AR18" s="1051"/>
      <c r="AS18" s="1051"/>
    </row>
    <row r="19" spans="1:45" ht="29.4" outlineLevel="1" thickBot="1">
      <c r="B19" s="436" t="s">
        <v>708</v>
      </c>
      <c r="C19" s="450">
        <v>15</v>
      </c>
      <c r="D19" s="450">
        <v>15</v>
      </c>
      <c r="E19" s="450">
        <v>15</v>
      </c>
      <c r="F19" s="450">
        <v>15</v>
      </c>
      <c r="G19" s="451"/>
      <c r="H19" s="451"/>
      <c r="I19" s="451"/>
      <c r="J19" s="451"/>
      <c r="K19" s="439"/>
      <c r="L19" s="440">
        <v>3</v>
      </c>
      <c r="M19" s="423"/>
      <c r="N19" s="423"/>
      <c r="P19" s="1029"/>
      <c r="Q19" s="471" t="s">
        <v>870</v>
      </c>
      <c r="R19" s="472" t="s">
        <v>871</v>
      </c>
      <c r="S19" s="473" t="s">
        <v>863</v>
      </c>
      <c r="T19" s="965">
        <v>0</v>
      </c>
      <c r="U19" s="475">
        <v>1</v>
      </c>
      <c r="V19" s="967">
        <v>0</v>
      </c>
      <c r="W19" s="475">
        <v>1</v>
      </c>
      <c r="X19" s="967">
        <v>0</v>
      </c>
      <c r="Y19" s="475">
        <v>1</v>
      </c>
      <c r="Z19" s="967">
        <v>0</v>
      </c>
      <c r="AA19" s="475">
        <v>1</v>
      </c>
      <c r="AB19" s="967">
        <v>0</v>
      </c>
      <c r="AC19" s="477">
        <v>1</v>
      </c>
      <c r="AD19" s="970">
        <v>1</v>
      </c>
      <c r="AE19" s="477">
        <f>AC19</f>
        <v>1</v>
      </c>
      <c r="AF19" s="1029"/>
      <c r="AG19" s="471" t="s">
        <v>870</v>
      </c>
      <c r="AH19" s="472" t="s">
        <v>871</v>
      </c>
      <c r="AI19" s="473" t="s">
        <v>863</v>
      </c>
      <c r="AJ19" s="474">
        <v>1</v>
      </c>
      <c r="AK19" s="475">
        <v>1</v>
      </c>
      <c r="AL19" s="476">
        <v>1</v>
      </c>
      <c r="AM19" s="475">
        <v>1</v>
      </c>
      <c r="AN19" s="476">
        <v>1</v>
      </c>
      <c r="AO19" s="475">
        <v>1</v>
      </c>
      <c r="AP19" s="476">
        <v>1</v>
      </c>
      <c r="AQ19" s="475">
        <v>1</v>
      </c>
      <c r="AR19" s="476">
        <v>1</v>
      </c>
      <c r="AS19" s="477">
        <v>1</v>
      </c>
    </row>
    <row r="20" spans="1:45" outlineLevel="1">
      <c r="B20" s="436" t="s">
        <v>709</v>
      </c>
      <c r="C20" s="450">
        <v>0.1</v>
      </c>
      <c r="D20" s="450">
        <v>0.1</v>
      </c>
      <c r="E20" s="450">
        <v>0.1</v>
      </c>
      <c r="F20" s="450">
        <v>0.1</v>
      </c>
      <c r="G20" s="478"/>
      <c r="H20" s="478"/>
      <c r="I20" s="478"/>
      <c r="J20" s="478"/>
      <c r="K20" s="479"/>
      <c r="L20" s="440">
        <v>3</v>
      </c>
      <c r="M20" s="423"/>
      <c r="N20" s="423"/>
    </row>
    <row r="21" spans="1:45" outlineLevel="1">
      <c r="B21" s="436" t="s">
        <v>711</v>
      </c>
      <c r="C21" s="450">
        <v>0.4</v>
      </c>
      <c r="D21" s="450">
        <v>0.4</v>
      </c>
      <c r="E21" s="450">
        <v>0.4</v>
      </c>
      <c r="F21" s="450">
        <v>0.4</v>
      </c>
      <c r="G21" s="478"/>
      <c r="H21" s="478"/>
      <c r="I21" s="478"/>
      <c r="J21" s="478"/>
      <c r="K21" s="479"/>
      <c r="L21" s="440">
        <v>3</v>
      </c>
      <c r="M21" s="480"/>
      <c r="N21" s="423"/>
      <c r="T21" s="239" t="s">
        <v>1433</v>
      </c>
    </row>
    <row r="22" spans="1:45" outlineLevel="1">
      <c r="B22" s="481" t="s">
        <v>12</v>
      </c>
      <c r="C22" s="459"/>
      <c r="D22" s="459"/>
      <c r="E22" s="459"/>
      <c r="F22" s="459"/>
      <c r="G22" s="482"/>
      <c r="H22" s="482"/>
      <c r="I22" s="482"/>
      <c r="J22" s="482"/>
      <c r="K22" s="483"/>
      <c r="L22" s="484"/>
      <c r="M22" s="480"/>
      <c r="N22" s="480"/>
    </row>
    <row r="23" spans="1:45" ht="15.6" outlineLevel="1">
      <c r="B23" s="443" t="s">
        <v>872</v>
      </c>
      <c r="C23" s="457">
        <v>0.3</v>
      </c>
      <c r="D23" s="457">
        <v>0.3</v>
      </c>
      <c r="E23" s="457">
        <v>0.3</v>
      </c>
      <c r="F23" s="457">
        <v>0.3</v>
      </c>
      <c r="G23" s="482"/>
      <c r="H23" s="485"/>
      <c r="I23" s="485"/>
      <c r="J23" s="485"/>
      <c r="K23" s="486" t="s">
        <v>16</v>
      </c>
      <c r="L23" s="487" t="s">
        <v>873</v>
      </c>
      <c r="M23" s="488"/>
      <c r="N23" s="488"/>
    </row>
    <row r="24" spans="1:45" outlineLevel="1">
      <c r="B24" s="443" t="s">
        <v>874</v>
      </c>
      <c r="C24" s="457">
        <v>0.1</v>
      </c>
      <c r="D24" s="457">
        <v>0.1</v>
      </c>
      <c r="E24" s="457">
        <v>0.1</v>
      </c>
      <c r="F24" s="457">
        <v>0.1</v>
      </c>
      <c r="G24" s="485"/>
      <c r="H24" s="485"/>
      <c r="I24" s="485"/>
      <c r="J24" s="485"/>
      <c r="K24" s="483"/>
      <c r="L24" s="487">
        <v>9</v>
      </c>
      <c r="M24" s="488"/>
      <c r="N24" s="488"/>
    </row>
    <row r="25" spans="1:45" ht="15.6" outlineLevel="1">
      <c r="B25" s="443" t="s">
        <v>875</v>
      </c>
      <c r="C25" s="457">
        <v>9</v>
      </c>
      <c r="D25" s="457">
        <v>7</v>
      </c>
      <c r="E25" s="457">
        <v>6</v>
      </c>
      <c r="F25" s="457">
        <v>6</v>
      </c>
      <c r="G25" s="485"/>
      <c r="H25" s="485"/>
      <c r="I25" s="485"/>
      <c r="J25" s="485"/>
      <c r="K25" s="483"/>
      <c r="L25" s="487" t="s">
        <v>873</v>
      </c>
      <c r="M25" s="488"/>
      <c r="N25" s="488"/>
      <c r="T25" s="239">
        <f>C$23</f>
        <v>0.3</v>
      </c>
      <c r="U25" s="239">
        <f t="shared" ref="U25:V25" si="1">D$23</f>
        <v>0.3</v>
      </c>
      <c r="V25" s="239">
        <f t="shared" si="1"/>
        <v>0.3</v>
      </c>
    </row>
    <row r="26" spans="1:45" outlineLevel="1">
      <c r="B26" s="443" t="s">
        <v>366</v>
      </c>
      <c r="C26" s="457">
        <v>3</v>
      </c>
      <c r="D26" s="457">
        <v>2</v>
      </c>
      <c r="E26" s="457">
        <v>2</v>
      </c>
      <c r="F26" s="457">
        <v>2</v>
      </c>
      <c r="G26" s="485"/>
      <c r="H26" s="485"/>
      <c r="I26" s="485"/>
      <c r="J26" s="485"/>
      <c r="K26" s="483"/>
      <c r="L26" s="487" t="s">
        <v>873</v>
      </c>
      <c r="M26" s="488"/>
      <c r="N26" s="488"/>
    </row>
    <row r="27" spans="1:45" ht="15" outlineLevel="1" thickBot="1">
      <c r="B27" s="489" t="s">
        <v>367</v>
      </c>
      <c r="C27" s="490">
        <v>1</v>
      </c>
      <c r="D27" s="490">
        <v>1</v>
      </c>
      <c r="E27" s="490">
        <v>1</v>
      </c>
      <c r="F27" s="490">
        <v>1</v>
      </c>
      <c r="G27" s="485"/>
      <c r="H27" s="485"/>
      <c r="I27" s="485"/>
      <c r="J27" s="485"/>
      <c r="K27" s="483"/>
      <c r="L27" s="487" t="s">
        <v>873</v>
      </c>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t="s">
        <v>922</v>
      </c>
      <c r="B29" s="496" t="s">
        <v>876</v>
      </c>
      <c r="C29" s="497">
        <f>0.06/1.1</f>
        <v>5.4545454545454536E-2</v>
      </c>
      <c r="D29" s="498">
        <f>0.05/1.1</f>
        <v>4.5454545454545456E-2</v>
      </c>
      <c r="E29" s="498">
        <f>0.05/1.1</f>
        <v>4.5454545454545456E-2</v>
      </c>
      <c r="F29" s="499">
        <f>0.05/1.1</f>
        <v>4.5454545454545456E-2</v>
      </c>
      <c r="G29" s="485"/>
      <c r="H29" s="485"/>
      <c r="I29" s="485"/>
      <c r="J29" s="485"/>
      <c r="K29" s="486" t="s">
        <v>20</v>
      </c>
      <c r="L29" s="500" t="s">
        <v>878</v>
      </c>
      <c r="M29" s="480"/>
      <c r="N29" s="480"/>
    </row>
    <row r="30" spans="1:45" outlineLevel="1">
      <c r="B30" s="501" t="s">
        <v>879</v>
      </c>
      <c r="C30" s="502">
        <v>60</v>
      </c>
      <c r="D30" s="503">
        <v>60</v>
      </c>
      <c r="E30" s="503">
        <v>60</v>
      </c>
      <c r="F30" s="503">
        <v>60</v>
      </c>
      <c r="G30" s="485"/>
      <c r="H30" s="485"/>
      <c r="I30" s="485"/>
      <c r="J30" s="485"/>
      <c r="K30" s="504"/>
      <c r="L30" s="433">
        <v>3</v>
      </c>
      <c r="M30" s="71"/>
      <c r="N30" s="480"/>
    </row>
    <row r="31" spans="1:45" outlineLevel="1">
      <c r="B31" s="501" t="s">
        <v>880</v>
      </c>
      <c r="C31" s="502">
        <f>100-C30</f>
        <v>40</v>
      </c>
      <c r="D31" s="502">
        <f>100-D30</f>
        <v>40</v>
      </c>
      <c r="E31" s="502">
        <f>100-E30</f>
        <v>40</v>
      </c>
      <c r="F31" s="502">
        <f>100-F30</f>
        <v>40</v>
      </c>
      <c r="G31" s="485"/>
      <c r="H31" s="485"/>
      <c r="I31" s="485"/>
      <c r="J31" s="485"/>
      <c r="K31" s="504"/>
      <c r="L31" s="433">
        <v>3</v>
      </c>
      <c r="M31" s="480"/>
      <c r="N31" s="480"/>
    </row>
    <row r="32" spans="1:45" ht="26.4" outlineLevel="1">
      <c r="B32" s="443" t="s">
        <v>881</v>
      </c>
      <c r="C32" s="505">
        <f>2000/1000</f>
        <v>2</v>
      </c>
      <c r="D32" s="506">
        <f>1900/1000</f>
        <v>1.9</v>
      </c>
      <c r="E32" s="506">
        <f>1800/1000</f>
        <v>1.8</v>
      </c>
      <c r="F32" s="507">
        <f>1700/1000</f>
        <v>1.7</v>
      </c>
      <c r="G32" s="485"/>
      <c r="H32" s="485"/>
      <c r="I32" s="485"/>
      <c r="J32" s="485"/>
      <c r="K32" s="508"/>
      <c r="L32" s="433">
        <v>3</v>
      </c>
      <c r="M32" s="480"/>
      <c r="N32" s="480"/>
    </row>
    <row r="33" spans="2:30" ht="37.200000000000003" customHeight="1" outlineLevel="1" thickBot="1">
      <c r="B33" s="443" t="s">
        <v>882</v>
      </c>
      <c r="C33" s="509">
        <f>1.1/3.6</f>
        <v>0.30555555555555558</v>
      </c>
      <c r="D33" s="509">
        <f>1/3.6</f>
        <v>0.27777777777777779</v>
      </c>
      <c r="E33" s="509">
        <f>1/3.6</f>
        <v>0.27777777777777779</v>
      </c>
      <c r="F33" s="509">
        <f>1/3.6</f>
        <v>0.27777777777777779</v>
      </c>
      <c r="G33" s="485"/>
      <c r="H33" s="485"/>
      <c r="I33" s="485"/>
      <c r="J33" s="485"/>
      <c r="K33" s="508"/>
      <c r="L33" s="433">
        <v>3</v>
      </c>
      <c r="M33" s="510"/>
      <c r="N33" s="421"/>
      <c r="P33" s="999">
        <f>C33</f>
        <v>0.30555555555555558</v>
      </c>
      <c r="Q33" s="977"/>
      <c r="R33" s="977"/>
      <c r="S33" s="977"/>
      <c r="T33" s="977"/>
      <c r="U33" s="1000"/>
    </row>
    <row r="34" spans="2:30" ht="15.75" customHeight="1" outlineLevel="1" thickBot="1">
      <c r="B34" s="511" t="s">
        <v>883</v>
      </c>
      <c r="C34" s="512">
        <f>C13/100*73</f>
        <v>0.10220000000000001</v>
      </c>
      <c r="D34" s="512">
        <f>D13/100*75</f>
        <v>0.09</v>
      </c>
      <c r="E34" s="512">
        <f>E13/100*76</f>
        <v>8.3600000000000008E-2</v>
      </c>
      <c r="F34" s="512">
        <f>F13/100*76</f>
        <v>7.5999999999999998E-2</v>
      </c>
      <c r="G34" s="513"/>
      <c r="H34" s="513"/>
      <c r="I34" s="513"/>
      <c r="J34" s="513"/>
      <c r="K34" s="439" t="s">
        <v>76</v>
      </c>
      <c r="L34" s="440">
        <v>3</v>
      </c>
      <c r="M34" s="510"/>
      <c r="N34" s="421"/>
      <c r="P34" s="1001">
        <f>C34</f>
        <v>0.10220000000000001</v>
      </c>
      <c r="Q34" s="1002"/>
      <c r="R34" s="1002"/>
      <c r="S34" s="1002"/>
      <c r="T34" s="1002"/>
      <c r="U34" s="1003"/>
    </row>
    <row r="35" spans="2:30" outlineLevel="1">
      <c r="B35" s="511" t="s">
        <v>884</v>
      </c>
      <c r="C35" s="514">
        <f>C33-C34</f>
        <v>0.20335555555555557</v>
      </c>
      <c r="D35" s="514">
        <f>D33-D34</f>
        <v>0.18777777777777779</v>
      </c>
      <c r="E35" s="514">
        <f>E33-E34</f>
        <v>0.19417777777777778</v>
      </c>
      <c r="F35" s="514">
        <f>F33-F34</f>
        <v>0.20177777777777778</v>
      </c>
      <c r="G35" s="513"/>
      <c r="H35" s="513"/>
      <c r="I35" s="513"/>
      <c r="J35" s="513"/>
      <c r="K35" s="515"/>
      <c r="L35" s="440">
        <v>3</v>
      </c>
      <c r="M35" s="423"/>
      <c r="N35" s="423"/>
      <c r="P35" s="53" t="s">
        <v>357</v>
      </c>
    </row>
    <row r="36" spans="2:30" ht="27.6" outlineLevel="1">
      <c r="B36" s="501"/>
      <c r="C36" s="516"/>
      <c r="D36" s="516"/>
      <c r="E36" s="516"/>
      <c r="F36" s="516"/>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522" t="s">
        <v>36</v>
      </c>
      <c r="D39" s="522" t="s">
        <v>36</v>
      </c>
      <c r="E39" s="522" t="s">
        <v>36</v>
      </c>
      <c r="F39" s="522" t="s">
        <v>36</v>
      </c>
      <c r="G39" s="523"/>
      <c r="H39" s="523"/>
      <c r="I39" s="523"/>
      <c r="J39" s="523"/>
      <c r="K39" s="523" t="s">
        <v>25</v>
      </c>
      <c r="L39" s="524"/>
      <c r="M39" s="423"/>
      <c r="N39" s="423"/>
      <c r="O39" s="525">
        <f>C12</f>
        <v>92</v>
      </c>
      <c r="P39" s="526">
        <f>C8</f>
        <v>2020</v>
      </c>
      <c r="Q39" s="58">
        <f>P39</f>
        <v>2020</v>
      </c>
      <c r="R39" s="526">
        <f>O39/100</f>
        <v>0.92</v>
      </c>
      <c r="S39" s="58"/>
      <c r="T39" s="526">
        <f>C16</f>
        <v>25</v>
      </c>
      <c r="U39" s="527">
        <f>C46</f>
        <v>406.36363636363632</v>
      </c>
      <c r="V39" s="527">
        <f>C48</f>
        <v>14.9</v>
      </c>
      <c r="W39" s="527">
        <f>C49</f>
        <v>2.276388888888889</v>
      </c>
      <c r="X39" s="58"/>
      <c r="Y39" s="58"/>
      <c r="Z39" s="526">
        <f>C23</f>
        <v>0.3</v>
      </c>
      <c r="AA39" s="528">
        <f>C25</f>
        <v>9</v>
      </c>
      <c r="AB39" s="528">
        <f>C26</f>
        <v>3</v>
      </c>
      <c r="AC39" s="528">
        <f>C27</f>
        <v>1</v>
      </c>
      <c r="AD39" s="528">
        <f>C24</f>
        <v>0.1</v>
      </c>
    </row>
    <row r="40" spans="2:30" ht="14.7" customHeight="1" outlineLevel="1">
      <c r="B40" s="436" t="s">
        <v>888</v>
      </c>
      <c r="C40" s="529" t="s">
        <v>36</v>
      </c>
      <c r="D40" s="530" t="s">
        <v>36</v>
      </c>
      <c r="E40" s="530" t="s">
        <v>36</v>
      </c>
      <c r="F40" s="531" t="s">
        <v>36</v>
      </c>
      <c r="G40" s="531"/>
      <c r="H40" s="531"/>
      <c r="I40" s="531"/>
      <c r="J40" s="531"/>
      <c r="K40" s="532" t="s">
        <v>25</v>
      </c>
      <c r="L40" s="524"/>
      <c r="M40" s="423"/>
      <c r="N40" s="423"/>
      <c r="O40" s="525">
        <f>D12</f>
        <v>93</v>
      </c>
      <c r="P40" s="526">
        <f>D8</f>
        <v>2030</v>
      </c>
      <c r="Q40" s="58"/>
      <c r="R40" s="526">
        <f>O40/100</f>
        <v>0.93</v>
      </c>
      <c r="S40" s="58"/>
      <c r="T40" s="526">
        <f>D16</f>
        <v>25</v>
      </c>
      <c r="U40" s="527">
        <f>D46</f>
        <v>338.63636363636368</v>
      </c>
      <c r="V40" s="527">
        <f>D48</f>
        <v>14.154999999999999</v>
      </c>
      <c r="W40" s="527">
        <f>D49</f>
        <v>2.0694444444444446</v>
      </c>
      <c r="X40" s="58"/>
      <c r="Y40" s="58"/>
      <c r="Z40" s="526">
        <f>D23</f>
        <v>0.3</v>
      </c>
      <c r="AA40" s="528">
        <f>D25</f>
        <v>7</v>
      </c>
      <c r="AB40" s="528">
        <f>D26</f>
        <v>2</v>
      </c>
      <c r="AC40" s="528">
        <f>D27</f>
        <v>1</v>
      </c>
      <c r="AD40" s="528">
        <f>D24</f>
        <v>0.1</v>
      </c>
    </row>
    <row r="41" spans="2:30" outlineLevel="1">
      <c r="B41" s="436" t="s">
        <v>889</v>
      </c>
      <c r="C41" s="529" t="s">
        <v>36</v>
      </c>
      <c r="D41" s="530" t="s">
        <v>36</v>
      </c>
      <c r="E41" s="530" t="s">
        <v>36</v>
      </c>
      <c r="F41" s="531" t="s">
        <v>36</v>
      </c>
      <c r="G41" s="513"/>
      <c r="H41" s="513"/>
      <c r="I41" s="513"/>
      <c r="J41" s="513"/>
      <c r="K41" s="513"/>
      <c r="L41" s="440"/>
      <c r="M41" s="423"/>
      <c r="N41" s="423"/>
      <c r="O41" s="525">
        <f>E12</f>
        <v>93</v>
      </c>
      <c r="P41" s="526">
        <f>E8</f>
        <v>2040</v>
      </c>
      <c r="Q41" s="58"/>
      <c r="R41" s="526">
        <f>O41/100</f>
        <v>0.93</v>
      </c>
      <c r="S41" s="58"/>
      <c r="T41" s="526">
        <f>E16</f>
        <v>25</v>
      </c>
      <c r="U41" s="527">
        <f>E46</f>
        <v>338.63636363636368</v>
      </c>
      <c r="V41" s="527">
        <f>E48</f>
        <v>13.41</v>
      </c>
      <c r="W41" s="527">
        <f>E49</f>
        <v>2.0694444444444446</v>
      </c>
      <c r="X41" s="58"/>
      <c r="Y41" s="58"/>
      <c r="Z41" s="526">
        <f>E23</f>
        <v>0.3</v>
      </c>
      <c r="AA41" s="528">
        <f>E25</f>
        <v>6</v>
      </c>
      <c r="AB41" s="528">
        <f>E26</f>
        <v>2</v>
      </c>
      <c r="AC41" s="528">
        <f>E27</f>
        <v>1</v>
      </c>
      <c r="AD41" s="528">
        <f>E24</f>
        <v>0.1</v>
      </c>
    </row>
    <row r="42" spans="2:30" outlineLevel="1">
      <c r="B42" s="436" t="s">
        <v>890</v>
      </c>
      <c r="C42" s="533">
        <v>90</v>
      </c>
      <c r="D42" s="533">
        <v>90</v>
      </c>
      <c r="E42" s="533">
        <v>90</v>
      </c>
      <c r="F42" s="533">
        <v>90</v>
      </c>
      <c r="G42" s="534"/>
      <c r="H42" s="534"/>
      <c r="I42" s="534"/>
      <c r="J42" s="534"/>
      <c r="K42" s="534"/>
      <c r="L42" s="440">
        <v>3</v>
      </c>
      <c r="M42" s="423"/>
      <c r="N42" s="423"/>
      <c r="O42" s="525">
        <f>F12</f>
        <v>94</v>
      </c>
      <c r="P42" s="526">
        <f>F8</f>
        <v>2050</v>
      </c>
      <c r="Q42" s="58"/>
      <c r="R42" s="526">
        <f>O42/100</f>
        <v>0.94</v>
      </c>
      <c r="S42" s="58"/>
      <c r="T42" s="526">
        <f>F16</f>
        <v>25</v>
      </c>
      <c r="U42" s="527">
        <f>F46</f>
        <v>338.63636363636368</v>
      </c>
      <c r="V42" s="527">
        <f>F48</f>
        <v>12.664999999999999</v>
      </c>
      <c r="W42" s="527">
        <f>F49</f>
        <v>2.0694444444444446</v>
      </c>
      <c r="X42" s="58"/>
      <c r="Y42" s="58"/>
      <c r="Z42" s="526">
        <f>F23</f>
        <v>0.3</v>
      </c>
      <c r="AA42" s="528">
        <f>F25</f>
        <v>6</v>
      </c>
      <c r="AB42" s="528">
        <f>F26</f>
        <v>2</v>
      </c>
      <c r="AC42" s="528">
        <f>F27</f>
        <v>1</v>
      </c>
      <c r="AD42" s="528">
        <f>F24</f>
        <v>0.1</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406.36363636363632</v>
      </c>
      <c r="D46" s="543">
        <f t="shared" ref="D46:F46" si="2">D29*$F$4*1000</f>
        <v>338.63636363636368</v>
      </c>
      <c r="E46" s="543">
        <f t="shared" si="2"/>
        <v>338.63636363636368</v>
      </c>
      <c r="F46" s="543">
        <f t="shared" si="2"/>
        <v>338.63636363636368</v>
      </c>
      <c r="G46" s="543"/>
      <c r="H46" s="544"/>
      <c r="I46" s="480" t="s">
        <v>332</v>
      </c>
      <c r="J46" s="480"/>
      <c r="K46" s="544"/>
      <c r="L46" s="544"/>
      <c r="N46" s="480"/>
    </row>
    <row r="47" spans="2:30" outlineLevel="1">
      <c r="B47" s="545" t="s">
        <v>895</v>
      </c>
      <c r="C47" s="546">
        <f>C46*$I47</f>
        <v>203181.81818181815</v>
      </c>
      <c r="D47" s="546">
        <f>D46*$I47</f>
        <v>169318.18181818185</v>
      </c>
      <c r="E47" s="546">
        <f>E46*$I47</f>
        <v>169318.18181818185</v>
      </c>
      <c r="F47" s="546">
        <f>F46*$I47</f>
        <v>169318.18181818185</v>
      </c>
      <c r="G47" s="546"/>
      <c r="H47" s="544"/>
      <c r="I47" s="71">
        <v>500</v>
      </c>
      <c r="J47" s="480" t="s">
        <v>330</v>
      </c>
      <c r="K47" s="544"/>
      <c r="L47" s="544"/>
      <c r="N47" s="480"/>
    </row>
    <row r="48" spans="2:30" ht="43.2" outlineLevel="1">
      <c r="B48" s="521" t="s">
        <v>896</v>
      </c>
      <c r="C48" s="419">
        <f>C32*$F$4</f>
        <v>14.9</v>
      </c>
      <c r="D48" s="419">
        <f t="shared" ref="D48:F49" si="3">D32*$F$4</f>
        <v>14.154999999999999</v>
      </c>
      <c r="E48" s="419">
        <f t="shared" si="3"/>
        <v>13.41</v>
      </c>
      <c r="F48" s="419">
        <f t="shared" si="3"/>
        <v>12.664999999999999</v>
      </c>
      <c r="G48" s="419"/>
      <c r="I48" s="480" t="s">
        <v>333</v>
      </c>
      <c r="J48" s="480"/>
      <c r="N48" s="480"/>
    </row>
    <row r="49" spans="2:20" ht="43.2" outlineLevel="1">
      <c r="B49" s="521" t="s">
        <v>897</v>
      </c>
      <c r="C49" s="547">
        <f>C33*$F$4</f>
        <v>2.276388888888889</v>
      </c>
      <c r="D49" s="547">
        <f t="shared" si="3"/>
        <v>2.0694444444444446</v>
      </c>
      <c r="E49" s="547">
        <f t="shared" si="3"/>
        <v>2.0694444444444446</v>
      </c>
      <c r="F49" s="547">
        <f t="shared" si="3"/>
        <v>2.0694444444444446</v>
      </c>
      <c r="G49" s="419"/>
      <c r="M49" s="480"/>
      <c r="N49" s="480"/>
    </row>
    <row r="50" spans="2:20" outlineLevel="1"/>
    <row r="51" spans="2:20" outlineLevel="1"/>
    <row r="52" spans="2:20" outlineLevel="1"/>
    <row r="53" spans="2:20" outlineLevel="1"/>
    <row r="54" spans="2:20" outlineLevel="1">
      <c r="B54" s="548" t="s">
        <v>898</v>
      </c>
      <c r="C54" s="549"/>
      <c r="D54" s="550"/>
      <c r="E54" s="550"/>
      <c r="F54" s="550"/>
    </row>
    <row r="55" spans="2:20" outlineLevel="1">
      <c r="B55" s="551">
        <v>1</v>
      </c>
      <c r="C55" s="552" t="s">
        <v>899</v>
      </c>
      <c r="E55" s="550"/>
      <c r="F55" s="550"/>
    </row>
    <row r="56" spans="2:20" outlineLevel="1">
      <c r="B56" s="551">
        <v>2</v>
      </c>
      <c r="C56" s="553" t="s">
        <v>900</v>
      </c>
      <c r="E56" s="550"/>
      <c r="F56" s="550"/>
    </row>
    <row r="57" spans="2:20" outlineLevel="1">
      <c r="B57" s="551">
        <v>3</v>
      </c>
      <c r="C57" s="553" t="s">
        <v>901</v>
      </c>
      <c r="E57" s="550"/>
      <c r="F57" s="550"/>
    </row>
    <row r="58" spans="2:20" outlineLevel="1">
      <c r="B58" s="551">
        <v>4</v>
      </c>
      <c r="C58" s="553" t="s">
        <v>902</v>
      </c>
      <c r="E58" s="550"/>
      <c r="F58" s="550"/>
    </row>
    <row r="59" spans="2:20" outlineLevel="1">
      <c r="B59" s="417">
        <v>5</v>
      </c>
      <c r="C59" s="554" t="s">
        <v>903</v>
      </c>
      <c r="D59" s="550"/>
      <c r="E59" s="550"/>
      <c r="F59" s="550"/>
      <c r="T59" s="239" t="s">
        <v>923</v>
      </c>
    </row>
    <row r="60" spans="2:20" outlineLevel="1">
      <c r="B60" s="417">
        <v>6</v>
      </c>
      <c r="C60" s="552" t="s">
        <v>904</v>
      </c>
      <c r="D60" s="550"/>
      <c r="E60" s="550"/>
      <c r="F60" s="550"/>
    </row>
    <row r="61" spans="2:20" outlineLevel="1">
      <c r="B61" s="417">
        <v>7</v>
      </c>
      <c r="C61" s="555" t="s">
        <v>899</v>
      </c>
      <c r="D61" s="550"/>
      <c r="E61" s="550"/>
      <c r="F61" s="550"/>
    </row>
    <row r="62" spans="2:20" outlineLevel="1">
      <c r="B62" s="417">
        <v>8</v>
      </c>
      <c r="C62" s="555" t="s">
        <v>905</v>
      </c>
      <c r="D62" s="550"/>
      <c r="E62" s="550"/>
      <c r="F62" s="550"/>
    </row>
    <row r="63" spans="2:20" outlineLevel="1">
      <c r="B63" s="417">
        <v>9</v>
      </c>
      <c r="C63" s="549" t="s">
        <v>906</v>
      </c>
      <c r="D63" s="550"/>
      <c r="E63" s="550"/>
      <c r="F63" s="550"/>
    </row>
    <row r="64" spans="2:20" outlineLevel="1">
      <c r="B64" s="417">
        <v>10</v>
      </c>
      <c r="C64" s="550" t="s">
        <v>907</v>
      </c>
      <c r="D64" s="550"/>
      <c r="E64" s="550"/>
      <c r="F64" s="550"/>
    </row>
    <row r="65" spans="2:6" outlineLevel="1">
      <c r="B65" s="548" t="s">
        <v>908</v>
      </c>
      <c r="C65" s="549"/>
      <c r="D65" s="550"/>
      <c r="E65" s="550"/>
      <c r="F65" s="550"/>
    </row>
    <row r="66" spans="2:6" outlineLevel="1">
      <c r="B66" s="556" t="s">
        <v>6</v>
      </c>
      <c r="C66" s="557" t="s">
        <v>909</v>
      </c>
      <c r="E66" s="550"/>
      <c r="F66" s="550"/>
    </row>
    <row r="67" spans="2:6" outlineLevel="1">
      <c r="B67" s="556" t="s">
        <v>59</v>
      </c>
      <c r="C67" s="549" t="s">
        <v>910</v>
      </c>
      <c r="E67" s="550"/>
      <c r="F67" s="550"/>
    </row>
    <row r="68" spans="2:6" outlineLevel="1">
      <c r="B68" s="556" t="s">
        <v>16</v>
      </c>
      <c r="C68" s="549" t="s">
        <v>911</v>
      </c>
      <c r="E68" s="550"/>
      <c r="F68" s="550"/>
    </row>
    <row r="69" spans="2:6" outlineLevel="1">
      <c r="B69" s="556" t="s">
        <v>20</v>
      </c>
      <c r="C69" s="549" t="s">
        <v>912</v>
      </c>
      <c r="E69" s="550"/>
      <c r="F69" s="550"/>
    </row>
    <row r="70" spans="2:6" outlineLevel="1">
      <c r="B70" s="556" t="s">
        <v>76</v>
      </c>
      <c r="C70" s="558" t="s">
        <v>913</v>
      </c>
      <c r="E70" s="550"/>
      <c r="F70" s="550"/>
    </row>
    <row r="71" spans="2:6" outlineLevel="1">
      <c r="B71" s="556" t="s">
        <v>25</v>
      </c>
      <c r="C71" s="549" t="s">
        <v>914</v>
      </c>
      <c r="E71" s="550"/>
      <c r="F71" s="55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420" t="s">
        <v>924</v>
      </c>
      <c r="B84" s="976"/>
      <c r="C84" s="977"/>
      <c r="D84" s="977"/>
      <c r="E84" s="977"/>
      <c r="F84" s="977"/>
      <c r="G84" s="977"/>
      <c r="H84" s="977"/>
      <c r="I84" s="977"/>
      <c r="J84" s="977"/>
      <c r="K84" s="977"/>
      <c r="L84" s="977"/>
      <c r="M84" s="977"/>
      <c r="N84" s="421"/>
      <c r="P84" s="977"/>
      <c r="Q84" s="977"/>
      <c r="R84" s="977"/>
      <c r="S84" s="977"/>
      <c r="T84" s="977"/>
      <c r="U84" s="977"/>
    </row>
    <row r="85" spans="1:44" ht="15" outlineLevel="1" thickBot="1">
      <c r="B85" s="976"/>
      <c r="C85" s="977"/>
      <c r="D85" s="977"/>
      <c r="E85" s="977"/>
      <c r="F85" s="977"/>
      <c r="G85" s="977"/>
      <c r="H85" s="977"/>
      <c r="I85" s="977"/>
      <c r="J85" s="977"/>
      <c r="K85" s="977"/>
      <c r="L85" s="977"/>
      <c r="M85" s="977"/>
      <c r="N85" s="421"/>
      <c r="P85" s="752">
        <v>1</v>
      </c>
      <c r="Q85" s="752">
        <v>2</v>
      </c>
      <c r="R85" s="752">
        <v>3</v>
      </c>
      <c r="S85" s="752">
        <v>4</v>
      </c>
      <c r="T85" s="752">
        <v>5</v>
      </c>
      <c r="U85" s="752">
        <v>6</v>
      </c>
      <c r="V85" s="752">
        <v>7</v>
      </c>
      <c r="W85" s="752">
        <v>8</v>
      </c>
      <c r="X85" s="752">
        <v>9</v>
      </c>
      <c r="Y85" s="752">
        <v>10</v>
      </c>
      <c r="Z85" s="752">
        <v>11</v>
      </c>
      <c r="AA85" s="752">
        <v>12</v>
      </c>
      <c r="AB85" s="752">
        <v>13</v>
      </c>
      <c r="AC85" s="752">
        <v>14</v>
      </c>
    </row>
    <row r="86" spans="1:44" ht="20.7" customHeight="1" outlineLevel="1" thickBot="1">
      <c r="B86" s="422" t="s">
        <v>0</v>
      </c>
      <c r="C86" s="1043" t="s">
        <v>925</v>
      </c>
      <c r="D86" s="1019"/>
      <c r="E86" s="1019"/>
      <c r="F86" s="1019"/>
      <c r="G86" s="1019"/>
      <c r="H86" s="1019"/>
      <c r="I86" s="1019"/>
      <c r="J86" s="1019"/>
      <c r="K86" s="1019"/>
      <c r="L86" s="1020"/>
      <c r="M86" s="423"/>
      <c r="N86" s="423"/>
      <c r="P86" s="424" t="s">
        <v>838</v>
      </c>
      <c r="Q86" s="425"/>
      <c r="R86" s="426"/>
      <c r="S86" s="985" t="s">
        <v>839</v>
      </c>
      <c r="T86" s="989" t="s">
        <v>840</v>
      </c>
      <c r="U86" s="990"/>
      <c r="V86" s="989" t="s">
        <v>841</v>
      </c>
      <c r="W86" s="990"/>
      <c r="X86" s="989" t="s">
        <v>842</v>
      </c>
      <c r="Y86" s="990"/>
      <c r="Z86" s="989" t="s">
        <v>843</v>
      </c>
      <c r="AA86" s="990"/>
      <c r="AB86" s="989" t="s">
        <v>844</v>
      </c>
      <c r="AC86" s="990"/>
      <c r="AE86" s="424" t="s">
        <v>845</v>
      </c>
      <c r="AF86" s="425"/>
      <c r="AG86" s="426"/>
      <c r="AH86" s="985" t="s">
        <v>839</v>
      </c>
      <c r="AI86" s="989" t="s">
        <v>840</v>
      </c>
      <c r="AJ86" s="990"/>
      <c r="AK86" s="989" t="s">
        <v>841</v>
      </c>
      <c r="AL86" s="990"/>
      <c r="AM86" s="989" t="s">
        <v>842</v>
      </c>
      <c r="AN86" s="990"/>
      <c r="AO86" s="989" t="s">
        <v>843</v>
      </c>
      <c r="AP86" s="990"/>
      <c r="AQ86" s="989" t="s">
        <v>844</v>
      </c>
      <c r="AR86" s="990"/>
    </row>
    <row r="87" spans="1:44" ht="15" customHeight="1" outlineLevel="1" thickBot="1">
      <c r="B87" s="1010" t="s">
        <v>4</v>
      </c>
      <c r="C87" s="1012">
        <v>2020</v>
      </c>
      <c r="D87" s="1012">
        <v>2030</v>
      </c>
      <c r="E87" s="1012">
        <v>2040</v>
      </c>
      <c r="F87" s="1012">
        <v>2050</v>
      </c>
      <c r="G87" s="1014" t="s">
        <v>846</v>
      </c>
      <c r="H87" s="1015"/>
      <c r="I87" s="1014" t="s">
        <v>693</v>
      </c>
      <c r="J87" s="1015"/>
      <c r="K87" s="1016" t="s">
        <v>2</v>
      </c>
      <c r="L87" s="1016" t="s">
        <v>3</v>
      </c>
      <c r="M87" s="427"/>
      <c r="N87" s="427"/>
      <c r="P87" s="993" t="s">
        <v>0</v>
      </c>
      <c r="Q87" s="428"/>
      <c r="R87" s="428"/>
      <c r="S87" s="986"/>
      <c r="T87" s="991"/>
      <c r="U87" s="992"/>
      <c r="V87" s="991"/>
      <c r="W87" s="992"/>
      <c r="X87" s="991"/>
      <c r="Y87" s="992"/>
      <c r="Z87" s="991"/>
      <c r="AA87" s="992"/>
      <c r="AB87" s="991"/>
      <c r="AC87" s="992"/>
      <c r="AE87" s="993" t="s">
        <v>0</v>
      </c>
      <c r="AF87" s="428"/>
      <c r="AG87" s="428"/>
      <c r="AH87" s="986"/>
      <c r="AI87" s="991"/>
      <c r="AJ87" s="992"/>
      <c r="AK87" s="991"/>
      <c r="AL87" s="992"/>
      <c r="AM87" s="991"/>
      <c r="AN87" s="992"/>
      <c r="AO87" s="991"/>
      <c r="AP87" s="992"/>
      <c r="AQ87" s="991"/>
      <c r="AR87" s="992"/>
    </row>
    <row r="88" spans="1:44" ht="15" outlineLevel="1" thickBot="1">
      <c r="B88" s="1011"/>
      <c r="C88" s="1013"/>
      <c r="D88" s="1013"/>
      <c r="E88" s="1013"/>
      <c r="F88" s="1013"/>
      <c r="G88" s="559" t="s">
        <v>694</v>
      </c>
      <c r="H88" s="559" t="s">
        <v>695</v>
      </c>
      <c r="I88" s="559" t="s">
        <v>694</v>
      </c>
      <c r="J88" s="559" t="s">
        <v>695</v>
      </c>
      <c r="K88" s="1017"/>
      <c r="L88" s="1017"/>
      <c r="M88" s="430"/>
      <c r="N88" s="430"/>
      <c r="P88" s="994"/>
      <c r="Q88" s="996" t="s">
        <v>847</v>
      </c>
      <c r="R88" s="997" t="s">
        <v>848</v>
      </c>
      <c r="S88" s="987"/>
      <c r="T88" s="991"/>
      <c r="U88" s="992"/>
      <c r="V88" s="991"/>
      <c r="W88" s="992"/>
      <c r="X88" s="991"/>
      <c r="Y88" s="992"/>
      <c r="Z88" s="991"/>
      <c r="AA88" s="992"/>
      <c r="AB88" s="991"/>
      <c r="AC88" s="992"/>
      <c r="AE88" s="994"/>
      <c r="AF88" s="1040" t="s">
        <v>847</v>
      </c>
      <c r="AG88" s="997" t="s">
        <v>848</v>
      </c>
      <c r="AH88" s="987"/>
      <c r="AI88" s="991"/>
      <c r="AJ88" s="992"/>
      <c r="AK88" s="991"/>
      <c r="AL88" s="992"/>
      <c r="AM88" s="991"/>
      <c r="AN88" s="992"/>
      <c r="AO88" s="991"/>
      <c r="AP88" s="992"/>
      <c r="AQ88" s="991"/>
      <c r="AR88" s="992"/>
    </row>
    <row r="89" spans="1:44" ht="29.4" outlineLevel="1" thickBot="1">
      <c r="B89" s="431" t="s">
        <v>696</v>
      </c>
      <c r="C89" s="432">
        <v>20</v>
      </c>
      <c r="D89" s="432">
        <v>20</v>
      </c>
      <c r="E89" s="432">
        <v>20</v>
      </c>
      <c r="F89" s="432">
        <v>20</v>
      </c>
      <c r="G89" s="432">
        <v>1</v>
      </c>
      <c r="H89" s="432">
        <v>50</v>
      </c>
      <c r="I89" s="432">
        <v>1</v>
      </c>
      <c r="J89" s="432">
        <v>50</v>
      </c>
      <c r="K89" s="432" t="s">
        <v>6</v>
      </c>
      <c r="L89" s="433" t="s">
        <v>850</v>
      </c>
      <c r="M89" s="430"/>
      <c r="N89" s="430"/>
      <c r="O89" s="74"/>
      <c r="P89" s="995"/>
      <c r="Q89" s="988"/>
      <c r="R89" s="998"/>
      <c r="S89" s="988"/>
      <c r="T89" s="434" t="s">
        <v>851</v>
      </c>
      <c r="U89" s="435" t="s">
        <v>852</v>
      </c>
      <c r="V89" s="434" t="s">
        <v>851</v>
      </c>
      <c r="W89" s="435" t="s">
        <v>852</v>
      </c>
      <c r="X89" s="434" t="s">
        <v>851</v>
      </c>
      <c r="Y89" s="435" t="s">
        <v>852</v>
      </c>
      <c r="Z89" s="434" t="s">
        <v>851</v>
      </c>
      <c r="AA89" s="435" t="s">
        <v>852</v>
      </c>
      <c r="AB89" s="434" t="s">
        <v>851</v>
      </c>
      <c r="AC89" s="435" t="s">
        <v>852</v>
      </c>
      <c r="AE89" s="995"/>
      <c r="AF89" s="1041"/>
      <c r="AG89" s="998"/>
      <c r="AH89" s="988"/>
      <c r="AI89" s="434" t="s">
        <v>851</v>
      </c>
      <c r="AJ89" s="435" t="s">
        <v>852</v>
      </c>
      <c r="AK89" s="434" t="s">
        <v>851</v>
      </c>
      <c r="AL89" s="435" t="s">
        <v>852</v>
      </c>
      <c r="AM89" s="434" t="s">
        <v>851</v>
      </c>
      <c r="AN89" s="435" t="s">
        <v>852</v>
      </c>
      <c r="AO89" s="434" t="s">
        <v>851</v>
      </c>
      <c r="AP89" s="435" t="s">
        <v>852</v>
      </c>
      <c r="AQ89" s="434" t="s">
        <v>851</v>
      </c>
      <c r="AR89" s="435" t="s">
        <v>852</v>
      </c>
    </row>
    <row r="90" spans="1:44" outlineLevel="1">
      <c r="B90" s="560" t="s">
        <v>853</v>
      </c>
      <c r="C90" s="561">
        <v>103</v>
      </c>
      <c r="D90" s="561">
        <v>104</v>
      </c>
      <c r="E90" s="562">
        <v>104</v>
      </c>
      <c r="F90" s="561">
        <v>104</v>
      </c>
      <c r="G90" s="561">
        <v>95</v>
      </c>
      <c r="H90" s="561">
        <v>106</v>
      </c>
      <c r="I90" s="561">
        <v>96</v>
      </c>
      <c r="J90" s="561">
        <v>107</v>
      </c>
      <c r="K90" s="563"/>
      <c r="L90" s="564" t="s">
        <v>926</v>
      </c>
      <c r="M90" s="430"/>
      <c r="N90" s="430"/>
      <c r="P90" s="1027" t="str">
        <f>C86</f>
        <v>Steam boiler, Natural gas or biogas (Condensing)</v>
      </c>
      <c r="Q90" s="1030" t="s">
        <v>855</v>
      </c>
      <c r="R90" s="441" t="s">
        <v>856</v>
      </c>
      <c r="S90" s="442"/>
      <c r="T90" s="1033">
        <v>0</v>
      </c>
      <c r="U90" s="1021">
        <v>0</v>
      </c>
      <c r="V90" s="1033">
        <v>0</v>
      </c>
      <c r="W90" s="1021">
        <v>0</v>
      </c>
      <c r="X90" s="1033">
        <v>0</v>
      </c>
      <c r="Y90" s="1021">
        <v>0</v>
      </c>
      <c r="Z90" s="1033">
        <v>0</v>
      </c>
      <c r="AA90" s="1021">
        <v>0</v>
      </c>
      <c r="AB90" s="1033">
        <v>0</v>
      </c>
      <c r="AC90" s="1021">
        <v>0</v>
      </c>
      <c r="AE90" s="1027" t="str">
        <f>P90</f>
        <v>Steam boiler, Natural gas or biogas (Condensing)</v>
      </c>
      <c r="AF90" s="1030" t="s">
        <v>855</v>
      </c>
      <c r="AG90" s="441" t="s">
        <v>856</v>
      </c>
      <c r="AH90" s="442"/>
      <c r="AI90" s="1033">
        <v>0</v>
      </c>
      <c r="AJ90" s="1021">
        <v>0</v>
      </c>
      <c r="AK90" s="1033">
        <v>0</v>
      </c>
      <c r="AL90" s="1021">
        <v>0</v>
      </c>
      <c r="AM90" s="1033">
        <v>0</v>
      </c>
      <c r="AN90" s="1021">
        <v>0</v>
      </c>
      <c r="AO90" s="1033">
        <v>0</v>
      </c>
      <c r="AP90" s="1021">
        <v>0</v>
      </c>
      <c r="AQ90" s="1033">
        <v>0</v>
      </c>
      <c r="AR90" s="1021">
        <v>0</v>
      </c>
    </row>
    <row r="91" spans="1:44" outlineLevel="1">
      <c r="B91" s="443" t="s">
        <v>857</v>
      </c>
      <c r="C91" s="444">
        <f>C90-2</f>
        <v>101</v>
      </c>
      <c r="D91" s="444">
        <f t="shared" ref="D91:J91" si="4">D90-1</f>
        <v>103</v>
      </c>
      <c r="E91" s="444">
        <f t="shared" si="4"/>
        <v>103</v>
      </c>
      <c r="F91" s="444">
        <f t="shared" si="4"/>
        <v>103</v>
      </c>
      <c r="G91" s="565">
        <f t="shared" si="4"/>
        <v>94</v>
      </c>
      <c r="H91" s="565">
        <f t="shared" si="4"/>
        <v>105</v>
      </c>
      <c r="I91" s="565">
        <f t="shared" si="4"/>
        <v>95</v>
      </c>
      <c r="J91" s="565">
        <f t="shared" si="4"/>
        <v>106</v>
      </c>
      <c r="K91" s="432"/>
      <c r="L91" s="433" t="s">
        <v>854</v>
      </c>
      <c r="M91" s="430"/>
      <c r="N91" s="430"/>
      <c r="O91" s="71"/>
      <c r="P91" s="1028"/>
      <c r="Q91" s="1031"/>
      <c r="R91" s="448" t="s">
        <v>858</v>
      </c>
      <c r="S91" s="449"/>
      <c r="T91" s="1034"/>
      <c r="U91" s="1022"/>
      <c r="V91" s="1034"/>
      <c r="W91" s="1022"/>
      <c r="X91" s="1034"/>
      <c r="Y91" s="1022"/>
      <c r="Z91" s="1034"/>
      <c r="AA91" s="1022"/>
      <c r="AB91" s="1034"/>
      <c r="AC91" s="1022"/>
      <c r="AE91" s="1028"/>
      <c r="AF91" s="1031"/>
      <c r="AG91" s="448" t="s">
        <v>858</v>
      </c>
      <c r="AH91" s="449"/>
      <c r="AI91" s="1034"/>
      <c r="AJ91" s="1022"/>
      <c r="AK91" s="1034"/>
      <c r="AL91" s="1022"/>
      <c r="AM91" s="1034"/>
      <c r="AN91" s="1022"/>
      <c r="AO91" s="1034"/>
      <c r="AP91" s="1022"/>
      <c r="AQ91" s="1034"/>
      <c r="AR91" s="1022"/>
    </row>
    <row r="92" spans="1:44" ht="15" outlineLevel="1" thickBot="1">
      <c r="B92" s="560" t="s">
        <v>859</v>
      </c>
      <c r="C92" s="566">
        <v>0.14000000000000001</v>
      </c>
      <c r="D92" s="567">
        <v>0.12</v>
      </c>
      <c r="E92" s="567">
        <v>0.11</v>
      </c>
      <c r="F92" s="568">
        <v>0.1</v>
      </c>
      <c r="G92" s="567">
        <v>0.1</v>
      </c>
      <c r="H92" s="567">
        <v>0.14000000000000001</v>
      </c>
      <c r="I92" s="567">
        <v>0.08</v>
      </c>
      <c r="J92" s="567">
        <v>0.12</v>
      </c>
      <c r="K92" s="563"/>
      <c r="L92" s="564">
        <v>3</v>
      </c>
      <c r="M92" s="430"/>
      <c r="N92" s="430"/>
      <c r="O92" s="71"/>
      <c r="P92" s="1028"/>
      <c r="Q92" s="1032"/>
      <c r="R92" s="453" t="s">
        <v>860</v>
      </c>
      <c r="S92" s="454"/>
      <c r="T92" s="1035"/>
      <c r="U92" s="1023"/>
      <c r="V92" s="1035"/>
      <c r="W92" s="1023"/>
      <c r="X92" s="1035"/>
      <c r="Y92" s="1023"/>
      <c r="Z92" s="1035"/>
      <c r="AA92" s="1023"/>
      <c r="AB92" s="1035"/>
      <c r="AC92" s="1023"/>
      <c r="AE92" s="1028"/>
      <c r="AF92" s="1032"/>
      <c r="AG92" s="453" t="s">
        <v>860</v>
      </c>
      <c r="AH92" s="454"/>
      <c r="AI92" s="1035"/>
      <c r="AJ92" s="1023"/>
      <c r="AK92" s="1035"/>
      <c r="AL92" s="1023"/>
      <c r="AM92" s="1035"/>
      <c r="AN92" s="1023"/>
      <c r="AO92" s="1035"/>
      <c r="AP92" s="1023"/>
      <c r="AQ92" s="1035"/>
      <c r="AR92" s="1023"/>
    </row>
    <row r="93" spans="1:44" outlineLevel="1">
      <c r="B93" s="560" t="s">
        <v>702</v>
      </c>
      <c r="C93" s="566">
        <v>1</v>
      </c>
      <c r="D93" s="566">
        <v>1</v>
      </c>
      <c r="E93" s="566">
        <v>1</v>
      </c>
      <c r="F93" s="566">
        <v>1</v>
      </c>
      <c r="G93" s="566">
        <v>0.08</v>
      </c>
      <c r="H93" s="566">
        <v>2</v>
      </c>
      <c r="I93" s="566">
        <v>0.08</v>
      </c>
      <c r="J93" s="566">
        <v>2</v>
      </c>
      <c r="K93" s="563"/>
      <c r="L93" s="564">
        <v>3</v>
      </c>
      <c r="M93" s="430"/>
      <c r="N93" s="430"/>
      <c r="O93" s="71"/>
      <c r="P93" s="1028"/>
      <c r="Q93" s="1030" t="s">
        <v>861</v>
      </c>
      <c r="R93" s="455" t="s">
        <v>862</v>
      </c>
      <c r="S93" s="456" t="s">
        <v>863</v>
      </c>
      <c r="T93" s="1033">
        <v>0</v>
      </c>
      <c r="U93" s="1033">
        <v>0.21</v>
      </c>
      <c r="V93" s="1033">
        <v>0</v>
      </c>
      <c r="W93" s="1033">
        <v>0</v>
      </c>
      <c r="X93" s="1033">
        <v>0</v>
      </c>
      <c r="Y93" s="1033">
        <v>0</v>
      </c>
      <c r="Z93" s="1033">
        <v>0</v>
      </c>
      <c r="AA93" s="1033">
        <v>0.09</v>
      </c>
      <c r="AB93" s="1033">
        <v>0</v>
      </c>
      <c r="AC93" s="1033">
        <v>0</v>
      </c>
      <c r="AE93" s="1028"/>
      <c r="AF93" s="1030" t="s">
        <v>861</v>
      </c>
      <c r="AG93" s="455" t="s">
        <v>862</v>
      </c>
      <c r="AH93" s="456" t="s">
        <v>863</v>
      </c>
      <c r="AI93" s="1033">
        <v>0</v>
      </c>
      <c r="AJ93" s="1033">
        <v>0.21</v>
      </c>
      <c r="AK93" s="1033">
        <v>0</v>
      </c>
      <c r="AL93" s="1033">
        <v>0</v>
      </c>
      <c r="AM93" s="1033">
        <v>0</v>
      </c>
      <c r="AN93" s="1033">
        <v>0</v>
      </c>
      <c r="AO93" s="1033">
        <v>0</v>
      </c>
      <c r="AP93" s="1033">
        <v>0.09</v>
      </c>
      <c r="AQ93" s="1033">
        <v>0</v>
      </c>
      <c r="AR93" s="1033">
        <v>0</v>
      </c>
    </row>
    <row r="94" spans="1:44" outlineLevel="1">
      <c r="B94" s="560" t="s">
        <v>703</v>
      </c>
      <c r="C94" s="566">
        <v>0.4</v>
      </c>
      <c r="D94" s="566">
        <v>0.4</v>
      </c>
      <c r="E94" s="566">
        <v>0.4</v>
      </c>
      <c r="F94" s="566">
        <v>0.4</v>
      </c>
      <c r="G94" s="566">
        <v>0.3</v>
      </c>
      <c r="H94" s="566">
        <v>0.6</v>
      </c>
      <c r="I94" s="566">
        <v>0.3</v>
      </c>
      <c r="J94" s="566">
        <v>0.6</v>
      </c>
      <c r="K94" s="563"/>
      <c r="L94" s="564">
        <v>3</v>
      </c>
      <c r="M94" s="427"/>
      <c r="N94" s="427"/>
      <c r="O94" s="71"/>
      <c r="P94" s="1028"/>
      <c r="Q94" s="1031"/>
      <c r="R94" s="455" t="s">
        <v>864</v>
      </c>
      <c r="S94" s="456" t="s">
        <v>863</v>
      </c>
      <c r="T94" s="1050"/>
      <c r="U94" s="1050"/>
      <c r="V94" s="1050"/>
      <c r="W94" s="1050"/>
      <c r="X94" s="1050"/>
      <c r="Y94" s="1050"/>
      <c r="Z94" s="1050"/>
      <c r="AA94" s="1050"/>
      <c r="AB94" s="1050"/>
      <c r="AC94" s="1050"/>
      <c r="AE94" s="1028"/>
      <c r="AF94" s="1031"/>
      <c r="AG94" s="455" t="s">
        <v>864</v>
      </c>
      <c r="AH94" s="456" t="s">
        <v>863</v>
      </c>
      <c r="AI94" s="1050"/>
      <c r="AJ94" s="1050"/>
      <c r="AK94" s="1050"/>
      <c r="AL94" s="1050"/>
      <c r="AM94" s="1050"/>
      <c r="AN94" s="1050"/>
      <c r="AO94" s="1050"/>
      <c r="AP94" s="1050"/>
      <c r="AQ94" s="1050"/>
      <c r="AR94" s="1050"/>
    </row>
    <row r="95" spans="1:44" outlineLevel="1">
      <c r="B95" s="443" t="s">
        <v>11</v>
      </c>
      <c r="C95" s="457">
        <v>25</v>
      </c>
      <c r="D95" s="457">
        <v>25</v>
      </c>
      <c r="E95" s="457">
        <v>25</v>
      </c>
      <c r="F95" s="457">
        <v>25</v>
      </c>
      <c r="G95" s="459">
        <v>20</v>
      </c>
      <c r="H95" s="459">
        <v>30</v>
      </c>
      <c r="I95" s="459">
        <v>20</v>
      </c>
      <c r="J95" s="459">
        <v>30</v>
      </c>
      <c r="K95" s="432"/>
      <c r="L95" s="433" t="s">
        <v>865</v>
      </c>
      <c r="M95" s="423"/>
      <c r="N95" s="423"/>
      <c r="P95" s="1028"/>
      <c r="Q95" s="1031"/>
      <c r="R95" s="455" t="s">
        <v>866</v>
      </c>
      <c r="S95" s="456" t="s">
        <v>863</v>
      </c>
      <c r="T95" s="1050"/>
      <c r="U95" s="1050"/>
      <c r="V95" s="1050"/>
      <c r="W95" s="1050"/>
      <c r="X95" s="1050"/>
      <c r="Y95" s="1050"/>
      <c r="Z95" s="1050"/>
      <c r="AA95" s="1050"/>
      <c r="AB95" s="1050"/>
      <c r="AC95" s="1050"/>
      <c r="AE95" s="1028"/>
      <c r="AF95" s="1031"/>
      <c r="AG95" s="455" t="s">
        <v>866</v>
      </c>
      <c r="AH95" s="456" t="s">
        <v>863</v>
      </c>
      <c r="AI95" s="1050"/>
      <c r="AJ95" s="1050"/>
      <c r="AK95" s="1050"/>
      <c r="AL95" s="1050"/>
      <c r="AM95" s="1050"/>
      <c r="AN95" s="1050"/>
      <c r="AO95" s="1050"/>
      <c r="AP95" s="1050"/>
      <c r="AQ95" s="1050"/>
      <c r="AR95" s="1050"/>
    </row>
    <row r="96" spans="1:44" ht="15" outlineLevel="1" thickBot="1">
      <c r="B96" s="560" t="s">
        <v>273</v>
      </c>
      <c r="C96" s="566">
        <v>0.5</v>
      </c>
      <c r="D96" s="566">
        <v>0.5</v>
      </c>
      <c r="E96" s="566">
        <v>0.5</v>
      </c>
      <c r="F96" s="566">
        <v>0.5</v>
      </c>
      <c r="G96" s="566">
        <v>0.2</v>
      </c>
      <c r="H96" s="566">
        <v>0.7</v>
      </c>
      <c r="I96" s="566">
        <v>0.2</v>
      </c>
      <c r="J96" s="566">
        <v>0.7</v>
      </c>
      <c r="K96" s="432"/>
      <c r="L96" s="460"/>
      <c r="M96" s="423"/>
      <c r="N96" s="423"/>
      <c r="P96" s="1028"/>
      <c r="Q96" s="1031"/>
      <c r="R96" s="455" t="s">
        <v>867</v>
      </c>
      <c r="S96" s="456" t="s">
        <v>863</v>
      </c>
      <c r="T96" s="1050"/>
      <c r="U96" s="1050"/>
      <c r="V96" s="1050"/>
      <c r="W96" s="1050"/>
      <c r="X96" s="1050"/>
      <c r="Y96" s="1050"/>
      <c r="Z96" s="1050"/>
      <c r="AA96" s="1050"/>
      <c r="AB96" s="1050"/>
      <c r="AC96" s="1050"/>
      <c r="AE96" s="1028"/>
      <c r="AF96" s="1031"/>
      <c r="AG96" s="455" t="s">
        <v>867</v>
      </c>
      <c r="AH96" s="456" t="s">
        <v>863</v>
      </c>
      <c r="AI96" s="1050"/>
      <c r="AJ96" s="1050"/>
      <c r="AK96" s="1050"/>
      <c r="AL96" s="1050"/>
      <c r="AM96" s="1050"/>
      <c r="AN96" s="1050"/>
      <c r="AO96" s="1050"/>
      <c r="AP96" s="1050"/>
      <c r="AQ96" s="1050"/>
      <c r="AR96" s="1050"/>
    </row>
    <row r="97" spans="1:44" ht="15" outlineLevel="1" thickBot="1">
      <c r="B97" s="461" t="s">
        <v>868</v>
      </c>
      <c r="C97" s="462"/>
      <c r="D97" s="463"/>
      <c r="E97" s="464"/>
      <c r="F97" s="465"/>
      <c r="G97" s="466"/>
      <c r="H97" s="466"/>
      <c r="I97" s="466"/>
      <c r="J97" s="466"/>
      <c r="K97" s="467"/>
      <c r="L97" s="468"/>
      <c r="M97" s="423"/>
      <c r="N97" s="423"/>
      <c r="P97" s="1028"/>
      <c r="Q97" s="1031"/>
      <c r="R97" s="469" t="s">
        <v>869</v>
      </c>
      <c r="S97" s="470" t="s">
        <v>863</v>
      </c>
      <c r="T97" s="1051"/>
      <c r="U97" s="1051"/>
      <c r="V97" s="1051"/>
      <c r="W97" s="1051"/>
      <c r="X97" s="1051"/>
      <c r="Y97" s="1051"/>
      <c r="Z97" s="1051"/>
      <c r="AA97" s="1051"/>
      <c r="AB97" s="1051"/>
      <c r="AC97" s="1051"/>
      <c r="AE97" s="1028"/>
      <c r="AF97" s="1031"/>
      <c r="AG97" s="469" t="s">
        <v>869</v>
      </c>
      <c r="AH97" s="470" t="s">
        <v>863</v>
      </c>
      <c r="AI97" s="1051"/>
      <c r="AJ97" s="1051"/>
      <c r="AK97" s="1051"/>
      <c r="AL97" s="1051"/>
      <c r="AM97" s="1051"/>
      <c r="AN97" s="1051"/>
      <c r="AO97" s="1051"/>
      <c r="AP97" s="1051"/>
      <c r="AQ97" s="1051"/>
      <c r="AR97" s="1051"/>
    </row>
    <row r="98" spans="1:44" ht="29.4" outlineLevel="1" thickBot="1">
      <c r="B98" s="560" t="s">
        <v>708</v>
      </c>
      <c r="C98" s="566">
        <v>15</v>
      </c>
      <c r="D98" s="566">
        <v>15</v>
      </c>
      <c r="E98" s="566">
        <v>15</v>
      </c>
      <c r="F98" s="566">
        <v>15</v>
      </c>
      <c r="G98" s="567"/>
      <c r="H98" s="567"/>
      <c r="I98" s="567"/>
      <c r="J98" s="567"/>
      <c r="K98" s="563"/>
      <c r="L98" s="564">
        <v>3</v>
      </c>
      <c r="M98" s="423"/>
      <c r="N98" s="423"/>
      <c r="P98" s="1029"/>
      <c r="Q98" s="471" t="s">
        <v>870</v>
      </c>
      <c r="R98" s="472" t="s">
        <v>871</v>
      </c>
      <c r="S98" s="473" t="s">
        <v>863</v>
      </c>
      <c r="T98" s="474">
        <v>1</v>
      </c>
      <c r="U98" s="475">
        <v>1</v>
      </c>
      <c r="V98" s="474">
        <v>0</v>
      </c>
      <c r="W98" s="475">
        <v>0</v>
      </c>
      <c r="X98" s="474">
        <v>0</v>
      </c>
      <c r="Y98" s="475">
        <v>0</v>
      </c>
      <c r="Z98" s="474">
        <v>1</v>
      </c>
      <c r="AA98" s="475">
        <v>1</v>
      </c>
      <c r="AB98" s="474">
        <v>0</v>
      </c>
      <c r="AC98" s="477">
        <v>0</v>
      </c>
      <c r="AE98" s="1029"/>
      <c r="AF98" s="471" t="s">
        <v>870</v>
      </c>
      <c r="AG98" s="472" t="s">
        <v>871</v>
      </c>
      <c r="AH98" s="473" t="s">
        <v>863</v>
      </c>
      <c r="AI98" s="474">
        <v>1</v>
      </c>
      <c r="AJ98" s="475">
        <v>1</v>
      </c>
      <c r="AK98" s="474">
        <v>0</v>
      </c>
      <c r="AL98" s="475">
        <v>0</v>
      </c>
      <c r="AM98" s="474">
        <v>0</v>
      </c>
      <c r="AN98" s="475">
        <v>0</v>
      </c>
      <c r="AO98" s="474">
        <v>1</v>
      </c>
      <c r="AP98" s="475">
        <v>1</v>
      </c>
      <c r="AQ98" s="474">
        <v>0</v>
      </c>
      <c r="AR98" s="477">
        <v>0</v>
      </c>
    </row>
    <row r="99" spans="1:44" outlineLevel="1">
      <c r="B99" s="560" t="s">
        <v>709</v>
      </c>
      <c r="C99" s="566">
        <v>0.1</v>
      </c>
      <c r="D99" s="566">
        <v>0.1</v>
      </c>
      <c r="E99" s="566">
        <v>0.1</v>
      </c>
      <c r="F99" s="566">
        <v>0.1</v>
      </c>
      <c r="G99" s="569"/>
      <c r="H99" s="569"/>
      <c r="I99" s="569"/>
      <c r="J99" s="569"/>
      <c r="K99" s="570"/>
      <c r="L99" s="564">
        <v>3</v>
      </c>
      <c r="M99" s="423"/>
      <c r="N99" s="423"/>
    </row>
    <row r="100" spans="1:44" outlineLevel="1">
      <c r="B100" s="560" t="s">
        <v>711</v>
      </c>
      <c r="C100" s="566">
        <v>0.4</v>
      </c>
      <c r="D100" s="566">
        <v>0.4</v>
      </c>
      <c r="E100" s="566">
        <v>0.4</v>
      </c>
      <c r="F100" s="566">
        <v>0.4</v>
      </c>
      <c r="G100" s="569"/>
      <c r="H100" s="569"/>
      <c r="I100" s="569"/>
      <c r="J100" s="569"/>
      <c r="K100" s="570"/>
      <c r="L100" s="564">
        <v>3</v>
      </c>
      <c r="M100" s="480"/>
      <c r="N100" s="423"/>
    </row>
    <row r="101" spans="1:44" outlineLevel="1">
      <c r="B101" s="481" t="s">
        <v>12</v>
      </c>
      <c r="C101" s="459"/>
      <c r="D101" s="459"/>
      <c r="E101" s="459"/>
      <c r="F101" s="459"/>
      <c r="G101" s="482"/>
      <c r="H101" s="482"/>
      <c r="I101" s="482"/>
      <c r="J101" s="482"/>
      <c r="K101" s="483"/>
      <c r="L101" s="484"/>
      <c r="M101" s="480"/>
      <c r="N101" s="480"/>
    </row>
    <row r="102" spans="1:44" ht="15.6" outlineLevel="1">
      <c r="B102" s="443" t="s">
        <v>872</v>
      </c>
      <c r="C102" s="457">
        <v>0.3</v>
      </c>
      <c r="D102" s="457">
        <v>0.3</v>
      </c>
      <c r="E102" s="457">
        <v>0.3</v>
      </c>
      <c r="F102" s="457">
        <v>0.3</v>
      </c>
      <c r="G102" s="482"/>
      <c r="H102" s="485"/>
      <c r="I102" s="485"/>
      <c r="J102" s="485"/>
      <c r="K102" s="486" t="s">
        <v>59</v>
      </c>
      <c r="L102" s="487" t="s">
        <v>873</v>
      </c>
      <c r="M102" s="488"/>
      <c r="N102" s="488"/>
    </row>
    <row r="103" spans="1:44" outlineLevel="1">
      <c r="B103" s="443" t="s">
        <v>874</v>
      </c>
      <c r="C103" s="457">
        <v>0.1</v>
      </c>
      <c r="D103" s="457">
        <v>0.1</v>
      </c>
      <c r="E103" s="457">
        <v>0.1</v>
      </c>
      <c r="F103" s="457">
        <v>0.1</v>
      </c>
      <c r="G103" s="485"/>
      <c r="H103" s="485"/>
      <c r="I103" s="485"/>
      <c r="J103" s="485"/>
      <c r="K103" s="483"/>
      <c r="L103" s="487">
        <v>9</v>
      </c>
      <c r="M103" s="488"/>
      <c r="N103" s="488"/>
    </row>
    <row r="104" spans="1:44" ht="15.6" outlineLevel="1">
      <c r="B104" s="443" t="s">
        <v>875</v>
      </c>
      <c r="C104" s="457">
        <v>9</v>
      </c>
      <c r="D104" s="457">
        <v>7</v>
      </c>
      <c r="E104" s="457">
        <v>6</v>
      </c>
      <c r="F104" s="457">
        <v>6</v>
      </c>
      <c r="G104" s="485"/>
      <c r="H104" s="485"/>
      <c r="I104" s="485"/>
      <c r="J104" s="485"/>
      <c r="K104" s="483"/>
      <c r="L104" s="487" t="s">
        <v>873</v>
      </c>
      <c r="M104" s="488"/>
      <c r="N104" s="488"/>
      <c r="T104" s="239">
        <f>C$23</f>
        <v>0.3</v>
      </c>
      <c r="U104" s="239">
        <f t="shared" ref="U104:V104" si="5">D$23</f>
        <v>0.3</v>
      </c>
      <c r="V104" s="239">
        <f t="shared" si="5"/>
        <v>0.3</v>
      </c>
    </row>
    <row r="105" spans="1:44" outlineLevel="1">
      <c r="B105" s="443" t="s">
        <v>366</v>
      </c>
      <c r="C105" s="457">
        <v>3</v>
      </c>
      <c r="D105" s="457">
        <v>2</v>
      </c>
      <c r="E105" s="457">
        <v>2</v>
      </c>
      <c r="F105" s="457">
        <v>2</v>
      </c>
      <c r="G105" s="485"/>
      <c r="H105" s="485"/>
      <c r="I105" s="485"/>
      <c r="J105" s="485"/>
      <c r="K105" s="483"/>
      <c r="L105" s="487" t="s">
        <v>873</v>
      </c>
      <c r="M105" s="488"/>
      <c r="N105" s="488"/>
    </row>
    <row r="106" spans="1:44" ht="15" outlineLevel="1" thickBot="1">
      <c r="B106" s="489" t="s">
        <v>367</v>
      </c>
      <c r="C106" s="490">
        <v>1</v>
      </c>
      <c r="D106" s="490">
        <v>1</v>
      </c>
      <c r="E106" s="490">
        <v>1</v>
      </c>
      <c r="F106" s="490">
        <v>1</v>
      </c>
      <c r="G106" s="485"/>
      <c r="H106" s="485"/>
      <c r="I106" s="485"/>
      <c r="J106" s="485"/>
      <c r="K106" s="483"/>
      <c r="L106" s="487" t="s">
        <v>873</v>
      </c>
      <c r="M106" s="488"/>
      <c r="N106" s="488"/>
    </row>
    <row r="107" spans="1:44" ht="15" outlineLevel="1" thickBot="1">
      <c r="B107" s="491" t="s">
        <v>719</v>
      </c>
      <c r="C107" s="492"/>
      <c r="D107" s="463"/>
      <c r="E107" s="463"/>
      <c r="F107" s="493"/>
      <c r="G107" s="494"/>
      <c r="H107" s="466"/>
      <c r="I107" s="466"/>
      <c r="J107" s="466"/>
      <c r="K107" s="467"/>
      <c r="L107" s="468"/>
      <c r="M107" s="488"/>
      <c r="N107" s="488"/>
    </row>
    <row r="108" spans="1:44" ht="43.2" outlineLevel="1">
      <c r="A108" s="495" t="s">
        <v>922</v>
      </c>
      <c r="B108" s="496" t="s">
        <v>917</v>
      </c>
      <c r="C108" s="571">
        <v>0.06</v>
      </c>
      <c r="D108" s="572">
        <v>0.05</v>
      </c>
      <c r="E108" s="572">
        <v>0.05</v>
      </c>
      <c r="F108" s="573">
        <v>0.05</v>
      </c>
      <c r="G108" s="485"/>
      <c r="H108" s="485"/>
      <c r="I108" s="485"/>
      <c r="J108" s="485"/>
      <c r="K108" s="486" t="s">
        <v>16</v>
      </c>
      <c r="L108" s="500" t="s">
        <v>878</v>
      </c>
      <c r="M108" s="480"/>
      <c r="N108" s="480"/>
    </row>
    <row r="109" spans="1:44" outlineLevel="1">
      <c r="B109" s="501" t="s">
        <v>879</v>
      </c>
      <c r="C109" s="502">
        <v>65</v>
      </c>
      <c r="D109" s="502">
        <v>65</v>
      </c>
      <c r="E109" s="502">
        <v>65</v>
      </c>
      <c r="F109" s="502">
        <v>65</v>
      </c>
      <c r="G109" s="485"/>
      <c r="H109" s="485"/>
      <c r="I109" s="485"/>
      <c r="J109" s="485"/>
      <c r="K109" s="504"/>
      <c r="L109" s="433">
        <v>3</v>
      </c>
      <c r="M109" s="71"/>
      <c r="N109" s="480"/>
    </row>
    <row r="110" spans="1:44" outlineLevel="1">
      <c r="B110" s="501" t="s">
        <v>880</v>
      </c>
      <c r="C110" s="502">
        <f>100-C109</f>
        <v>35</v>
      </c>
      <c r="D110" s="502">
        <f t="shared" ref="D110:F110" si="6">100-D109</f>
        <v>35</v>
      </c>
      <c r="E110" s="502">
        <f t="shared" si="6"/>
        <v>35</v>
      </c>
      <c r="F110" s="502">
        <f t="shared" si="6"/>
        <v>35</v>
      </c>
      <c r="G110" s="485"/>
      <c r="H110" s="485"/>
      <c r="I110" s="485"/>
      <c r="J110" s="485"/>
      <c r="K110" s="504"/>
      <c r="L110" s="433">
        <v>3</v>
      </c>
      <c r="M110" s="480"/>
      <c r="N110" s="480"/>
    </row>
    <row r="111" spans="1:44" outlineLevel="1">
      <c r="B111" s="443" t="s">
        <v>918</v>
      </c>
      <c r="C111" s="505">
        <f>2000/1000</f>
        <v>2</v>
      </c>
      <c r="D111" s="506">
        <f>1900/1000</f>
        <v>1.9</v>
      </c>
      <c r="E111" s="506">
        <f>1800/1000</f>
        <v>1.8</v>
      </c>
      <c r="F111" s="507">
        <f>1700/1000</f>
        <v>1.7</v>
      </c>
      <c r="G111" s="485"/>
      <c r="H111" s="485"/>
      <c r="I111" s="485"/>
      <c r="J111" s="485"/>
      <c r="K111" s="508"/>
      <c r="L111" s="433">
        <v>3</v>
      </c>
      <c r="M111" s="480"/>
      <c r="N111" s="480"/>
    </row>
    <row r="112" spans="1:44" outlineLevel="1">
      <c r="B112" s="443" t="s">
        <v>919</v>
      </c>
      <c r="C112" s="509">
        <f>1.1/3.6</f>
        <v>0.30555555555555558</v>
      </c>
      <c r="D112" s="509">
        <f>1/3.6</f>
        <v>0.27777777777777779</v>
      </c>
      <c r="E112" s="509">
        <f>1/3.6</f>
        <v>0.27777777777777779</v>
      </c>
      <c r="F112" s="509">
        <f>1/3.6</f>
        <v>0.27777777777777779</v>
      </c>
      <c r="G112" s="485"/>
      <c r="H112" s="485"/>
      <c r="I112" s="485"/>
      <c r="J112" s="485"/>
      <c r="K112" s="508"/>
      <c r="L112" s="433">
        <v>3</v>
      </c>
      <c r="M112" s="510"/>
      <c r="N112" s="421"/>
      <c r="P112" s="999">
        <f>C112</f>
        <v>0.30555555555555558</v>
      </c>
      <c r="Q112" s="977"/>
      <c r="R112" s="977"/>
      <c r="S112" s="977"/>
      <c r="T112" s="977"/>
      <c r="U112" s="1000"/>
    </row>
    <row r="113" spans="2:30" ht="15" outlineLevel="1" thickBot="1">
      <c r="B113" s="560" t="s">
        <v>883</v>
      </c>
      <c r="C113" s="574">
        <f>C92/100*73</f>
        <v>0.10220000000000001</v>
      </c>
      <c r="D113" s="574">
        <f>D92/100*75</f>
        <v>0.09</v>
      </c>
      <c r="E113" s="574">
        <f>E92/100*76</f>
        <v>8.3600000000000008E-2</v>
      </c>
      <c r="F113" s="574">
        <f>F92/100*76</f>
        <v>7.5999999999999998E-2</v>
      </c>
      <c r="G113" s="575"/>
      <c r="H113" s="575"/>
      <c r="I113" s="575"/>
      <c r="J113" s="575"/>
      <c r="K113" s="563" t="s">
        <v>20</v>
      </c>
      <c r="L113" s="564">
        <v>3</v>
      </c>
      <c r="M113" s="510"/>
      <c r="N113" s="421"/>
      <c r="P113" s="1001">
        <f>C113</f>
        <v>0.10220000000000001</v>
      </c>
      <c r="Q113" s="1002"/>
      <c r="R113" s="1002"/>
      <c r="S113" s="1002"/>
      <c r="T113" s="1002"/>
      <c r="U113" s="1003"/>
    </row>
    <row r="114" spans="2:30" outlineLevel="1">
      <c r="B114" s="560" t="s">
        <v>884</v>
      </c>
      <c r="C114" s="576">
        <f>C112-C113</f>
        <v>0.20335555555555557</v>
      </c>
      <c r="D114" s="576">
        <f>D112-D113</f>
        <v>0.18777777777777779</v>
      </c>
      <c r="E114" s="576">
        <f>E112-E113</f>
        <v>0.19417777777777778</v>
      </c>
      <c r="F114" s="576">
        <f>F112-F113</f>
        <v>0.20177777777777778</v>
      </c>
      <c r="G114" s="575"/>
      <c r="H114" s="575"/>
      <c r="I114" s="575"/>
      <c r="J114" s="575"/>
      <c r="K114" s="577"/>
      <c r="L114" s="564">
        <v>3</v>
      </c>
      <c r="M114" s="423"/>
      <c r="N114" s="423"/>
      <c r="P114" s="53" t="s">
        <v>357</v>
      </c>
    </row>
    <row r="115" spans="2:30" ht="27.6" outlineLevel="1">
      <c r="B115" s="501"/>
      <c r="C115" s="578"/>
      <c r="D115" s="578"/>
      <c r="E115" s="578"/>
      <c r="F115" s="578"/>
      <c r="G115" s="485"/>
      <c r="H115" s="485"/>
      <c r="I115" s="485"/>
      <c r="J115" s="485"/>
      <c r="K115" s="504"/>
      <c r="L115" s="484"/>
      <c r="M115" s="427"/>
      <c r="N115" s="42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79"/>
      <c r="C116" s="502"/>
      <c r="D116" s="580"/>
      <c r="E116" s="580"/>
      <c r="F116" s="581"/>
      <c r="G116" s="485"/>
      <c r="H116" s="485"/>
      <c r="I116" s="485"/>
      <c r="J116" s="485"/>
      <c r="K116" s="508"/>
      <c r="L116" s="484"/>
      <c r="M116" s="423"/>
      <c r="N116" s="423"/>
      <c r="P116" s="50"/>
      <c r="Q116" s="50"/>
      <c r="R116" s="51"/>
      <c r="S116" s="51"/>
      <c r="T116" s="51"/>
      <c r="U116" s="51" t="s">
        <v>885</v>
      </c>
      <c r="V116" s="50" t="s">
        <v>886</v>
      </c>
      <c r="W116" s="50"/>
      <c r="X116" s="50"/>
      <c r="Y116" s="50"/>
      <c r="Z116" s="50"/>
      <c r="AA116" s="50"/>
      <c r="AB116" s="50"/>
      <c r="AC116" s="50"/>
      <c r="AD116" s="50"/>
    </row>
    <row r="117" spans="2:30" ht="43.8" outlineLevel="1" thickBot="1">
      <c r="B117" s="461" t="s">
        <v>727</v>
      </c>
      <c r="C117" s="462"/>
      <c r="D117" s="463"/>
      <c r="E117" s="464"/>
      <c r="F117" s="465"/>
      <c r="G117" s="466"/>
      <c r="H117" s="466"/>
      <c r="I117" s="466"/>
      <c r="J117" s="466"/>
      <c r="K117" s="519"/>
      <c r="L117" s="520"/>
      <c r="M117" s="423"/>
      <c r="N117" s="423"/>
      <c r="O117" s="521" t="s">
        <v>857</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82" t="s">
        <v>887</v>
      </c>
      <c r="C118" s="583" t="s">
        <v>36</v>
      </c>
      <c r="D118" s="583" t="s">
        <v>36</v>
      </c>
      <c r="E118" s="583" t="s">
        <v>36</v>
      </c>
      <c r="F118" s="583" t="s">
        <v>36</v>
      </c>
      <c r="G118" s="584"/>
      <c r="H118" s="584"/>
      <c r="I118" s="584"/>
      <c r="J118" s="584"/>
      <c r="K118" s="584" t="s">
        <v>76</v>
      </c>
      <c r="L118" s="585"/>
      <c r="M118" s="423"/>
      <c r="N118" s="423"/>
      <c r="O118" s="525">
        <f>C91</f>
        <v>101</v>
      </c>
      <c r="P118" s="526">
        <f>C87</f>
        <v>2020</v>
      </c>
      <c r="Q118" s="58">
        <f>P118</f>
        <v>2020</v>
      </c>
      <c r="R118" s="526">
        <f>O118/100</f>
        <v>1.01</v>
      </c>
      <c r="S118" s="58"/>
      <c r="T118" s="526">
        <f>C95</f>
        <v>25</v>
      </c>
      <c r="U118" s="527">
        <f>C125</f>
        <v>447</v>
      </c>
      <c r="V118" s="527">
        <f>C127</f>
        <v>14.9</v>
      </c>
      <c r="W118" s="527">
        <f>C128</f>
        <v>2.276388888888889</v>
      </c>
      <c r="X118" s="58"/>
      <c r="Y118" s="58"/>
      <c r="Z118" s="526">
        <f>C102</f>
        <v>0.3</v>
      </c>
      <c r="AA118" s="528">
        <f>C104</f>
        <v>9</v>
      </c>
      <c r="AB118" s="528">
        <f>C105</f>
        <v>3</v>
      </c>
      <c r="AC118" s="528">
        <f>C106</f>
        <v>1</v>
      </c>
      <c r="AD118" s="528">
        <f>C103</f>
        <v>0.1</v>
      </c>
    </row>
    <row r="119" spans="2:30" outlineLevel="1">
      <c r="B119" s="560" t="s">
        <v>888</v>
      </c>
      <c r="C119" s="586" t="s">
        <v>36</v>
      </c>
      <c r="D119" s="587" t="s">
        <v>36</v>
      </c>
      <c r="E119" s="587" t="s">
        <v>36</v>
      </c>
      <c r="F119" s="588" t="s">
        <v>36</v>
      </c>
      <c r="G119" s="588"/>
      <c r="H119" s="588"/>
      <c r="I119" s="588"/>
      <c r="J119" s="588"/>
      <c r="K119" s="589" t="s">
        <v>76</v>
      </c>
      <c r="L119" s="585"/>
      <c r="M119" s="423"/>
      <c r="N119" s="423"/>
      <c r="O119" s="525">
        <f>D91</f>
        <v>103</v>
      </c>
      <c r="P119" s="526">
        <f>D87</f>
        <v>2030</v>
      </c>
      <c r="Q119" s="58"/>
      <c r="R119" s="526">
        <f>O119/100</f>
        <v>1.03</v>
      </c>
      <c r="S119" s="58"/>
      <c r="T119" s="526">
        <f>D95</f>
        <v>25</v>
      </c>
      <c r="U119" s="527">
        <f>D125</f>
        <v>372.50000000000006</v>
      </c>
      <c r="V119" s="527">
        <f>D127</f>
        <v>14.154999999999999</v>
      </c>
      <c r="W119" s="527">
        <f>D128</f>
        <v>2.0694444444444446</v>
      </c>
      <c r="X119" s="58"/>
      <c r="Y119" s="58"/>
      <c r="Z119" s="526">
        <f>D102</f>
        <v>0.3</v>
      </c>
      <c r="AA119" s="528">
        <f>D104</f>
        <v>7</v>
      </c>
      <c r="AB119" s="528">
        <f>D105</f>
        <v>2</v>
      </c>
      <c r="AC119" s="528">
        <f>D106</f>
        <v>1</v>
      </c>
      <c r="AD119" s="528">
        <f>D103</f>
        <v>0.1</v>
      </c>
    </row>
    <row r="120" spans="2:30" outlineLevel="1">
      <c r="B120" s="560" t="s">
        <v>889</v>
      </c>
      <c r="C120" s="586" t="s">
        <v>36</v>
      </c>
      <c r="D120" s="587" t="s">
        <v>36</v>
      </c>
      <c r="E120" s="587" t="s">
        <v>36</v>
      </c>
      <c r="F120" s="588" t="s">
        <v>36</v>
      </c>
      <c r="G120" s="575"/>
      <c r="H120" s="575"/>
      <c r="I120" s="575"/>
      <c r="J120" s="575"/>
      <c r="K120" s="575"/>
      <c r="L120" s="564"/>
      <c r="M120" s="423"/>
      <c r="N120" s="423"/>
      <c r="O120" s="525">
        <f>E91</f>
        <v>103</v>
      </c>
      <c r="P120" s="526">
        <f>E87</f>
        <v>2040</v>
      </c>
      <c r="Q120" s="58"/>
      <c r="R120" s="526">
        <f>O120/100</f>
        <v>1.03</v>
      </c>
      <c r="S120" s="58"/>
      <c r="T120" s="526">
        <f>E95</f>
        <v>25</v>
      </c>
      <c r="U120" s="527">
        <f>E125</f>
        <v>372.50000000000006</v>
      </c>
      <c r="V120" s="527">
        <f>E127</f>
        <v>13.41</v>
      </c>
      <c r="W120" s="527">
        <f>E128</f>
        <v>2.0694444444444446</v>
      </c>
      <c r="X120" s="58"/>
      <c r="Y120" s="58"/>
      <c r="Z120" s="526">
        <f>E102</f>
        <v>0.3</v>
      </c>
      <c r="AA120" s="528">
        <f>E104</f>
        <v>6</v>
      </c>
      <c r="AB120" s="528">
        <f>E105</f>
        <v>2</v>
      </c>
      <c r="AC120" s="528">
        <f>E106</f>
        <v>1</v>
      </c>
      <c r="AD120" s="528">
        <f>E103</f>
        <v>0.1</v>
      </c>
    </row>
    <row r="121" spans="2:30" outlineLevel="1">
      <c r="B121" s="560" t="s">
        <v>890</v>
      </c>
      <c r="C121" s="590">
        <v>90</v>
      </c>
      <c r="D121" s="590">
        <v>90</v>
      </c>
      <c r="E121" s="590">
        <v>90</v>
      </c>
      <c r="F121" s="590">
        <v>90</v>
      </c>
      <c r="G121" s="591"/>
      <c r="H121" s="591"/>
      <c r="I121" s="591"/>
      <c r="J121" s="591"/>
      <c r="K121" s="591"/>
      <c r="L121" s="564">
        <v>3</v>
      </c>
      <c r="M121" s="423"/>
      <c r="N121" s="423"/>
      <c r="O121" s="525">
        <f>F91</f>
        <v>103</v>
      </c>
      <c r="P121" s="526">
        <f>F87</f>
        <v>2050</v>
      </c>
      <c r="Q121" s="58"/>
      <c r="R121" s="526">
        <f>O121/100</f>
        <v>1.03</v>
      </c>
      <c r="S121" s="58"/>
      <c r="T121" s="526">
        <f>F95</f>
        <v>25</v>
      </c>
      <c r="U121" s="527">
        <f>F125</f>
        <v>372.50000000000006</v>
      </c>
      <c r="V121" s="527">
        <f>F127</f>
        <v>12.664999999999999</v>
      </c>
      <c r="W121" s="527">
        <f>F128</f>
        <v>2.0694444444444446</v>
      </c>
      <c r="X121" s="58"/>
      <c r="Y121" s="58"/>
      <c r="Z121" s="526">
        <f>F102</f>
        <v>0.3</v>
      </c>
      <c r="AA121" s="528">
        <f>F104</f>
        <v>6</v>
      </c>
      <c r="AB121" s="528">
        <f>F105</f>
        <v>2</v>
      </c>
      <c r="AC121" s="528">
        <f>F106</f>
        <v>1</v>
      </c>
      <c r="AD121" s="528">
        <f>F103</f>
        <v>0.1</v>
      </c>
    </row>
    <row r="122" spans="2:30" outlineLevel="1">
      <c r="B122" s="592" t="s">
        <v>891</v>
      </c>
      <c r="C122" s="586" t="s">
        <v>36</v>
      </c>
      <c r="D122" s="587" t="s">
        <v>36</v>
      </c>
      <c r="E122" s="587" t="s">
        <v>36</v>
      </c>
      <c r="F122" s="588" t="s">
        <v>36</v>
      </c>
      <c r="G122" s="591"/>
      <c r="H122" s="591"/>
      <c r="I122" s="591"/>
      <c r="J122" s="591"/>
      <c r="K122" s="591"/>
      <c r="L122" s="593"/>
      <c r="M122" s="427"/>
      <c r="N122" s="427"/>
    </row>
    <row r="123" spans="2:30" outlineLevel="1">
      <c r="B123" s="592" t="s">
        <v>892</v>
      </c>
      <c r="C123" s="586" t="s">
        <v>36</v>
      </c>
      <c r="D123" s="587" t="s">
        <v>36</v>
      </c>
      <c r="E123" s="587" t="s">
        <v>36</v>
      </c>
      <c r="F123" s="588" t="s">
        <v>36</v>
      </c>
      <c r="G123" s="591"/>
      <c r="H123" s="591"/>
      <c r="I123" s="591"/>
      <c r="J123" s="591"/>
      <c r="K123" s="591"/>
      <c r="L123" s="593"/>
      <c r="M123" s="423"/>
      <c r="N123" s="423"/>
    </row>
    <row r="124" spans="2:30" ht="15" outlineLevel="1" thickBot="1">
      <c r="B124" s="594" t="s">
        <v>893</v>
      </c>
      <c r="C124" s="595" t="s">
        <v>36</v>
      </c>
      <c r="D124" s="596" t="s">
        <v>36</v>
      </c>
      <c r="E124" s="596" t="s">
        <v>36</v>
      </c>
      <c r="F124" s="597" t="s">
        <v>36</v>
      </c>
      <c r="G124" s="598"/>
      <c r="H124" s="598"/>
      <c r="I124" s="598"/>
      <c r="J124" s="598"/>
      <c r="K124" s="598"/>
      <c r="L124" s="599"/>
      <c r="M124" s="423"/>
      <c r="N124" s="423"/>
    </row>
    <row r="125" spans="2:30" ht="57.6" outlineLevel="1">
      <c r="B125" s="521" t="s">
        <v>894</v>
      </c>
      <c r="C125" s="543">
        <f>C108*$F$4*1000</f>
        <v>447</v>
      </c>
      <c r="D125" s="543">
        <f t="shared" ref="D125:F125" si="7">D108*$F$4*1000</f>
        <v>372.50000000000006</v>
      </c>
      <c r="E125" s="543">
        <f t="shared" si="7"/>
        <v>372.50000000000006</v>
      </c>
      <c r="F125" s="543">
        <f t="shared" si="7"/>
        <v>372.50000000000006</v>
      </c>
      <c r="G125" s="543"/>
      <c r="H125" s="544"/>
      <c r="I125" s="480" t="s">
        <v>332</v>
      </c>
      <c r="J125" s="480"/>
      <c r="K125" s="544"/>
      <c r="L125" s="544"/>
      <c r="N125" s="480"/>
    </row>
    <row r="126" spans="2:30" outlineLevel="1">
      <c r="B126" s="545" t="s">
        <v>895</v>
      </c>
      <c r="C126" s="546">
        <f>C125*$I126</f>
        <v>223500</v>
      </c>
      <c r="D126" s="546">
        <f>D125*$I126</f>
        <v>186250.00000000003</v>
      </c>
      <c r="E126" s="546">
        <f>E125*$I126</f>
        <v>186250.00000000003</v>
      </c>
      <c r="F126" s="546">
        <f>F125*$I126</f>
        <v>186250.00000000003</v>
      </c>
      <c r="G126" s="546"/>
      <c r="H126" s="544"/>
      <c r="I126" s="71">
        <v>500</v>
      </c>
      <c r="J126" s="480" t="s">
        <v>330</v>
      </c>
      <c r="K126" s="544"/>
      <c r="L126" s="544"/>
      <c r="N126" s="480"/>
    </row>
    <row r="127" spans="2:30" ht="43.2" outlineLevel="1">
      <c r="B127" s="521" t="s">
        <v>896</v>
      </c>
      <c r="C127" s="419">
        <f>C111*$F$4</f>
        <v>14.9</v>
      </c>
      <c r="D127" s="419">
        <f t="shared" ref="D127:F128" si="8">D111*$F$4</f>
        <v>14.154999999999999</v>
      </c>
      <c r="E127" s="419">
        <f t="shared" si="8"/>
        <v>13.41</v>
      </c>
      <c r="F127" s="419">
        <f t="shared" si="8"/>
        <v>12.664999999999999</v>
      </c>
      <c r="G127" s="419"/>
      <c r="I127" s="480" t="s">
        <v>333</v>
      </c>
      <c r="J127" s="480"/>
      <c r="N127" s="480"/>
    </row>
    <row r="128" spans="2:30" ht="43.2" outlineLevel="1">
      <c r="B128" s="521" t="s">
        <v>897</v>
      </c>
      <c r="C128" s="547">
        <f>C112*$F$4</f>
        <v>2.276388888888889</v>
      </c>
      <c r="D128" s="547">
        <f t="shared" si="8"/>
        <v>2.0694444444444446</v>
      </c>
      <c r="E128" s="547">
        <f t="shared" si="8"/>
        <v>2.0694444444444446</v>
      </c>
      <c r="F128" s="547">
        <f t="shared" si="8"/>
        <v>2.0694444444444446</v>
      </c>
      <c r="G128" s="419"/>
      <c r="M128" s="480"/>
      <c r="N128" s="480"/>
    </row>
    <row r="129" spans="2:6" outlineLevel="1"/>
    <row r="130" spans="2:6" outlineLevel="1"/>
    <row r="131" spans="2:6" outlineLevel="1"/>
    <row r="132" spans="2:6" outlineLevel="1"/>
    <row r="133" spans="2:6" outlineLevel="1">
      <c r="B133" s="548" t="s">
        <v>898</v>
      </c>
      <c r="C133" s="549"/>
      <c r="D133" s="550"/>
      <c r="E133" s="550"/>
      <c r="F133" s="550"/>
    </row>
    <row r="134" spans="2:6" outlineLevel="1">
      <c r="B134" s="551">
        <v>1</v>
      </c>
      <c r="C134" s="552" t="s">
        <v>899</v>
      </c>
      <c r="E134" s="550"/>
      <c r="F134" s="550"/>
    </row>
    <row r="135" spans="2:6" outlineLevel="1">
      <c r="B135" s="551">
        <v>2</v>
      </c>
      <c r="C135" s="553" t="s">
        <v>900</v>
      </c>
      <c r="E135" s="550"/>
      <c r="F135" s="550"/>
    </row>
    <row r="136" spans="2:6" outlineLevel="1">
      <c r="B136" s="551">
        <v>3</v>
      </c>
      <c r="C136" s="553" t="s">
        <v>901</v>
      </c>
      <c r="E136" s="550"/>
      <c r="F136" s="550"/>
    </row>
    <row r="137" spans="2:6" outlineLevel="1">
      <c r="B137" s="551">
        <v>4</v>
      </c>
      <c r="C137" s="553" t="s">
        <v>902</v>
      </c>
      <c r="E137" s="550"/>
      <c r="F137" s="550"/>
    </row>
    <row r="138" spans="2:6" outlineLevel="1">
      <c r="B138" s="417">
        <v>5</v>
      </c>
      <c r="C138" s="554" t="s">
        <v>903</v>
      </c>
      <c r="D138" s="550"/>
      <c r="E138" s="550"/>
      <c r="F138" s="550"/>
    </row>
    <row r="139" spans="2:6" outlineLevel="1">
      <c r="B139" s="417">
        <v>6</v>
      </c>
      <c r="C139" s="552" t="s">
        <v>904</v>
      </c>
      <c r="D139" s="550"/>
      <c r="E139" s="550"/>
      <c r="F139" s="550"/>
    </row>
    <row r="140" spans="2:6" outlineLevel="1">
      <c r="B140" s="417">
        <v>7</v>
      </c>
      <c r="C140" s="555" t="s">
        <v>899</v>
      </c>
      <c r="D140" s="550"/>
      <c r="E140" s="550"/>
      <c r="F140" s="550"/>
    </row>
    <row r="141" spans="2:6" outlineLevel="1">
      <c r="B141" s="417">
        <v>8</v>
      </c>
      <c r="C141" s="555" t="s">
        <v>905</v>
      </c>
      <c r="D141" s="550"/>
      <c r="E141" s="550"/>
      <c r="F141" s="550"/>
    </row>
    <row r="142" spans="2:6" outlineLevel="1">
      <c r="B142" s="417">
        <v>9</v>
      </c>
      <c r="C142" s="549" t="s">
        <v>906</v>
      </c>
      <c r="D142" s="550"/>
      <c r="E142" s="550"/>
      <c r="F142" s="550"/>
    </row>
    <row r="143" spans="2:6" outlineLevel="1">
      <c r="B143" s="417">
        <v>10</v>
      </c>
      <c r="C143" s="550" t="s">
        <v>907</v>
      </c>
      <c r="D143" s="550"/>
      <c r="E143" s="550"/>
      <c r="F143" s="550"/>
    </row>
    <row r="144" spans="2:6" outlineLevel="1">
      <c r="B144" s="548" t="s">
        <v>908</v>
      </c>
      <c r="C144" s="549"/>
      <c r="D144" s="550"/>
      <c r="E144" s="550"/>
      <c r="F144" s="550"/>
    </row>
    <row r="145" spans="2:13" outlineLevel="1">
      <c r="B145" s="556" t="s">
        <v>6</v>
      </c>
      <c r="C145" s="557" t="s">
        <v>909</v>
      </c>
      <c r="E145" s="550"/>
      <c r="F145" s="550"/>
    </row>
    <row r="146" spans="2:13" outlineLevel="1">
      <c r="B146" s="556" t="s">
        <v>59</v>
      </c>
      <c r="C146" s="549" t="s">
        <v>910</v>
      </c>
      <c r="E146" s="550"/>
      <c r="F146" s="550"/>
    </row>
    <row r="147" spans="2:13" outlineLevel="1">
      <c r="B147" s="556" t="s">
        <v>16</v>
      </c>
      <c r="C147" s="549" t="s">
        <v>911</v>
      </c>
      <c r="E147" s="550"/>
      <c r="F147" s="550"/>
    </row>
    <row r="148" spans="2:13" outlineLevel="1">
      <c r="B148" s="556" t="s">
        <v>20</v>
      </c>
      <c r="C148" s="549" t="s">
        <v>912</v>
      </c>
      <c r="E148" s="550"/>
      <c r="F148" s="550"/>
    </row>
    <row r="149" spans="2:13" outlineLevel="1">
      <c r="B149" s="556" t="s">
        <v>76</v>
      </c>
      <c r="C149" s="558" t="s">
        <v>913</v>
      </c>
      <c r="E149" s="550"/>
      <c r="F149" s="550"/>
    </row>
    <row r="150" spans="2:13" outlineLevel="1">
      <c r="B150" s="556" t="s">
        <v>25</v>
      </c>
      <c r="C150" s="549" t="s">
        <v>914</v>
      </c>
      <c r="E150" s="550"/>
      <c r="F150" s="550"/>
    </row>
    <row r="151" spans="2:13" outlineLevel="1"/>
    <row r="152" spans="2:13" outlineLevel="1">
      <c r="M152" s="226"/>
    </row>
    <row r="153" spans="2:13" outlineLevel="1"/>
    <row r="154" spans="2:13" outlineLevel="1"/>
    <row r="155" spans="2:13" outlineLevel="1"/>
    <row r="156" spans="2:13" outlineLevel="1"/>
    <row r="157" spans="2:13" outlineLevel="1"/>
    <row r="158" spans="2:13" outlineLevel="1"/>
    <row r="159" spans="2:13" outlineLevel="1"/>
    <row r="160" spans="2:13" outlineLevel="1"/>
    <row r="161" spans="1:44" outlineLevel="1"/>
    <row r="162" spans="1:44" outlineLevel="1"/>
    <row r="163" spans="1:44" outlineLevel="1"/>
    <row r="166" spans="1:44">
      <c r="A166" s="420" t="s">
        <v>927</v>
      </c>
      <c r="B166" s="976"/>
      <c r="C166" s="977"/>
      <c r="D166" s="977"/>
      <c r="E166" s="977"/>
      <c r="F166" s="977"/>
      <c r="G166" s="977"/>
      <c r="H166" s="977"/>
      <c r="I166" s="977"/>
      <c r="J166" s="977"/>
      <c r="K166" s="977"/>
      <c r="L166" s="977"/>
      <c r="M166" s="977"/>
      <c r="N166" s="421"/>
      <c r="P166" s="977"/>
      <c r="Q166" s="977"/>
      <c r="R166" s="977"/>
      <c r="S166" s="977"/>
      <c r="T166" s="977"/>
      <c r="U166" s="977"/>
    </row>
    <row r="167" spans="1:44" ht="15" outlineLevel="1" thickBot="1">
      <c r="B167" s="976"/>
      <c r="C167" s="977"/>
      <c r="D167" s="977"/>
      <c r="E167" s="977"/>
      <c r="F167" s="977"/>
      <c r="G167" s="977"/>
      <c r="H167" s="977"/>
      <c r="I167" s="977"/>
      <c r="J167" s="977"/>
      <c r="K167" s="977"/>
      <c r="L167" s="977"/>
      <c r="M167" s="977"/>
      <c r="N167" s="421"/>
      <c r="P167" s="752">
        <v>1</v>
      </c>
      <c r="Q167" s="752">
        <v>2</v>
      </c>
      <c r="R167" s="752">
        <v>3</v>
      </c>
      <c r="S167" s="752">
        <v>4</v>
      </c>
      <c r="T167" s="752">
        <v>5</v>
      </c>
      <c r="U167" s="752">
        <v>6</v>
      </c>
      <c r="V167" s="752">
        <v>7</v>
      </c>
      <c r="W167" s="752">
        <v>8</v>
      </c>
      <c r="X167" s="752">
        <v>9</v>
      </c>
      <c r="Y167" s="752">
        <v>10</v>
      </c>
      <c r="Z167" s="752">
        <v>11</v>
      </c>
      <c r="AA167" s="752">
        <v>12</v>
      </c>
      <c r="AB167" s="752">
        <v>13</v>
      </c>
      <c r="AC167" s="752">
        <v>14</v>
      </c>
    </row>
    <row r="168" spans="1:44" ht="20.7" customHeight="1" outlineLevel="1" thickBot="1">
      <c r="B168" s="422" t="s">
        <v>0</v>
      </c>
      <c r="C168" s="1043" t="s">
        <v>928</v>
      </c>
      <c r="D168" s="1019"/>
      <c r="E168" s="1019"/>
      <c r="F168" s="1019"/>
      <c r="G168" s="1019"/>
      <c r="H168" s="1019"/>
      <c r="I168" s="1019"/>
      <c r="J168" s="1019"/>
      <c r="K168" s="1019"/>
      <c r="L168" s="1020"/>
      <c r="M168" s="423"/>
      <c r="N168" s="423"/>
      <c r="P168" s="424" t="s">
        <v>838</v>
      </c>
      <c r="Q168" s="425"/>
      <c r="R168" s="426"/>
      <c r="S168" s="985" t="s">
        <v>839</v>
      </c>
      <c r="T168" s="989" t="s">
        <v>840</v>
      </c>
      <c r="U168" s="990"/>
      <c r="V168" s="989" t="s">
        <v>841</v>
      </c>
      <c r="W168" s="990"/>
      <c r="X168" s="989" t="s">
        <v>842</v>
      </c>
      <c r="Y168" s="990"/>
      <c r="Z168" s="989" t="s">
        <v>843</v>
      </c>
      <c r="AA168" s="990"/>
      <c r="AB168" s="989" t="s">
        <v>844</v>
      </c>
      <c r="AC168" s="990"/>
      <c r="AE168" s="424" t="s">
        <v>845</v>
      </c>
      <c r="AF168" s="425"/>
      <c r="AG168" s="426"/>
      <c r="AH168" s="985" t="s">
        <v>839</v>
      </c>
      <c r="AI168" s="989" t="s">
        <v>840</v>
      </c>
      <c r="AJ168" s="990"/>
      <c r="AK168" s="989" t="s">
        <v>841</v>
      </c>
      <c r="AL168" s="990"/>
      <c r="AM168" s="989" t="s">
        <v>842</v>
      </c>
      <c r="AN168" s="990"/>
      <c r="AO168" s="989" t="s">
        <v>843</v>
      </c>
      <c r="AP168" s="990"/>
      <c r="AQ168" s="989" t="s">
        <v>844</v>
      </c>
      <c r="AR168" s="990"/>
    </row>
    <row r="169" spans="1:44" ht="15" customHeight="1" outlineLevel="1" thickBot="1">
      <c r="B169" s="1010" t="s">
        <v>4</v>
      </c>
      <c r="C169" s="1012">
        <v>2020</v>
      </c>
      <c r="D169" s="1012">
        <v>2030</v>
      </c>
      <c r="E169" s="1012">
        <v>2040</v>
      </c>
      <c r="F169" s="1012">
        <v>2050</v>
      </c>
      <c r="G169" s="1057" t="s">
        <v>846</v>
      </c>
      <c r="H169" s="1058"/>
      <c r="I169" s="1057" t="s">
        <v>693</v>
      </c>
      <c r="J169" s="1058"/>
      <c r="K169" s="1046" t="s">
        <v>2</v>
      </c>
      <c r="L169" s="1046" t="s">
        <v>3</v>
      </c>
      <c r="M169" s="427"/>
      <c r="N169" s="427"/>
      <c r="P169" s="993" t="s">
        <v>0</v>
      </c>
      <c r="Q169" s="428"/>
      <c r="R169" s="428"/>
      <c r="S169" s="986"/>
      <c r="T169" s="991"/>
      <c r="U169" s="992"/>
      <c r="V169" s="991"/>
      <c r="W169" s="992"/>
      <c r="X169" s="991"/>
      <c r="Y169" s="992"/>
      <c r="Z169" s="991"/>
      <c r="AA169" s="992"/>
      <c r="AB169" s="991"/>
      <c r="AC169" s="992"/>
      <c r="AE169" s="993" t="s">
        <v>0</v>
      </c>
      <c r="AF169" s="428"/>
      <c r="AG169" s="428"/>
      <c r="AH169" s="986"/>
      <c r="AI169" s="991"/>
      <c r="AJ169" s="992"/>
      <c r="AK169" s="991"/>
      <c r="AL169" s="992"/>
      <c r="AM169" s="991"/>
      <c r="AN169" s="992"/>
      <c r="AO169" s="991"/>
      <c r="AP169" s="992"/>
      <c r="AQ169" s="991"/>
      <c r="AR169" s="992"/>
    </row>
    <row r="170" spans="1:44" ht="15" customHeight="1" outlineLevel="1" thickBot="1">
      <c r="B170" s="1011"/>
      <c r="C170" s="1013"/>
      <c r="D170" s="1013"/>
      <c r="E170" s="1013"/>
      <c r="F170" s="1013"/>
      <c r="G170" s="600" t="s">
        <v>694</v>
      </c>
      <c r="H170" s="600" t="s">
        <v>695</v>
      </c>
      <c r="I170" s="600" t="s">
        <v>694</v>
      </c>
      <c r="J170" s="600" t="s">
        <v>695</v>
      </c>
      <c r="K170" s="1047"/>
      <c r="L170" s="1047"/>
      <c r="M170" s="430"/>
      <c r="N170" s="430"/>
      <c r="P170" s="994"/>
      <c r="Q170" s="996" t="s">
        <v>847</v>
      </c>
      <c r="R170" s="997" t="s">
        <v>848</v>
      </c>
      <c r="S170" s="987"/>
      <c r="T170" s="991"/>
      <c r="U170" s="992"/>
      <c r="V170" s="991"/>
      <c r="W170" s="992"/>
      <c r="X170" s="991"/>
      <c r="Y170" s="992"/>
      <c r="Z170" s="991"/>
      <c r="AA170" s="992"/>
      <c r="AB170" s="991"/>
      <c r="AC170" s="992"/>
      <c r="AE170" s="994"/>
      <c r="AF170" s="1040" t="s">
        <v>847</v>
      </c>
      <c r="AG170" s="997" t="s">
        <v>848</v>
      </c>
      <c r="AH170" s="987"/>
      <c r="AI170" s="991"/>
      <c r="AJ170" s="992"/>
      <c r="AK170" s="991"/>
      <c r="AL170" s="992"/>
      <c r="AM170" s="991"/>
      <c r="AN170" s="992"/>
      <c r="AO170" s="991"/>
      <c r="AP170" s="992"/>
      <c r="AQ170" s="991"/>
      <c r="AR170" s="992"/>
    </row>
    <row r="171" spans="1:44" ht="29.4" outlineLevel="1" thickBot="1">
      <c r="B171" s="431" t="s">
        <v>696</v>
      </c>
      <c r="C171" s="432">
        <v>20</v>
      </c>
      <c r="D171" s="432">
        <v>20</v>
      </c>
      <c r="E171" s="432">
        <v>20</v>
      </c>
      <c r="F171" s="432">
        <v>20</v>
      </c>
      <c r="G171" s="432">
        <v>1</v>
      </c>
      <c r="H171" s="432">
        <v>50</v>
      </c>
      <c r="I171" s="432">
        <v>1</v>
      </c>
      <c r="J171" s="432">
        <v>50</v>
      </c>
      <c r="K171" s="432" t="s">
        <v>6</v>
      </c>
      <c r="L171" s="433" t="s">
        <v>850</v>
      </c>
      <c r="M171" s="430"/>
      <c r="N171" s="430"/>
      <c r="O171" s="74"/>
      <c r="P171" s="995"/>
      <c r="Q171" s="988"/>
      <c r="R171" s="998"/>
      <c r="S171" s="988"/>
      <c r="T171" s="434" t="s">
        <v>851</v>
      </c>
      <c r="U171" s="435" t="s">
        <v>852</v>
      </c>
      <c r="V171" s="434" t="s">
        <v>851</v>
      </c>
      <c r="W171" s="435" t="s">
        <v>852</v>
      </c>
      <c r="X171" s="434" t="s">
        <v>851</v>
      </c>
      <c r="Y171" s="435" t="s">
        <v>852</v>
      </c>
      <c r="Z171" s="434" t="s">
        <v>851</v>
      </c>
      <c r="AA171" s="435" t="s">
        <v>852</v>
      </c>
      <c r="AB171" s="434" t="s">
        <v>851</v>
      </c>
      <c r="AC171" s="435" t="s">
        <v>852</v>
      </c>
      <c r="AE171" s="995"/>
      <c r="AF171" s="1041"/>
      <c r="AG171" s="998"/>
      <c r="AH171" s="988"/>
      <c r="AI171" s="434" t="s">
        <v>851</v>
      </c>
      <c r="AJ171" s="435" t="s">
        <v>852</v>
      </c>
      <c r="AK171" s="434" t="s">
        <v>851</v>
      </c>
      <c r="AL171" s="435" t="s">
        <v>852</v>
      </c>
      <c r="AM171" s="434" t="s">
        <v>851</v>
      </c>
      <c r="AN171" s="435" t="s">
        <v>852</v>
      </c>
      <c r="AO171" s="434" t="s">
        <v>851</v>
      </c>
      <c r="AP171" s="435" t="s">
        <v>852</v>
      </c>
      <c r="AQ171" s="434" t="s">
        <v>851</v>
      </c>
      <c r="AR171" s="435" t="s">
        <v>852</v>
      </c>
    </row>
    <row r="172" spans="1:44" ht="14.7" customHeight="1" outlineLevel="1">
      <c r="B172" s="601" t="s">
        <v>853</v>
      </c>
      <c r="C172" s="602">
        <v>94</v>
      </c>
      <c r="D172" s="602">
        <f>C172+1</f>
        <v>95</v>
      </c>
      <c r="E172" s="603">
        <f>D172</f>
        <v>95</v>
      </c>
      <c r="F172" s="602">
        <f>D172+1</f>
        <v>96</v>
      </c>
      <c r="G172" s="602">
        <v>90</v>
      </c>
      <c r="H172" s="602">
        <v>96</v>
      </c>
      <c r="I172" s="602">
        <v>90</v>
      </c>
      <c r="J172" s="602">
        <v>98</v>
      </c>
      <c r="K172" s="432" t="s">
        <v>59</v>
      </c>
      <c r="L172" s="433" t="s">
        <v>854</v>
      </c>
      <c r="M172" s="430"/>
      <c r="N172" s="430"/>
      <c r="P172" s="1042" t="str">
        <f>C168</f>
        <v>Hot water boiler, Natural gas or biogas</v>
      </c>
      <c r="Q172" s="1030" t="s">
        <v>855</v>
      </c>
      <c r="R172" s="441" t="s">
        <v>856</v>
      </c>
      <c r="S172" s="442"/>
      <c r="T172" s="1033">
        <v>0</v>
      </c>
      <c r="U172" s="1021">
        <v>0</v>
      </c>
      <c r="V172" s="1033">
        <v>0</v>
      </c>
      <c r="W172" s="1021">
        <v>0</v>
      </c>
      <c r="X172" s="1033">
        <v>0</v>
      </c>
      <c r="Y172" s="1021">
        <v>0</v>
      </c>
      <c r="Z172" s="1033">
        <v>0</v>
      </c>
      <c r="AA172" s="1021">
        <v>0</v>
      </c>
      <c r="AB172" s="1033">
        <v>0</v>
      </c>
      <c r="AC172" s="1021">
        <v>0</v>
      </c>
      <c r="AE172" s="1027" t="str">
        <f>P172</f>
        <v>Hot water boiler, Natural gas or biogas</v>
      </c>
      <c r="AF172" s="1030" t="s">
        <v>855</v>
      </c>
      <c r="AG172" s="441" t="s">
        <v>856</v>
      </c>
      <c r="AH172" s="442"/>
      <c r="AI172" s="1033">
        <v>0</v>
      </c>
      <c r="AJ172" s="1021">
        <v>0</v>
      </c>
      <c r="AK172" s="1033">
        <v>0</v>
      </c>
      <c r="AL172" s="1021">
        <v>0</v>
      </c>
      <c r="AM172" s="1033">
        <v>0</v>
      </c>
      <c r="AN172" s="1021">
        <v>0</v>
      </c>
      <c r="AO172" s="1033">
        <v>0</v>
      </c>
      <c r="AP172" s="1021">
        <v>0</v>
      </c>
      <c r="AQ172" s="1033">
        <v>0</v>
      </c>
      <c r="AR172" s="1021">
        <v>0</v>
      </c>
    </row>
    <row r="173" spans="1:44" outlineLevel="1">
      <c r="B173" s="443" t="s">
        <v>857</v>
      </c>
      <c r="C173" s="444">
        <f t="shared" ref="C173:J173" si="9">C172-1</f>
        <v>93</v>
      </c>
      <c r="D173" s="444">
        <f t="shared" si="9"/>
        <v>94</v>
      </c>
      <c r="E173" s="444">
        <f t="shared" si="9"/>
        <v>94</v>
      </c>
      <c r="F173" s="444">
        <f t="shared" si="9"/>
        <v>95</v>
      </c>
      <c r="G173" s="565">
        <f t="shared" si="9"/>
        <v>89</v>
      </c>
      <c r="H173" s="565">
        <f t="shared" si="9"/>
        <v>95</v>
      </c>
      <c r="I173" s="565">
        <f t="shared" si="9"/>
        <v>89</v>
      </c>
      <c r="J173" s="565">
        <f t="shared" si="9"/>
        <v>97</v>
      </c>
      <c r="K173" s="432"/>
      <c r="L173" s="433" t="s">
        <v>854</v>
      </c>
      <c r="M173" s="430"/>
      <c r="N173" s="430"/>
      <c r="O173" s="71"/>
      <c r="P173" s="1028"/>
      <c r="Q173" s="1031"/>
      <c r="R173" s="448" t="s">
        <v>858</v>
      </c>
      <c r="S173" s="449"/>
      <c r="T173" s="1034"/>
      <c r="U173" s="1022"/>
      <c r="V173" s="1034"/>
      <c r="W173" s="1022"/>
      <c r="X173" s="1034"/>
      <c r="Y173" s="1022"/>
      <c r="Z173" s="1034"/>
      <c r="AA173" s="1022"/>
      <c r="AB173" s="1034"/>
      <c r="AC173" s="1022"/>
      <c r="AE173" s="1028"/>
      <c r="AF173" s="1031"/>
      <c r="AG173" s="448" t="s">
        <v>858</v>
      </c>
      <c r="AH173" s="449"/>
      <c r="AI173" s="1034"/>
      <c r="AJ173" s="1022"/>
      <c r="AK173" s="1034"/>
      <c r="AL173" s="1022"/>
      <c r="AM173" s="1034"/>
      <c r="AN173" s="1022"/>
      <c r="AO173" s="1034"/>
      <c r="AP173" s="1022"/>
      <c r="AQ173" s="1034"/>
      <c r="AR173" s="1022"/>
    </row>
    <row r="174" spans="1:44" ht="15" outlineLevel="1" thickBot="1">
      <c r="B174" s="601" t="s">
        <v>859</v>
      </c>
      <c r="C174" s="604">
        <v>0.14000000000000001</v>
      </c>
      <c r="D174" s="605">
        <v>0.12</v>
      </c>
      <c r="E174" s="605">
        <v>0.11</v>
      </c>
      <c r="F174" s="606">
        <v>0.1</v>
      </c>
      <c r="G174" s="605">
        <v>0.1</v>
      </c>
      <c r="H174" s="605">
        <v>0.14000000000000001</v>
      </c>
      <c r="I174" s="605">
        <v>0.08</v>
      </c>
      <c r="J174" s="605">
        <v>0.12</v>
      </c>
      <c r="K174" s="607"/>
      <c r="L174" s="608">
        <v>3</v>
      </c>
      <c r="M174" s="430"/>
      <c r="N174" s="430"/>
      <c r="O174" s="71"/>
      <c r="P174" s="1028"/>
      <c r="Q174" s="1032"/>
      <c r="R174" s="453" t="s">
        <v>860</v>
      </c>
      <c r="S174" s="454"/>
      <c r="T174" s="1035"/>
      <c r="U174" s="1023"/>
      <c r="V174" s="1035"/>
      <c r="W174" s="1023"/>
      <c r="X174" s="1035"/>
      <c r="Y174" s="1023"/>
      <c r="Z174" s="1035"/>
      <c r="AA174" s="1023"/>
      <c r="AB174" s="1035"/>
      <c r="AC174" s="1023"/>
      <c r="AE174" s="1028"/>
      <c r="AF174" s="1032"/>
      <c r="AG174" s="453" t="s">
        <v>860</v>
      </c>
      <c r="AH174" s="454"/>
      <c r="AI174" s="1035"/>
      <c r="AJ174" s="1023"/>
      <c r="AK174" s="1035"/>
      <c r="AL174" s="1023"/>
      <c r="AM174" s="1035"/>
      <c r="AN174" s="1023"/>
      <c r="AO174" s="1035"/>
      <c r="AP174" s="1023"/>
      <c r="AQ174" s="1035"/>
      <c r="AR174" s="1023"/>
    </row>
    <row r="175" spans="1:44" ht="14.7" customHeight="1" outlineLevel="1">
      <c r="B175" s="601" t="s">
        <v>702</v>
      </c>
      <c r="C175" s="604">
        <v>1</v>
      </c>
      <c r="D175" s="604">
        <v>1</v>
      </c>
      <c r="E175" s="604">
        <v>1</v>
      </c>
      <c r="F175" s="604">
        <v>1</v>
      </c>
      <c r="G175" s="604">
        <v>0.08</v>
      </c>
      <c r="H175" s="604">
        <v>2</v>
      </c>
      <c r="I175" s="604">
        <v>0.08</v>
      </c>
      <c r="J175" s="604">
        <v>2</v>
      </c>
      <c r="K175" s="607"/>
      <c r="L175" s="608">
        <v>3</v>
      </c>
      <c r="M175" s="430"/>
      <c r="N175" s="430"/>
      <c r="O175" s="71"/>
      <c r="P175" s="1028"/>
      <c r="Q175" s="1030" t="s">
        <v>861</v>
      </c>
      <c r="R175" s="455" t="s">
        <v>862</v>
      </c>
      <c r="S175" s="456" t="s">
        <v>863</v>
      </c>
      <c r="T175" s="1033">
        <v>0</v>
      </c>
      <c r="U175" s="1033">
        <v>0.67</v>
      </c>
      <c r="V175" s="1033">
        <v>0</v>
      </c>
      <c r="W175" s="1033">
        <v>0.56999999999999995</v>
      </c>
      <c r="X175" s="1033">
        <v>0</v>
      </c>
      <c r="Y175" s="1033">
        <v>0.5</v>
      </c>
      <c r="Z175" s="1033">
        <v>0</v>
      </c>
      <c r="AA175" s="1033">
        <v>0.51</v>
      </c>
      <c r="AB175" s="1033">
        <v>0</v>
      </c>
      <c r="AC175" s="1033">
        <v>0.41</v>
      </c>
      <c r="AE175" s="1028"/>
      <c r="AF175" s="1030" t="s">
        <v>861</v>
      </c>
      <c r="AG175" s="455" t="s">
        <v>862</v>
      </c>
      <c r="AH175" s="456" t="s">
        <v>863</v>
      </c>
      <c r="AI175" s="1033">
        <v>0</v>
      </c>
      <c r="AJ175" s="1033">
        <f>U175/4</f>
        <v>0.16750000000000001</v>
      </c>
      <c r="AK175" s="1033">
        <v>0</v>
      </c>
      <c r="AL175" s="1033">
        <f>W175/4</f>
        <v>0.14249999999999999</v>
      </c>
      <c r="AM175" s="1033">
        <v>0</v>
      </c>
      <c r="AN175" s="1033">
        <f>Y175/4</f>
        <v>0.125</v>
      </c>
      <c r="AO175" s="1033">
        <v>0</v>
      </c>
      <c r="AP175" s="1033">
        <f>AA175/4</f>
        <v>0.1275</v>
      </c>
      <c r="AQ175" s="1033">
        <v>0</v>
      </c>
      <c r="AR175" s="1033">
        <f>AC175/4</f>
        <v>0.10249999999999999</v>
      </c>
    </row>
    <row r="176" spans="1:44" outlineLevel="1">
      <c r="B176" s="601" t="s">
        <v>703</v>
      </c>
      <c r="C176" s="604">
        <v>0.4</v>
      </c>
      <c r="D176" s="604">
        <v>0.4</v>
      </c>
      <c r="E176" s="604">
        <v>0.4</v>
      </c>
      <c r="F176" s="604">
        <v>0.4</v>
      </c>
      <c r="G176" s="604">
        <v>0.3</v>
      </c>
      <c r="H176" s="604">
        <v>0.6</v>
      </c>
      <c r="I176" s="604">
        <v>0.3</v>
      </c>
      <c r="J176" s="604">
        <v>0.6</v>
      </c>
      <c r="K176" s="607"/>
      <c r="L176" s="608">
        <v>3</v>
      </c>
      <c r="M176" s="427"/>
      <c r="N176" s="427"/>
      <c r="O176" s="71"/>
      <c r="P176" s="1028"/>
      <c r="Q176" s="1031"/>
      <c r="R176" s="455" t="s">
        <v>864</v>
      </c>
      <c r="S176" s="456" t="s">
        <v>863</v>
      </c>
      <c r="T176" s="1050"/>
      <c r="U176" s="1050"/>
      <c r="V176" s="1050"/>
      <c r="W176" s="1050"/>
      <c r="X176" s="1050"/>
      <c r="Y176" s="1050"/>
      <c r="Z176" s="1050"/>
      <c r="AA176" s="1050"/>
      <c r="AB176" s="1050"/>
      <c r="AC176" s="1050"/>
      <c r="AE176" s="1028"/>
      <c r="AF176" s="1031"/>
      <c r="AG176" s="455" t="s">
        <v>864</v>
      </c>
      <c r="AH176" s="456" t="s">
        <v>863</v>
      </c>
      <c r="AI176" s="1050"/>
      <c r="AJ176" s="1050"/>
      <c r="AK176" s="1050"/>
      <c r="AL176" s="1050"/>
      <c r="AM176" s="1050"/>
      <c r="AN176" s="1050"/>
      <c r="AO176" s="1050"/>
      <c r="AP176" s="1050"/>
      <c r="AQ176" s="1050"/>
      <c r="AR176" s="1050"/>
    </row>
    <row r="177" spans="1:44" outlineLevel="1">
      <c r="B177" s="443" t="s">
        <v>11</v>
      </c>
      <c r="C177" s="457">
        <v>25</v>
      </c>
      <c r="D177" s="457">
        <v>25</v>
      </c>
      <c r="E177" s="457">
        <v>25</v>
      </c>
      <c r="F177" s="459">
        <v>25</v>
      </c>
      <c r="G177" s="459">
        <v>25</v>
      </c>
      <c r="H177" s="459">
        <v>30</v>
      </c>
      <c r="I177" s="459">
        <v>25</v>
      </c>
      <c r="J177" s="459">
        <v>30</v>
      </c>
      <c r="K177" s="432"/>
      <c r="L177" s="433" t="s">
        <v>865</v>
      </c>
      <c r="M177" s="423"/>
      <c r="N177" s="423"/>
      <c r="P177" s="1028"/>
      <c r="Q177" s="1031"/>
      <c r="R177" s="455" t="s">
        <v>866</v>
      </c>
      <c r="S177" s="456"/>
      <c r="T177" s="1050"/>
      <c r="U177" s="1050"/>
      <c r="V177" s="1050"/>
      <c r="W177" s="1050"/>
      <c r="X177" s="1050"/>
      <c r="Y177" s="1050"/>
      <c r="Z177" s="1050"/>
      <c r="AA177" s="1050"/>
      <c r="AB177" s="1050"/>
      <c r="AC177" s="1050"/>
      <c r="AE177" s="1028"/>
      <c r="AF177" s="1031"/>
      <c r="AG177" s="455" t="s">
        <v>866</v>
      </c>
      <c r="AH177" s="456" t="s">
        <v>863</v>
      </c>
      <c r="AI177" s="1050"/>
      <c r="AJ177" s="1050"/>
      <c r="AK177" s="1050"/>
      <c r="AL177" s="1050"/>
      <c r="AM177" s="1050"/>
      <c r="AN177" s="1050"/>
      <c r="AO177" s="1050"/>
      <c r="AP177" s="1050"/>
      <c r="AQ177" s="1050"/>
      <c r="AR177" s="1050"/>
    </row>
    <row r="178" spans="1:44" ht="15" outlineLevel="1" thickBot="1">
      <c r="B178" s="601" t="s">
        <v>273</v>
      </c>
      <c r="C178" s="604">
        <v>0.5</v>
      </c>
      <c r="D178" s="604">
        <v>0.5</v>
      </c>
      <c r="E178" s="604">
        <v>0.5</v>
      </c>
      <c r="F178" s="604">
        <v>0.5</v>
      </c>
      <c r="G178" s="604">
        <v>0.2</v>
      </c>
      <c r="H178" s="604">
        <v>0.7</v>
      </c>
      <c r="I178" s="604">
        <v>0.2</v>
      </c>
      <c r="J178" s="604">
        <v>0.7</v>
      </c>
      <c r="K178" s="432"/>
      <c r="L178" s="460"/>
      <c r="M178" s="423"/>
      <c r="N178" s="423"/>
      <c r="P178" s="1028"/>
      <c r="Q178" s="1031"/>
      <c r="R178" s="455" t="s">
        <v>867</v>
      </c>
      <c r="S178" s="456" t="s">
        <v>863</v>
      </c>
      <c r="T178" s="1050"/>
      <c r="U178" s="1050"/>
      <c r="V178" s="1050"/>
      <c r="W178" s="1050"/>
      <c r="X178" s="1050"/>
      <c r="Y178" s="1050"/>
      <c r="Z178" s="1050"/>
      <c r="AA178" s="1050"/>
      <c r="AB178" s="1050"/>
      <c r="AC178" s="1050"/>
      <c r="AE178" s="1028"/>
      <c r="AF178" s="1031"/>
      <c r="AG178" s="455" t="s">
        <v>867</v>
      </c>
      <c r="AH178" s="456"/>
      <c r="AI178" s="1050"/>
      <c r="AJ178" s="1050"/>
      <c r="AK178" s="1050"/>
      <c r="AL178" s="1050"/>
      <c r="AM178" s="1050"/>
      <c r="AN178" s="1050"/>
      <c r="AO178" s="1050"/>
      <c r="AP178" s="1050"/>
      <c r="AQ178" s="1050"/>
      <c r="AR178" s="1050"/>
    </row>
    <row r="179" spans="1:44" ht="15" outlineLevel="1" thickBot="1">
      <c r="B179" s="461" t="s">
        <v>868</v>
      </c>
      <c r="C179" s="462"/>
      <c r="D179" s="463"/>
      <c r="E179" s="464"/>
      <c r="F179" s="465"/>
      <c r="G179" s="466"/>
      <c r="H179" s="466"/>
      <c r="I179" s="466"/>
      <c r="J179" s="466"/>
      <c r="K179" s="467"/>
      <c r="L179" s="468"/>
      <c r="M179" s="423"/>
      <c r="N179" s="423"/>
      <c r="P179" s="1028"/>
      <c r="Q179" s="1031"/>
      <c r="R179" s="469" t="s">
        <v>869</v>
      </c>
      <c r="S179" s="470" t="s">
        <v>863</v>
      </c>
      <c r="T179" s="1051"/>
      <c r="U179" s="1051"/>
      <c r="V179" s="1051"/>
      <c r="W179" s="1051"/>
      <c r="X179" s="1051"/>
      <c r="Y179" s="1051"/>
      <c r="Z179" s="1051"/>
      <c r="AA179" s="1051"/>
      <c r="AB179" s="1051"/>
      <c r="AC179" s="1051"/>
      <c r="AE179" s="1028"/>
      <c r="AF179" s="1031"/>
      <c r="AG179" s="469" t="s">
        <v>869</v>
      </c>
      <c r="AH179" s="470" t="s">
        <v>863</v>
      </c>
      <c r="AI179" s="1051"/>
      <c r="AJ179" s="1051"/>
      <c r="AK179" s="1051"/>
      <c r="AL179" s="1051"/>
      <c r="AM179" s="1051"/>
      <c r="AN179" s="1051"/>
      <c r="AO179" s="1051"/>
      <c r="AP179" s="1051"/>
      <c r="AQ179" s="1051"/>
      <c r="AR179" s="1051"/>
    </row>
    <row r="180" spans="1:44" ht="29.4" outlineLevel="1" thickBot="1">
      <c r="B180" s="601" t="s">
        <v>708</v>
      </c>
      <c r="C180" s="604">
        <v>15</v>
      </c>
      <c r="D180" s="604">
        <v>15</v>
      </c>
      <c r="E180" s="604">
        <v>15</v>
      </c>
      <c r="F180" s="604">
        <v>15</v>
      </c>
      <c r="G180" s="605"/>
      <c r="H180" s="605"/>
      <c r="I180" s="605"/>
      <c r="J180" s="605"/>
      <c r="K180" s="607"/>
      <c r="L180" s="608">
        <v>3</v>
      </c>
      <c r="M180" s="423"/>
      <c r="N180" s="423"/>
      <c r="P180" s="1029"/>
      <c r="Q180" s="471" t="s">
        <v>870</v>
      </c>
      <c r="R180" s="472" t="s">
        <v>871</v>
      </c>
      <c r="S180" s="473" t="s">
        <v>863</v>
      </c>
      <c r="T180" s="474">
        <v>1</v>
      </c>
      <c r="U180" s="475">
        <v>1</v>
      </c>
      <c r="V180" s="476">
        <v>1</v>
      </c>
      <c r="W180" s="475">
        <v>1</v>
      </c>
      <c r="X180" s="476">
        <v>1</v>
      </c>
      <c r="Y180" s="475">
        <v>1</v>
      </c>
      <c r="Z180" s="476">
        <v>1</v>
      </c>
      <c r="AA180" s="475">
        <v>1</v>
      </c>
      <c r="AB180" s="476">
        <v>1</v>
      </c>
      <c r="AC180" s="477">
        <v>1</v>
      </c>
      <c r="AE180" s="1029"/>
      <c r="AF180" s="471" t="s">
        <v>870</v>
      </c>
      <c r="AG180" s="472" t="s">
        <v>871</v>
      </c>
      <c r="AH180" s="473" t="s">
        <v>863</v>
      </c>
      <c r="AI180" s="474">
        <v>1</v>
      </c>
      <c r="AJ180" s="475">
        <v>1</v>
      </c>
      <c r="AK180" s="476">
        <v>1</v>
      </c>
      <c r="AL180" s="475">
        <v>1</v>
      </c>
      <c r="AM180" s="476">
        <v>1</v>
      </c>
      <c r="AN180" s="475">
        <v>1</v>
      </c>
      <c r="AO180" s="476">
        <v>1</v>
      </c>
      <c r="AP180" s="475">
        <v>1</v>
      </c>
      <c r="AQ180" s="476">
        <v>1</v>
      </c>
      <c r="AR180" s="477">
        <v>1</v>
      </c>
    </row>
    <row r="181" spans="1:44" outlineLevel="1">
      <c r="B181" s="601" t="s">
        <v>709</v>
      </c>
      <c r="C181" s="604">
        <v>0.1</v>
      </c>
      <c r="D181" s="604">
        <v>0.1</v>
      </c>
      <c r="E181" s="604">
        <v>0.1</v>
      </c>
      <c r="F181" s="604">
        <v>0.1</v>
      </c>
      <c r="G181" s="609"/>
      <c r="H181" s="609"/>
      <c r="I181" s="609"/>
      <c r="J181" s="609"/>
      <c r="K181" s="610"/>
      <c r="L181" s="608">
        <v>3</v>
      </c>
      <c r="M181" s="423"/>
      <c r="N181" s="423"/>
    </row>
    <row r="182" spans="1:44" outlineLevel="1">
      <c r="B182" s="601" t="s">
        <v>711</v>
      </c>
      <c r="C182" s="604">
        <v>0.4</v>
      </c>
      <c r="D182" s="604">
        <v>0.4</v>
      </c>
      <c r="E182" s="604">
        <v>0.4</v>
      </c>
      <c r="F182" s="604">
        <v>0.4</v>
      </c>
      <c r="G182" s="609"/>
      <c r="H182" s="609"/>
      <c r="I182" s="609"/>
      <c r="J182" s="609"/>
      <c r="K182" s="610"/>
      <c r="L182" s="608">
        <v>3</v>
      </c>
      <c r="M182" s="480"/>
      <c r="N182" s="423"/>
    </row>
    <row r="183" spans="1:44" outlineLevel="1">
      <c r="B183" s="481" t="s">
        <v>12</v>
      </c>
      <c r="C183" s="459"/>
      <c r="D183" s="459"/>
      <c r="E183" s="459"/>
      <c r="F183" s="459"/>
      <c r="G183" s="482"/>
      <c r="H183" s="482"/>
      <c r="I183" s="482"/>
      <c r="J183" s="482"/>
      <c r="K183" s="483"/>
      <c r="L183" s="484"/>
      <c r="M183" s="480"/>
      <c r="N183" s="480"/>
    </row>
    <row r="184" spans="1:44" ht="15.6" outlineLevel="1">
      <c r="B184" s="443" t="s">
        <v>872</v>
      </c>
      <c r="C184" s="457">
        <v>0.3</v>
      </c>
      <c r="D184" s="457">
        <v>0.3</v>
      </c>
      <c r="E184" s="457">
        <v>0.3</v>
      </c>
      <c r="F184" s="457">
        <v>0.3</v>
      </c>
      <c r="G184" s="482"/>
      <c r="H184" s="485"/>
      <c r="I184" s="485"/>
      <c r="J184" s="485"/>
      <c r="K184" s="486" t="s">
        <v>16</v>
      </c>
      <c r="L184" s="487" t="s">
        <v>873</v>
      </c>
      <c r="M184" s="488"/>
      <c r="N184" s="488"/>
    </row>
    <row r="185" spans="1:44" outlineLevel="1">
      <c r="B185" s="443" t="s">
        <v>874</v>
      </c>
      <c r="C185" s="457">
        <v>0.1</v>
      </c>
      <c r="D185" s="457">
        <v>0.1</v>
      </c>
      <c r="E185" s="457">
        <v>0.1</v>
      </c>
      <c r="F185" s="457">
        <v>0.1</v>
      </c>
      <c r="G185" s="485"/>
      <c r="H185" s="485"/>
      <c r="I185" s="485"/>
      <c r="J185" s="485"/>
      <c r="K185" s="483"/>
      <c r="L185" s="487">
        <v>9</v>
      </c>
      <c r="M185" s="488"/>
      <c r="N185" s="488"/>
    </row>
    <row r="186" spans="1:44" ht="15.6" outlineLevel="1">
      <c r="B186" s="443" t="s">
        <v>875</v>
      </c>
      <c r="C186" s="457">
        <v>9</v>
      </c>
      <c r="D186" s="457">
        <v>7</v>
      </c>
      <c r="E186" s="457">
        <v>6</v>
      </c>
      <c r="F186" s="457">
        <v>6</v>
      </c>
      <c r="G186" s="485"/>
      <c r="H186" s="485"/>
      <c r="I186" s="485"/>
      <c r="J186" s="485"/>
      <c r="K186" s="483"/>
      <c r="L186" s="487" t="s">
        <v>873</v>
      </c>
      <c r="M186" s="488"/>
      <c r="N186" s="488"/>
      <c r="T186" s="239">
        <f>C$23</f>
        <v>0.3</v>
      </c>
      <c r="U186" s="239">
        <f t="shared" ref="U186:V186" si="10">D$23</f>
        <v>0.3</v>
      </c>
      <c r="V186" s="239">
        <f t="shared" si="10"/>
        <v>0.3</v>
      </c>
    </row>
    <row r="187" spans="1:44" outlineLevel="1">
      <c r="B187" s="443" t="s">
        <v>366</v>
      </c>
      <c r="C187" s="457">
        <v>3</v>
      </c>
      <c r="D187" s="457">
        <v>2</v>
      </c>
      <c r="E187" s="457">
        <v>2</v>
      </c>
      <c r="F187" s="457">
        <v>2</v>
      </c>
      <c r="G187" s="485"/>
      <c r="H187" s="485"/>
      <c r="I187" s="485"/>
      <c r="J187" s="485"/>
      <c r="K187" s="483"/>
      <c r="L187" s="487" t="s">
        <v>873</v>
      </c>
      <c r="M187" s="488"/>
      <c r="N187" s="488"/>
    </row>
    <row r="188" spans="1:44" ht="15" outlineLevel="1" thickBot="1">
      <c r="B188" s="489" t="s">
        <v>367</v>
      </c>
      <c r="C188" s="490">
        <v>1</v>
      </c>
      <c r="D188" s="490">
        <v>1</v>
      </c>
      <c r="E188" s="490">
        <v>1</v>
      </c>
      <c r="F188" s="490">
        <v>1</v>
      </c>
      <c r="G188" s="485"/>
      <c r="H188" s="485"/>
      <c r="I188" s="485"/>
      <c r="J188" s="485"/>
      <c r="K188" s="483"/>
      <c r="L188" s="487" t="s">
        <v>873</v>
      </c>
      <c r="M188" s="488"/>
      <c r="N188" s="488"/>
    </row>
    <row r="189" spans="1:44" ht="15" outlineLevel="1" thickBot="1">
      <c r="B189" s="491" t="s">
        <v>719</v>
      </c>
      <c r="C189" s="492"/>
      <c r="D189" s="463"/>
      <c r="E189" s="463"/>
      <c r="F189" s="493"/>
      <c r="G189" s="494"/>
      <c r="H189" s="466"/>
      <c r="I189" s="466"/>
      <c r="J189" s="466"/>
      <c r="K189" s="467"/>
      <c r="L189" s="468"/>
      <c r="M189" s="488"/>
      <c r="N189" s="488"/>
    </row>
    <row r="190" spans="1:44" ht="43.2" outlineLevel="1">
      <c r="A190" s="495" t="s">
        <v>922</v>
      </c>
      <c r="B190" s="496" t="s">
        <v>917</v>
      </c>
      <c r="C190" s="611">
        <f>0.06/1.1*0.8</f>
        <v>4.3636363636363633E-2</v>
      </c>
      <c r="D190" s="498">
        <f>0.05/1.1*0.8</f>
        <v>3.6363636363636369E-2</v>
      </c>
      <c r="E190" s="498">
        <f>0.05/1.1*0.8</f>
        <v>3.6363636363636369E-2</v>
      </c>
      <c r="F190" s="499">
        <f>0.05/1.1*0.8</f>
        <v>3.6363636363636369E-2</v>
      </c>
      <c r="G190" s="485"/>
      <c r="H190" s="485"/>
      <c r="I190" s="485"/>
      <c r="J190" s="485"/>
      <c r="K190" s="486" t="s">
        <v>20</v>
      </c>
      <c r="L190" s="500" t="s">
        <v>878</v>
      </c>
      <c r="M190" s="480"/>
      <c r="N190" s="480"/>
    </row>
    <row r="191" spans="1:44" outlineLevel="1">
      <c r="B191" s="501" t="s">
        <v>879</v>
      </c>
      <c r="C191" s="502">
        <v>60</v>
      </c>
      <c r="D191" s="503">
        <v>60</v>
      </c>
      <c r="E191" s="503">
        <v>60</v>
      </c>
      <c r="F191" s="503">
        <v>60</v>
      </c>
      <c r="G191" s="485"/>
      <c r="H191" s="485"/>
      <c r="I191" s="485"/>
      <c r="J191" s="485"/>
      <c r="K191" s="504"/>
      <c r="L191" s="433">
        <v>3</v>
      </c>
      <c r="M191" s="71"/>
      <c r="N191" s="480"/>
    </row>
    <row r="192" spans="1:44" outlineLevel="1">
      <c r="B192" s="501" t="s">
        <v>880</v>
      </c>
      <c r="C192" s="502">
        <f>100-C191</f>
        <v>40</v>
      </c>
      <c r="D192" s="502">
        <f>100-D191</f>
        <v>40</v>
      </c>
      <c r="E192" s="502">
        <f>100-E191</f>
        <v>40</v>
      </c>
      <c r="F192" s="502">
        <f>100-F191</f>
        <v>40</v>
      </c>
      <c r="G192" s="485"/>
      <c r="H192" s="485"/>
      <c r="I192" s="485"/>
      <c r="J192" s="485"/>
      <c r="K192" s="504"/>
      <c r="L192" s="433">
        <v>3</v>
      </c>
      <c r="M192" s="480"/>
      <c r="N192" s="480"/>
    </row>
    <row r="193" spans="2:30" outlineLevel="1">
      <c r="B193" s="443" t="s">
        <v>918</v>
      </c>
      <c r="C193" s="505">
        <f>2000/1000</f>
        <v>2</v>
      </c>
      <c r="D193" s="506">
        <f>1900/1000</f>
        <v>1.9</v>
      </c>
      <c r="E193" s="506">
        <f>1800/1000</f>
        <v>1.8</v>
      </c>
      <c r="F193" s="507">
        <f>1700/1000</f>
        <v>1.7</v>
      </c>
      <c r="G193" s="485"/>
      <c r="H193" s="485"/>
      <c r="I193" s="485"/>
      <c r="J193" s="485"/>
      <c r="K193" s="508"/>
      <c r="L193" s="433">
        <v>3</v>
      </c>
      <c r="M193" s="480"/>
      <c r="N193" s="480"/>
    </row>
    <row r="194" spans="2:30" outlineLevel="1">
      <c r="B194" s="443" t="s">
        <v>919</v>
      </c>
      <c r="C194" s="509">
        <f>1.1/3.6</f>
        <v>0.30555555555555558</v>
      </c>
      <c r="D194" s="509">
        <f>1/3.6</f>
        <v>0.27777777777777779</v>
      </c>
      <c r="E194" s="509">
        <f>1/3.6</f>
        <v>0.27777777777777779</v>
      </c>
      <c r="F194" s="509">
        <f>1/3.6</f>
        <v>0.27777777777777779</v>
      </c>
      <c r="G194" s="485"/>
      <c r="H194" s="485"/>
      <c r="I194" s="485"/>
      <c r="J194" s="485"/>
      <c r="K194" s="508"/>
      <c r="L194" s="433">
        <v>3</v>
      </c>
      <c r="M194" s="510"/>
      <c r="N194" s="421"/>
      <c r="P194" s="999">
        <f>C194</f>
        <v>0.30555555555555558</v>
      </c>
      <c r="Q194" s="977"/>
      <c r="R194" s="977"/>
      <c r="S194" s="977"/>
      <c r="T194" s="977"/>
      <c r="U194" s="1000"/>
    </row>
    <row r="195" spans="2:30" ht="15" outlineLevel="1" thickBot="1">
      <c r="B195" s="601" t="s">
        <v>883</v>
      </c>
      <c r="C195" s="612">
        <f>C174/100*73</f>
        <v>0.10220000000000001</v>
      </c>
      <c r="D195" s="612">
        <f>D174/100*75</f>
        <v>0.09</v>
      </c>
      <c r="E195" s="612">
        <f>E174/100*76</f>
        <v>8.3600000000000008E-2</v>
      </c>
      <c r="F195" s="612">
        <f>F174/100*76</f>
        <v>7.5999999999999998E-2</v>
      </c>
      <c r="G195" s="613"/>
      <c r="H195" s="613"/>
      <c r="I195" s="613"/>
      <c r="J195" s="613"/>
      <c r="K195" s="607" t="s">
        <v>76</v>
      </c>
      <c r="L195" s="608">
        <v>3</v>
      </c>
      <c r="M195" s="510"/>
      <c r="N195" s="421"/>
      <c r="P195" s="1001">
        <f>C195</f>
        <v>0.10220000000000001</v>
      </c>
      <c r="Q195" s="1002"/>
      <c r="R195" s="1002"/>
      <c r="S195" s="1002"/>
      <c r="T195" s="1002"/>
      <c r="U195" s="1003"/>
    </row>
    <row r="196" spans="2:30" outlineLevel="1">
      <c r="B196" s="601" t="s">
        <v>884</v>
      </c>
      <c r="C196" s="614">
        <f>C194-C195</f>
        <v>0.20335555555555557</v>
      </c>
      <c r="D196" s="614">
        <f>D194-D195</f>
        <v>0.18777777777777779</v>
      </c>
      <c r="E196" s="614">
        <f>E194-E195</f>
        <v>0.19417777777777778</v>
      </c>
      <c r="F196" s="614">
        <f>F194-F195</f>
        <v>0.20177777777777778</v>
      </c>
      <c r="G196" s="613"/>
      <c r="H196" s="613"/>
      <c r="I196" s="613"/>
      <c r="J196" s="613"/>
      <c r="K196" s="615"/>
      <c r="L196" s="608">
        <v>3</v>
      </c>
      <c r="M196" s="423"/>
      <c r="N196" s="423"/>
      <c r="P196" s="53" t="s">
        <v>357</v>
      </c>
    </row>
    <row r="197" spans="2:30" ht="27.6" outlineLevel="1">
      <c r="B197" s="501"/>
      <c r="C197" s="516"/>
      <c r="D197" s="516"/>
      <c r="E197" s="516"/>
      <c r="F197" s="516"/>
      <c r="G197" s="485"/>
      <c r="H197" s="485"/>
      <c r="I197" s="485"/>
      <c r="J197" s="485"/>
      <c r="K197" s="504"/>
      <c r="L197" s="484"/>
      <c r="M197" s="427"/>
      <c r="N197" s="42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4.6" outlineLevel="1" thickBot="1">
      <c r="B198" s="501"/>
      <c r="C198" s="502"/>
      <c r="D198" s="517"/>
      <c r="E198" s="517"/>
      <c r="F198" s="518"/>
      <c r="G198" s="485"/>
      <c r="H198" s="485"/>
      <c r="I198" s="485"/>
      <c r="J198" s="485"/>
      <c r="K198" s="508"/>
      <c r="L198" s="484"/>
      <c r="M198" s="423"/>
      <c r="N198" s="423"/>
      <c r="P198" s="50"/>
      <c r="Q198" s="50"/>
      <c r="R198" s="51"/>
      <c r="S198" s="51"/>
      <c r="T198" s="51"/>
      <c r="U198" s="51" t="s">
        <v>885</v>
      </c>
      <c r="V198" s="50" t="s">
        <v>886</v>
      </c>
      <c r="W198" s="50"/>
      <c r="X198" s="50"/>
      <c r="Y198" s="50"/>
      <c r="Z198" s="50"/>
      <c r="AA198" s="50"/>
      <c r="AB198" s="50"/>
      <c r="AC198" s="50"/>
      <c r="AD198" s="50"/>
    </row>
    <row r="199" spans="2:30" ht="43.8" outlineLevel="1" thickBot="1">
      <c r="B199" s="461" t="s">
        <v>727</v>
      </c>
      <c r="C199" s="462"/>
      <c r="D199" s="463"/>
      <c r="E199" s="464"/>
      <c r="F199" s="465"/>
      <c r="G199" s="466"/>
      <c r="H199" s="466"/>
      <c r="I199" s="466"/>
      <c r="J199" s="466"/>
      <c r="K199" s="519"/>
      <c r="L199" s="520"/>
      <c r="M199" s="423"/>
      <c r="N199" s="423"/>
      <c r="O199" s="521" t="s">
        <v>857</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616" t="s">
        <v>887</v>
      </c>
      <c r="C200" s="617">
        <v>3.5000000000000003E-2</v>
      </c>
      <c r="D200" s="617">
        <v>0.03</v>
      </c>
      <c r="E200" s="617">
        <v>0.03</v>
      </c>
      <c r="F200" s="617">
        <v>0.03</v>
      </c>
      <c r="G200" s="618"/>
      <c r="H200" s="618"/>
      <c r="I200" s="618"/>
      <c r="J200" s="618"/>
      <c r="K200" s="618" t="s">
        <v>25</v>
      </c>
      <c r="L200" s="619"/>
      <c r="M200" s="423"/>
      <c r="N200" s="423"/>
      <c r="O200" s="525">
        <f>C173</f>
        <v>93</v>
      </c>
      <c r="P200" s="526">
        <f>C169</f>
        <v>2020</v>
      </c>
      <c r="Q200" s="58">
        <f>P200</f>
        <v>2020</v>
      </c>
      <c r="R200" s="526">
        <f>O200/100</f>
        <v>0.93</v>
      </c>
      <c r="S200" s="58"/>
      <c r="T200" s="526">
        <f>C177</f>
        <v>25</v>
      </c>
      <c r="U200" s="527">
        <f>C207</f>
        <v>325.09090909090912</v>
      </c>
      <c r="V200" s="527">
        <f>C209</f>
        <v>14.9</v>
      </c>
      <c r="W200" s="527">
        <f>C210</f>
        <v>2.276388888888889</v>
      </c>
      <c r="X200" s="58"/>
      <c r="Y200" s="58"/>
      <c r="Z200" s="526">
        <f>C184</f>
        <v>0.3</v>
      </c>
      <c r="AA200" s="528">
        <f>C186</f>
        <v>9</v>
      </c>
      <c r="AB200" s="528">
        <f>C187</f>
        <v>3</v>
      </c>
      <c r="AC200" s="528">
        <f>C188</f>
        <v>1</v>
      </c>
      <c r="AD200" s="528">
        <f>C185</f>
        <v>0.1</v>
      </c>
    </row>
    <row r="201" spans="2:30" outlineLevel="1">
      <c r="B201" s="601" t="s">
        <v>888</v>
      </c>
      <c r="C201" s="620" t="s">
        <v>36</v>
      </c>
      <c r="D201" s="621" t="s">
        <v>36</v>
      </c>
      <c r="E201" s="621" t="s">
        <v>36</v>
      </c>
      <c r="F201" s="622" t="s">
        <v>36</v>
      </c>
      <c r="G201" s="622"/>
      <c r="H201" s="622"/>
      <c r="I201" s="622"/>
      <c r="J201" s="622"/>
      <c r="K201" s="623" t="s">
        <v>33</v>
      </c>
      <c r="L201" s="619"/>
      <c r="M201" s="423"/>
      <c r="N201" s="423"/>
      <c r="O201" s="525">
        <f>D173</f>
        <v>94</v>
      </c>
      <c r="P201" s="526">
        <f>D169</f>
        <v>2030</v>
      </c>
      <c r="Q201" s="58"/>
      <c r="R201" s="526">
        <f>O201/100</f>
        <v>0.94</v>
      </c>
      <c r="S201" s="58"/>
      <c r="T201" s="526">
        <f>D177</f>
        <v>25</v>
      </c>
      <c r="U201" s="527">
        <f>D207</f>
        <v>270.90909090909093</v>
      </c>
      <c r="V201" s="527">
        <f>D209</f>
        <v>14.154999999999999</v>
      </c>
      <c r="W201" s="527">
        <f>D210</f>
        <v>2.0694444444444446</v>
      </c>
      <c r="X201" s="58"/>
      <c r="Y201" s="58"/>
      <c r="Z201" s="526">
        <f>D184</f>
        <v>0.3</v>
      </c>
      <c r="AA201" s="528">
        <f>D186</f>
        <v>7</v>
      </c>
      <c r="AB201" s="528">
        <f>D187</f>
        <v>2</v>
      </c>
      <c r="AC201" s="528">
        <f>D188</f>
        <v>1</v>
      </c>
      <c r="AD201" s="528">
        <f>D185</f>
        <v>0.1</v>
      </c>
    </row>
    <row r="202" spans="2:30" outlineLevel="1">
      <c r="B202" s="601" t="s">
        <v>889</v>
      </c>
      <c r="C202" s="620" t="s">
        <v>36</v>
      </c>
      <c r="D202" s="621" t="s">
        <v>36</v>
      </c>
      <c r="E202" s="621" t="s">
        <v>36</v>
      </c>
      <c r="F202" s="622" t="s">
        <v>36</v>
      </c>
      <c r="G202" s="622"/>
      <c r="H202" s="622"/>
      <c r="I202" s="622"/>
      <c r="J202" s="622"/>
      <c r="K202" s="623"/>
      <c r="L202" s="619"/>
      <c r="M202" s="423"/>
      <c r="N202" s="423"/>
      <c r="O202" s="525">
        <f>E173</f>
        <v>94</v>
      </c>
      <c r="P202" s="526">
        <f>E169</f>
        <v>2040</v>
      </c>
      <c r="Q202" s="58"/>
      <c r="R202" s="526">
        <f>O202/100</f>
        <v>0.94</v>
      </c>
      <c r="S202" s="58"/>
      <c r="T202" s="526">
        <f>E177</f>
        <v>25</v>
      </c>
      <c r="U202" s="527">
        <f>E207</f>
        <v>270.90909090909093</v>
      </c>
      <c r="V202" s="527">
        <f>E209</f>
        <v>13.41</v>
      </c>
      <c r="W202" s="527">
        <f>E210</f>
        <v>2.0694444444444446</v>
      </c>
      <c r="X202" s="58"/>
      <c r="Y202" s="58"/>
      <c r="Z202" s="526">
        <f>E184</f>
        <v>0.3</v>
      </c>
      <c r="AA202" s="528">
        <f>E186</f>
        <v>6</v>
      </c>
      <c r="AB202" s="528">
        <f>E187</f>
        <v>2</v>
      </c>
      <c r="AC202" s="528">
        <f>E188</f>
        <v>1</v>
      </c>
      <c r="AD202" s="528">
        <f>E185</f>
        <v>0.1</v>
      </c>
    </row>
    <row r="203" spans="2:30" outlineLevel="1">
      <c r="B203" s="601" t="s">
        <v>890</v>
      </c>
      <c r="C203" s="624">
        <v>90</v>
      </c>
      <c r="D203" s="624">
        <v>90</v>
      </c>
      <c r="E203" s="624">
        <v>90</v>
      </c>
      <c r="F203" s="624">
        <v>90</v>
      </c>
      <c r="G203" s="625"/>
      <c r="H203" s="625"/>
      <c r="I203" s="625"/>
      <c r="J203" s="625"/>
      <c r="K203" s="625"/>
      <c r="L203" s="608">
        <v>3</v>
      </c>
      <c r="M203" s="423"/>
      <c r="N203" s="423"/>
      <c r="O203" s="525">
        <f>F173</f>
        <v>95</v>
      </c>
      <c r="P203" s="526">
        <f>F169</f>
        <v>2050</v>
      </c>
      <c r="Q203" s="58"/>
      <c r="R203" s="526">
        <f>O203/100</f>
        <v>0.95</v>
      </c>
      <c r="S203" s="58"/>
      <c r="T203" s="526">
        <f>F177</f>
        <v>25</v>
      </c>
      <c r="U203" s="527">
        <f>F207</f>
        <v>270.90909090909093</v>
      </c>
      <c r="V203" s="527">
        <f>F209</f>
        <v>12.664999999999999</v>
      </c>
      <c r="W203" s="527">
        <f>F210</f>
        <v>2.0694444444444446</v>
      </c>
      <c r="X203" s="58"/>
      <c r="Y203" s="58"/>
      <c r="Z203" s="526">
        <f>F184</f>
        <v>0.3</v>
      </c>
      <c r="AA203" s="528">
        <f>F186</f>
        <v>6</v>
      </c>
      <c r="AB203" s="528">
        <f>F187</f>
        <v>2</v>
      </c>
      <c r="AC203" s="528">
        <f>F188</f>
        <v>1</v>
      </c>
      <c r="AD203" s="528">
        <f>F185</f>
        <v>0.1</v>
      </c>
    </row>
    <row r="204" spans="2:30" outlineLevel="1">
      <c r="B204" s="626" t="s">
        <v>891</v>
      </c>
      <c r="C204" s="620"/>
      <c r="D204" s="621"/>
      <c r="E204" s="621"/>
      <c r="F204" s="622"/>
      <c r="G204" s="622"/>
      <c r="H204" s="622"/>
      <c r="I204" s="622"/>
      <c r="J204" s="622"/>
      <c r="K204" s="623"/>
      <c r="L204" s="619"/>
      <c r="M204" s="427"/>
      <c r="N204" s="427"/>
    </row>
    <row r="205" spans="2:30" outlineLevel="1">
      <c r="B205" s="626" t="s">
        <v>892</v>
      </c>
      <c r="C205" s="620"/>
      <c r="D205" s="621"/>
      <c r="E205" s="621"/>
      <c r="F205" s="622"/>
      <c r="G205" s="622"/>
      <c r="H205" s="622"/>
      <c r="I205" s="622"/>
      <c r="J205" s="622"/>
      <c r="K205" s="623"/>
      <c r="L205" s="619"/>
      <c r="M205" s="423"/>
      <c r="N205" s="423"/>
    </row>
    <row r="206" spans="2:30" ht="15" outlineLevel="1" thickBot="1">
      <c r="B206" s="627" t="s">
        <v>893</v>
      </c>
      <c r="C206" s="628"/>
      <c r="D206" s="628"/>
      <c r="E206" s="628"/>
      <c r="F206" s="628"/>
      <c r="G206" s="628"/>
      <c r="H206" s="628"/>
      <c r="I206" s="628"/>
      <c r="J206" s="628"/>
      <c r="K206" s="628"/>
      <c r="L206" s="629"/>
      <c r="M206" s="423"/>
      <c r="N206" s="423"/>
    </row>
    <row r="207" spans="2:30" ht="57.6" outlineLevel="1">
      <c r="B207" s="521" t="s">
        <v>894</v>
      </c>
      <c r="C207" s="543">
        <f>C190*$F$4*1000</f>
        <v>325.09090909090912</v>
      </c>
      <c r="D207" s="543">
        <f t="shared" ref="D207:F207" si="11">D190*$F$4*1000</f>
        <v>270.90909090909093</v>
      </c>
      <c r="E207" s="543">
        <f t="shared" si="11"/>
        <v>270.90909090909093</v>
      </c>
      <c r="F207" s="543">
        <f t="shared" si="11"/>
        <v>270.90909090909093</v>
      </c>
      <c r="G207" s="543"/>
      <c r="H207" s="544"/>
      <c r="I207" s="480" t="s">
        <v>332</v>
      </c>
      <c r="J207" s="480"/>
      <c r="K207" s="544"/>
      <c r="L207" s="544"/>
      <c r="N207" s="480"/>
    </row>
    <row r="208" spans="2:30" outlineLevel="1">
      <c r="B208" s="545" t="s">
        <v>895</v>
      </c>
      <c r="C208" s="546">
        <f>C207*$I208</f>
        <v>162545.45454545456</v>
      </c>
      <c r="D208" s="546">
        <f>D207*$I208</f>
        <v>135454.54545454547</v>
      </c>
      <c r="E208" s="546">
        <f>E207*$I208</f>
        <v>135454.54545454547</v>
      </c>
      <c r="F208" s="546">
        <f>F207*$I208</f>
        <v>135454.54545454547</v>
      </c>
      <c r="G208" s="546"/>
      <c r="H208" s="544"/>
      <c r="I208" s="71">
        <v>500</v>
      </c>
      <c r="J208" s="480" t="s">
        <v>330</v>
      </c>
      <c r="K208" s="544"/>
      <c r="L208" s="544"/>
      <c r="N208" s="480"/>
    </row>
    <row r="209" spans="1:16" ht="43.2" outlineLevel="1">
      <c r="B209" s="521" t="s">
        <v>896</v>
      </c>
      <c r="C209" s="419">
        <f>C193*$F$4</f>
        <v>14.9</v>
      </c>
      <c r="D209" s="419">
        <f t="shared" ref="D209:F210" si="12">D193*$F$4</f>
        <v>14.154999999999999</v>
      </c>
      <c r="E209" s="419">
        <f t="shared" si="12"/>
        <v>13.41</v>
      </c>
      <c r="F209" s="419">
        <f t="shared" si="12"/>
        <v>12.664999999999999</v>
      </c>
      <c r="G209" s="419"/>
      <c r="I209" s="480" t="s">
        <v>333</v>
      </c>
      <c r="J209" s="480"/>
      <c r="N209" s="480"/>
    </row>
    <row r="210" spans="1:16" ht="43.2" outlineLevel="1">
      <c r="B210" s="521" t="s">
        <v>897</v>
      </c>
      <c r="C210" s="547">
        <f>C194*$F$4</f>
        <v>2.276388888888889</v>
      </c>
      <c r="D210" s="547">
        <f t="shared" si="12"/>
        <v>2.0694444444444446</v>
      </c>
      <c r="E210" s="547">
        <f t="shared" si="12"/>
        <v>2.0694444444444446</v>
      </c>
      <c r="F210" s="547">
        <f t="shared" si="12"/>
        <v>2.0694444444444446</v>
      </c>
      <c r="G210" s="419"/>
      <c r="M210" s="480"/>
      <c r="N210" s="480"/>
    </row>
    <row r="211" spans="1:16" outlineLevel="1"/>
    <row r="212" spans="1:16" outlineLevel="1">
      <c r="A212" s="548" t="s">
        <v>898</v>
      </c>
      <c r="B212" s="549"/>
      <c r="D212" s="550"/>
      <c r="E212" s="550"/>
      <c r="F212" s="550"/>
      <c r="G212" s="417"/>
      <c r="H212" s="417"/>
      <c r="I212" s="417"/>
      <c r="J212" s="417"/>
      <c r="K212" s="417"/>
      <c r="L212" s="417"/>
      <c r="N212" s="630"/>
      <c r="O212" s="549"/>
      <c r="P212" s="550"/>
    </row>
    <row r="213" spans="1:16" outlineLevel="1">
      <c r="A213" s="551">
        <v>1</v>
      </c>
      <c r="B213" s="552" t="s">
        <v>899</v>
      </c>
      <c r="D213" s="550"/>
      <c r="E213" s="550"/>
      <c r="F213" s="550"/>
      <c r="G213" s="417"/>
      <c r="H213" s="417"/>
      <c r="I213" s="417"/>
      <c r="J213" s="417"/>
      <c r="K213" s="417"/>
      <c r="L213" s="417"/>
      <c r="N213" s="630"/>
      <c r="O213" s="549"/>
      <c r="P213" s="550"/>
    </row>
    <row r="214" spans="1:16" outlineLevel="1">
      <c r="A214" s="551">
        <v>2</v>
      </c>
      <c r="B214" s="553" t="s">
        <v>900</v>
      </c>
      <c r="D214" s="550"/>
      <c r="E214" s="550"/>
      <c r="F214" s="550"/>
      <c r="G214" s="417"/>
      <c r="H214" s="417"/>
      <c r="I214" s="417"/>
      <c r="J214" s="417"/>
      <c r="K214" s="417"/>
      <c r="L214" s="417"/>
      <c r="N214" s="630"/>
      <c r="O214" s="549"/>
      <c r="P214" s="550"/>
    </row>
    <row r="215" spans="1:16" outlineLevel="1">
      <c r="A215" s="551">
        <v>3</v>
      </c>
      <c r="B215" s="553" t="s">
        <v>901</v>
      </c>
      <c r="D215" s="550"/>
      <c r="E215" s="550"/>
      <c r="F215" s="550"/>
      <c r="G215" s="417"/>
      <c r="H215" s="417"/>
      <c r="I215" s="417"/>
      <c r="J215" s="417"/>
      <c r="K215" s="417"/>
      <c r="L215" s="417"/>
      <c r="N215" s="630"/>
      <c r="O215" s="549"/>
      <c r="P215" s="550"/>
    </row>
    <row r="216" spans="1:16" outlineLevel="1">
      <c r="A216" s="551">
        <v>4</v>
      </c>
      <c r="B216" s="553" t="s">
        <v>902</v>
      </c>
      <c r="D216" s="550"/>
      <c r="E216" s="550"/>
      <c r="F216" s="550"/>
      <c r="G216" s="417"/>
      <c r="H216" s="417"/>
      <c r="I216" s="417"/>
      <c r="J216" s="417"/>
      <c r="K216" s="417"/>
      <c r="L216" s="417"/>
      <c r="N216" s="630"/>
      <c r="O216" s="549"/>
      <c r="P216" s="550"/>
    </row>
    <row r="217" spans="1:16" outlineLevel="1">
      <c r="A217" s="417">
        <v>5</v>
      </c>
      <c r="B217" s="554" t="s">
        <v>903</v>
      </c>
      <c r="D217" s="550"/>
      <c r="E217" s="550"/>
      <c r="F217" s="550"/>
      <c r="G217" s="417"/>
      <c r="H217" s="417"/>
      <c r="I217" s="417"/>
      <c r="J217" s="417"/>
      <c r="K217" s="417"/>
      <c r="L217" s="417"/>
    </row>
    <row r="218" spans="1:16" outlineLevel="1">
      <c r="A218" s="417">
        <v>6</v>
      </c>
      <c r="B218" s="552" t="s">
        <v>904</v>
      </c>
      <c r="D218" s="550"/>
      <c r="E218" s="550"/>
      <c r="F218" s="550"/>
      <c r="G218" s="417"/>
      <c r="H218" s="417"/>
      <c r="I218" s="417"/>
      <c r="J218" s="417"/>
      <c r="K218" s="417"/>
      <c r="L218" s="417"/>
    </row>
    <row r="219" spans="1:16" outlineLevel="1">
      <c r="A219" s="417">
        <v>7</v>
      </c>
      <c r="B219" s="555" t="s">
        <v>899</v>
      </c>
      <c r="D219" s="550"/>
      <c r="E219" s="550"/>
      <c r="F219" s="550"/>
      <c r="G219" s="417"/>
      <c r="H219" s="417"/>
      <c r="I219" s="417"/>
      <c r="J219" s="417"/>
      <c r="K219" s="417"/>
      <c r="L219" s="417"/>
    </row>
    <row r="220" spans="1:16" outlineLevel="1">
      <c r="A220" s="417">
        <v>8</v>
      </c>
      <c r="B220" s="555" t="s">
        <v>905</v>
      </c>
      <c r="D220" s="550"/>
      <c r="E220" s="550"/>
      <c r="F220" s="550"/>
      <c r="G220" s="417"/>
      <c r="H220" s="417"/>
      <c r="I220" s="417"/>
      <c r="J220" s="417"/>
      <c r="K220" s="417"/>
      <c r="L220" s="417"/>
    </row>
    <row r="221" spans="1:16" outlineLevel="1">
      <c r="A221" s="417">
        <v>9</v>
      </c>
      <c r="B221" s="549" t="s">
        <v>906</v>
      </c>
      <c r="D221" s="550"/>
      <c r="E221" s="550"/>
      <c r="F221" s="550"/>
      <c r="G221" s="417"/>
      <c r="H221" s="417"/>
      <c r="I221" s="417"/>
      <c r="J221" s="417"/>
      <c r="K221" s="417"/>
      <c r="L221" s="417"/>
    </row>
    <row r="222" spans="1:16" outlineLevel="1">
      <c r="A222" s="417">
        <v>10</v>
      </c>
      <c r="B222" s="550" t="s">
        <v>907</v>
      </c>
      <c r="D222" s="550"/>
      <c r="E222" s="550"/>
      <c r="F222" s="550"/>
      <c r="G222" s="417"/>
      <c r="H222" s="417"/>
      <c r="I222" s="417"/>
      <c r="J222" s="417"/>
      <c r="K222" s="417"/>
      <c r="L222" s="417"/>
    </row>
    <row r="223" spans="1:16" outlineLevel="1">
      <c r="A223" s="548" t="s">
        <v>908</v>
      </c>
      <c r="B223" s="549"/>
      <c r="D223" s="550"/>
      <c r="E223" s="550"/>
      <c r="F223" s="550"/>
      <c r="G223" s="417"/>
      <c r="H223" s="417"/>
      <c r="I223" s="417"/>
      <c r="J223" s="417"/>
      <c r="K223" s="417"/>
      <c r="L223" s="417"/>
    </row>
    <row r="224" spans="1:16" outlineLevel="1">
      <c r="A224" s="556" t="s">
        <v>6</v>
      </c>
      <c r="B224" s="557" t="s">
        <v>909</v>
      </c>
      <c r="C224" s="550"/>
      <c r="D224" s="550"/>
      <c r="E224" s="550"/>
      <c r="F224" s="550"/>
      <c r="G224" s="417"/>
      <c r="H224" s="417"/>
      <c r="I224" s="417"/>
      <c r="J224" s="417"/>
      <c r="K224" s="417"/>
      <c r="L224" s="417"/>
      <c r="N224" s="630"/>
      <c r="O224" s="549"/>
      <c r="P224" s="550"/>
    </row>
    <row r="225" spans="1:16" outlineLevel="1">
      <c r="A225" s="556" t="s">
        <v>59</v>
      </c>
      <c r="B225" s="549" t="s">
        <v>910</v>
      </c>
      <c r="C225" s="550"/>
      <c r="D225" s="550"/>
      <c r="E225" s="550"/>
      <c r="F225" s="550"/>
      <c r="G225" s="417"/>
      <c r="H225" s="417"/>
      <c r="I225" s="417"/>
      <c r="J225" s="417"/>
      <c r="K225" s="417"/>
      <c r="L225" s="417"/>
      <c r="N225" s="631"/>
      <c r="O225" s="549"/>
      <c r="P225" s="550"/>
    </row>
    <row r="226" spans="1:16" outlineLevel="1">
      <c r="A226" s="556" t="s">
        <v>16</v>
      </c>
      <c r="B226" s="549" t="s">
        <v>911</v>
      </c>
      <c r="C226" s="550"/>
      <c r="D226" s="550"/>
      <c r="E226" s="550"/>
      <c r="F226" s="550"/>
      <c r="G226" s="417"/>
      <c r="H226" s="417"/>
      <c r="I226" s="417"/>
      <c r="J226" s="417"/>
      <c r="K226" s="417"/>
      <c r="L226" s="417"/>
      <c r="N226" s="632"/>
      <c r="O226" s="549"/>
      <c r="P226" s="550"/>
    </row>
    <row r="227" spans="1:16" outlineLevel="1">
      <c r="A227" s="556" t="s">
        <v>20</v>
      </c>
      <c r="B227" s="549" t="s">
        <v>912</v>
      </c>
      <c r="C227" s="550"/>
      <c r="D227" s="550"/>
      <c r="E227" s="550"/>
      <c r="F227" s="550"/>
      <c r="G227" s="417"/>
      <c r="H227" s="417"/>
      <c r="I227" s="417"/>
      <c r="J227" s="417"/>
      <c r="K227" s="417"/>
      <c r="L227" s="417"/>
      <c r="N227" s="633"/>
      <c r="O227" s="549"/>
      <c r="P227" s="550"/>
    </row>
    <row r="228" spans="1:16" outlineLevel="1">
      <c r="A228" s="556" t="s">
        <v>76</v>
      </c>
      <c r="B228" s="558" t="s">
        <v>913</v>
      </c>
      <c r="C228" s="550"/>
      <c r="D228" s="550"/>
      <c r="E228" s="550"/>
      <c r="F228" s="550"/>
      <c r="G228" s="417"/>
      <c r="H228" s="417"/>
      <c r="I228" s="417"/>
      <c r="J228" s="417"/>
      <c r="K228" s="417"/>
      <c r="L228" s="417"/>
      <c r="N228" s="633"/>
      <c r="O228" s="550"/>
      <c r="P228" s="550"/>
    </row>
    <row r="229" spans="1:16" outlineLevel="1">
      <c r="A229" s="556" t="s">
        <v>25</v>
      </c>
      <c r="B229" s="549" t="s">
        <v>929</v>
      </c>
      <c r="C229" s="550"/>
      <c r="D229" s="550"/>
      <c r="E229" s="550"/>
      <c r="F229" s="550"/>
      <c r="G229" s="417"/>
      <c r="H229" s="417"/>
      <c r="I229" s="417"/>
      <c r="J229" s="417"/>
      <c r="K229" s="417"/>
      <c r="L229" s="417"/>
      <c r="N229" s="549"/>
      <c r="O229" s="550"/>
      <c r="P229" s="550"/>
    </row>
    <row r="230" spans="1:16" outlineLevel="1">
      <c r="A230" s="556" t="s">
        <v>33</v>
      </c>
      <c r="B230" s="549" t="s">
        <v>914</v>
      </c>
      <c r="C230" s="550"/>
      <c r="D230" s="550"/>
      <c r="E230" s="550"/>
      <c r="F230" s="550"/>
      <c r="G230" s="417"/>
      <c r="H230" s="417"/>
      <c r="I230" s="417"/>
      <c r="J230" s="417"/>
      <c r="K230" s="417"/>
      <c r="L230" s="417"/>
      <c r="N230" s="550"/>
      <c r="O230" s="550"/>
      <c r="P230" s="550"/>
    </row>
    <row r="231" spans="1:16" outlineLevel="1"/>
    <row r="232" spans="1:16" outlineLevel="1"/>
    <row r="233" spans="1:16" outlineLevel="1"/>
    <row r="234" spans="1:16" outlineLevel="1"/>
    <row r="235" spans="1:16" outlineLevel="1"/>
    <row r="236" spans="1:16" outlineLevel="1"/>
    <row r="237" spans="1:16" outlineLevel="1"/>
    <row r="238" spans="1:16" outlineLevel="1"/>
    <row r="239" spans="1:16" outlineLevel="1"/>
    <row r="240" spans="1:16" outlineLevel="1"/>
    <row r="241" spans="1:44" outlineLevel="1"/>
    <row r="242" spans="1:44" outlineLevel="1"/>
    <row r="243" spans="1:44" outlineLevel="1"/>
    <row r="244" spans="1:44" outlineLevel="1"/>
    <row r="246" spans="1:44" ht="15" thickBot="1">
      <c r="A246" s="420" t="s">
        <v>930</v>
      </c>
      <c r="P246" s="752">
        <v>1</v>
      </c>
      <c r="Q246" s="752">
        <v>2</v>
      </c>
      <c r="R246" s="752">
        <v>3</v>
      </c>
      <c r="S246" s="752">
        <v>4</v>
      </c>
      <c r="T246" s="752">
        <v>5</v>
      </c>
      <c r="U246" s="752">
        <v>6</v>
      </c>
      <c r="V246" s="752">
        <v>7</v>
      </c>
      <c r="W246" s="752">
        <v>8</v>
      </c>
      <c r="X246" s="752">
        <v>9</v>
      </c>
      <c r="Y246" s="752">
        <v>10</v>
      </c>
      <c r="Z246" s="752">
        <v>11</v>
      </c>
      <c r="AA246" s="752">
        <v>12</v>
      </c>
      <c r="AB246" s="752">
        <v>13</v>
      </c>
      <c r="AC246" s="752">
        <v>14</v>
      </c>
    </row>
    <row r="247" spans="1:44" ht="20.7" customHeight="1" outlineLevel="1" thickBot="1">
      <c r="B247" s="422" t="s">
        <v>0</v>
      </c>
      <c r="C247" s="1043" t="s">
        <v>931</v>
      </c>
      <c r="D247" s="1019"/>
      <c r="E247" s="1019"/>
      <c r="F247" s="1019"/>
      <c r="G247" s="1019"/>
      <c r="H247" s="1019"/>
      <c r="I247" s="1019"/>
      <c r="J247" s="1019"/>
      <c r="K247" s="1019"/>
      <c r="L247" s="1020"/>
      <c r="M247" s="423"/>
      <c r="N247" s="423"/>
      <c r="P247" s="424" t="s">
        <v>838</v>
      </c>
      <c r="Q247" s="425"/>
      <c r="R247" s="426"/>
      <c r="S247" s="985" t="s">
        <v>839</v>
      </c>
      <c r="T247" s="989" t="s">
        <v>840</v>
      </c>
      <c r="U247" s="990"/>
      <c r="V247" s="989" t="s">
        <v>841</v>
      </c>
      <c r="W247" s="990"/>
      <c r="X247" s="989" t="s">
        <v>842</v>
      </c>
      <c r="Y247" s="990"/>
      <c r="Z247" s="989" t="s">
        <v>843</v>
      </c>
      <c r="AA247" s="990"/>
      <c r="AB247" s="989" t="s">
        <v>844</v>
      </c>
      <c r="AC247" s="990"/>
      <c r="AE247" s="424" t="s">
        <v>845</v>
      </c>
      <c r="AF247" s="425"/>
      <c r="AG247" s="426"/>
      <c r="AH247" s="985" t="s">
        <v>839</v>
      </c>
      <c r="AI247" s="989" t="s">
        <v>840</v>
      </c>
      <c r="AJ247" s="990"/>
      <c r="AK247" s="989" t="s">
        <v>841</v>
      </c>
      <c r="AL247" s="990"/>
      <c r="AM247" s="989" t="s">
        <v>842</v>
      </c>
      <c r="AN247" s="990"/>
      <c r="AO247" s="989" t="s">
        <v>843</v>
      </c>
      <c r="AP247" s="990"/>
      <c r="AQ247" s="989" t="s">
        <v>844</v>
      </c>
      <c r="AR247" s="990"/>
    </row>
    <row r="248" spans="1:44" ht="15" customHeight="1" outlineLevel="1" thickBot="1">
      <c r="B248" s="1010" t="s">
        <v>4</v>
      </c>
      <c r="C248" s="1012">
        <v>2020</v>
      </c>
      <c r="D248" s="1012">
        <v>2030</v>
      </c>
      <c r="E248" s="1012">
        <v>2040</v>
      </c>
      <c r="F248" s="1012">
        <v>2050</v>
      </c>
      <c r="G248" s="1048" t="s">
        <v>846</v>
      </c>
      <c r="H248" s="1049"/>
      <c r="I248" s="1048" t="s">
        <v>693</v>
      </c>
      <c r="J248" s="1049"/>
      <c r="K248" s="1046" t="s">
        <v>2</v>
      </c>
      <c r="L248" s="1046" t="s">
        <v>3</v>
      </c>
      <c r="M248" s="427"/>
      <c r="N248" s="427"/>
      <c r="P248" s="993" t="s">
        <v>0</v>
      </c>
      <c r="Q248" s="428"/>
      <c r="R248" s="428"/>
      <c r="S248" s="986"/>
      <c r="T248" s="991"/>
      <c r="U248" s="992"/>
      <c r="V248" s="991"/>
      <c r="W248" s="992"/>
      <c r="X248" s="991"/>
      <c r="Y248" s="992"/>
      <c r="Z248" s="991"/>
      <c r="AA248" s="992"/>
      <c r="AB248" s="991"/>
      <c r="AC248" s="992"/>
      <c r="AE248" s="993" t="s">
        <v>0</v>
      </c>
      <c r="AF248" s="428"/>
      <c r="AG248" s="428"/>
      <c r="AH248" s="986"/>
      <c r="AI248" s="991"/>
      <c r="AJ248" s="992"/>
      <c r="AK248" s="991"/>
      <c r="AL248" s="992"/>
      <c r="AM248" s="991"/>
      <c r="AN248" s="992"/>
      <c r="AO248" s="991"/>
      <c r="AP248" s="992"/>
      <c r="AQ248" s="991"/>
      <c r="AR248" s="992"/>
    </row>
    <row r="249" spans="1:44" ht="15" customHeight="1" outlineLevel="1" thickBot="1">
      <c r="B249" s="1011"/>
      <c r="C249" s="1013"/>
      <c r="D249" s="1013"/>
      <c r="E249" s="1013"/>
      <c r="F249" s="1013"/>
      <c r="G249" s="466" t="s">
        <v>694</v>
      </c>
      <c r="H249" s="466" t="s">
        <v>695</v>
      </c>
      <c r="I249" s="466" t="s">
        <v>694</v>
      </c>
      <c r="J249" s="466" t="s">
        <v>695</v>
      </c>
      <c r="K249" s="1047"/>
      <c r="L249" s="1047"/>
      <c r="M249" s="430"/>
      <c r="N249" s="430"/>
      <c r="P249" s="994"/>
      <c r="Q249" s="996" t="s">
        <v>847</v>
      </c>
      <c r="R249" s="997" t="s">
        <v>848</v>
      </c>
      <c r="S249" s="987"/>
      <c r="T249" s="991"/>
      <c r="U249" s="992"/>
      <c r="V249" s="991"/>
      <c r="W249" s="992"/>
      <c r="X249" s="991"/>
      <c r="Y249" s="992"/>
      <c r="Z249" s="991"/>
      <c r="AA249" s="992"/>
      <c r="AB249" s="991"/>
      <c r="AC249" s="992"/>
      <c r="AE249" s="994"/>
      <c r="AF249" s="1040" t="s">
        <v>847</v>
      </c>
      <c r="AG249" s="997" t="s">
        <v>848</v>
      </c>
      <c r="AH249" s="987"/>
      <c r="AI249" s="991"/>
      <c r="AJ249" s="992"/>
      <c r="AK249" s="991"/>
      <c r="AL249" s="992"/>
      <c r="AM249" s="991"/>
      <c r="AN249" s="992"/>
      <c r="AO249" s="991"/>
      <c r="AP249" s="992"/>
      <c r="AQ249" s="991"/>
      <c r="AR249" s="992"/>
    </row>
    <row r="250" spans="1:44" ht="29.4" outlineLevel="1" thickBot="1">
      <c r="B250" s="431" t="s">
        <v>696</v>
      </c>
      <c r="C250" s="432">
        <v>20</v>
      </c>
      <c r="D250" s="432">
        <v>20</v>
      </c>
      <c r="E250" s="432">
        <v>20</v>
      </c>
      <c r="F250" s="432">
        <v>20</v>
      </c>
      <c r="G250" s="432">
        <v>1</v>
      </c>
      <c r="H250" s="432">
        <v>50</v>
      </c>
      <c r="I250" s="432">
        <v>1</v>
      </c>
      <c r="J250" s="432">
        <v>50</v>
      </c>
      <c r="K250" s="432" t="s">
        <v>6</v>
      </c>
      <c r="L250" s="433" t="s">
        <v>850</v>
      </c>
      <c r="M250" s="430"/>
      <c r="N250" s="430"/>
      <c r="O250" s="74"/>
      <c r="P250" s="995"/>
      <c r="Q250" s="988"/>
      <c r="R250" s="998"/>
      <c r="S250" s="988"/>
      <c r="T250" s="434" t="s">
        <v>851</v>
      </c>
      <c r="U250" s="435" t="s">
        <v>852</v>
      </c>
      <c r="V250" s="434" t="s">
        <v>851</v>
      </c>
      <c r="W250" s="435" t="s">
        <v>852</v>
      </c>
      <c r="X250" s="434" t="s">
        <v>851</v>
      </c>
      <c r="Y250" s="435" t="s">
        <v>852</v>
      </c>
      <c r="Z250" s="434" t="s">
        <v>851</v>
      </c>
      <c r="AA250" s="435" t="s">
        <v>852</v>
      </c>
      <c r="AB250" s="434" t="s">
        <v>851</v>
      </c>
      <c r="AC250" s="435" t="s">
        <v>852</v>
      </c>
      <c r="AE250" s="995"/>
      <c r="AF250" s="1041"/>
      <c r="AG250" s="998"/>
      <c r="AH250" s="988"/>
      <c r="AI250" s="434" t="s">
        <v>851</v>
      </c>
      <c r="AJ250" s="435" t="s">
        <v>852</v>
      </c>
      <c r="AK250" s="434" t="s">
        <v>851</v>
      </c>
      <c r="AL250" s="435" t="s">
        <v>852</v>
      </c>
      <c r="AM250" s="434" t="s">
        <v>851</v>
      </c>
      <c r="AN250" s="435" t="s">
        <v>852</v>
      </c>
      <c r="AO250" s="434" t="s">
        <v>851</v>
      </c>
      <c r="AP250" s="435" t="s">
        <v>852</v>
      </c>
      <c r="AQ250" s="434" t="s">
        <v>851</v>
      </c>
      <c r="AR250" s="435" t="s">
        <v>852</v>
      </c>
    </row>
    <row r="251" spans="1:44" ht="14.7" customHeight="1" outlineLevel="1">
      <c r="B251" s="601" t="s">
        <v>853</v>
      </c>
      <c r="C251" s="602">
        <v>103</v>
      </c>
      <c r="D251" s="602">
        <v>104</v>
      </c>
      <c r="E251" s="603">
        <v>104</v>
      </c>
      <c r="F251" s="602">
        <v>104</v>
      </c>
      <c r="G251" s="602">
        <v>95</v>
      </c>
      <c r="H251" s="602">
        <v>106</v>
      </c>
      <c r="I251" s="602">
        <v>96</v>
      </c>
      <c r="J251" s="602">
        <v>107</v>
      </c>
      <c r="K251" s="607"/>
      <c r="L251" s="608" t="s">
        <v>926</v>
      </c>
      <c r="M251" s="430"/>
      <c r="N251" s="430"/>
      <c r="P251" s="1042" t="str">
        <f>C247</f>
        <v>Hot water boiler, Natural gas or biogas (Condensing)</v>
      </c>
      <c r="Q251" s="1030" t="s">
        <v>855</v>
      </c>
      <c r="R251" s="441" t="s">
        <v>856</v>
      </c>
      <c r="S251" s="442"/>
      <c r="T251" s="1033">
        <v>0</v>
      </c>
      <c r="U251" s="1021">
        <v>0</v>
      </c>
      <c r="V251" s="1033">
        <v>0</v>
      </c>
      <c r="W251" s="1021">
        <v>0</v>
      </c>
      <c r="X251" s="1033">
        <v>0</v>
      </c>
      <c r="Y251" s="1021">
        <v>0</v>
      </c>
      <c r="Z251" s="1033">
        <v>0</v>
      </c>
      <c r="AA251" s="1021">
        <v>0</v>
      </c>
      <c r="AB251" s="1033">
        <v>0</v>
      </c>
      <c r="AC251" s="1021">
        <v>0</v>
      </c>
      <c r="AE251" s="1027" t="str">
        <f>P251</f>
        <v>Hot water boiler, Natural gas or biogas (Condensing)</v>
      </c>
      <c r="AF251" s="1030" t="s">
        <v>855</v>
      </c>
      <c r="AG251" s="441" t="s">
        <v>856</v>
      </c>
      <c r="AH251" s="442"/>
      <c r="AI251" s="1033">
        <v>0</v>
      </c>
      <c r="AJ251" s="1021">
        <v>0</v>
      </c>
      <c r="AK251" s="1033">
        <v>0</v>
      </c>
      <c r="AL251" s="1021">
        <v>0</v>
      </c>
      <c r="AM251" s="1033">
        <v>0</v>
      </c>
      <c r="AN251" s="1021">
        <v>0</v>
      </c>
      <c r="AO251" s="1033">
        <v>0</v>
      </c>
      <c r="AP251" s="1021">
        <v>0</v>
      </c>
      <c r="AQ251" s="1033">
        <v>0</v>
      </c>
      <c r="AR251" s="1021">
        <v>0</v>
      </c>
    </row>
    <row r="252" spans="1:44" outlineLevel="1">
      <c r="B252" s="443" t="s">
        <v>857</v>
      </c>
      <c r="C252" s="444">
        <f>C251-2</f>
        <v>101</v>
      </c>
      <c r="D252" s="444">
        <f t="shared" ref="D252:J252" si="13">D251-1</f>
        <v>103</v>
      </c>
      <c r="E252" s="444">
        <f t="shared" si="13"/>
        <v>103</v>
      </c>
      <c r="F252" s="444">
        <f t="shared" si="13"/>
        <v>103</v>
      </c>
      <c r="G252" s="565">
        <f t="shared" si="13"/>
        <v>94</v>
      </c>
      <c r="H252" s="565">
        <f t="shared" si="13"/>
        <v>105</v>
      </c>
      <c r="I252" s="565">
        <f t="shared" si="13"/>
        <v>95</v>
      </c>
      <c r="J252" s="565">
        <f t="shared" si="13"/>
        <v>106</v>
      </c>
      <c r="K252" s="432"/>
      <c r="L252" s="433" t="s">
        <v>854</v>
      </c>
      <c r="M252" s="430"/>
      <c r="N252" s="430"/>
      <c r="O252" s="71"/>
      <c r="P252" s="1028"/>
      <c r="Q252" s="1031"/>
      <c r="R252" s="448" t="s">
        <v>858</v>
      </c>
      <c r="S252" s="449"/>
      <c r="T252" s="1034"/>
      <c r="U252" s="1022"/>
      <c r="V252" s="1034"/>
      <c r="W252" s="1022"/>
      <c r="X252" s="1034"/>
      <c r="Y252" s="1022"/>
      <c r="Z252" s="1034"/>
      <c r="AA252" s="1022"/>
      <c r="AB252" s="1034"/>
      <c r="AC252" s="1022"/>
      <c r="AE252" s="1028"/>
      <c r="AF252" s="1031"/>
      <c r="AG252" s="448" t="s">
        <v>858</v>
      </c>
      <c r="AH252" s="449"/>
      <c r="AI252" s="1034"/>
      <c r="AJ252" s="1022"/>
      <c r="AK252" s="1034"/>
      <c r="AL252" s="1022"/>
      <c r="AM252" s="1034"/>
      <c r="AN252" s="1022"/>
      <c r="AO252" s="1034"/>
      <c r="AP252" s="1022"/>
      <c r="AQ252" s="1034"/>
      <c r="AR252" s="1022"/>
    </row>
    <row r="253" spans="1:44" ht="15" outlineLevel="1" thickBot="1">
      <c r="B253" s="601" t="s">
        <v>859</v>
      </c>
      <c r="C253" s="604">
        <v>0.14000000000000001</v>
      </c>
      <c r="D253" s="605">
        <v>0.12</v>
      </c>
      <c r="E253" s="605">
        <v>0.11</v>
      </c>
      <c r="F253" s="606">
        <v>0.1</v>
      </c>
      <c r="G253" s="605">
        <v>0.1</v>
      </c>
      <c r="H253" s="605">
        <v>0.14000000000000001</v>
      </c>
      <c r="I253" s="605">
        <v>0.08</v>
      </c>
      <c r="J253" s="605">
        <v>0.12</v>
      </c>
      <c r="K253" s="607"/>
      <c r="L253" s="608">
        <v>3</v>
      </c>
      <c r="M253" s="430"/>
      <c r="N253" s="430"/>
      <c r="O253" s="71"/>
      <c r="P253" s="1028"/>
      <c r="Q253" s="1032"/>
      <c r="R253" s="453" t="s">
        <v>860</v>
      </c>
      <c r="S253" s="454"/>
      <c r="T253" s="1035"/>
      <c r="U253" s="1023"/>
      <c r="V253" s="1035"/>
      <c r="W253" s="1023"/>
      <c r="X253" s="1035"/>
      <c r="Y253" s="1023"/>
      <c r="Z253" s="1035"/>
      <c r="AA253" s="1023"/>
      <c r="AB253" s="1035"/>
      <c r="AC253" s="1023"/>
      <c r="AE253" s="1028"/>
      <c r="AF253" s="1032"/>
      <c r="AG253" s="453" t="s">
        <v>860</v>
      </c>
      <c r="AH253" s="454"/>
      <c r="AI253" s="1035"/>
      <c r="AJ253" s="1023"/>
      <c r="AK253" s="1035"/>
      <c r="AL253" s="1023"/>
      <c r="AM253" s="1035"/>
      <c r="AN253" s="1023"/>
      <c r="AO253" s="1035"/>
      <c r="AP253" s="1023"/>
      <c r="AQ253" s="1035"/>
      <c r="AR253" s="1023"/>
    </row>
    <row r="254" spans="1:44" ht="14.7" customHeight="1" outlineLevel="1">
      <c r="B254" s="601" t="s">
        <v>702</v>
      </c>
      <c r="C254" s="604">
        <v>1</v>
      </c>
      <c r="D254" s="604">
        <v>1</v>
      </c>
      <c r="E254" s="604">
        <v>1</v>
      </c>
      <c r="F254" s="604">
        <v>1</v>
      </c>
      <c r="G254" s="604">
        <v>0.08</v>
      </c>
      <c r="H254" s="604">
        <v>2</v>
      </c>
      <c r="I254" s="604">
        <v>0.08</v>
      </c>
      <c r="J254" s="604">
        <v>2</v>
      </c>
      <c r="K254" s="607"/>
      <c r="L254" s="608">
        <v>3</v>
      </c>
      <c r="M254" s="430"/>
      <c r="N254" s="430"/>
      <c r="O254" s="71"/>
      <c r="P254" s="1028"/>
      <c r="Q254" s="1030" t="s">
        <v>861</v>
      </c>
      <c r="R254" s="455" t="s">
        <v>862</v>
      </c>
      <c r="S254" s="456" t="s">
        <v>863</v>
      </c>
      <c r="T254" s="1033">
        <v>0</v>
      </c>
      <c r="U254" s="1033">
        <v>0.17</v>
      </c>
      <c r="V254" s="1033">
        <v>0</v>
      </c>
      <c r="W254" s="1033">
        <v>0</v>
      </c>
      <c r="X254" s="1033">
        <v>0</v>
      </c>
      <c r="Y254" s="1033">
        <v>0</v>
      </c>
      <c r="Z254" s="1033">
        <v>0</v>
      </c>
      <c r="AA254" s="1033">
        <v>0.06</v>
      </c>
      <c r="AB254" s="1033">
        <v>0</v>
      </c>
      <c r="AC254" s="1033">
        <v>0</v>
      </c>
      <c r="AE254" s="1028"/>
      <c r="AF254" s="1030" t="s">
        <v>861</v>
      </c>
      <c r="AG254" s="455" t="s">
        <v>862</v>
      </c>
      <c r="AH254" s="456" t="s">
        <v>863</v>
      </c>
      <c r="AI254" s="1033">
        <v>0</v>
      </c>
      <c r="AJ254" s="1033">
        <f>U254/4</f>
        <v>4.2500000000000003E-2</v>
      </c>
      <c r="AK254" s="1033">
        <v>0</v>
      </c>
      <c r="AL254" s="1033">
        <f>W254/4</f>
        <v>0</v>
      </c>
      <c r="AM254" s="1033">
        <v>0</v>
      </c>
      <c r="AN254" s="1033">
        <f>Y254/4</f>
        <v>0</v>
      </c>
      <c r="AO254" s="1033">
        <v>0</v>
      </c>
      <c r="AP254" s="1033">
        <f>AA254/4</f>
        <v>1.4999999999999999E-2</v>
      </c>
      <c r="AQ254" s="1033">
        <v>0</v>
      </c>
      <c r="AR254" s="1033">
        <f>AC254/4</f>
        <v>0</v>
      </c>
    </row>
    <row r="255" spans="1:44" outlineLevel="1">
      <c r="B255" s="601" t="s">
        <v>703</v>
      </c>
      <c r="C255" s="604">
        <v>0.4</v>
      </c>
      <c r="D255" s="604">
        <v>0.4</v>
      </c>
      <c r="E255" s="604">
        <v>0.4</v>
      </c>
      <c r="F255" s="604">
        <v>0.4</v>
      </c>
      <c r="G255" s="604">
        <v>0.3</v>
      </c>
      <c r="H255" s="604">
        <v>0.6</v>
      </c>
      <c r="I255" s="604">
        <v>0.3</v>
      </c>
      <c r="J255" s="604">
        <v>0.6</v>
      </c>
      <c r="K255" s="607"/>
      <c r="L255" s="608">
        <v>3</v>
      </c>
      <c r="M255" s="427"/>
      <c r="N255" s="427"/>
      <c r="O255" s="71"/>
      <c r="P255" s="1028"/>
      <c r="Q255" s="1031"/>
      <c r="R255" s="455" t="s">
        <v>864</v>
      </c>
      <c r="S255" s="456" t="s">
        <v>863</v>
      </c>
      <c r="T255" s="1050"/>
      <c r="U255" s="1050"/>
      <c r="V255" s="1050"/>
      <c r="W255" s="1050"/>
      <c r="X255" s="1050"/>
      <c r="Y255" s="1050"/>
      <c r="Z255" s="1050"/>
      <c r="AA255" s="1050"/>
      <c r="AB255" s="1050"/>
      <c r="AC255" s="1050"/>
      <c r="AE255" s="1028"/>
      <c r="AF255" s="1031"/>
      <c r="AG255" s="455" t="s">
        <v>864</v>
      </c>
      <c r="AH255" s="456" t="s">
        <v>863</v>
      </c>
      <c r="AI255" s="1050"/>
      <c r="AJ255" s="1050"/>
      <c r="AK255" s="1050"/>
      <c r="AL255" s="1050"/>
      <c r="AM255" s="1050"/>
      <c r="AN255" s="1050"/>
      <c r="AO255" s="1050"/>
      <c r="AP255" s="1050"/>
      <c r="AQ255" s="1050"/>
      <c r="AR255" s="1050"/>
    </row>
    <row r="256" spans="1:44" outlineLevel="1">
      <c r="B256" s="443" t="s">
        <v>11</v>
      </c>
      <c r="C256" s="457">
        <v>25</v>
      </c>
      <c r="D256" s="457">
        <v>25</v>
      </c>
      <c r="E256" s="457">
        <v>25</v>
      </c>
      <c r="F256" s="457">
        <v>25</v>
      </c>
      <c r="G256" s="459">
        <v>20</v>
      </c>
      <c r="H256" s="459">
        <v>30</v>
      </c>
      <c r="I256" s="459">
        <v>20</v>
      </c>
      <c r="J256" s="459">
        <v>30</v>
      </c>
      <c r="K256" s="432"/>
      <c r="L256" s="433" t="s">
        <v>865</v>
      </c>
      <c r="M256" s="423"/>
      <c r="N256" s="423"/>
      <c r="P256" s="1028"/>
      <c r="Q256" s="1031"/>
      <c r="R256" s="455" t="s">
        <v>866</v>
      </c>
      <c r="S256" s="456"/>
      <c r="T256" s="1050"/>
      <c r="U256" s="1050"/>
      <c r="V256" s="1050"/>
      <c r="W256" s="1050"/>
      <c r="X256" s="1050"/>
      <c r="Y256" s="1050"/>
      <c r="Z256" s="1050"/>
      <c r="AA256" s="1050"/>
      <c r="AB256" s="1050"/>
      <c r="AC256" s="1050"/>
      <c r="AE256" s="1028"/>
      <c r="AF256" s="1031"/>
      <c r="AG256" s="455" t="s">
        <v>866</v>
      </c>
      <c r="AH256" s="456" t="s">
        <v>863</v>
      </c>
      <c r="AI256" s="1050"/>
      <c r="AJ256" s="1050"/>
      <c r="AK256" s="1050"/>
      <c r="AL256" s="1050"/>
      <c r="AM256" s="1050"/>
      <c r="AN256" s="1050"/>
      <c r="AO256" s="1050"/>
      <c r="AP256" s="1050"/>
      <c r="AQ256" s="1050"/>
      <c r="AR256" s="1050"/>
    </row>
    <row r="257" spans="1:44" ht="15" outlineLevel="1" thickBot="1">
      <c r="B257" s="601" t="s">
        <v>273</v>
      </c>
      <c r="C257" s="604">
        <v>0.5</v>
      </c>
      <c r="D257" s="604">
        <v>0.5</v>
      </c>
      <c r="E257" s="604">
        <v>0.5</v>
      </c>
      <c r="F257" s="604">
        <v>0.5</v>
      </c>
      <c r="G257" s="604">
        <v>0.2</v>
      </c>
      <c r="H257" s="604">
        <v>0.7</v>
      </c>
      <c r="I257" s="604">
        <v>0.2</v>
      </c>
      <c r="J257" s="604">
        <v>0.7</v>
      </c>
      <c r="K257" s="607"/>
      <c r="L257" s="619"/>
      <c r="M257" s="423"/>
      <c r="N257" s="423"/>
      <c r="P257" s="1028"/>
      <c r="Q257" s="1031"/>
      <c r="R257" s="455" t="s">
        <v>867</v>
      </c>
      <c r="S257" s="456" t="s">
        <v>863</v>
      </c>
      <c r="T257" s="1050"/>
      <c r="U257" s="1050"/>
      <c r="V257" s="1050"/>
      <c r="W257" s="1050"/>
      <c r="X257" s="1050"/>
      <c r="Y257" s="1050"/>
      <c r="Z257" s="1050"/>
      <c r="AA257" s="1050"/>
      <c r="AB257" s="1050"/>
      <c r="AC257" s="1050"/>
      <c r="AE257" s="1028"/>
      <c r="AF257" s="1031"/>
      <c r="AG257" s="455" t="s">
        <v>867</v>
      </c>
      <c r="AH257" s="456"/>
      <c r="AI257" s="1050"/>
      <c r="AJ257" s="1050"/>
      <c r="AK257" s="1050"/>
      <c r="AL257" s="1050"/>
      <c r="AM257" s="1050"/>
      <c r="AN257" s="1050"/>
      <c r="AO257" s="1050"/>
      <c r="AP257" s="1050"/>
      <c r="AQ257" s="1050"/>
      <c r="AR257" s="1050"/>
    </row>
    <row r="258" spans="1:44" ht="15" outlineLevel="1" thickBot="1">
      <c r="B258" s="461" t="s">
        <v>868</v>
      </c>
      <c r="C258" s="462"/>
      <c r="D258" s="463"/>
      <c r="E258" s="464"/>
      <c r="F258" s="465"/>
      <c r="G258" s="466"/>
      <c r="H258" s="466"/>
      <c r="I258" s="466"/>
      <c r="J258" s="466"/>
      <c r="K258" s="467"/>
      <c r="L258" s="468"/>
      <c r="M258" s="423"/>
      <c r="N258" s="423"/>
      <c r="P258" s="1028"/>
      <c r="Q258" s="1031"/>
      <c r="R258" s="469" t="s">
        <v>869</v>
      </c>
      <c r="S258" s="470" t="s">
        <v>863</v>
      </c>
      <c r="T258" s="1051"/>
      <c r="U258" s="1051"/>
      <c r="V258" s="1051"/>
      <c r="W258" s="1051"/>
      <c r="X258" s="1051"/>
      <c r="Y258" s="1051"/>
      <c r="Z258" s="1051"/>
      <c r="AA258" s="1051"/>
      <c r="AB258" s="1051"/>
      <c r="AC258" s="1051"/>
      <c r="AE258" s="1028"/>
      <c r="AF258" s="1031"/>
      <c r="AG258" s="469" t="s">
        <v>869</v>
      </c>
      <c r="AH258" s="470" t="s">
        <v>863</v>
      </c>
      <c r="AI258" s="1051"/>
      <c r="AJ258" s="1051"/>
      <c r="AK258" s="1051"/>
      <c r="AL258" s="1051"/>
      <c r="AM258" s="1051"/>
      <c r="AN258" s="1051"/>
      <c r="AO258" s="1051"/>
      <c r="AP258" s="1051"/>
      <c r="AQ258" s="1051"/>
      <c r="AR258" s="1051"/>
    </row>
    <row r="259" spans="1:44" ht="29.4" outlineLevel="1" thickBot="1">
      <c r="B259" s="601" t="s">
        <v>708</v>
      </c>
      <c r="C259" s="604">
        <v>15</v>
      </c>
      <c r="D259" s="604">
        <v>15</v>
      </c>
      <c r="E259" s="604">
        <v>15</v>
      </c>
      <c r="F259" s="604">
        <v>15</v>
      </c>
      <c r="G259" s="605"/>
      <c r="H259" s="605"/>
      <c r="I259" s="605"/>
      <c r="J259" s="605"/>
      <c r="K259" s="607"/>
      <c r="L259" s="608">
        <v>3</v>
      </c>
      <c r="M259" s="423"/>
      <c r="N259" s="423"/>
      <c r="P259" s="1029"/>
      <c r="Q259" s="471" t="s">
        <v>870</v>
      </c>
      <c r="R259" s="472" t="s">
        <v>871</v>
      </c>
      <c r="S259" s="473" t="s">
        <v>863</v>
      </c>
      <c r="T259" s="474">
        <v>1</v>
      </c>
      <c r="U259" s="475">
        <v>1</v>
      </c>
      <c r="V259" s="474">
        <v>0</v>
      </c>
      <c r="W259" s="475">
        <v>0</v>
      </c>
      <c r="X259" s="474">
        <v>0</v>
      </c>
      <c r="Y259" s="475">
        <v>0</v>
      </c>
      <c r="Z259" s="474">
        <v>1</v>
      </c>
      <c r="AA259" s="475">
        <v>1</v>
      </c>
      <c r="AB259" s="474">
        <v>0</v>
      </c>
      <c r="AC259" s="477">
        <v>0</v>
      </c>
      <c r="AE259" s="1029"/>
      <c r="AF259" s="471" t="s">
        <v>870</v>
      </c>
      <c r="AG259" s="472" t="s">
        <v>871</v>
      </c>
      <c r="AH259" s="473" t="s">
        <v>863</v>
      </c>
      <c r="AI259" s="474">
        <v>1</v>
      </c>
      <c r="AJ259" s="475">
        <v>1</v>
      </c>
      <c r="AK259" s="474">
        <v>0</v>
      </c>
      <c r="AL259" s="475">
        <v>0</v>
      </c>
      <c r="AM259" s="474">
        <v>0</v>
      </c>
      <c r="AN259" s="475">
        <v>0</v>
      </c>
      <c r="AO259" s="474">
        <v>1</v>
      </c>
      <c r="AP259" s="475">
        <v>1</v>
      </c>
      <c r="AQ259" s="474">
        <v>0</v>
      </c>
      <c r="AR259" s="477">
        <v>0</v>
      </c>
    </row>
    <row r="260" spans="1:44" outlineLevel="1">
      <c r="B260" s="601" t="s">
        <v>709</v>
      </c>
      <c r="C260" s="604">
        <v>0.1</v>
      </c>
      <c r="D260" s="604">
        <v>0.1</v>
      </c>
      <c r="E260" s="604">
        <v>0.1</v>
      </c>
      <c r="F260" s="604">
        <v>0.1</v>
      </c>
      <c r="G260" s="609"/>
      <c r="H260" s="609"/>
      <c r="I260" s="609"/>
      <c r="J260" s="609"/>
      <c r="K260" s="610"/>
      <c r="L260" s="608">
        <v>3</v>
      </c>
      <c r="M260" s="423"/>
      <c r="N260" s="423"/>
    </row>
    <row r="261" spans="1:44" outlineLevel="1">
      <c r="B261" s="601" t="s">
        <v>711</v>
      </c>
      <c r="C261" s="604">
        <v>0.4</v>
      </c>
      <c r="D261" s="604">
        <v>0.4</v>
      </c>
      <c r="E261" s="604">
        <v>0.4</v>
      </c>
      <c r="F261" s="604">
        <v>0.4</v>
      </c>
      <c r="G261" s="609"/>
      <c r="H261" s="609"/>
      <c r="I261" s="609"/>
      <c r="J261" s="609"/>
      <c r="K261" s="610"/>
      <c r="L261" s="608">
        <v>3</v>
      </c>
      <c r="M261" s="480"/>
      <c r="N261" s="423"/>
    </row>
    <row r="262" spans="1:44" outlineLevel="1">
      <c r="B262" s="481" t="s">
        <v>12</v>
      </c>
      <c r="C262" s="459"/>
      <c r="D262" s="459"/>
      <c r="E262" s="459"/>
      <c r="F262" s="459"/>
      <c r="G262" s="482"/>
      <c r="H262" s="482"/>
      <c r="I262" s="482"/>
      <c r="J262" s="482"/>
      <c r="K262" s="483"/>
      <c r="L262" s="484"/>
      <c r="M262" s="480"/>
      <c r="N262" s="480"/>
    </row>
    <row r="263" spans="1:44" ht="15.6" outlineLevel="1">
      <c r="B263" s="443" t="s">
        <v>872</v>
      </c>
      <c r="C263" s="457">
        <v>0.3</v>
      </c>
      <c r="D263" s="457">
        <v>0.3</v>
      </c>
      <c r="E263" s="457">
        <v>0.3</v>
      </c>
      <c r="F263" s="457">
        <v>0.3</v>
      </c>
      <c r="G263" s="482"/>
      <c r="H263" s="485"/>
      <c r="I263" s="485"/>
      <c r="J263" s="485"/>
      <c r="K263" s="486" t="s">
        <v>59</v>
      </c>
      <c r="L263" s="487" t="s">
        <v>873</v>
      </c>
      <c r="M263" s="488"/>
      <c r="N263" s="488"/>
    </row>
    <row r="264" spans="1:44" outlineLevel="1">
      <c r="B264" s="443" t="s">
        <v>874</v>
      </c>
      <c r="C264" s="457">
        <v>0.1</v>
      </c>
      <c r="D264" s="457">
        <v>0.1</v>
      </c>
      <c r="E264" s="457">
        <v>0.1</v>
      </c>
      <c r="F264" s="457">
        <v>0.1</v>
      </c>
      <c r="G264" s="485"/>
      <c r="H264" s="485"/>
      <c r="I264" s="485"/>
      <c r="J264" s="485"/>
      <c r="K264" s="483"/>
      <c r="L264" s="487">
        <v>9</v>
      </c>
      <c r="M264" s="488"/>
      <c r="N264" s="488"/>
    </row>
    <row r="265" spans="1:44" ht="15.6" outlineLevel="1">
      <c r="B265" s="443" t="s">
        <v>875</v>
      </c>
      <c r="C265" s="457">
        <v>9</v>
      </c>
      <c r="D265" s="457">
        <v>7</v>
      </c>
      <c r="E265" s="457">
        <v>6</v>
      </c>
      <c r="F265" s="457">
        <v>6</v>
      </c>
      <c r="G265" s="485"/>
      <c r="H265" s="485"/>
      <c r="I265" s="485"/>
      <c r="J265" s="485"/>
      <c r="K265" s="483"/>
      <c r="L265" s="487" t="s">
        <v>873</v>
      </c>
      <c r="M265" s="488"/>
      <c r="N265" s="488"/>
      <c r="T265" s="239">
        <f>C$23</f>
        <v>0.3</v>
      </c>
      <c r="U265" s="239">
        <f t="shared" ref="U265:V265" si="14">D$23</f>
        <v>0.3</v>
      </c>
      <c r="V265" s="239">
        <f t="shared" si="14"/>
        <v>0.3</v>
      </c>
    </row>
    <row r="266" spans="1:44" outlineLevel="1">
      <c r="B266" s="443" t="s">
        <v>366</v>
      </c>
      <c r="C266" s="457">
        <v>3</v>
      </c>
      <c r="D266" s="457">
        <v>2</v>
      </c>
      <c r="E266" s="457">
        <v>2</v>
      </c>
      <c r="F266" s="457">
        <v>2</v>
      </c>
      <c r="G266" s="485"/>
      <c r="H266" s="485"/>
      <c r="I266" s="485"/>
      <c r="J266" s="485"/>
      <c r="K266" s="483"/>
      <c r="L266" s="487" t="s">
        <v>873</v>
      </c>
      <c r="M266" s="488"/>
      <c r="N266" s="488"/>
    </row>
    <row r="267" spans="1:44" ht="15" outlineLevel="1" thickBot="1">
      <c r="B267" s="489" t="s">
        <v>367</v>
      </c>
      <c r="C267" s="490">
        <v>1</v>
      </c>
      <c r="D267" s="490">
        <v>1</v>
      </c>
      <c r="E267" s="490">
        <v>1</v>
      </c>
      <c r="F267" s="490">
        <v>1</v>
      </c>
      <c r="G267" s="485"/>
      <c r="H267" s="485"/>
      <c r="I267" s="485"/>
      <c r="J267" s="485"/>
      <c r="K267" s="483"/>
      <c r="L267" s="487" t="s">
        <v>873</v>
      </c>
      <c r="M267" s="488"/>
      <c r="N267" s="488"/>
    </row>
    <row r="268" spans="1:44" ht="15" outlineLevel="1" thickBot="1">
      <c r="B268" s="491" t="s">
        <v>719</v>
      </c>
      <c r="C268" s="492"/>
      <c r="D268" s="463"/>
      <c r="E268" s="463"/>
      <c r="F268" s="493"/>
      <c r="G268" s="494"/>
      <c r="H268" s="466"/>
      <c r="I268" s="466"/>
      <c r="J268" s="466"/>
      <c r="K268" s="467"/>
      <c r="L268" s="468"/>
      <c r="M268" s="488"/>
      <c r="N268" s="488"/>
    </row>
    <row r="269" spans="1:44" ht="43.2" outlineLevel="1">
      <c r="A269" s="495" t="s">
        <v>922</v>
      </c>
      <c r="B269" s="496" t="s">
        <v>917</v>
      </c>
      <c r="C269" s="611">
        <f>0.8*0.06</f>
        <v>4.8000000000000001E-2</v>
      </c>
      <c r="D269" s="572">
        <f>0.8*0.05</f>
        <v>4.0000000000000008E-2</v>
      </c>
      <c r="E269" s="572">
        <f>0.8*0.05</f>
        <v>4.0000000000000008E-2</v>
      </c>
      <c r="F269" s="573">
        <f>0.8*0.05</f>
        <v>4.0000000000000008E-2</v>
      </c>
      <c r="G269" s="485"/>
      <c r="H269" s="485"/>
      <c r="I269" s="485"/>
      <c r="J269" s="485"/>
      <c r="K269" s="486" t="s">
        <v>16</v>
      </c>
      <c r="L269" s="500" t="s">
        <v>878</v>
      </c>
      <c r="M269" s="480"/>
      <c r="N269" s="480"/>
    </row>
    <row r="270" spans="1:44" outlineLevel="1">
      <c r="B270" s="501" t="s">
        <v>879</v>
      </c>
      <c r="C270" s="503">
        <v>65</v>
      </c>
      <c r="D270" s="502">
        <v>65</v>
      </c>
      <c r="E270" s="502">
        <v>65</v>
      </c>
      <c r="F270" s="502">
        <v>65</v>
      </c>
      <c r="G270" s="485"/>
      <c r="H270" s="485"/>
      <c r="I270" s="485"/>
      <c r="J270" s="485"/>
      <c r="K270" s="504"/>
      <c r="L270" s="433">
        <v>3</v>
      </c>
      <c r="M270" s="71"/>
      <c r="N270" s="480"/>
    </row>
    <row r="271" spans="1:44" outlineLevel="1">
      <c r="B271" s="501" t="s">
        <v>880</v>
      </c>
      <c r="C271" s="503">
        <f>100-C270</f>
        <v>35</v>
      </c>
      <c r="D271" s="503">
        <f>100-D270</f>
        <v>35</v>
      </c>
      <c r="E271" s="503">
        <f>100-E270</f>
        <v>35</v>
      </c>
      <c r="F271" s="503">
        <f>100-F270</f>
        <v>35</v>
      </c>
      <c r="G271" s="485"/>
      <c r="H271" s="485"/>
      <c r="I271" s="485"/>
      <c r="J271" s="485"/>
      <c r="K271" s="504"/>
      <c r="L271" s="433">
        <v>3</v>
      </c>
      <c r="M271" s="480"/>
      <c r="N271" s="480"/>
    </row>
    <row r="272" spans="1:44" outlineLevel="1">
      <c r="B272" s="443" t="s">
        <v>918</v>
      </c>
      <c r="C272" s="505">
        <f>2000/1000</f>
        <v>2</v>
      </c>
      <c r="D272" s="506">
        <f>1900/1000</f>
        <v>1.9</v>
      </c>
      <c r="E272" s="506">
        <f>1800/1000</f>
        <v>1.8</v>
      </c>
      <c r="F272" s="507">
        <f>1700/1000</f>
        <v>1.7</v>
      </c>
      <c r="G272" s="485"/>
      <c r="H272" s="485"/>
      <c r="I272" s="485"/>
      <c r="J272" s="485"/>
      <c r="K272" s="508"/>
      <c r="L272" s="433">
        <v>3</v>
      </c>
      <c r="M272" s="480"/>
      <c r="N272" s="480"/>
    </row>
    <row r="273" spans="2:30" outlineLevel="1">
      <c r="B273" s="443" t="s">
        <v>919</v>
      </c>
      <c r="C273" s="509">
        <f>1.1/3.6</f>
        <v>0.30555555555555558</v>
      </c>
      <c r="D273" s="509">
        <f>1/3.6</f>
        <v>0.27777777777777779</v>
      </c>
      <c r="E273" s="509">
        <f>1/3.6</f>
        <v>0.27777777777777779</v>
      </c>
      <c r="F273" s="509">
        <f>1/3.6</f>
        <v>0.27777777777777779</v>
      </c>
      <c r="G273" s="485"/>
      <c r="H273" s="485"/>
      <c r="I273" s="485"/>
      <c r="J273" s="485"/>
      <c r="K273" s="508"/>
      <c r="L273" s="433">
        <v>3</v>
      </c>
      <c r="M273" s="510"/>
      <c r="N273" s="421"/>
      <c r="P273" s="999">
        <f>C273</f>
        <v>0.30555555555555558</v>
      </c>
      <c r="Q273" s="977"/>
      <c r="R273" s="977"/>
      <c r="S273" s="977"/>
      <c r="T273" s="977"/>
      <c r="U273" s="1000"/>
    </row>
    <row r="274" spans="2:30" ht="15" outlineLevel="1" thickBot="1">
      <c r="B274" s="601" t="s">
        <v>883</v>
      </c>
      <c r="C274" s="612">
        <f>C253/100*73</f>
        <v>0.10220000000000001</v>
      </c>
      <c r="D274" s="612">
        <f>D253/100*75</f>
        <v>0.09</v>
      </c>
      <c r="E274" s="612">
        <f>E253/100*76</f>
        <v>8.3600000000000008E-2</v>
      </c>
      <c r="F274" s="612">
        <f>F253/100*76</f>
        <v>7.5999999999999998E-2</v>
      </c>
      <c r="G274" s="485"/>
      <c r="H274" s="485"/>
      <c r="I274" s="485"/>
      <c r="J274" s="485"/>
      <c r="K274" s="504" t="s">
        <v>20</v>
      </c>
      <c r="L274" s="433">
        <v>3</v>
      </c>
      <c r="M274" s="510"/>
      <c r="N274" s="421"/>
      <c r="P274" s="1001">
        <f>C274</f>
        <v>0.10220000000000001</v>
      </c>
      <c r="Q274" s="1002"/>
      <c r="R274" s="1002"/>
      <c r="S274" s="1002"/>
      <c r="T274" s="1002"/>
      <c r="U274" s="1003"/>
    </row>
    <row r="275" spans="2:30" outlineLevel="1">
      <c r="B275" s="601" t="s">
        <v>884</v>
      </c>
      <c r="C275" s="614">
        <f>C273-C274</f>
        <v>0.20335555555555557</v>
      </c>
      <c r="D275" s="614">
        <f>D273-D274</f>
        <v>0.18777777777777779</v>
      </c>
      <c r="E275" s="614">
        <f>E273-E274</f>
        <v>0.19417777777777778</v>
      </c>
      <c r="F275" s="614">
        <f>F273-F274</f>
        <v>0.20177777777777778</v>
      </c>
      <c r="G275" s="485"/>
      <c r="H275" s="485"/>
      <c r="I275" s="485"/>
      <c r="J275" s="485"/>
      <c r="K275" s="508"/>
      <c r="L275" s="433">
        <v>3</v>
      </c>
      <c r="M275" s="423"/>
      <c r="N275" s="423"/>
      <c r="P275" s="53" t="s">
        <v>357</v>
      </c>
    </row>
    <row r="276" spans="2:30" ht="27.6" outlineLevel="1">
      <c r="B276" s="501"/>
      <c r="C276" s="578"/>
      <c r="D276" s="578"/>
      <c r="E276" s="578"/>
      <c r="F276" s="578"/>
      <c r="G276" s="485"/>
      <c r="H276" s="485"/>
      <c r="I276" s="485"/>
      <c r="J276" s="485"/>
      <c r="K276" s="504"/>
      <c r="L276" s="484"/>
      <c r="M276" s="427"/>
      <c r="N276" s="42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4.6" outlineLevel="1" thickBot="1">
      <c r="B277" s="579"/>
      <c r="C277" s="502"/>
      <c r="D277" s="580"/>
      <c r="E277" s="580"/>
      <c r="F277" s="581"/>
      <c r="G277" s="485"/>
      <c r="H277" s="485"/>
      <c r="I277" s="485"/>
      <c r="J277" s="485"/>
      <c r="K277" s="508"/>
      <c r="L277" s="484"/>
      <c r="M277" s="423"/>
      <c r="N277" s="423"/>
      <c r="P277" s="50"/>
      <c r="Q277" s="50"/>
      <c r="R277" s="51"/>
      <c r="S277" s="51"/>
      <c r="T277" s="51"/>
      <c r="U277" s="51" t="s">
        <v>885</v>
      </c>
      <c r="V277" s="50" t="s">
        <v>886</v>
      </c>
      <c r="W277" s="50"/>
      <c r="X277" s="50"/>
      <c r="Y277" s="50"/>
      <c r="Z277" s="50"/>
      <c r="AA277" s="50"/>
      <c r="AB277" s="50"/>
      <c r="AC277" s="50"/>
      <c r="AD277" s="50"/>
    </row>
    <row r="278" spans="2:30" ht="43.8" outlineLevel="1" thickBot="1">
      <c r="B278" s="461" t="s">
        <v>727</v>
      </c>
      <c r="C278" s="462"/>
      <c r="D278" s="463"/>
      <c r="E278" s="464"/>
      <c r="F278" s="465"/>
      <c r="G278" s="466"/>
      <c r="H278" s="466"/>
      <c r="I278" s="466"/>
      <c r="J278" s="466"/>
      <c r="K278" s="519"/>
      <c r="L278" s="520"/>
      <c r="M278" s="423"/>
      <c r="N278" s="423"/>
      <c r="O278" s="521" t="s">
        <v>857</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616" t="s">
        <v>887</v>
      </c>
      <c r="C279" s="617">
        <v>3.5000000000000003E-2</v>
      </c>
      <c r="D279" s="617">
        <v>0.03</v>
      </c>
      <c r="E279" s="617">
        <v>0.03</v>
      </c>
      <c r="F279" s="617">
        <v>0.03</v>
      </c>
      <c r="G279" s="618"/>
      <c r="H279" s="618"/>
      <c r="I279" s="618"/>
      <c r="J279" s="618"/>
      <c r="K279" s="618" t="s">
        <v>76</v>
      </c>
      <c r="L279" s="619"/>
      <c r="M279" s="423"/>
      <c r="N279" s="423"/>
      <c r="O279" s="525">
        <f>C252</f>
        <v>101</v>
      </c>
      <c r="P279" s="526">
        <f>C248</f>
        <v>2020</v>
      </c>
      <c r="Q279" s="58">
        <f>P279</f>
        <v>2020</v>
      </c>
      <c r="R279" s="526">
        <f>O279/100</f>
        <v>1.01</v>
      </c>
      <c r="S279" s="58"/>
      <c r="T279" s="526">
        <f>C256</f>
        <v>25</v>
      </c>
      <c r="U279" s="527">
        <f>C286</f>
        <v>357.6</v>
      </c>
      <c r="V279" s="527">
        <f>C288</f>
        <v>14.9</v>
      </c>
      <c r="W279" s="527">
        <f>C289</f>
        <v>2.276388888888889</v>
      </c>
      <c r="X279" s="58"/>
      <c r="Y279" s="58"/>
      <c r="Z279" s="526">
        <f>C263</f>
        <v>0.3</v>
      </c>
      <c r="AA279" s="528">
        <f>C265</f>
        <v>9</v>
      </c>
      <c r="AB279" s="528">
        <f>C266</f>
        <v>3</v>
      </c>
      <c r="AC279" s="528">
        <f>C267</f>
        <v>1</v>
      </c>
      <c r="AD279" s="528">
        <f>C264</f>
        <v>0.1</v>
      </c>
    </row>
    <row r="280" spans="2:30" outlineLevel="1">
      <c r="B280" s="601" t="s">
        <v>888</v>
      </c>
      <c r="C280" s="620" t="s">
        <v>36</v>
      </c>
      <c r="D280" s="621" t="s">
        <v>36</v>
      </c>
      <c r="E280" s="621" t="s">
        <v>36</v>
      </c>
      <c r="F280" s="622" t="s">
        <v>36</v>
      </c>
      <c r="G280" s="622"/>
      <c r="H280" s="622"/>
      <c r="I280" s="622"/>
      <c r="J280" s="622"/>
      <c r="K280" s="623" t="s">
        <v>25</v>
      </c>
      <c r="L280" s="619"/>
      <c r="M280" s="423"/>
      <c r="N280" s="423"/>
      <c r="O280" s="525">
        <f>D252</f>
        <v>103</v>
      </c>
      <c r="P280" s="526">
        <f>D248</f>
        <v>2030</v>
      </c>
      <c r="Q280" s="58"/>
      <c r="R280" s="526">
        <f>O280/100</f>
        <v>1.03</v>
      </c>
      <c r="S280" s="58"/>
      <c r="T280" s="526">
        <f>D256</f>
        <v>25</v>
      </c>
      <c r="U280" s="527">
        <f>D286</f>
        <v>298.00000000000006</v>
      </c>
      <c r="V280" s="527">
        <f>D288</f>
        <v>14.154999999999999</v>
      </c>
      <c r="W280" s="527">
        <f>D289</f>
        <v>2.0694444444444446</v>
      </c>
      <c r="X280" s="58"/>
      <c r="Y280" s="58"/>
      <c r="Z280" s="526">
        <f>D263</f>
        <v>0.3</v>
      </c>
      <c r="AA280" s="528">
        <f>D265</f>
        <v>7</v>
      </c>
      <c r="AB280" s="528">
        <f>D266</f>
        <v>2</v>
      </c>
      <c r="AC280" s="528">
        <f>D267</f>
        <v>1</v>
      </c>
      <c r="AD280" s="528">
        <f>D264</f>
        <v>0.1</v>
      </c>
    </row>
    <row r="281" spans="2:30" outlineLevel="1">
      <c r="B281" s="601" t="s">
        <v>889</v>
      </c>
      <c r="C281" s="620" t="s">
        <v>36</v>
      </c>
      <c r="D281" s="621" t="s">
        <v>36</v>
      </c>
      <c r="E281" s="621" t="s">
        <v>36</v>
      </c>
      <c r="F281" s="622" t="s">
        <v>36</v>
      </c>
      <c r="G281" s="622"/>
      <c r="H281" s="622"/>
      <c r="I281" s="622"/>
      <c r="J281" s="622"/>
      <c r="K281" s="623"/>
      <c r="L281" s="619"/>
      <c r="M281" s="423"/>
      <c r="N281" s="423"/>
      <c r="O281" s="525">
        <f>E252</f>
        <v>103</v>
      </c>
      <c r="P281" s="526">
        <f>E248</f>
        <v>2040</v>
      </c>
      <c r="Q281" s="58"/>
      <c r="R281" s="526">
        <f>O281/100</f>
        <v>1.03</v>
      </c>
      <c r="S281" s="58"/>
      <c r="T281" s="526">
        <f>E256</f>
        <v>25</v>
      </c>
      <c r="U281" s="527">
        <f>E286</f>
        <v>298.00000000000006</v>
      </c>
      <c r="V281" s="527">
        <f>E288</f>
        <v>13.41</v>
      </c>
      <c r="W281" s="527">
        <f>E289</f>
        <v>2.0694444444444446</v>
      </c>
      <c r="X281" s="58"/>
      <c r="Y281" s="58"/>
      <c r="Z281" s="526">
        <f>E263</f>
        <v>0.3</v>
      </c>
      <c r="AA281" s="528">
        <f>E265</f>
        <v>6</v>
      </c>
      <c r="AB281" s="528">
        <f>E266</f>
        <v>2</v>
      </c>
      <c r="AC281" s="528">
        <f>E267</f>
        <v>1</v>
      </c>
      <c r="AD281" s="528">
        <f>E264</f>
        <v>0.1</v>
      </c>
    </row>
    <row r="282" spans="2:30" outlineLevel="1">
      <c r="B282" s="601" t="s">
        <v>890</v>
      </c>
      <c r="C282" s="624">
        <v>90</v>
      </c>
      <c r="D282" s="624">
        <v>90</v>
      </c>
      <c r="E282" s="624">
        <v>90</v>
      </c>
      <c r="F282" s="624">
        <v>90</v>
      </c>
      <c r="G282" s="625"/>
      <c r="H282" s="625"/>
      <c r="I282" s="625"/>
      <c r="J282" s="625"/>
      <c r="K282" s="625"/>
      <c r="L282" s="608">
        <v>3</v>
      </c>
      <c r="M282" s="423"/>
      <c r="N282" s="423"/>
      <c r="O282" s="525">
        <f>F252</f>
        <v>103</v>
      </c>
      <c r="P282" s="526">
        <f>F248</f>
        <v>2050</v>
      </c>
      <c r="Q282" s="58"/>
      <c r="R282" s="526">
        <f>O282/100</f>
        <v>1.03</v>
      </c>
      <c r="S282" s="58"/>
      <c r="T282" s="526">
        <f>F256</f>
        <v>25</v>
      </c>
      <c r="U282" s="527">
        <f>F286</f>
        <v>298.00000000000006</v>
      </c>
      <c r="V282" s="527">
        <f>F288</f>
        <v>12.664999999999999</v>
      </c>
      <c r="W282" s="527">
        <f>F289</f>
        <v>2.0694444444444446</v>
      </c>
      <c r="X282" s="58"/>
      <c r="Y282" s="58"/>
      <c r="Z282" s="526">
        <f>F263</f>
        <v>0.3</v>
      </c>
      <c r="AA282" s="528">
        <f>F265</f>
        <v>6</v>
      </c>
      <c r="AB282" s="528">
        <f>F266</f>
        <v>2</v>
      </c>
      <c r="AC282" s="528">
        <f>F267</f>
        <v>1</v>
      </c>
      <c r="AD282" s="528">
        <f>F264</f>
        <v>0.1</v>
      </c>
    </row>
    <row r="283" spans="2:30" outlineLevel="1">
      <c r="B283" s="626" t="s">
        <v>891</v>
      </c>
      <c r="C283" s="620"/>
      <c r="D283" s="621"/>
      <c r="E283" s="621"/>
      <c r="F283" s="622"/>
      <c r="G283" s="622"/>
      <c r="H283" s="622"/>
      <c r="I283" s="622"/>
      <c r="J283" s="622"/>
      <c r="K283" s="623"/>
      <c r="L283" s="619"/>
      <c r="M283" s="427"/>
      <c r="N283" s="427"/>
    </row>
    <row r="284" spans="2:30" outlineLevel="1">
      <c r="B284" s="626" t="s">
        <v>892</v>
      </c>
      <c r="C284" s="620"/>
      <c r="D284" s="621"/>
      <c r="E284" s="621"/>
      <c r="F284" s="622"/>
      <c r="G284" s="622"/>
      <c r="H284" s="622"/>
      <c r="I284" s="622"/>
      <c r="J284" s="622"/>
      <c r="K284" s="623"/>
      <c r="L284" s="619"/>
      <c r="M284" s="423"/>
      <c r="N284" s="423"/>
    </row>
    <row r="285" spans="2:30" ht="15" outlineLevel="1" thickBot="1">
      <c r="B285" s="627" t="s">
        <v>893</v>
      </c>
      <c r="C285" s="628"/>
      <c r="D285" s="628"/>
      <c r="E285" s="628"/>
      <c r="F285" s="628"/>
      <c r="G285" s="628"/>
      <c r="H285" s="628"/>
      <c r="I285" s="628"/>
      <c r="J285" s="628"/>
      <c r="K285" s="628"/>
      <c r="L285" s="629"/>
      <c r="M285" s="423"/>
      <c r="N285" s="423"/>
    </row>
    <row r="286" spans="2:30" ht="57.6" outlineLevel="1">
      <c r="B286" s="521" t="s">
        <v>894</v>
      </c>
      <c r="C286" s="543">
        <f>C269*$F$4*1000</f>
        <v>357.6</v>
      </c>
      <c r="D286" s="543">
        <f t="shared" ref="D286:F286" si="15">D269*$F$4*1000</f>
        <v>298.00000000000006</v>
      </c>
      <c r="E286" s="543">
        <f t="shared" si="15"/>
        <v>298.00000000000006</v>
      </c>
      <c r="F286" s="543">
        <f t="shared" si="15"/>
        <v>298.00000000000006</v>
      </c>
      <c r="G286" s="543"/>
      <c r="H286" s="544"/>
      <c r="I286" s="480" t="s">
        <v>332</v>
      </c>
      <c r="J286" s="480"/>
      <c r="K286" s="544"/>
      <c r="L286" s="544"/>
      <c r="N286" s="480"/>
    </row>
    <row r="287" spans="2:30" outlineLevel="1">
      <c r="B287" s="545" t="s">
        <v>895</v>
      </c>
      <c r="C287" s="546">
        <f>C286*$I287</f>
        <v>178800</v>
      </c>
      <c r="D287" s="546">
        <f>D286*$I287</f>
        <v>149000.00000000003</v>
      </c>
      <c r="E287" s="546">
        <f>E286*$I287</f>
        <v>149000.00000000003</v>
      </c>
      <c r="F287" s="546">
        <f>F286*$I287</f>
        <v>149000.00000000003</v>
      </c>
      <c r="G287" s="546"/>
      <c r="H287" s="544"/>
      <c r="I287" s="71">
        <v>500</v>
      </c>
      <c r="J287" s="480" t="s">
        <v>330</v>
      </c>
      <c r="K287" s="544"/>
      <c r="L287" s="544"/>
      <c r="N287" s="480"/>
    </row>
    <row r="288" spans="2:30" ht="43.2" outlineLevel="1">
      <c r="B288" s="521" t="s">
        <v>896</v>
      </c>
      <c r="C288" s="419">
        <f>C272*$F$4</f>
        <v>14.9</v>
      </c>
      <c r="D288" s="419">
        <f t="shared" ref="D288:F289" si="16">D272*$F$4</f>
        <v>14.154999999999999</v>
      </c>
      <c r="E288" s="419">
        <f t="shared" si="16"/>
        <v>13.41</v>
      </c>
      <c r="F288" s="419">
        <f t="shared" si="16"/>
        <v>12.664999999999999</v>
      </c>
      <c r="G288" s="419"/>
      <c r="I288" s="480" t="s">
        <v>333</v>
      </c>
      <c r="J288" s="480"/>
      <c r="N288" s="480"/>
    </row>
    <row r="289" spans="1:15" ht="43.2" outlineLevel="1">
      <c r="B289" s="521" t="s">
        <v>897</v>
      </c>
      <c r="C289" s="547">
        <f>C273*$F$4</f>
        <v>2.276388888888889</v>
      </c>
      <c r="D289" s="547">
        <f t="shared" si="16"/>
        <v>2.0694444444444446</v>
      </c>
      <c r="E289" s="547">
        <f t="shared" si="16"/>
        <v>2.0694444444444446</v>
      </c>
      <c r="F289" s="547">
        <f t="shared" si="16"/>
        <v>2.0694444444444446</v>
      </c>
      <c r="G289" s="419"/>
      <c r="M289" s="480"/>
      <c r="N289" s="480"/>
    </row>
    <row r="290" spans="1:15" outlineLevel="1"/>
    <row r="291" spans="1:15" outlineLevel="1">
      <c r="A291" s="548" t="s">
        <v>898</v>
      </c>
      <c r="B291" s="549"/>
      <c r="D291" s="550"/>
      <c r="E291" s="550"/>
      <c r="F291" s="550"/>
      <c r="G291" s="417"/>
      <c r="H291" s="417"/>
      <c r="I291" s="417"/>
      <c r="J291" s="417"/>
      <c r="K291" s="417"/>
      <c r="L291" s="417"/>
    </row>
    <row r="292" spans="1:15" outlineLevel="1">
      <c r="A292" s="551">
        <v>1</v>
      </c>
      <c r="B292" s="552" t="s">
        <v>899</v>
      </c>
      <c r="D292" s="550"/>
      <c r="E292" s="550"/>
      <c r="F292" s="550"/>
      <c r="G292" s="417"/>
      <c r="H292" s="417"/>
      <c r="I292" s="417"/>
      <c r="J292" s="417"/>
      <c r="K292" s="417"/>
      <c r="L292" s="417"/>
    </row>
    <row r="293" spans="1:15" outlineLevel="1">
      <c r="A293" s="551">
        <v>2</v>
      </c>
      <c r="B293" s="553" t="s">
        <v>900</v>
      </c>
      <c r="D293" s="550"/>
      <c r="E293" s="550"/>
      <c r="F293" s="550"/>
      <c r="G293" s="417"/>
      <c r="H293" s="417"/>
      <c r="I293" s="417"/>
      <c r="J293" s="417"/>
      <c r="K293" s="417"/>
      <c r="L293" s="417"/>
    </row>
    <row r="294" spans="1:15" outlineLevel="1">
      <c r="A294" s="551">
        <v>3</v>
      </c>
      <c r="B294" s="553" t="s">
        <v>901</v>
      </c>
      <c r="D294" s="550"/>
      <c r="E294" s="550"/>
      <c r="F294" s="550"/>
      <c r="G294" s="417"/>
      <c r="H294" s="417"/>
      <c r="I294" s="417"/>
      <c r="J294" s="417"/>
      <c r="K294" s="417"/>
      <c r="L294" s="417"/>
    </row>
    <row r="295" spans="1:15" outlineLevel="1">
      <c r="A295" s="551">
        <v>4</v>
      </c>
      <c r="B295" s="553" t="s">
        <v>902</v>
      </c>
      <c r="D295" s="550"/>
      <c r="E295" s="550"/>
      <c r="F295" s="550"/>
      <c r="G295" s="417"/>
      <c r="H295" s="417"/>
      <c r="I295" s="417"/>
      <c r="J295" s="417"/>
      <c r="K295" s="417"/>
      <c r="L295" s="417"/>
    </row>
    <row r="296" spans="1:15" outlineLevel="1">
      <c r="A296" s="417">
        <v>5</v>
      </c>
      <c r="B296" s="554" t="s">
        <v>903</v>
      </c>
      <c r="D296" s="550"/>
      <c r="E296" s="550"/>
      <c r="F296" s="550"/>
      <c r="G296" s="417"/>
      <c r="H296" s="417"/>
      <c r="I296" s="417"/>
      <c r="J296" s="417"/>
      <c r="K296" s="417"/>
      <c r="L296" s="417"/>
      <c r="M296" s="630"/>
      <c r="N296" s="549"/>
      <c r="O296" s="550"/>
    </row>
    <row r="297" spans="1:15" outlineLevel="1">
      <c r="A297" s="417">
        <v>6</v>
      </c>
      <c r="B297" s="552" t="s">
        <v>904</v>
      </c>
      <c r="D297" s="550"/>
      <c r="E297" s="550"/>
      <c r="F297" s="550"/>
      <c r="G297" s="417"/>
      <c r="H297" s="417"/>
      <c r="I297" s="417"/>
      <c r="J297" s="417"/>
      <c r="K297" s="417"/>
      <c r="L297" s="417"/>
      <c r="O297" s="550"/>
    </row>
    <row r="298" spans="1:15" outlineLevel="1">
      <c r="A298" s="417">
        <v>7</v>
      </c>
      <c r="B298" s="555" t="s">
        <v>899</v>
      </c>
      <c r="D298" s="550"/>
      <c r="E298" s="550"/>
      <c r="F298" s="550"/>
      <c r="G298" s="417"/>
      <c r="H298" s="417"/>
      <c r="I298" s="417"/>
      <c r="J298" s="417"/>
      <c r="K298" s="417"/>
      <c r="L298" s="417"/>
      <c r="O298" s="550"/>
    </row>
    <row r="299" spans="1:15" outlineLevel="1">
      <c r="A299" s="417">
        <v>8</v>
      </c>
      <c r="B299" s="555" t="s">
        <v>905</v>
      </c>
      <c r="D299" s="550"/>
      <c r="E299" s="550"/>
      <c r="F299" s="550"/>
      <c r="G299" s="417"/>
      <c r="H299" s="417"/>
      <c r="I299" s="417"/>
      <c r="J299" s="417"/>
      <c r="K299" s="417"/>
      <c r="L299" s="417"/>
      <c r="O299" s="550"/>
    </row>
    <row r="300" spans="1:15" outlineLevel="1">
      <c r="A300" s="417">
        <v>9</v>
      </c>
      <c r="B300" s="549" t="s">
        <v>906</v>
      </c>
      <c r="D300" s="550"/>
      <c r="E300" s="550"/>
      <c r="F300" s="550"/>
      <c r="G300" s="417"/>
      <c r="H300" s="417"/>
      <c r="I300" s="417"/>
      <c r="J300" s="417"/>
      <c r="K300" s="417"/>
      <c r="L300" s="417"/>
      <c r="O300" s="550"/>
    </row>
    <row r="301" spans="1:15" outlineLevel="1">
      <c r="A301" s="417">
        <v>10</v>
      </c>
      <c r="B301" s="550" t="s">
        <v>907</v>
      </c>
      <c r="D301" s="550"/>
      <c r="E301" s="550"/>
      <c r="F301" s="550"/>
      <c r="G301" s="417"/>
      <c r="H301" s="417"/>
      <c r="I301" s="417"/>
      <c r="J301" s="417"/>
      <c r="K301" s="417"/>
      <c r="L301" s="417"/>
      <c r="O301" s="550"/>
    </row>
    <row r="302" spans="1:15" outlineLevel="1">
      <c r="A302" s="548" t="s">
        <v>908</v>
      </c>
      <c r="B302" s="549"/>
      <c r="D302" s="550"/>
      <c r="E302" s="550"/>
      <c r="F302" s="550"/>
      <c r="G302" s="417"/>
      <c r="H302" s="417"/>
      <c r="I302" s="417"/>
      <c r="J302" s="417"/>
      <c r="K302" s="417"/>
      <c r="L302" s="417"/>
      <c r="O302" s="550"/>
    </row>
    <row r="303" spans="1:15" outlineLevel="1">
      <c r="A303" s="556" t="s">
        <v>6</v>
      </c>
      <c r="B303" s="557" t="s">
        <v>909</v>
      </c>
      <c r="D303" s="550"/>
      <c r="E303" s="550"/>
      <c r="F303" s="550"/>
      <c r="G303" s="417"/>
      <c r="H303" s="417"/>
      <c r="I303" s="417"/>
      <c r="J303" s="417"/>
      <c r="K303" s="417"/>
      <c r="L303" s="417"/>
      <c r="M303" s="630"/>
      <c r="N303" s="549"/>
      <c r="O303" s="550"/>
    </row>
    <row r="304" spans="1:15" outlineLevel="1">
      <c r="A304" s="556" t="s">
        <v>59</v>
      </c>
      <c r="B304" s="549" t="s">
        <v>911</v>
      </c>
      <c r="D304" s="550"/>
      <c r="E304" s="550"/>
      <c r="F304" s="550"/>
      <c r="G304" s="417"/>
      <c r="H304" s="417"/>
      <c r="I304" s="417"/>
      <c r="J304" s="417"/>
      <c r="K304" s="417"/>
      <c r="L304" s="417"/>
      <c r="M304" s="631"/>
      <c r="N304" s="549"/>
      <c r="O304" s="550"/>
    </row>
    <row r="305" spans="1:44" outlineLevel="1">
      <c r="A305" s="556" t="s">
        <v>16</v>
      </c>
      <c r="B305" s="549" t="s">
        <v>912</v>
      </c>
      <c r="D305" s="550"/>
      <c r="E305" s="550"/>
      <c r="F305" s="550"/>
      <c r="G305" s="417"/>
      <c r="H305" s="417"/>
      <c r="I305" s="417"/>
      <c r="J305" s="417"/>
      <c r="K305" s="417"/>
      <c r="L305" s="417"/>
      <c r="M305" s="632"/>
      <c r="N305" s="549"/>
      <c r="O305" s="550"/>
    </row>
    <row r="306" spans="1:44" outlineLevel="1">
      <c r="A306" s="556" t="s">
        <v>20</v>
      </c>
      <c r="B306" s="558" t="s">
        <v>913</v>
      </c>
      <c r="D306" s="550"/>
      <c r="E306" s="550"/>
      <c r="F306" s="550"/>
      <c r="G306" s="417"/>
      <c r="H306" s="417"/>
      <c r="I306" s="417"/>
      <c r="J306" s="417"/>
      <c r="K306" s="417"/>
      <c r="L306" s="417"/>
      <c r="M306" s="633"/>
      <c r="N306" s="549"/>
      <c r="O306" s="550"/>
    </row>
    <row r="307" spans="1:44" outlineLevel="1">
      <c r="A307" s="556" t="s">
        <v>76</v>
      </c>
      <c r="B307" s="549" t="s">
        <v>929</v>
      </c>
      <c r="D307" s="550"/>
      <c r="E307" s="550"/>
      <c r="F307" s="550"/>
      <c r="G307" s="417"/>
      <c r="H307" s="417"/>
      <c r="I307" s="417"/>
      <c r="J307" s="417"/>
      <c r="K307" s="417"/>
      <c r="L307" s="417"/>
      <c r="M307" s="633"/>
      <c r="N307" s="550"/>
      <c r="O307" s="550"/>
    </row>
    <row r="308" spans="1:44" outlineLevel="1">
      <c r="A308" s="556" t="s">
        <v>25</v>
      </c>
      <c r="B308" s="549" t="s">
        <v>914</v>
      </c>
      <c r="D308" s="550"/>
      <c r="E308" s="550"/>
      <c r="F308" s="550"/>
      <c r="G308" s="417"/>
      <c r="H308" s="417"/>
      <c r="I308" s="417"/>
      <c r="J308" s="417"/>
      <c r="K308" s="417"/>
      <c r="L308" s="417"/>
      <c r="M308" s="549"/>
      <c r="N308" s="550"/>
      <c r="O308" s="550"/>
    </row>
    <row r="309" spans="1:44" outlineLevel="1"/>
    <row r="312" spans="1:44" ht="15" thickBot="1">
      <c r="A312" s="420" t="s">
        <v>932</v>
      </c>
      <c r="P312" s="752">
        <v>1</v>
      </c>
      <c r="Q312" s="752">
        <v>2</v>
      </c>
      <c r="R312" s="752">
        <v>3</v>
      </c>
      <c r="S312" s="752">
        <v>4</v>
      </c>
      <c r="T312" s="752">
        <v>5</v>
      </c>
      <c r="U312" s="752">
        <v>6</v>
      </c>
      <c r="V312" s="752">
        <v>7</v>
      </c>
      <c r="W312" s="752">
        <v>8</v>
      </c>
      <c r="X312" s="752">
        <v>9</v>
      </c>
      <c r="Y312" s="752">
        <v>10</v>
      </c>
      <c r="Z312" s="752">
        <v>11</v>
      </c>
      <c r="AA312" s="752">
        <v>12</v>
      </c>
      <c r="AB312" s="752">
        <v>13</v>
      </c>
      <c r="AC312" s="752">
        <v>14</v>
      </c>
    </row>
    <row r="313" spans="1:44" ht="20.7" customHeight="1" thickBot="1">
      <c r="B313" s="422" t="s">
        <v>0</v>
      </c>
      <c r="C313" s="1043" t="s">
        <v>933</v>
      </c>
      <c r="D313" s="1044"/>
      <c r="E313" s="1044"/>
      <c r="F313" s="1044"/>
      <c r="G313" s="1044"/>
      <c r="H313" s="1044"/>
      <c r="I313" s="1044"/>
      <c r="J313" s="1044"/>
      <c r="K313" s="1044"/>
      <c r="L313" s="1045"/>
      <c r="M313" s="423"/>
      <c r="N313" s="423"/>
      <c r="P313" s="424" t="s">
        <v>838</v>
      </c>
      <c r="Q313" s="425"/>
      <c r="R313" s="426"/>
      <c r="S313" s="985" t="s">
        <v>839</v>
      </c>
      <c r="T313" s="989" t="s">
        <v>840</v>
      </c>
      <c r="U313" s="990"/>
      <c r="V313" s="989" t="s">
        <v>841</v>
      </c>
      <c r="W313" s="990"/>
      <c r="X313" s="989" t="s">
        <v>842</v>
      </c>
      <c r="Y313" s="990"/>
      <c r="Z313" s="989" t="s">
        <v>843</v>
      </c>
      <c r="AA313" s="990"/>
      <c r="AB313" s="989" t="s">
        <v>844</v>
      </c>
      <c r="AC313" s="990"/>
      <c r="AE313" s="424" t="s">
        <v>845</v>
      </c>
      <c r="AF313" s="425"/>
      <c r="AG313" s="426"/>
      <c r="AH313" s="985" t="s">
        <v>839</v>
      </c>
      <c r="AI313" s="989" t="s">
        <v>840</v>
      </c>
      <c r="AJ313" s="990"/>
      <c r="AK313" s="989" t="s">
        <v>841</v>
      </c>
      <c r="AL313" s="990"/>
      <c r="AM313" s="989" t="s">
        <v>842</v>
      </c>
      <c r="AN313" s="990"/>
      <c r="AO313" s="989" t="s">
        <v>843</v>
      </c>
      <c r="AP313" s="990"/>
      <c r="AQ313" s="989" t="s">
        <v>844</v>
      </c>
      <c r="AR313" s="990"/>
    </row>
    <row r="314" spans="1:44" ht="15" customHeight="1" thickBot="1">
      <c r="B314" s="1010" t="s">
        <v>4</v>
      </c>
      <c r="C314" s="1012">
        <v>2020</v>
      </c>
      <c r="D314" s="1012">
        <v>2030</v>
      </c>
      <c r="E314" s="1012">
        <v>2040</v>
      </c>
      <c r="F314" s="1012">
        <v>2050</v>
      </c>
      <c r="G314" s="1048" t="s">
        <v>846</v>
      </c>
      <c r="H314" s="1049"/>
      <c r="I314" s="1048" t="s">
        <v>693</v>
      </c>
      <c r="J314" s="1049"/>
      <c r="K314" s="1046" t="s">
        <v>2</v>
      </c>
      <c r="L314" s="1046" t="s">
        <v>3</v>
      </c>
      <c r="M314" s="427"/>
      <c r="N314" s="427"/>
      <c r="P314" s="993" t="s">
        <v>0</v>
      </c>
      <c r="Q314" s="428"/>
      <c r="R314" s="428"/>
      <c r="S314" s="986"/>
      <c r="T314" s="991"/>
      <c r="U314" s="992"/>
      <c r="V314" s="991"/>
      <c r="W314" s="992"/>
      <c r="X314" s="991"/>
      <c r="Y314" s="992"/>
      <c r="Z314" s="991"/>
      <c r="AA314" s="992"/>
      <c r="AB314" s="991"/>
      <c r="AC314" s="992"/>
      <c r="AE314" s="993" t="s">
        <v>0</v>
      </c>
      <c r="AF314" s="428"/>
      <c r="AG314" s="428"/>
      <c r="AH314" s="986"/>
      <c r="AI314" s="991"/>
      <c r="AJ314" s="992"/>
      <c r="AK314" s="991"/>
      <c r="AL314" s="992"/>
      <c r="AM314" s="991"/>
      <c r="AN314" s="992"/>
      <c r="AO314" s="991"/>
      <c r="AP314" s="992"/>
      <c r="AQ314" s="991"/>
      <c r="AR314" s="992"/>
    </row>
    <row r="315" spans="1:44" ht="15" customHeight="1" thickBot="1">
      <c r="B315" s="1011"/>
      <c r="C315" s="1013"/>
      <c r="D315" s="1013"/>
      <c r="E315" s="1013"/>
      <c r="F315" s="1013"/>
      <c r="G315" s="466" t="s">
        <v>694</v>
      </c>
      <c r="H315" s="466" t="s">
        <v>695</v>
      </c>
      <c r="I315" s="466" t="s">
        <v>694</v>
      </c>
      <c r="J315" s="466" t="s">
        <v>695</v>
      </c>
      <c r="K315" s="1047"/>
      <c r="L315" s="1047"/>
      <c r="M315" s="430"/>
      <c r="N315" s="430"/>
      <c r="P315" s="994"/>
      <c r="Q315" s="996" t="s">
        <v>847</v>
      </c>
      <c r="R315" s="997" t="s">
        <v>848</v>
      </c>
      <c r="S315" s="987"/>
      <c r="T315" s="991"/>
      <c r="U315" s="992"/>
      <c r="V315" s="991"/>
      <c r="W315" s="992"/>
      <c r="X315" s="991"/>
      <c r="Y315" s="992"/>
      <c r="Z315" s="991"/>
      <c r="AA315" s="992"/>
      <c r="AB315" s="991"/>
      <c r="AC315" s="992"/>
      <c r="AE315" s="994"/>
      <c r="AF315" s="996" t="s">
        <v>847</v>
      </c>
      <c r="AG315" s="997" t="s">
        <v>848</v>
      </c>
      <c r="AH315" s="987"/>
      <c r="AI315" s="991"/>
      <c r="AJ315" s="992"/>
      <c r="AK315" s="991"/>
      <c r="AL315" s="992"/>
      <c r="AM315" s="991"/>
      <c r="AN315" s="992"/>
      <c r="AO315" s="991"/>
      <c r="AP315" s="992"/>
      <c r="AQ315" s="991"/>
      <c r="AR315" s="992"/>
    </row>
    <row r="316" spans="1:44" ht="29.4" thickBot="1">
      <c r="B316" s="431" t="s">
        <v>696</v>
      </c>
      <c r="C316" s="432">
        <v>2.5</v>
      </c>
      <c r="D316" s="432">
        <v>2.5</v>
      </c>
      <c r="E316" s="432">
        <v>2.5</v>
      </c>
      <c r="F316" s="432">
        <v>2.5</v>
      </c>
      <c r="G316" s="432">
        <v>1</v>
      </c>
      <c r="H316" s="432">
        <v>10</v>
      </c>
      <c r="I316" s="432">
        <v>1</v>
      </c>
      <c r="J316" s="432">
        <v>10</v>
      </c>
      <c r="K316" s="432"/>
      <c r="L316" s="433">
        <v>2</v>
      </c>
      <c r="M316" s="430"/>
      <c r="N316" s="430"/>
      <c r="O316" s="74"/>
      <c r="P316" s="995"/>
      <c r="Q316" s="988"/>
      <c r="R316" s="998"/>
      <c r="S316" s="988"/>
      <c r="T316" s="434" t="s">
        <v>851</v>
      </c>
      <c r="U316" s="435" t="s">
        <v>852</v>
      </c>
      <c r="V316" s="434" t="s">
        <v>851</v>
      </c>
      <c r="W316" s="435" t="s">
        <v>852</v>
      </c>
      <c r="X316" s="434" t="s">
        <v>851</v>
      </c>
      <c r="Y316" s="435" t="s">
        <v>852</v>
      </c>
      <c r="Z316" s="434" t="s">
        <v>851</v>
      </c>
      <c r="AA316" s="435" t="s">
        <v>852</v>
      </c>
      <c r="AB316" s="434" t="s">
        <v>851</v>
      </c>
      <c r="AC316" s="435" t="s">
        <v>852</v>
      </c>
      <c r="AE316" s="995"/>
      <c r="AF316" s="988"/>
      <c r="AG316" s="998"/>
      <c r="AH316" s="988"/>
      <c r="AI316" s="434" t="s">
        <v>851</v>
      </c>
      <c r="AJ316" s="435" t="s">
        <v>852</v>
      </c>
      <c r="AK316" s="434" t="s">
        <v>851</v>
      </c>
      <c r="AL316" s="435" t="s">
        <v>852</v>
      </c>
      <c r="AM316" s="434" t="s">
        <v>851</v>
      </c>
      <c r="AN316" s="435" t="s">
        <v>852</v>
      </c>
      <c r="AO316" s="434" t="s">
        <v>851</v>
      </c>
      <c r="AP316" s="435" t="s">
        <v>852</v>
      </c>
      <c r="AQ316" s="434" t="s">
        <v>851</v>
      </c>
      <c r="AR316" s="435" t="s">
        <v>852</v>
      </c>
    </row>
    <row r="317" spans="1:44" ht="14.7" customHeight="1">
      <c r="B317" s="634" t="s">
        <v>853</v>
      </c>
      <c r="C317" s="635">
        <v>100</v>
      </c>
      <c r="D317" s="635">
        <v>100</v>
      </c>
      <c r="E317" s="635">
        <v>100</v>
      </c>
      <c r="F317" s="635">
        <v>100</v>
      </c>
      <c r="G317" s="636">
        <v>100</v>
      </c>
      <c r="H317" s="636">
        <v>100</v>
      </c>
      <c r="I317" s="636">
        <v>100</v>
      </c>
      <c r="J317" s="636">
        <v>100</v>
      </c>
      <c r="K317" s="432" t="s">
        <v>6</v>
      </c>
      <c r="L317" s="433">
        <v>2</v>
      </c>
      <c r="M317" s="430"/>
      <c r="N317" s="430"/>
      <c r="P317" s="1027" t="str">
        <f>C313</f>
        <v>Direct Firing, Natural Gas</v>
      </c>
      <c r="Q317" s="1030" t="s">
        <v>855</v>
      </c>
      <c r="R317" s="441" t="s">
        <v>856</v>
      </c>
      <c r="S317" s="442" t="s">
        <v>863</v>
      </c>
      <c r="T317" s="1033">
        <v>1</v>
      </c>
      <c r="U317" s="1021">
        <v>0</v>
      </c>
      <c r="V317" s="1033">
        <v>1</v>
      </c>
      <c r="W317" s="1021">
        <v>0</v>
      </c>
      <c r="X317" s="1033">
        <v>1</v>
      </c>
      <c r="Y317" s="1021">
        <v>0</v>
      </c>
      <c r="Z317" s="1033">
        <v>0.2</v>
      </c>
      <c r="AA317" s="1021">
        <v>0</v>
      </c>
      <c r="AB317" s="1024">
        <v>1</v>
      </c>
      <c r="AC317" s="1021">
        <v>0</v>
      </c>
      <c r="AE317" s="1027" t="str">
        <f>P317</f>
        <v>Direct Firing, Natural Gas</v>
      </c>
      <c r="AF317" s="1030" t="s">
        <v>855</v>
      </c>
      <c r="AG317" s="441" t="s">
        <v>856</v>
      </c>
      <c r="AH317" s="442" t="str">
        <f>S317</f>
        <v>x</v>
      </c>
      <c r="AI317" s="1033">
        <v>0.75</v>
      </c>
      <c r="AJ317" s="1021">
        <v>0</v>
      </c>
      <c r="AK317" s="1033">
        <v>0.75</v>
      </c>
      <c r="AL317" s="1021">
        <v>0</v>
      </c>
      <c r="AM317" s="1033">
        <v>0.4</v>
      </c>
      <c r="AN317" s="1021">
        <v>0</v>
      </c>
      <c r="AO317" s="1033">
        <v>0.2</v>
      </c>
      <c r="AP317" s="1021">
        <v>0</v>
      </c>
      <c r="AQ317" s="1024">
        <v>0.1</v>
      </c>
      <c r="AR317" s="1021">
        <v>0</v>
      </c>
    </row>
    <row r="318" spans="1:44">
      <c r="B318" s="443" t="s">
        <v>857</v>
      </c>
      <c r="C318" s="637">
        <v>100</v>
      </c>
      <c r="D318" s="637">
        <v>100</v>
      </c>
      <c r="E318" s="637">
        <v>100</v>
      </c>
      <c r="F318" s="637">
        <v>100</v>
      </c>
      <c r="G318" s="636">
        <v>100</v>
      </c>
      <c r="H318" s="636">
        <v>100</v>
      </c>
      <c r="I318" s="636">
        <v>100</v>
      </c>
      <c r="J318" s="636">
        <v>100</v>
      </c>
      <c r="K318" s="432" t="s">
        <v>6</v>
      </c>
      <c r="L318" s="433">
        <v>2</v>
      </c>
      <c r="M318" s="430"/>
      <c r="N318" s="430"/>
      <c r="O318" s="71"/>
      <c r="P318" s="1052"/>
      <c r="Q318" s="1031"/>
      <c r="R318" s="448" t="s">
        <v>858</v>
      </c>
      <c r="S318" s="449" t="s">
        <v>863</v>
      </c>
      <c r="T318" s="1034"/>
      <c r="U318" s="1022"/>
      <c r="V318" s="1034"/>
      <c r="W318" s="1022"/>
      <c r="X318" s="1034"/>
      <c r="Y318" s="1022"/>
      <c r="Z318" s="1034"/>
      <c r="AA318" s="1022"/>
      <c r="AB318" s="1025"/>
      <c r="AC318" s="1022"/>
      <c r="AE318" s="1052"/>
      <c r="AF318" s="1031"/>
      <c r="AG318" s="448" t="s">
        <v>858</v>
      </c>
      <c r="AH318" s="449" t="s">
        <v>863</v>
      </c>
      <c r="AI318" s="1034"/>
      <c r="AJ318" s="1022"/>
      <c r="AK318" s="1034"/>
      <c r="AL318" s="1022"/>
      <c r="AM318" s="1034"/>
      <c r="AN318" s="1022"/>
      <c r="AO318" s="1034"/>
      <c r="AP318" s="1022"/>
      <c r="AQ318" s="1025"/>
      <c r="AR318" s="1022"/>
    </row>
    <row r="319" spans="1:44" ht="15" thickBot="1">
      <c r="B319" s="634" t="s">
        <v>859</v>
      </c>
      <c r="C319" s="638">
        <v>0.25</v>
      </c>
      <c r="D319" s="638">
        <v>0.25</v>
      </c>
      <c r="E319" s="638">
        <v>0.25</v>
      </c>
      <c r="F319" s="638">
        <v>0.25</v>
      </c>
      <c r="G319" s="638">
        <v>0.1</v>
      </c>
      <c r="H319" s="638">
        <v>1</v>
      </c>
      <c r="I319" s="638">
        <v>0.1</v>
      </c>
      <c r="J319" s="638">
        <v>1</v>
      </c>
      <c r="K319" s="639"/>
      <c r="L319" s="640" t="s">
        <v>934</v>
      </c>
      <c r="M319" s="430"/>
      <c r="N319" s="430"/>
      <c r="O319" s="71"/>
      <c r="P319" s="1052"/>
      <c r="Q319" s="1032"/>
      <c r="R319" s="453" t="s">
        <v>860</v>
      </c>
      <c r="S319" s="454" t="s">
        <v>863</v>
      </c>
      <c r="T319" s="1035"/>
      <c r="U319" s="1023"/>
      <c r="V319" s="1035"/>
      <c r="W319" s="1023"/>
      <c r="X319" s="1035"/>
      <c r="Y319" s="1023"/>
      <c r="Z319" s="1035"/>
      <c r="AA319" s="1023"/>
      <c r="AB319" s="1026"/>
      <c r="AC319" s="1023"/>
      <c r="AE319" s="1052"/>
      <c r="AF319" s="1032"/>
      <c r="AG319" s="453" t="s">
        <v>860</v>
      </c>
      <c r="AH319" s="454" t="s">
        <v>863</v>
      </c>
      <c r="AI319" s="1035"/>
      <c r="AJ319" s="1023"/>
      <c r="AK319" s="1035"/>
      <c r="AL319" s="1023"/>
      <c r="AM319" s="1035"/>
      <c r="AN319" s="1023"/>
      <c r="AO319" s="1035"/>
      <c r="AP319" s="1023"/>
      <c r="AQ319" s="1026"/>
      <c r="AR319" s="1023"/>
    </row>
    <row r="320" spans="1:44" ht="14.7" customHeight="1">
      <c r="B320" s="634" t="s">
        <v>702</v>
      </c>
      <c r="C320" s="641">
        <v>0.25</v>
      </c>
      <c r="D320" s="641">
        <v>0.25</v>
      </c>
      <c r="E320" s="641">
        <v>0.25</v>
      </c>
      <c r="F320" s="641">
        <v>0.25</v>
      </c>
      <c r="G320" s="641">
        <v>0</v>
      </c>
      <c r="H320" s="641">
        <v>0.5</v>
      </c>
      <c r="I320" s="641">
        <v>0</v>
      </c>
      <c r="J320" s="641">
        <v>0.5</v>
      </c>
      <c r="K320" s="639"/>
      <c r="L320" s="640">
        <v>2</v>
      </c>
      <c r="M320" s="430"/>
      <c r="N320" s="430"/>
      <c r="O320" s="71"/>
      <c r="P320" s="1052"/>
      <c r="Q320" s="1054" t="s">
        <v>861</v>
      </c>
      <c r="R320" s="455" t="s">
        <v>862</v>
      </c>
      <c r="S320" s="456" t="s">
        <v>863</v>
      </c>
      <c r="T320" s="1033">
        <v>1</v>
      </c>
      <c r="U320" s="1033">
        <v>0</v>
      </c>
      <c r="V320" s="1033">
        <v>1</v>
      </c>
      <c r="W320" s="1033">
        <v>0</v>
      </c>
      <c r="X320" s="1033">
        <v>1</v>
      </c>
      <c r="Y320" s="1033">
        <v>0</v>
      </c>
      <c r="Z320" s="1033">
        <v>1</v>
      </c>
      <c r="AA320" s="1033">
        <v>0</v>
      </c>
      <c r="AB320" s="1033">
        <v>0</v>
      </c>
      <c r="AC320" s="1033">
        <v>0</v>
      </c>
      <c r="AE320" s="1052"/>
      <c r="AF320" s="1054" t="s">
        <v>861</v>
      </c>
      <c r="AG320" s="455" t="s">
        <v>862</v>
      </c>
      <c r="AH320" s="456" t="s">
        <v>863</v>
      </c>
      <c r="AI320" s="1033">
        <v>0.75</v>
      </c>
      <c r="AJ320" s="1033">
        <v>0</v>
      </c>
      <c r="AK320" s="1033">
        <v>0.75</v>
      </c>
      <c r="AL320" s="1033">
        <v>0</v>
      </c>
      <c r="AM320" s="1033">
        <v>0.3</v>
      </c>
      <c r="AN320" s="1033">
        <v>0</v>
      </c>
      <c r="AO320" s="1033">
        <v>0.75</v>
      </c>
      <c r="AP320" s="1033">
        <v>0</v>
      </c>
      <c r="AQ320" s="1033">
        <v>0</v>
      </c>
      <c r="AR320" s="1033">
        <v>0</v>
      </c>
    </row>
    <row r="321" spans="1:44">
      <c r="B321" s="634" t="s">
        <v>703</v>
      </c>
      <c r="C321" s="642">
        <v>0.5</v>
      </c>
      <c r="D321" s="642">
        <v>0.5</v>
      </c>
      <c r="E321" s="642">
        <v>0.5</v>
      </c>
      <c r="F321" s="642">
        <v>0.5</v>
      </c>
      <c r="G321" s="642">
        <v>0</v>
      </c>
      <c r="H321" s="642">
        <v>1</v>
      </c>
      <c r="I321" s="642">
        <v>0</v>
      </c>
      <c r="J321" s="642">
        <v>1</v>
      </c>
      <c r="K321" s="639"/>
      <c r="L321" s="640">
        <v>2</v>
      </c>
      <c r="M321" s="427"/>
      <c r="N321" s="427"/>
      <c r="O321" s="71"/>
      <c r="P321" s="1052"/>
      <c r="Q321" s="1055"/>
      <c r="R321" s="455" t="s">
        <v>864</v>
      </c>
      <c r="S321" s="456" t="s">
        <v>863</v>
      </c>
      <c r="T321" s="1050"/>
      <c r="U321" s="1050"/>
      <c r="V321" s="1050"/>
      <c r="W321" s="1050"/>
      <c r="X321" s="1050"/>
      <c r="Y321" s="1050"/>
      <c r="Z321" s="1050"/>
      <c r="AA321" s="1050"/>
      <c r="AB321" s="1034"/>
      <c r="AC321" s="1050"/>
      <c r="AE321" s="1052"/>
      <c r="AF321" s="1055"/>
      <c r="AG321" s="455" t="s">
        <v>864</v>
      </c>
      <c r="AH321" s="456" t="s">
        <v>863</v>
      </c>
      <c r="AI321" s="1050"/>
      <c r="AJ321" s="1050"/>
      <c r="AK321" s="1050"/>
      <c r="AL321" s="1050"/>
      <c r="AM321" s="1050"/>
      <c r="AN321" s="1050"/>
      <c r="AO321" s="1050"/>
      <c r="AP321" s="1050"/>
      <c r="AQ321" s="1034"/>
      <c r="AR321" s="1050"/>
    </row>
    <row r="322" spans="1:44">
      <c r="B322" s="443" t="s">
        <v>11</v>
      </c>
      <c r="C322" s="457">
        <v>15</v>
      </c>
      <c r="D322" s="457">
        <v>15</v>
      </c>
      <c r="E322" s="457">
        <v>15</v>
      </c>
      <c r="F322" s="457">
        <v>15</v>
      </c>
      <c r="G322" s="458">
        <v>10</v>
      </c>
      <c r="H322" s="458">
        <v>20</v>
      </c>
      <c r="I322" s="458">
        <v>10</v>
      </c>
      <c r="J322" s="458">
        <v>20</v>
      </c>
      <c r="K322" s="432"/>
      <c r="L322" s="433">
        <v>4</v>
      </c>
      <c r="M322" s="423"/>
      <c r="N322" s="423"/>
      <c r="P322" s="1052"/>
      <c r="Q322" s="1055"/>
      <c r="R322" s="455" t="s">
        <v>866</v>
      </c>
      <c r="S322" s="456"/>
      <c r="T322" s="1050"/>
      <c r="U322" s="1050"/>
      <c r="V322" s="1050"/>
      <c r="W322" s="1050"/>
      <c r="X322" s="1050"/>
      <c r="Y322" s="1050"/>
      <c r="Z322" s="1050"/>
      <c r="AA322" s="1050"/>
      <c r="AB322" s="1034"/>
      <c r="AC322" s="1050"/>
      <c r="AE322" s="1052"/>
      <c r="AF322" s="1055"/>
      <c r="AG322" s="455" t="s">
        <v>866</v>
      </c>
      <c r="AH322" s="456"/>
      <c r="AI322" s="1050"/>
      <c r="AJ322" s="1050"/>
      <c r="AK322" s="1050"/>
      <c r="AL322" s="1050"/>
      <c r="AM322" s="1050"/>
      <c r="AN322" s="1050"/>
      <c r="AO322" s="1050"/>
      <c r="AP322" s="1050"/>
      <c r="AQ322" s="1034"/>
      <c r="AR322" s="1050"/>
    </row>
    <row r="323" spans="1:44" ht="15" thickBot="1">
      <c r="B323" s="634" t="s">
        <v>273</v>
      </c>
      <c r="C323" s="642">
        <v>0.01</v>
      </c>
      <c r="D323" s="642">
        <v>0.01</v>
      </c>
      <c r="E323" s="642">
        <v>0.01</v>
      </c>
      <c r="F323" s="642">
        <v>0.01</v>
      </c>
      <c r="G323" s="642">
        <v>0.01</v>
      </c>
      <c r="H323" s="642">
        <v>0.04</v>
      </c>
      <c r="I323" s="642">
        <v>0.01</v>
      </c>
      <c r="J323" s="642">
        <v>0.04</v>
      </c>
      <c r="K323" s="432"/>
      <c r="L323" s="433">
        <v>2</v>
      </c>
      <c r="M323" s="423"/>
      <c r="N323" s="423"/>
      <c r="P323" s="1052"/>
      <c r="Q323" s="1055"/>
      <c r="R323" s="455" t="s">
        <v>867</v>
      </c>
      <c r="S323" s="456"/>
      <c r="T323" s="1050"/>
      <c r="U323" s="1050"/>
      <c r="V323" s="1050"/>
      <c r="W323" s="1050"/>
      <c r="X323" s="1050"/>
      <c r="Y323" s="1050"/>
      <c r="Z323" s="1050"/>
      <c r="AA323" s="1050"/>
      <c r="AB323" s="1034"/>
      <c r="AC323" s="1050"/>
      <c r="AE323" s="1052"/>
      <c r="AF323" s="1055"/>
      <c r="AG323" s="455" t="s">
        <v>867</v>
      </c>
      <c r="AH323" s="456"/>
      <c r="AI323" s="1050"/>
      <c r="AJ323" s="1050"/>
      <c r="AK323" s="1050"/>
      <c r="AL323" s="1050"/>
      <c r="AM323" s="1050"/>
      <c r="AN323" s="1050"/>
      <c r="AO323" s="1050"/>
      <c r="AP323" s="1050"/>
      <c r="AQ323" s="1034"/>
      <c r="AR323" s="1050"/>
    </row>
    <row r="324" spans="1:44" ht="15" thickBot="1">
      <c r="B324" s="461" t="s">
        <v>868</v>
      </c>
      <c r="C324" s="643"/>
      <c r="D324" s="644"/>
      <c r="E324" s="645"/>
      <c r="F324" s="646"/>
      <c r="G324" s="466"/>
      <c r="H324" s="466"/>
      <c r="I324" s="466"/>
      <c r="J324" s="466"/>
      <c r="K324" s="467"/>
      <c r="L324" s="647"/>
      <c r="M324" s="423"/>
      <c r="N324" s="423"/>
      <c r="P324" s="1052"/>
      <c r="Q324" s="1056"/>
      <c r="R324" s="469" t="s">
        <v>869</v>
      </c>
      <c r="S324" s="470" t="s">
        <v>863</v>
      </c>
      <c r="T324" s="1051"/>
      <c r="U324" s="1051"/>
      <c r="V324" s="1051"/>
      <c r="W324" s="1051"/>
      <c r="X324" s="1051"/>
      <c r="Y324" s="1051"/>
      <c r="Z324" s="1051"/>
      <c r="AA324" s="1051"/>
      <c r="AB324" s="1035"/>
      <c r="AC324" s="1051"/>
      <c r="AE324" s="1052"/>
      <c r="AF324" s="1056"/>
      <c r="AG324" s="469" t="s">
        <v>869</v>
      </c>
      <c r="AH324" s="470" t="s">
        <v>863</v>
      </c>
      <c r="AI324" s="1051"/>
      <c r="AJ324" s="1051"/>
      <c r="AK324" s="1051"/>
      <c r="AL324" s="1051"/>
      <c r="AM324" s="1051"/>
      <c r="AN324" s="1051"/>
      <c r="AO324" s="1051"/>
      <c r="AP324" s="1051"/>
      <c r="AQ324" s="1035"/>
      <c r="AR324" s="1051"/>
    </row>
    <row r="325" spans="1:44" ht="29.4" thickBot="1">
      <c r="B325" s="634" t="s">
        <v>708</v>
      </c>
      <c r="C325" s="648">
        <v>10</v>
      </c>
      <c r="D325" s="648">
        <v>10</v>
      </c>
      <c r="E325" s="648">
        <v>10</v>
      </c>
      <c r="F325" s="648">
        <v>10</v>
      </c>
      <c r="G325" s="649"/>
      <c r="H325" s="649"/>
      <c r="I325" s="650"/>
      <c r="J325" s="650"/>
      <c r="K325" s="639"/>
      <c r="L325" s="640">
        <v>6</v>
      </c>
      <c r="M325" s="423"/>
      <c r="N325" s="423"/>
      <c r="P325" s="1053"/>
      <c r="Q325" s="471" t="s">
        <v>870</v>
      </c>
      <c r="R325" s="472" t="s">
        <v>871</v>
      </c>
      <c r="S325" s="473"/>
      <c r="T325" s="651">
        <v>0</v>
      </c>
      <c r="U325" s="652">
        <v>0</v>
      </c>
      <c r="V325" s="653">
        <v>0</v>
      </c>
      <c r="W325" s="652">
        <v>0</v>
      </c>
      <c r="X325" s="653">
        <v>0</v>
      </c>
      <c r="Y325" s="652">
        <v>0</v>
      </c>
      <c r="Z325" s="653">
        <v>0</v>
      </c>
      <c r="AA325" s="652">
        <v>0</v>
      </c>
      <c r="AB325" s="653">
        <v>0</v>
      </c>
      <c r="AC325" s="654">
        <v>0</v>
      </c>
      <c r="AE325" s="1053"/>
      <c r="AF325" s="471" t="s">
        <v>870</v>
      </c>
      <c r="AG325" s="472" t="s">
        <v>871</v>
      </c>
      <c r="AH325" s="473"/>
      <c r="AI325" s="651">
        <v>0</v>
      </c>
      <c r="AJ325" s="652">
        <v>0</v>
      </c>
      <c r="AK325" s="653">
        <v>0</v>
      </c>
      <c r="AL325" s="652">
        <v>0</v>
      </c>
      <c r="AM325" s="653">
        <v>0</v>
      </c>
      <c r="AN325" s="652">
        <v>0</v>
      </c>
      <c r="AO325" s="653">
        <v>0</v>
      </c>
      <c r="AP325" s="652">
        <v>0</v>
      </c>
      <c r="AQ325" s="653">
        <v>0</v>
      </c>
      <c r="AR325" s="654">
        <v>0</v>
      </c>
    </row>
    <row r="326" spans="1:44">
      <c r="B326" s="634" t="s">
        <v>709</v>
      </c>
      <c r="C326" s="642">
        <v>0.01</v>
      </c>
      <c r="D326" s="642">
        <v>0.01</v>
      </c>
      <c r="E326" s="642">
        <v>0.01</v>
      </c>
      <c r="F326" s="642">
        <v>0.01</v>
      </c>
      <c r="G326" s="655"/>
      <c r="H326" s="655"/>
      <c r="I326" s="655"/>
      <c r="J326" s="655"/>
      <c r="K326" s="656"/>
      <c r="L326" s="640">
        <v>2</v>
      </c>
      <c r="M326" s="423"/>
      <c r="N326" s="423"/>
    </row>
    <row r="327" spans="1:44">
      <c r="B327" s="634" t="s">
        <v>711</v>
      </c>
      <c r="C327" s="642">
        <v>0.01</v>
      </c>
      <c r="D327" s="642">
        <v>0.01</v>
      </c>
      <c r="E327" s="642">
        <v>0.01</v>
      </c>
      <c r="F327" s="642">
        <v>0.01</v>
      </c>
      <c r="G327" s="655"/>
      <c r="H327" s="655"/>
      <c r="I327" s="655"/>
      <c r="J327" s="655"/>
      <c r="K327" s="656"/>
      <c r="L327" s="640">
        <v>2</v>
      </c>
      <c r="M327" s="480"/>
      <c r="N327" s="423"/>
    </row>
    <row r="328" spans="1:44">
      <c r="B328" s="481" t="s">
        <v>12</v>
      </c>
      <c r="C328" s="459"/>
      <c r="D328" s="459"/>
      <c r="E328" s="459"/>
      <c r="F328" s="459"/>
      <c r="G328" s="482"/>
      <c r="H328" s="482"/>
      <c r="I328" s="482"/>
      <c r="J328" s="482"/>
      <c r="K328" s="483"/>
      <c r="L328" s="657"/>
      <c r="M328" s="480"/>
      <c r="N328" s="480"/>
    </row>
    <row r="329" spans="1:44" ht="15.6">
      <c r="B329" s="443" t="s">
        <v>872</v>
      </c>
      <c r="C329" s="457">
        <v>0.3</v>
      </c>
      <c r="D329" s="457">
        <v>0.3</v>
      </c>
      <c r="E329" s="457">
        <v>0.3</v>
      </c>
      <c r="F329" s="457">
        <v>0.3</v>
      </c>
      <c r="G329" s="482"/>
      <c r="H329" s="485"/>
      <c r="I329" s="485"/>
      <c r="J329" s="485"/>
      <c r="K329" s="486"/>
      <c r="L329" s="487">
        <v>1</v>
      </c>
      <c r="M329" s="488"/>
      <c r="N329" s="488"/>
    </row>
    <row r="330" spans="1:44">
      <c r="B330" s="443" t="s">
        <v>874</v>
      </c>
      <c r="C330" s="457">
        <v>0.1</v>
      </c>
      <c r="D330" s="457">
        <v>0.1</v>
      </c>
      <c r="E330" s="457">
        <v>0.1</v>
      </c>
      <c r="F330" s="457">
        <v>0.1</v>
      </c>
      <c r="G330" s="485"/>
      <c r="H330" s="485"/>
      <c r="I330" s="485"/>
      <c r="J330" s="485"/>
      <c r="K330" s="483"/>
      <c r="L330" s="487">
        <v>1</v>
      </c>
      <c r="M330" s="488"/>
      <c r="N330" s="488"/>
    </row>
    <row r="331" spans="1:44" ht="15.6">
      <c r="B331" s="443" t="s">
        <v>875</v>
      </c>
      <c r="C331" s="457">
        <v>9</v>
      </c>
      <c r="D331" s="457">
        <v>7</v>
      </c>
      <c r="E331" s="457">
        <v>6</v>
      </c>
      <c r="F331" s="457">
        <v>6</v>
      </c>
      <c r="G331" s="485"/>
      <c r="H331" s="485"/>
      <c r="I331" s="485"/>
      <c r="J331" s="485"/>
      <c r="K331" s="483"/>
      <c r="L331" s="487">
        <v>1</v>
      </c>
      <c r="M331" s="488"/>
      <c r="N331" s="488"/>
      <c r="T331" s="239">
        <f>C$23</f>
        <v>0.3</v>
      </c>
      <c r="U331" s="239">
        <f t="shared" ref="U331:V331" si="17">D$23</f>
        <v>0.3</v>
      </c>
      <c r="V331" s="239">
        <f t="shared" si="17"/>
        <v>0.3</v>
      </c>
    </row>
    <row r="332" spans="1:44">
      <c r="B332" s="443" t="s">
        <v>366</v>
      </c>
      <c r="C332" s="457">
        <v>3</v>
      </c>
      <c r="D332" s="457">
        <v>2</v>
      </c>
      <c r="E332" s="457">
        <v>2</v>
      </c>
      <c r="F332" s="457">
        <v>2</v>
      </c>
      <c r="G332" s="485"/>
      <c r="H332" s="485"/>
      <c r="I332" s="485"/>
      <c r="J332" s="485"/>
      <c r="K332" s="483"/>
      <c r="L332" s="487">
        <v>1</v>
      </c>
      <c r="M332" s="488"/>
      <c r="N332" s="488"/>
    </row>
    <row r="333" spans="1:44" ht="15" thickBot="1">
      <c r="B333" s="489" t="s">
        <v>367</v>
      </c>
      <c r="C333" s="457">
        <v>1</v>
      </c>
      <c r="D333" s="457">
        <v>1</v>
      </c>
      <c r="E333" s="457">
        <v>1</v>
      </c>
      <c r="F333" s="457">
        <v>1</v>
      </c>
      <c r="G333" s="485"/>
      <c r="H333" s="485"/>
      <c r="I333" s="485"/>
      <c r="J333" s="485"/>
      <c r="K333" s="483"/>
      <c r="L333" s="487">
        <v>1</v>
      </c>
      <c r="M333" s="488"/>
      <c r="N333" s="488"/>
    </row>
    <row r="334" spans="1:44" ht="15" thickBot="1">
      <c r="B334" s="491" t="s">
        <v>719</v>
      </c>
      <c r="C334" s="658"/>
      <c r="D334" s="644"/>
      <c r="E334" s="644"/>
      <c r="F334" s="659"/>
      <c r="G334" s="494"/>
      <c r="H334" s="466"/>
      <c r="I334" s="466"/>
      <c r="J334" s="466"/>
      <c r="K334" s="467"/>
      <c r="L334" s="647"/>
      <c r="M334" s="488"/>
      <c r="N334" s="488"/>
    </row>
    <row r="335" spans="1:44" ht="43.2">
      <c r="A335" s="495" t="s">
        <v>922</v>
      </c>
      <c r="B335" s="496" t="s">
        <v>917</v>
      </c>
      <c r="C335" s="660">
        <v>1.4999999999999999E-2</v>
      </c>
      <c r="D335" s="660">
        <v>1.4999999999999999E-2</v>
      </c>
      <c r="E335" s="660">
        <v>1.4999999999999999E-2</v>
      </c>
      <c r="F335" s="660">
        <v>1.4999999999999999E-2</v>
      </c>
      <c r="G335" s="485"/>
      <c r="H335" s="485"/>
      <c r="I335" s="485"/>
      <c r="J335" s="485"/>
      <c r="K335" s="486" t="s">
        <v>59</v>
      </c>
      <c r="L335" s="500" t="s">
        <v>935</v>
      </c>
      <c r="M335" s="480"/>
      <c r="N335" s="480"/>
    </row>
    <row r="336" spans="1:44">
      <c r="B336" s="501" t="s">
        <v>879</v>
      </c>
      <c r="C336" s="661">
        <v>66.666666666666657</v>
      </c>
      <c r="D336" s="661">
        <v>66.666666666666657</v>
      </c>
      <c r="E336" s="661">
        <v>66.666666666666657</v>
      </c>
      <c r="F336" s="661">
        <v>66.666666666666657</v>
      </c>
      <c r="G336" s="485"/>
      <c r="H336" s="485"/>
      <c r="I336" s="485"/>
      <c r="J336" s="485"/>
      <c r="K336" s="504"/>
      <c r="L336" s="433">
        <v>7</v>
      </c>
      <c r="M336" s="71"/>
      <c r="N336" s="480"/>
    </row>
    <row r="337" spans="2:30">
      <c r="B337" s="501" t="s">
        <v>880</v>
      </c>
      <c r="C337" s="661">
        <v>33.333333333333343</v>
      </c>
      <c r="D337" s="661">
        <v>33.333333333333343</v>
      </c>
      <c r="E337" s="661">
        <v>33.333333333333343</v>
      </c>
      <c r="F337" s="661">
        <v>33.333333333333343</v>
      </c>
      <c r="G337" s="485"/>
      <c r="H337" s="485"/>
      <c r="I337" s="485"/>
      <c r="J337" s="485"/>
      <c r="K337" s="504"/>
      <c r="L337" s="433">
        <v>7</v>
      </c>
      <c r="M337" s="480"/>
      <c r="N337" s="480"/>
    </row>
    <row r="338" spans="2:30">
      <c r="B338" s="443" t="s">
        <v>918</v>
      </c>
      <c r="C338" s="662">
        <f>181.818181818182/1000</f>
        <v>0.18181818181818202</v>
      </c>
      <c r="D338" s="663">
        <f>177.272727272727/1000</f>
        <v>0.177272727272727</v>
      </c>
      <c r="E338" s="663">
        <f>172.727272727273/1000</f>
        <v>0.17272727272727301</v>
      </c>
      <c r="F338" s="664">
        <f>154.545454545455/1000</f>
        <v>0.15454545454545499</v>
      </c>
      <c r="G338" s="485"/>
      <c r="H338" s="485"/>
      <c r="I338" s="485"/>
      <c r="J338" s="485"/>
      <c r="K338" s="504" t="s">
        <v>16</v>
      </c>
      <c r="L338" s="433" t="s">
        <v>936</v>
      </c>
      <c r="M338" s="480"/>
      <c r="N338" s="480"/>
    </row>
    <row r="339" spans="2:30">
      <c r="B339" s="443" t="s">
        <v>919</v>
      </c>
      <c r="C339" s="665">
        <f>(C340+C341)/3.6</f>
        <v>7.8472222222222207E-2</v>
      </c>
      <c r="D339" s="665">
        <f>(D340+D341)/3.6</f>
        <v>7.7083333333333337E-2</v>
      </c>
      <c r="E339" s="665">
        <f>(E340+E341)/3.6</f>
        <v>7.7777777777777779E-2</v>
      </c>
      <c r="F339" s="665">
        <f>(F340+F341)/3.6</f>
        <v>7.7777777777777779E-2</v>
      </c>
      <c r="G339" s="485"/>
      <c r="H339" s="485"/>
      <c r="I339" s="485"/>
      <c r="J339" s="485"/>
      <c r="K339" s="504"/>
      <c r="L339" s="433">
        <v>1</v>
      </c>
      <c r="M339" s="510"/>
      <c r="N339" s="421"/>
      <c r="P339" s="999">
        <f>C339</f>
        <v>7.8472222222222207E-2</v>
      </c>
      <c r="Q339" s="977"/>
      <c r="R339" s="977"/>
      <c r="S339" s="977"/>
      <c r="T339" s="977"/>
      <c r="U339" s="1000"/>
    </row>
    <row r="340" spans="2:30" ht="15" thickBot="1">
      <c r="B340" s="601" t="s">
        <v>883</v>
      </c>
      <c r="C340" s="612">
        <f>C319/100*73</f>
        <v>0.1825</v>
      </c>
      <c r="D340" s="612">
        <f>D319/100*75</f>
        <v>0.1875</v>
      </c>
      <c r="E340" s="612">
        <f>E319/100*76</f>
        <v>0.19</v>
      </c>
      <c r="F340" s="612">
        <f>F319/100*76</f>
        <v>0.19</v>
      </c>
      <c r="G340" s="613"/>
      <c r="H340" s="613"/>
      <c r="I340" s="613"/>
      <c r="J340" s="613"/>
      <c r="K340" s="607" t="s">
        <v>20</v>
      </c>
      <c r="L340" s="608">
        <v>7</v>
      </c>
      <c r="M340" s="510"/>
      <c r="N340" s="421"/>
      <c r="P340" s="1001">
        <f>C340</f>
        <v>0.1825</v>
      </c>
      <c r="Q340" s="1002"/>
      <c r="R340" s="1002"/>
      <c r="S340" s="1002"/>
      <c r="T340" s="1002"/>
      <c r="U340" s="1003"/>
    </row>
    <row r="341" spans="2:30">
      <c r="B341" s="601" t="s">
        <v>884</v>
      </c>
      <c r="C341" s="666">
        <v>0.1</v>
      </c>
      <c r="D341" s="666">
        <v>9.0000000000000011E-2</v>
      </c>
      <c r="E341" s="666">
        <v>9.0000000000000011E-2</v>
      </c>
      <c r="F341" s="666">
        <v>9.0000000000000011E-2</v>
      </c>
      <c r="G341" s="613"/>
      <c r="H341" s="613"/>
      <c r="I341" s="613"/>
      <c r="J341" s="613"/>
      <c r="K341" s="607" t="s">
        <v>16</v>
      </c>
      <c r="L341" s="608">
        <v>1</v>
      </c>
      <c r="M341" s="423"/>
      <c r="N341" s="423"/>
      <c r="P341" s="53" t="s">
        <v>357</v>
      </c>
    </row>
    <row r="342" spans="2:30" ht="27.6">
      <c r="B342" s="601"/>
      <c r="C342" s="667"/>
      <c r="D342" s="607"/>
      <c r="E342" s="607"/>
      <c r="F342" s="623"/>
      <c r="G342" s="610"/>
      <c r="H342" s="610"/>
      <c r="I342" s="610"/>
      <c r="J342" s="610"/>
      <c r="K342" s="607"/>
      <c r="L342" s="668"/>
      <c r="M342" s="427"/>
      <c r="N342" s="427"/>
      <c r="P342" s="46" t="s">
        <v>335</v>
      </c>
      <c r="Q342" s="46" t="s">
        <v>336</v>
      </c>
      <c r="R342" s="47" t="s">
        <v>337</v>
      </c>
      <c r="S342" s="47" t="s">
        <v>338</v>
      </c>
      <c r="T342" s="47" t="s">
        <v>339</v>
      </c>
      <c r="U342" s="48" t="s">
        <v>340</v>
      </c>
      <c r="V342" s="49" t="s">
        <v>341</v>
      </c>
      <c r="W342" s="49" t="s">
        <v>342</v>
      </c>
      <c r="X342" s="49" t="s">
        <v>343</v>
      </c>
      <c r="Y342" s="49" t="s">
        <v>344</v>
      </c>
      <c r="Z342" s="49" t="s">
        <v>345</v>
      </c>
      <c r="AA342" s="49" t="s">
        <v>346</v>
      </c>
      <c r="AB342" s="49" t="s">
        <v>347</v>
      </c>
      <c r="AC342" s="49" t="s">
        <v>348</v>
      </c>
      <c r="AD342" s="49" t="s">
        <v>349</v>
      </c>
    </row>
    <row r="343" spans="2:30" ht="24.6" thickBot="1">
      <c r="B343" s="626"/>
      <c r="C343" s="667"/>
      <c r="D343" s="669"/>
      <c r="E343" s="669"/>
      <c r="F343" s="670"/>
      <c r="G343" s="610"/>
      <c r="H343" s="610"/>
      <c r="I343" s="610"/>
      <c r="J343" s="610"/>
      <c r="K343" s="607"/>
      <c r="L343" s="668"/>
      <c r="M343" s="423"/>
      <c r="N343" s="423"/>
      <c r="O343" s="71" t="s">
        <v>937</v>
      </c>
      <c r="P343" s="50"/>
      <c r="Q343" s="50"/>
      <c r="R343" s="51"/>
      <c r="S343" s="51"/>
      <c r="T343" s="51"/>
      <c r="U343" s="51" t="s">
        <v>885</v>
      </c>
      <c r="V343" s="50" t="s">
        <v>886</v>
      </c>
      <c r="W343" s="50"/>
      <c r="X343" s="50"/>
      <c r="Y343" s="50"/>
      <c r="Z343" s="50"/>
      <c r="AA343" s="50"/>
      <c r="AB343" s="50"/>
      <c r="AC343" s="50"/>
      <c r="AD343" s="50"/>
    </row>
    <row r="344" spans="2:30" ht="43.8" thickBot="1">
      <c r="B344" s="671" t="s">
        <v>727</v>
      </c>
      <c r="C344" s="672"/>
      <c r="D344" s="673"/>
      <c r="E344" s="674"/>
      <c r="F344" s="675"/>
      <c r="G344" s="600"/>
      <c r="H344" s="600"/>
      <c r="I344" s="600"/>
      <c r="J344" s="600"/>
      <c r="K344" s="676"/>
      <c r="L344" s="677"/>
      <c r="M344" s="423"/>
      <c r="N344" s="423"/>
      <c r="O344" s="521" t="s">
        <v>857</v>
      </c>
      <c r="P344" s="56"/>
      <c r="Q344" s="56"/>
      <c r="R344" s="57"/>
      <c r="S344" s="57"/>
      <c r="T344" s="57"/>
      <c r="U344" s="56" t="s">
        <v>350</v>
      </c>
      <c r="V344" s="56" t="s">
        <v>326</v>
      </c>
      <c r="W344" s="56" t="s">
        <v>327</v>
      </c>
      <c r="X344" s="56" t="s">
        <v>351</v>
      </c>
      <c r="Y344" s="56" t="s">
        <v>351</v>
      </c>
      <c r="Z344" s="56" t="s">
        <v>352</v>
      </c>
      <c r="AA344" s="56" t="s">
        <v>352</v>
      </c>
      <c r="AB344" s="56" t="s">
        <v>352</v>
      </c>
      <c r="AC344" s="56" t="s">
        <v>352</v>
      </c>
      <c r="AD344" s="56" t="s">
        <v>352</v>
      </c>
    </row>
    <row r="345" spans="2:30">
      <c r="B345" s="616" t="s">
        <v>887</v>
      </c>
      <c r="C345" s="678" t="s">
        <v>36</v>
      </c>
      <c r="D345" s="678" t="s">
        <v>36</v>
      </c>
      <c r="E345" s="678" t="s">
        <v>36</v>
      </c>
      <c r="F345" s="678" t="s">
        <v>36</v>
      </c>
      <c r="G345" s="678"/>
      <c r="H345" s="678"/>
      <c r="I345" s="678"/>
      <c r="J345" s="678"/>
      <c r="K345" s="678" t="s">
        <v>76</v>
      </c>
      <c r="L345" s="679" t="s">
        <v>36</v>
      </c>
      <c r="M345" s="423"/>
      <c r="N345" s="423"/>
      <c r="O345" s="525">
        <f>C318</f>
        <v>100</v>
      </c>
      <c r="P345" s="526">
        <f>C314</f>
        <v>2020</v>
      </c>
      <c r="Q345" s="58">
        <f>P345</f>
        <v>2020</v>
      </c>
      <c r="R345" s="526">
        <f>O345/100</f>
        <v>1</v>
      </c>
      <c r="S345" s="58"/>
      <c r="T345" s="526">
        <f>C322</f>
        <v>15</v>
      </c>
      <c r="U345" s="527">
        <f>C352</f>
        <v>111.75</v>
      </c>
      <c r="V345" s="750">
        <f>C354</f>
        <v>1.3545454545454561</v>
      </c>
      <c r="W345" s="750">
        <f>C355</f>
        <v>0.58461805555555546</v>
      </c>
      <c r="X345" s="58"/>
      <c r="Y345" s="58"/>
      <c r="Z345" s="526">
        <f>C329</f>
        <v>0.3</v>
      </c>
      <c r="AA345" s="528">
        <f>C331</f>
        <v>9</v>
      </c>
      <c r="AB345" s="528">
        <f>C332</f>
        <v>3</v>
      </c>
      <c r="AC345" s="528">
        <f>C333</f>
        <v>1</v>
      </c>
      <c r="AD345" s="528">
        <f>C330</f>
        <v>0.1</v>
      </c>
    </row>
    <row r="346" spans="2:30">
      <c r="B346" s="601" t="s">
        <v>888</v>
      </c>
      <c r="C346" s="618" t="s">
        <v>36</v>
      </c>
      <c r="D346" s="618" t="s">
        <v>36</v>
      </c>
      <c r="E346" s="618" t="s">
        <v>36</v>
      </c>
      <c r="F346" s="618" t="s">
        <v>36</v>
      </c>
      <c r="G346" s="623"/>
      <c r="H346" s="623"/>
      <c r="I346" s="623"/>
      <c r="J346" s="623"/>
      <c r="K346" s="623"/>
      <c r="L346" s="608" t="s">
        <v>36</v>
      </c>
      <c r="M346" s="423"/>
      <c r="N346" s="423"/>
      <c r="O346" s="525">
        <f>D318</f>
        <v>100</v>
      </c>
      <c r="P346" s="526">
        <f>D314</f>
        <v>2030</v>
      </c>
      <c r="Q346" s="58"/>
      <c r="R346" s="526">
        <f>O346/100</f>
        <v>1</v>
      </c>
      <c r="S346" s="58"/>
      <c r="T346" s="526">
        <f>D322</f>
        <v>15</v>
      </c>
      <c r="U346" s="527">
        <f>D352</f>
        <v>111.75</v>
      </c>
      <c r="V346" s="750">
        <f>D354</f>
        <v>1.3206818181818161</v>
      </c>
      <c r="W346" s="750">
        <f>D355</f>
        <v>0.5742708333333334</v>
      </c>
      <c r="X346" s="58"/>
      <c r="Y346" s="58"/>
      <c r="Z346" s="526">
        <f>D329</f>
        <v>0.3</v>
      </c>
      <c r="AA346" s="528">
        <f>D331</f>
        <v>7</v>
      </c>
      <c r="AB346" s="528">
        <f>D332</f>
        <v>2</v>
      </c>
      <c r="AC346" s="528">
        <f>D333</f>
        <v>1</v>
      </c>
      <c r="AD346" s="528">
        <f>D330</f>
        <v>0.1</v>
      </c>
    </row>
    <row r="347" spans="2:30">
      <c r="B347" s="601" t="s">
        <v>889</v>
      </c>
      <c r="C347" s="618" t="s">
        <v>36</v>
      </c>
      <c r="D347" s="618" t="s">
        <v>36</v>
      </c>
      <c r="E347" s="618" t="s">
        <v>36</v>
      </c>
      <c r="F347" s="618" t="s">
        <v>36</v>
      </c>
      <c r="G347" s="623"/>
      <c r="H347" s="623"/>
      <c r="I347" s="623"/>
      <c r="J347" s="623"/>
      <c r="K347" s="623"/>
      <c r="L347" s="608"/>
      <c r="M347" s="423"/>
      <c r="N347" s="423"/>
      <c r="O347" s="525">
        <f>E318</f>
        <v>100</v>
      </c>
      <c r="P347" s="526">
        <f>E314</f>
        <v>2040</v>
      </c>
      <c r="Q347" s="58"/>
      <c r="R347" s="526">
        <f>O347/100</f>
        <v>1</v>
      </c>
      <c r="S347" s="58"/>
      <c r="T347" s="526">
        <f>E322</f>
        <v>15</v>
      </c>
      <c r="U347" s="527">
        <f>E352</f>
        <v>111.75</v>
      </c>
      <c r="V347" s="750">
        <f>E354</f>
        <v>1.2868181818181839</v>
      </c>
      <c r="W347" s="750">
        <f>E355</f>
        <v>0.57944444444444443</v>
      </c>
      <c r="X347" s="58"/>
      <c r="Y347" s="58"/>
      <c r="Z347" s="526">
        <f>E329</f>
        <v>0.3</v>
      </c>
      <c r="AA347" s="528">
        <f>E331</f>
        <v>6</v>
      </c>
      <c r="AB347" s="528">
        <f>E332</f>
        <v>2</v>
      </c>
      <c r="AC347" s="528">
        <f>E333</f>
        <v>1</v>
      </c>
      <c r="AD347" s="528">
        <f>E330</f>
        <v>0.1</v>
      </c>
    </row>
    <row r="348" spans="2:30">
      <c r="B348" s="601" t="s">
        <v>890</v>
      </c>
      <c r="C348" s="624">
        <v>90</v>
      </c>
      <c r="D348" s="624">
        <v>90</v>
      </c>
      <c r="E348" s="624">
        <v>90</v>
      </c>
      <c r="F348" s="624">
        <v>90</v>
      </c>
      <c r="G348" s="681"/>
      <c r="H348" s="681"/>
      <c r="I348" s="681"/>
      <c r="J348" s="681"/>
      <c r="K348" s="681"/>
      <c r="L348" s="608">
        <v>5</v>
      </c>
      <c r="M348" s="423"/>
      <c r="N348" s="423"/>
      <c r="O348" s="525">
        <f>F318</f>
        <v>100</v>
      </c>
      <c r="P348" s="526">
        <f>F314</f>
        <v>2050</v>
      </c>
      <c r="Q348" s="58"/>
      <c r="R348" s="526">
        <f>O348/100</f>
        <v>1</v>
      </c>
      <c r="S348" s="58"/>
      <c r="T348" s="526">
        <f>F322</f>
        <v>15</v>
      </c>
      <c r="U348" s="527">
        <f>F352</f>
        <v>111.75</v>
      </c>
      <c r="V348" s="750">
        <f>F354</f>
        <v>1.1513636363636397</v>
      </c>
      <c r="W348" s="750">
        <f>F355</f>
        <v>0.57944444444444443</v>
      </c>
      <c r="X348" s="58"/>
      <c r="Y348" s="58"/>
      <c r="Z348" s="526">
        <f>F329</f>
        <v>0.3</v>
      </c>
      <c r="AA348" s="528">
        <f>F331</f>
        <v>6</v>
      </c>
      <c r="AB348" s="528">
        <f>F332</f>
        <v>2</v>
      </c>
      <c r="AC348" s="528">
        <f>F333</f>
        <v>1</v>
      </c>
      <c r="AD348" s="528">
        <f>F330</f>
        <v>0.1</v>
      </c>
    </row>
    <row r="349" spans="2:30">
      <c r="B349" s="626" t="s">
        <v>891</v>
      </c>
      <c r="C349" s="618" t="s">
        <v>36</v>
      </c>
      <c r="D349" s="618" t="s">
        <v>36</v>
      </c>
      <c r="E349" s="618" t="s">
        <v>36</v>
      </c>
      <c r="F349" s="618" t="s">
        <v>36</v>
      </c>
      <c r="G349" s="623"/>
      <c r="H349" s="623"/>
      <c r="I349" s="623"/>
      <c r="J349" s="623"/>
      <c r="K349" s="623"/>
      <c r="L349" s="608"/>
      <c r="M349" s="427"/>
      <c r="N349" s="427"/>
    </row>
    <row r="350" spans="2:30">
      <c r="B350" s="626" t="s">
        <v>892</v>
      </c>
      <c r="C350" s="618" t="s">
        <v>36</v>
      </c>
      <c r="D350" s="618" t="s">
        <v>36</v>
      </c>
      <c r="E350" s="618" t="s">
        <v>36</v>
      </c>
      <c r="F350" s="618" t="s">
        <v>36</v>
      </c>
      <c r="G350" s="623"/>
      <c r="H350" s="623"/>
      <c r="I350" s="623"/>
      <c r="J350" s="623"/>
      <c r="K350" s="623"/>
      <c r="L350" s="608"/>
      <c r="M350" s="423"/>
      <c r="N350" s="423"/>
    </row>
    <row r="351" spans="2:30" ht="15" thickBot="1">
      <c r="B351" s="627" t="s">
        <v>893</v>
      </c>
      <c r="C351" s="682" t="s">
        <v>36</v>
      </c>
      <c r="D351" s="682" t="s">
        <v>36</v>
      </c>
      <c r="E351" s="682" t="s">
        <v>36</v>
      </c>
      <c r="F351" s="682" t="s">
        <v>36</v>
      </c>
      <c r="G351" s="683"/>
      <c r="H351" s="683"/>
      <c r="I351" s="683"/>
      <c r="J351" s="683"/>
      <c r="K351" s="683"/>
      <c r="L351" s="684"/>
      <c r="M351" s="423"/>
      <c r="N351" s="423"/>
    </row>
    <row r="352" spans="2:30" ht="57.6">
      <c r="B352" s="521" t="s">
        <v>894</v>
      </c>
      <c r="C352" s="543">
        <f>C335*$F$4*1000</f>
        <v>111.75</v>
      </c>
      <c r="D352" s="543">
        <f t="shared" ref="D352:F352" si="18">D335*$F$4*1000</f>
        <v>111.75</v>
      </c>
      <c r="E352" s="543">
        <f t="shared" si="18"/>
        <v>111.75</v>
      </c>
      <c r="F352" s="543">
        <f t="shared" si="18"/>
        <v>111.75</v>
      </c>
      <c r="G352" s="543"/>
      <c r="H352" s="544"/>
      <c r="I352" s="480" t="s">
        <v>332</v>
      </c>
      <c r="J352" s="480"/>
      <c r="K352" s="544"/>
      <c r="L352" s="544"/>
      <c r="N352" s="480"/>
    </row>
    <row r="353" spans="1:14">
      <c r="B353" s="545" t="s">
        <v>895</v>
      </c>
      <c r="C353" s="546">
        <f>C352*$I353</f>
        <v>55875</v>
      </c>
      <c r="D353" s="546">
        <f>D352*$I353</f>
        <v>55875</v>
      </c>
      <c r="E353" s="546">
        <f>E352*$I353</f>
        <v>55875</v>
      </c>
      <c r="F353" s="546">
        <f>F352*$I353</f>
        <v>55875</v>
      </c>
      <c r="G353" s="546"/>
      <c r="H353" s="544"/>
      <c r="I353" s="71">
        <v>500</v>
      </c>
      <c r="J353" s="480" t="s">
        <v>330</v>
      </c>
      <c r="K353" s="544"/>
      <c r="L353" s="544"/>
      <c r="N353" s="480"/>
    </row>
    <row r="354" spans="1:14" ht="43.2">
      <c r="B354" s="521" t="s">
        <v>896</v>
      </c>
      <c r="C354" s="419">
        <f>C338*$F$4</f>
        <v>1.3545454545454561</v>
      </c>
      <c r="D354" s="419">
        <f t="shared" ref="D354:F355" si="19">D338*$F$4</f>
        <v>1.3206818181818161</v>
      </c>
      <c r="E354" s="419">
        <f t="shared" si="19"/>
        <v>1.2868181818181839</v>
      </c>
      <c r="F354" s="419">
        <f t="shared" si="19"/>
        <v>1.1513636363636397</v>
      </c>
      <c r="G354" s="419"/>
      <c r="I354" s="480" t="s">
        <v>333</v>
      </c>
      <c r="J354" s="480"/>
      <c r="N354" s="480"/>
    </row>
    <row r="355" spans="1:14" ht="43.2">
      <c r="B355" s="521" t="s">
        <v>897</v>
      </c>
      <c r="C355" s="547">
        <f>C339*$F$4</f>
        <v>0.58461805555555546</v>
      </c>
      <c r="D355" s="547">
        <f t="shared" si="19"/>
        <v>0.5742708333333334</v>
      </c>
      <c r="E355" s="547">
        <f t="shared" si="19"/>
        <v>0.57944444444444443</v>
      </c>
      <c r="F355" s="547">
        <f t="shared" si="19"/>
        <v>0.57944444444444443</v>
      </c>
      <c r="G355" s="419"/>
      <c r="M355" s="480"/>
      <c r="N355" s="480"/>
    </row>
    <row r="358" spans="1:14">
      <c r="A358" s="548" t="s">
        <v>898</v>
      </c>
      <c r="B358" s="549"/>
      <c r="D358" s="417"/>
      <c r="E358" s="417"/>
      <c r="F358" s="417"/>
      <c r="G358" s="417"/>
      <c r="H358" s="417"/>
      <c r="I358" s="417"/>
      <c r="J358" s="417"/>
      <c r="K358" s="417"/>
    </row>
    <row r="359" spans="1:14">
      <c r="A359" s="417">
        <v>1</v>
      </c>
      <c r="B359" s="550" t="s">
        <v>938</v>
      </c>
      <c r="E359" s="417"/>
      <c r="F359" s="417"/>
      <c r="G359" s="417"/>
      <c r="H359" s="417"/>
      <c r="I359" s="417"/>
      <c r="J359" s="417"/>
      <c r="K359" s="417"/>
    </row>
    <row r="360" spans="1:14">
      <c r="A360" s="417">
        <v>2</v>
      </c>
      <c r="B360" s="550" t="s">
        <v>939</v>
      </c>
      <c r="E360" s="417"/>
      <c r="F360" s="417"/>
      <c r="G360" s="417"/>
      <c r="H360" s="417"/>
      <c r="I360" s="417"/>
      <c r="J360" s="417"/>
      <c r="K360" s="417"/>
    </row>
    <row r="361" spans="1:14">
      <c r="A361" s="417">
        <v>3</v>
      </c>
      <c r="B361" s="550" t="s">
        <v>906</v>
      </c>
      <c r="E361" s="417"/>
      <c r="F361" s="417"/>
      <c r="G361" s="417"/>
      <c r="H361" s="417"/>
      <c r="I361" s="417"/>
      <c r="J361" s="417"/>
      <c r="K361" s="417"/>
    </row>
    <row r="362" spans="1:14">
      <c r="A362" s="417">
        <v>4</v>
      </c>
      <c r="B362" s="550" t="s">
        <v>940</v>
      </c>
      <c r="E362" s="417"/>
      <c r="F362" s="417"/>
      <c r="G362" s="417"/>
      <c r="H362" s="417"/>
      <c r="I362" s="417"/>
      <c r="J362" s="417"/>
      <c r="K362" s="417"/>
    </row>
    <row r="363" spans="1:14">
      <c r="A363" s="417">
        <v>5</v>
      </c>
      <c r="B363" s="550" t="s">
        <v>941</v>
      </c>
      <c r="E363" s="417"/>
      <c r="F363" s="417"/>
      <c r="G363" s="417"/>
      <c r="H363" s="417"/>
      <c r="I363" s="417"/>
      <c r="J363" s="417"/>
      <c r="K363" s="417"/>
    </row>
    <row r="364" spans="1:14">
      <c r="A364" s="417">
        <v>6</v>
      </c>
      <c r="B364" s="550" t="s">
        <v>942</v>
      </c>
      <c r="E364" s="417"/>
      <c r="F364" s="417"/>
      <c r="G364" s="417"/>
      <c r="H364" s="417"/>
      <c r="I364" s="417"/>
      <c r="J364" s="417"/>
      <c r="K364" s="417"/>
    </row>
    <row r="365" spans="1:14">
      <c r="A365" s="417">
        <v>7</v>
      </c>
      <c r="B365" s="550" t="s">
        <v>943</v>
      </c>
      <c r="E365" s="417"/>
      <c r="F365" s="417"/>
      <c r="G365" s="417"/>
      <c r="H365" s="417"/>
      <c r="I365" s="417"/>
      <c r="J365" s="417"/>
      <c r="K365" s="417"/>
    </row>
    <row r="366" spans="1:14">
      <c r="A366" s="417">
        <v>8</v>
      </c>
      <c r="B366" s="685" t="s">
        <v>944</v>
      </c>
      <c r="E366" s="417"/>
      <c r="F366" s="417"/>
      <c r="G366" s="417"/>
      <c r="H366" s="417"/>
      <c r="I366" s="417"/>
      <c r="J366" s="417"/>
      <c r="K366" s="417"/>
    </row>
    <row r="367" spans="1:14">
      <c r="A367" s="417">
        <v>9</v>
      </c>
      <c r="B367" s="550" t="s">
        <v>945</v>
      </c>
      <c r="E367" s="417"/>
      <c r="F367" s="417"/>
      <c r="G367" s="417"/>
      <c r="H367" s="417"/>
      <c r="I367" s="417"/>
      <c r="J367" s="417"/>
      <c r="K367" s="417"/>
    </row>
    <row r="368" spans="1:14">
      <c r="A368" s="548" t="s">
        <v>908</v>
      </c>
      <c r="B368" s="549"/>
      <c r="E368" s="417"/>
      <c r="F368" s="417"/>
      <c r="G368" s="417"/>
      <c r="H368" s="417"/>
      <c r="I368" s="417"/>
      <c r="J368" s="417"/>
      <c r="K368" s="417"/>
    </row>
    <row r="369" spans="1:11">
      <c r="A369" s="556" t="s">
        <v>6</v>
      </c>
      <c r="B369" s="550" t="s">
        <v>946</v>
      </c>
      <c r="C369" s="549"/>
      <c r="E369" s="417"/>
      <c r="F369" s="417"/>
      <c r="G369" s="417"/>
      <c r="H369" s="417"/>
      <c r="I369" s="417"/>
      <c r="J369" s="417"/>
      <c r="K369" s="417"/>
    </row>
    <row r="370" spans="1:11">
      <c r="A370" s="556" t="s">
        <v>59</v>
      </c>
      <c r="B370" s="550" t="s">
        <v>947</v>
      </c>
      <c r="C370" s="549"/>
      <c r="E370" s="417"/>
      <c r="F370" s="417"/>
      <c r="G370" s="417"/>
      <c r="H370" s="417"/>
      <c r="I370" s="417"/>
      <c r="J370" s="417"/>
      <c r="K370" s="417"/>
    </row>
    <row r="371" spans="1:11">
      <c r="A371" s="556" t="s">
        <v>16</v>
      </c>
      <c r="B371" s="550" t="s">
        <v>948</v>
      </c>
      <c r="C371" s="549"/>
      <c r="E371" s="417"/>
      <c r="F371" s="417"/>
      <c r="G371" s="417"/>
      <c r="H371" s="417"/>
      <c r="I371" s="417"/>
      <c r="J371" s="417"/>
      <c r="K371" s="417"/>
    </row>
    <row r="372" spans="1:11">
      <c r="A372" s="556" t="s">
        <v>20</v>
      </c>
      <c r="B372" s="550" t="s">
        <v>949</v>
      </c>
      <c r="C372" s="549"/>
      <c r="E372" s="417"/>
      <c r="F372" s="417"/>
      <c r="G372" s="417"/>
      <c r="H372" s="417"/>
      <c r="I372" s="417"/>
      <c r="J372" s="417"/>
      <c r="K372" s="417"/>
    </row>
    <row r="373" spans="1:11" ht="15.75" customHeight="1">
      <c r="A373" s="556" t="s">
        <v>76</v>
      </c>
      <c r="B373" s="550" t="s">
        <v>950</v>
      </c>
      <c r="C373" s="549"/>
      <c r="E373" s="417"/>
      <c r="F373" s="417"/>
      <c r="G373" s="417"/>
      <c r="H373" s="417"/>
      <c r="I373" s="417"/>
      <c r="J373" s="417"/>
      <c r="K373" s="417"/>
    </row>
    <row r="374" spans="1:11" ht="15.75" customHeight="1">
      <c r="A374" s="556"/>
      <c r="B374" s="550"/>
      <c r="C374" s="549"/>
      <c r="E374" s="417"/>
      <c r="F374" s="417"/>
      <c r="G374" s="417"/>
      <c r="H374" s="417"/>
      <c r="I374" s="417"/>
      <c r="J374" s="417"/>
      <c r="K374" s="417"/>
    </row>
  </sheetData>
  <mergeCells count="397">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86:AA88"/>
    <mergeCell ref="P87:P89"/>
    <mergeCell ref="Q88:Q89"/>
    <mergeCell ref="R88:R89"/>
    <mergeCell ref="P33:U33"/>
    <mergeCell ref="P34:U34"/>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P194:U194"/>
    <mergeCell ref="P195:U195"/>
    <mergeCell ref="C247:L247"/>
    <mergeCell ref="S247:S250"/>
    <mergeCell ref="T247:U249"/>
    <mergeCell ref="V247:W249"/>
    <mergeCell ref="K248:K249"/>
    <mergeCell ref="L248:L249"/>
    <mergeCell ref="P248:P250"/>
    <mergeCell ref="Q249:Q250"/>
    <mergeCell ref="AM247:AN249"/>
    <mergeCell ref="AO247:AP249"/>
    <mergeCell ref="AQ247:AR249"/>
    <mergeCell ref="B248:B249"/>
    <mergeCell ref="C248:C249"/>
    <mergeCell ref="D248:D249"/>
    <mergeCell ref="E248:E249"/>
    <mergeCell ref="F248:F249"/>
    <mergeCell ref="G248:H248"/>
    <mergeCell ref="I248:J248"/>
    <mergeCell ref="X247:Y249"/>
    <mergeCell ref="Z247:AA249"/>
    <mergeCell ref="AB247:AC249"/>
    <mergeCell ref="AH247:AH250"/>
    <mergeCell ref="AI247:AJ249"/>
    <mergeCell ref="AK247:AL249"/>
    <mergeCell ref="AE248:AE250"/>
    <mergeCell ref="R249:R250"/>
    <mergeCell ref="AF249:AF250"/>
    <mergeCell ref="AG249:AG250"/>
    <mergeCell ref="AQ251:AQ253"/>
    <mergeCell ref="AR251:AR253"/>
    <mergeCell ref="Q254:Q258"/>
    <mergeCell ref="T254:T258"/>
    <mergeCell ref="U254:U258"/>
    <mergeCell ref="V254:V258"/>
    <mergeCell ref="W254:W258"/>
    <mergeCell ref="AF251:AF253"/>
    <mergeCell ref="AI251:AI253"/>
    <mergeCell ref="AJ251:AJ253"/>
    <mergeCell ref="AK251:AK253"/>
    <mergeCell ref="AL251:AL253"/>
    <mergeCell ref="AM251:AM253"/>
    <mergeCell ref="Y251:Y253"/>
    <mergeCell ref="Z251:Z253"/>
    <mergeCell ref="AA251:AA253"/>
    <mergeCell ref="AB251:AB253"/>
    <mergeCell ref="AC251:AC253"/>
    <mergeCell ref="AE251:AE259"/>
    <mergeCell ref="AN254:AN258"/>
    <mergeCell ref="AO254:AO258"/>
    <mergeCell ref="AP254:AP258"/>
    <mergeCell ref="AQ254:AQ258"/>
    <mergeCell ref="AR254:AR258"/>
    <mergeCell ref="AA254:AA258"/>
    <mergeCell ref="AB254:AB258"/>
    <mergeCell ref="AC254:AC258"/>
    <mergeCell ref="P251:P259"/>
    <mergeCell ref="Q251:Q253"/>
    <mergeCell ref="T251:T253"/>
    <mergeCell ref="U251:U253"/>
    <mergeCell ref="V251:V253"/>
    <mergeCell ref="W251:W253"/>
    <mergeCell ref="X251:X253"/>
    <mergeCell ref="AN251:AN253"/>
    <mergeCell ref="AO251:AO253"/>
    <mergeCell ref="AP251:AP253"/>
    <mergeCell ref="P274:U274"/>
    <mergeCell ref="C313:L313"/>
    <mergeCell ref="S313:S316"/>
    <mergeCell ref="T313:U315"/>
    <mergeCell ref="V313:W315"/>
    <mergeCell ref="X313:Y315"/>
    <mergeCell ref="L314:L315"/>
    <mergeCell ref="P314:P316"/>
    <mergeCell ref="Q315:Q316"/>
    <mergeCell ref="R315:R316"/>
    <mergeCell ref="AO313:AP315"/>
    <mergeCell ref="P273:U273"/>
    <mergeCell ref="AF254:AF258"/>
    <mergeCell ref="AI254:AI258"/>
    <mergeCell ref="AJ254:AJ258"/>
    <mergeCell ref="AK254:AK258"/>
    <mergeCell ref="AL254:AL258"/>
    <mergeCell ref="AM254:AM258"/>
    <mergeCell ref="X254:X258"/>
    <mergeCell ref="Y254:Y258"/>
    <mergeCell ref="Z254:Z258"/>
    <mergeCell ref="AQ313:AR315"/>
    <mergeCell ref="B314:B315"/>
    <mergeCell ref="C314:C315"/>
    <mergeCell ref="D314:D315"/>
    <mergeCell ref="E314:E315"/>
    <mergeCell ref="F314:F315"/>
    <mergeCell ref="G314:H314"/>
    <mergeCell ref="I314:J314"/>
    <mergeCell ref="K314:K315"/>
    <mergeCell ref="Z313:AA315"/>
    <mergeCell ref="AB313:AC315"/>
    <mergeCell ref="AH313:AH316"/>
    <mergeCell ref="AI313:AJ315"/>
    <mergeCell ref="AK313:AL315"/>
    <mergeCell ref="AM313:AN315"/>
    <mergeCell ref="AE314:AE316"/>
    <mergeCell ref="AF315:AF316"/>
    <mergeCell ref="AG315:AG316"/>
    <mergeCell ref="X317:X319"/>
    <mergeCell ref="Y317:Y319"/>
    <mergeCell ref="Z317:Z319"/>
    <mergeCell ref="AA317:AA319"/>
    <mergeCell ref="AB317:AB319"/>
    <mergeCell ref="AC317:AC319"/>
    <mergeCell ref="P317:P325"/>
    <mergeCell ref="Q317:Q319"/>
    <mergeCell ref="T317:T319"/>
    <mergeCell ref="U317:U319"/>
    <mergeCell ref="V317:V319"/>
    <mergeCell ref="W317:W319"/>
    <mergeCell ref="Q320:Q324"/>
    <mergeCell ref="T320:T324"/>
    <mergeCell ref="U320:U324"/>
    <mergeCell ref="V320:V324"/>
    <mergeCell ref="AM317:AM319"/>
    <mergeCell ref="AN317:AN319"/>
    <mergeCell ref="AO317:AO319"/>
    <mergeCell ref="AP317:AP319"/>
    <mergeCell ref="AQ317:AQ319"/>
    <mergeCell ref="AR317:AR319"/>
    <mergeCell ref="AE317:AE325"/>
    <mergeCell ref="AF317:AF319"/>
    <mergeCell ref="AI317:AI319"/>
    <mergeCell ref="AJ317:AJ319"/>
    <mergeCell ref="AK317:AK319"/>
    <mergeCell ref="AL317:AL319"/>
    <mergeCell ref="P339:U339"/>
    <mergeCell ref="P340:U340"/>
    <mergeCell ref="AM320:AM324"/>
    <mergeCell ref="AN320:AN324"/>
    <mergeCell ref="AO320:AO324"/>
    <mergeCell ref="AP320:AP324"/>
    <mergeCell ref="AQ320:AQ324"/>
    <mergeCell ref="AR320:AR324"/>
    <mergeCell ref="AC320:AC324"/>
    <mergeCell ref="AF320:AF324"/>
    <mergeCell ref="AI320:AI324"/>
    <mergeCell ref="AJ320:AJ324"/>
    <mergeCell ref="AK320:AK324"/>
    <mergeCell ref="AL320:AL324"/>
    <mergeCell ref="W320:W324"/>
    <mergeCell ref="X320:X324"/>
    <mergeCell ref="Y320:Y324"/>
    <mergeCell ref="Z320:Z324"/>
    <mergeCell ref="AA320:AA324"/>
    <mergeCell ref="AB320:AB324"/>
  </mergeCells>
  <hyperlinks>
    <hyperlink ref="C7" location="INDEX" display="Steam boiler, Natural gas or biogas" xr:uid="{13B7478B-8904-4493-ABEB-B7A85DA57BD7}"/>
    <hyperlink ref="C86" location="INDEX" display="Steam boiler, Natural gas or biogas (Condensing)" xr:uid="{9C1F7C85-BDF2-4903-A3B2-CB36E1E23AAC}"/>
    <hyperlink ref="C168" location="INDEX" display="Hot water boiler, Natural gas or biogas" xr:uid="{AC0F03E9-1775-488B-8DB9-3805EE297790}"/>
    <hyperlink ref="C247" location="INDEX" display="Hot water boiler, Natural gas or biogas (Condensing)" xr:uid="{16384D52-15D9-422A-B6D0-0927C488C849}"/>
    <hyperlink ref="C313" location="INDEX" display="Direct Firing, Natural Gas" xr:uid="{08F9F1E3-AB4E-42F1-940A-6D5BA6184B1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B1D7-0C67-4F3F-9B6D-553C9385AEDD}">
  <sheetPr>
    <tabColor theme="3"/>
  </sheetPr>
  <dimension ref="A2:AS386"/>
  <sheetViews>
    <sheetView topLeftCell="A177" zoomScale="80" zoomScaleNormal="80" workbookViewId="0">
      <selection activeCell="U207" sqref="U207"/>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Steam boiler, Wood Chips</v>
      </c>
    </row>
    <row r="4" spans="1:45" ht="25.2" customHeight="1">
      <c r="E4" s="239" t="s">
        <v>358</v>
      </c>
      <c r="F4" s="419">
        <v>7.45</v>
      </c>
      <c r="G4" s="419" t="s">
        <v>328</v>
      </c>
    </row>
    <row r="5" spans="1:45" ht="15" customHeight="1">
      <c r="A5" s="420" t="s">
        <v>1118</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1098</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20</v>
      </c>
      <c r="D10" s="432">
        <v>20</v>
      </c>
      <c r="E10" s="432">
        <v>20</v>
      </c>
      <c r="F10" s="432">
        <v>20</v>
      </c>
      <c r="G10" s="432">
        <v>1</v>
      </c>
      <c r="H10" s="432">
        <v>50</v>
      </c>
      <c r="I10" s="432">
        <v>1</v>
      </c>
      <c r="J10" s="432">
        <v>50</v>
      </c>
      <c r="K10" s="432" t="s">
        <v>6</v>
      </c>
      <c r="L10" s="433" t="s">
        <v>850</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90</v>
      </c>
      <c r="D11" s="437">
        <v>90</v>
      </c>
      <c r="E11" s="438">
        <v>90</v>
      </c>
      <c r="F11" s="437">
        <v>91</v>
      </c>
      <c r="G11" s="437">
        <f>D11-1</f>
        <v>89</v>
      </c>
      <c r="H11" s="437">
        <f>D11+2</f>
        <v>92</v>
      </c>
      <c r="I11" s="437">
        <f>F11-1</f>
        <v>90</v>
      </c>
      <c r="J11" s="437">
        <f>F11+2</f>
        <v>93</v>
      </c>
      <c r="K11" s="439" t="s">
        <v>59</v>
      </c>
      <c r="L11" s="440" t="s">
        <v>854</v>
      </c>
      <c r="M11" s="430"/>
      <c r="N11" s="430"/>
      <c r="P11" s="1042" t="str">
        <f>C7</f>
        <v>Steam boiler, Wood Chips</v>
      </c>
      <c r="Q11" s="1030" t="s">
        <v>855</v>
      </c>
      <c r="R11" s="441" t="s">
        <v>856</v>
      </c>
      <c r="S11" s="442"/>
      <c r="T11" s="1069">
        <v>0</v>
      </c>
      <c r="U11" s="1021">
        <v>1</v>
      </c>
      <c r="V11" s="1069">
        <v>0</v>
      </c>
      <c r="W11" s="1021">
        <v>1</v>
      </c>
      <c r="X11" s="1069">
        <v>0.9</v>
      </c>
      <c r="Y11" s="1021">
        <v>1</v>
      </c>
      <c r="Z11" s="1069">
        <v>0</v>
      </c>
      <c r="AA11" s="1021">
        <v>1</v>
      </c>
      <c r="AB11" s="1069">
        <v>0</v>
      </c>
      <c r="AC11" s="1021">
        <v>1</v>
      </c>
      <c r="AD11" s="1024">
        <v>0</v>
      </c>
      <c r="AE11" s="1021">
        <f>AC11</f>
        <v>1</v>
      </c>
      <c r="AF11" s="1027" t="str">
        <f>P11</f>
        <v>Steam boiler, Wood Chips</v>
      </c>
      <c r="AG11" s="1030" t="s">
        <v>855</v>
      </c>
      <c r="AH11" s="441" t="s">
        <v>856</v>
      </c>
      <c r="AI11" s="442"/>
      <c r="AJ11" s="1033">
        <v>0</v>
      </c>
      <c r="AK11" s="1021">
        <v>1</v>
      </c>
      <c r="AL11" s="1024">
        <v>0</v>
      </c>
      <c r="AM11" s="1021">
        <v>1</v>
      </c>
      <c r="AN11" s="1024">
        <v>0</v>
      </c>
      <c r="AO11" s="1021">
        <v>1</v>
      </c>
      <c r="AP11" s="1024">
        <v>0</v>
      </c>
      <c r="AQ11" s="1021">
        <v>1</v>
      </c>
      <c r="AR11" s="1024">
        <v>0</v>
      </c>
      <c r="AS11" s="1021">
        <v>1</v>
      </c>
    </row>
    <row r="12" spans="1:45" ht="32.700000000000003" customHeight="1" outlineLevel="1">
      <c r="B12" s="443" t="s">
        <v>857</v>
      </c>
      <c r="C12" s="444">
        <f t="shared" ref="C12:J12" si="0">C11-1</f>
        <v>89</v>
      </c>
      <c r="D12" s="444">
        <f t="shared" si="0"/>
        <v>89</v>
      </c>
      <c r="E12" s="444">
        <f t="shared" si="0"/>
        <v>89</v>
      </c>
      <c r="F12" s="444">
        <f t="shared" si="0"/>
        <v>90</v>
      </c>
      <c r="G12" s="445">
        <f t="shared" si="0"/>
        <v>88</v>
      </c>
      <c r="H12" s="445">
        <f t="shared" si="0"/>
        <v>91</v>
      </c>
      <c r="I12" s="445">
        <f t="shared" si="0"/>
        <v>89</v>
      </c>
      <c r="J12" s="445">
        <f t="shared" si="0"/>
        <v>92</v>
      </c>
      <c r="K12" s="446"/>
      <c r="L12" s="447" t="s">
        <v>854</v>
      </c>
      <c r="M12" s="430"/>
      <c r="N12" s="430"/>
      <c r="O12" s="71"/>
      <c r="P12" s="1028"/>
      <c r="Q12" s="1031"/>
      <c r="R12" s="448" t="s">
        <v>858</v>
      </c>
      <c r="S12" s="449"/>
      <c r="T12" s="1070"/>
      <c r="U12" s="1022"/>
      <c r="V12" s="1070"/>
      <c r="W12" s="1022"/>
      <c r="X12" s="1070"/>
      <c r="Y12" s="1022"/>
      <c r="Z12" s="1070"/>
      <c r="AA12" s="1022"/>
      <c r="AB12" s="1070"/>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2.2999999999999998</v>
      </c>
      <c r="D13" s="451">
        <v>2.2999999999999998</v>
      </c>
      <c r="E13" s="451">
        <v>2.2999999999999998</v>
      </c>
      <c r="F13" s="452">
        <v>2.2999999999999998</v>
      </c>
      <c r="G13" s="451">
        <v>2.2000000000000002</v>
      </c>
      <c r="H13" s="451">
        <v>2.5</v>
      </c>
      <c r="I13" s="451">
        <v>1.8</v>
      </c>
      <c r="J13" s="451">
        <v>2.5</v>
      </c>
      <c r="K13" s="439" t="s">
        <v>16</v>
      </c>
      <c r="L13" s="440">
        <v>3</v>
      </c>
      <c r="M13" s="430"/>
      <c r="N13" s="430"/>
      <c r="O13" s="71"/>
      <c r="P13" s="1028"/>
      <c r="Q13" s="1032"/>
      <c r="R13" s="453" t="s">
        <v>860</v>
      </c>
      <c r="S13" s="454"/>
      <c r="T13" s="1071"/>
      <c r="U13" s="1023"/>
      <c r="V13" s="1071"/>
      <c r="W13" s="1023"/>
      <c r="X13" s="1071"/>
      <c r="Y13" s="1023"/>
      <c r="Z13" s="1071"/>
      <c r="AA13" s="1023"/>
      <c r="AB13" s="1071"/>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746">
        <v>3</v>
      </c>
      <c r="D14" s="746">
        <v>3</v>
      </c>
      <c r="E14" s="746">
        <v>3</v>
      </c>
      <c r="F14" s="746">
        <v>3</v>
      </c>
      <c r="G14" s="746">
        <v>3</v>
      </c>
      <c r="H14" s="746">
        <v>3</v>
      </c>
      <c r="I14" s="746">
        <v>3</v>
      </c>
      <c r="J14" s="746">
        <v>3</v>
      </c>
      <c r="K14" s="439" t="s">
        <v>20</v>
      </c>
      <c r="L14" s="440">
        <v>3</v>
      </c>
      <c r="M14" s="430"/>
      <c r="N14" s="430"/>
      <c r="O14" s="71"/>
      <c r="P14" s="1028"/>
      <c r="Q14" s="1030" t="s">
        <v>861</v>
      </c>
      <c r="R14" s="455" t="s">
        <v>862</v>
      </c>
      <c r="S14" s="456" t="s">
        <v>863</v>
      </c>
      <c r="T14" s="1069">
        <v>0</v>
      </c>
      <c r="U14" s="1033">
        <v>1</v>
      </c>
      <c r="V14" s="1069">
        <v>0</v>
      </c>
      <c r="W14" s="1033">
        <v>1</v>
      </c>
      <c r="X14" s="1069">
        <v>1</v>
      </c>
      <c r="Y14" s="1033">
        <v>0.97</v>
      </c>
      <c r="Z14" s="1069">
        <v>0</v>
      </c>
      <c r="AA14" s="1033">
        <v>1</v>
      </c>
      <c r="AB14" s="1069">
        <v>0</v>
      </c>
      <c r="AC14" s="1021">
        <v>1</v>
      </c>
      <c r="AD14" s="1059">
        <f>AE14</f>
        <v>1</v>
      </c>
      <c r="AE14" s="1021">
        <f>AC14</f>
        <v>1</v>
      </c>
      <c r="AF14" s="1028"/>
      <c r="AG14" s="1030" t="s">
        <v>861</v>
      </c>
      <c r="AH14" s="455" t="s">
        <v>862</v>
      </c>
      <c r="AI14" s="456" t="s">
        <v>863</v>
      </c>
      <c r="AJ14" s="1033">
        <v>0</v>
      </c>
      <c r="AK14" s="1033">
        <v>1</v>
      </c>
      <c r="AL14" s="1033">
        <v>0</v>
      </c>
      <c r="AM14" s="1033">
        <v>1</v>
      </c>
      <c r="AN14" s="1033">
        <v>0</v>
      </c>
      <c r="AO14" s="1033">
        <v>0.97</v>
      </c>
      <c r="AP14" s="1033">
        <v>0</v>
      </c>
      <c r="AQ14" s="1033">
        <v>1</v>
      </c>
      <c r="AR14" s="1033">
        <v>0</v>
      </c>
      <c r="AS14" s="1021">
        <v>1</v>
      </c>
    </row>
    <row r="15" spans="1:45" outlineLevel="1">
      <c r="B15" s="436" t="s">
        <v>703</v>
      </c>
      <c r="C15" s="450">
        <v>3</v>
      </c>
      <c r="D15" s="450">
        <v>3</v>
      </c>
      <c r="E15" s="450">
        <v>3</v>
      </c>
      <c r="F15" s="450">
        <v>3</v>
      </c>
      <c r="G15" s="450">
        <v>2.6</v>
      </c>
      <c r="H15" s="450">
        <v>3.5</v>
      </c>
      <c r="I15" s="450">
        <v>2.2999999999999998</v>
      </c>
      <c r="J15" s="450">
        <v>3.8</v>
      </c>
      <c r="K15" s="439" t="s">
        <v>20</v>
      </c>
      <c r="L15" s="440">
        <v>3</v>
      </c>
      <c r="M15" s="427"/>
      <c r="N15" s="427"/>
      <c r="O15" s="71"/>
      <c r="P15" s="1028"/>
      <c r="Q15" s="1031"/>
      <c r="R15" s="455" t="s">
        <v>864</v>
      </c>
      <c r="S15" s="456" t="s">
        <v>863</v>
      </c>
      <c r="T15" s="1075"/>
      <c r="U15" s="1036"/>
      <c r="V15" s="1075"/>
      <c r="W15" s="1036"/>
      <c r="X15" s="1075"/>
      <c r="Y15" s="1036"/>
      <c r="Z15" s="1075"/>
      <c r="AA15" s="1036"/>
      <c r="AB15" s="1075"/>
      <c r="AC15" s="1038"/>
      <c r="AD15" s="1060"/>
      <c r="AE15" s="1038"/>
      <c r="AF15" s="1028"/>
      <c r="AG15" s="1031"/>
      <c r="AH15" s="455" t="s">
        <v>864</v>
      </c>
      <c r="AI15" s="456" t="s">
        <v>863</v>
      </c>
      <c r="AJ15" s="1036"/>
      <c r="AK15" s="1036"/>
      <c r="AL15" s="1036"/>
      <c r="AM15" s="1036"/>
      <c r="AN15" s="1036"/>
      <c r="AO15" s="1036"/>
      <c r="AP15" s="1036"/>
      <c r="AQ15" s="1036"/>
      <c r="AR15" s="1036"/>
      <c r="AS15" s="1038"/>
    </row>
    <row r="16" spans="1:45" outlineLevel="1">
      <c r="B16" s="443" t="s">
        <v>11</v>
      </c>
      <c r="C16" s="457">
        <v>25</v>
      </c>
      <c r="D16" s="457">
        <v>25</v>
      </c>
      <c r="E16" s="457">
        <v>25</v>
      </c>
      <c r="F16" s="457">
        <v>25</v>
      </c>
      <c r="G16" s="458">
        <v>20</v>
      </c>
      <c r="H16" s="458">
        <v>35</v>
      </c>
      <c r="I16" s="458">
        <v>20</v>
      </c>
      <c r="J16" s="458">
        <v>35</v>
      </c>
      <c r="K16" s="432"/>
      <c r="L16" s="433" t="s">
        <v>865</v>
      </c>
      <c r="M16" s="423"/>
      <c r="N16" s="423"/>
      <c r="P16" s="1028"/>
      <c r="Q16" s="1031"/>
      <c r="R16" s="455" t="s">
        <v>866</v>
      </c>
      <c r="S16" s="456" t="s">
        <v>863</v>
      </c>
      <c r="T16" s="1075"/>
      <c r="U16" s="1036"/>
      <c r="V16" s="1075"/>
      <c r="W16" s="1036"/>
      <c r="X16" s="1075"/>
      <c r="Y16" s="1036"/>
      <c r="Z16" s="1075"/>
      <c r="AA16" s="1036"/>
      <c r="AB16" s="1075"/>
      <c r="AC16" s="1038"/>
      <c r="AD16" s="1060"/>
      <c r="AE16" s="1038"/>
      <c r="AF16" s="1028"/>
      <c r="AG16" s="1031"/>
      <c r="AH16" s="455" t="s">
        <v>866</v>
      </c>
      <c r="AI16" s="689" t="s">
        <v>863</v>
      </c>
      <c r="AJ16" s="1036"/>
      <c r="AK16" s="1036"/>
      <c r="AL16" s="1036"/>
      <c r="AM16" s="1036"/>
      <c r="AN16" s="1036"/>
      <c r="AO16" s="1036"/>
      <c r="AP16" s="1036"/>
      <c r="AQ16" s="1036"/>
      <c r="AR16" s="1036"/>
      <c r="AS16" s="1038"/>
    </row>
    <row r="17" spans="1:45" ht="15" outlineLevel="1" thickBot="1">
      <c r="B17" s="436" t="s">
        <v>273</v>
      </c>
      <c r="C17" s="459">
        <v>1</v>
      </c>
      <c r="D17" s="459">
        <v>1</v>
      </c>
      <c r="E17" s="459">
        <v>1</v>
      </c>
      <c r="F17" s="459">
        <v>1</v>
      </c>
      <c r="G17" s="459">
        <v>0.5</v>
      </c>
      <c r="H17" s="459">
        <v>1.5</v>
      </c>
      <c r="I17" s="459">
        <v>0.5</v>
      </c>
      <c r="J17" s="459">
        <v>1.5</v>
      </c>
      <c r="K17" s="432"/>
      <c r="L17" s="460"/>
      <c r="M17" s="423"/>
      <c r="N17" s="423"/>
      <c r="P17" s="1028"/>
      <c r="Q17" s="1031"/>
      <c r="R17" s="455" t="s">
        <v>867</v>
      </c>
      <c r="S17" s="456" t="s">
        <v>863</v>
      </c>
      <c r="T17" s="1075"/>
      <c r="U17" s="1036"/>
      <c r="V17" s="1075"/>
      <c r="W17" s="1036"/>
      <c r="X17" s="1075"/>
      <c r="Y17" s="1036"/>
      <c r="Z17" s="1075"/>
      <c r="AA17" s="1036"/>
      <c r="AB17" s="1075"/>
      <c r="AC17" s="1038"/>
      <c r="AD17" s="1060"/>
      <c r="AE17" s="1038"/>
      <c r="AF17" s="1028"/>
      <c r="AG17" s="1031"/>
      <c r="AH17" s="455" t="s">
        <v>867</v>
      </c>
      <c r="AI17" s="456" t="s">
        <v>863</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76"/>
      <c r="U18" s="1037"/>
      <c r="V18" s="1076"/>
      <c r="W18" s="1037"/>
      <c r="X18" s="1076"/>
      <c r="Y18" s="1037"/>
      <c r="Z18" s="1076"/>
      <c r="AA18" s="1037"/>
      <c r="AB18" s="1076"/>
      <c r="AC18" s="1039"/>
      <c r="AD18" s="1061"/>
      <c r="AE18" s="1039"/>
      <c r="AF18" s="1028"/>
      <c r="AG18" s="1032"/>
      <c r="AH18" s="469" t="s">
        <v>988</v>
      </c>
      <c r="AI18" s="470" t="s">
        <v>863</v>
      </c>
      <c r="AJ18" s="1037"/>
      <c r="AK18" s="1037"/>
      <c r="AL18" s="1037"/>
      <c r="AM18" s="1037"/>
      <c r="AN18" s="1037"/>
      <c r="AO18" s="1037"/>
      <c r="AP18" s="1037"/>
      <c r="AQ18" s="1037"/>
      <c r="AR18" s="1037"/>
      <c r="AS18" s="1039"/>
    </row>
    <row r="19" spans="1:45" ht="29.4" outlineLevel="1" thickBot="1">
      <c r="B19" s="436" t="s">
        <v>708</v>
      </c>
      <c r="C19" s="450">
        <v>20</v>
      </c>
      <c r="D19" s="450">
        <v>20</v>
      </c>
      <c r="E19" s="450">
        <v>20</v>
      </c>
      <c r="F19" s="450">
        <v>20</v>
      </c>
      <c r="G19" s="451"/>
      <c r="H19" s="451"/>
      <c r="I19" s="451"/>
      <c r="J19" s="451"/>
      <c r="K19" s="439"/>
      <c r="L19" s="440">
        <v>3</v>
      </c>
      <c r="M19" s="423"/>
      <c r="N19" s="423"/>
      <c r="P19" s="1029"/>
      <c r="Q19" s="471" t="s">
        <v>870</v>
      </c>
      <c r="R19" s="472" t="s">
        <v>871</v>
      </c>
      <c r="S19" s="690" t="s">
        <v>863</v>
      </c>
      <c r="T19" s="965">
        <v>0</v>
      </c>
      <c r="U19" s="475">
        <v>1</v>
      </c>
      <c r="V19" s="967">
        <v>0</v>
      </c>
      <c r="W19" s="475">
        <v>1</v>
      </c>
      <c r="X19" s="967">
        <v>0</v>
      </c>
      <c r="Y19" s="475">
        <v>1</v>
      </c>
      <c r="Z19" s="967">
        <v>0</v>
      </c>
      <c r="AA19" s="475">
        <v>1</v>
      </c>
      <c r="AB19" s="967">
        <v>0</v>
      </c>
      <c r="AC19" s="477">
        <v>1</v>
      </c>
      <c r="AD19" s="970">
        <f>AE19</f>
        <v>1</v>
      </c>
      <c r="AE19" s="477">
        <f>AC19</f>
        <v>1</v>
      </c>
      <c r="AF19" s="1029"/>
      <c r="AG19" s="471" t="s">
        <v>870</v>
      </c>
      <c r="AH19" s="691" t="s">
        <v>871</v>
      </c>
      <c r="AI19" s="692" t="s">
        <v>863</v>
      </c>
      <c r="AJ19" s="476">
        <v>1</v>
      </c>
      <c r="AK19" s="475">
        <v>1</v>
      </c>
      <c r="AL19" s="476">
        <v>1</v>
      </c>
      <c r="AM19" s="475">
        <v>1</v>
      </c>
      <c r="AN19" s="476">
        <v>1</v>
      </c>
      <c r="AO19" s="475">
        <v>1</v>
      </c>
      <c r="AP19" s="476">
        <v>1</v>
      </c>
      <c r="AQ19" s="475">
        <v>1</v>
      </c>
      <c r="AR19" s="476">
        <v>1</v>
      </c>
      <c r="AS19" s="477">
        <v>1</v>
      </c>
    </row>
    <row r="20" spans="1:45" outlineLevel="1">
      <c r="B20" s="436" t="s">
        <v>709</v>
      </c>
      <c r="C20" s="450">
        <v>0.3</v>
      </c>
      <c r="D20" s="450">
        <v>0.3</v>
      </c>
      <c r="E20" s="450">
        <v>0.3</v>
      </c>
      <c r="F20" s="450">
        <v>0.3</v>
      </c>
      <c r="G20" s="478"/>
      <c r="H20" s="478"/>
      <c r="I20" s="478"/>
      <c r="J20" s="478"/>
      <c r="K20" s="479"/>
      <c r="L20" s="440">
        <v>3</v>
      </c>
      <c r="M20" s="423"/>
      <c r="N20" s="423"/>
      <c r="AD20" s="71"/>
    </row>
    <row r="21" spans="1:45" outlineLevel="1">
      <c r="B21" s="436" t="s">
        <v>711</v>
      </c>
      <c r="C21" s="450">
        <v>0.5</v>
      </c>
      <c r="D21" s="450">
        <v>0.5</v>
      </c>
      <c r="E21" s="450">
        <v>0.5</v>
      </c>
      <c r="F21" s="450">
        <v>0.5</v>
      </c>
      <c r="G21" s="478"/>
      <c r="H21" s="478"/>
      <c r="I21" s="478"/>
      <c r="J21" s="478"/>
      <c r="K21" s="479"/>
      <c r="L21" s="440">
        <v>3</v>
      </c>
      <c r="M21" s="480"/>
      <c r="N21" s="423"/>
      <c r="U21" s="239" t="s">
        <v>1433</v>
      </c>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v>11</v>
      </c>
      <c r="D23" s="1078">
        <v>11</v>
      </c>
      <c r="E23" s="1078">
        <v>11</v>
      </c>
      <c r="F23" s="1079">
        <v>11</v>
      </c>
      <c r="G23" s="482"/>
      <c r="H23" s="485"/>
      <c r="I23" s="485"/>
      <c r="J23" s="485"/>
      <c r="K23" s="486" t="s">
        <v>76</v>
      </c>
      <c r="L23" s="487" t="s">
        <v>873</v>
      </c>
      <c r="M23" s="488"/>
      <c r="N23" s="488"/>
    </row>
    <row r="24" spans="1:45" outlineLevel="1">
      <c r="B24" s="443" t="s">
        <v>874</v>
      </c>
      <c r="C24" s="1080">
        <v>10</v>
      </c>
      <c r="D24" s="1081">
        <v>10</v>
      </c>
      <c r="E24" s="1081">
        <v>10</v>
      </c>
      <c r="F24" s="1082">
        <v>10</v>
      </c>
      <c r="G24" s="485"/>
      <c r="H24" s="485"/>
      <c r="I24" s="485"/>
      <c r="J24" s="485"/>
      <c r="K24" s="483"/>
      <c r="L24" s="487">
        <v>9</v>
      </c>
      <c r="M24" s="488"/>
      <c r="N24" s="488"/>
    </row>
    <row r="25" spans="1:45" outlineLevel="1">
      <c r="B25" s="443" t="s">
        <v>969</v>
      </c>
      <c r="C25" s="1080">
        <v>63</v>
      </c>
      <c r="D25" s="1081">
        <v>49</v>
      </c>
      <c r="E25" s="1081">
        <v>46</v>
      </c>
      <c r="F25" s="1082">
        <v>41</v>
      </c>
      <c r="G25" s="485"/>
      <c r="H25" s="485"/>
      <c r="I25" s="485"/>
      <c r="J25" s="485"/>
      <c r="K25" s="483"/>
      <c r="L25" s="487" t="s">
        <v>873</v>
      </c>
      <c r="M25" s="488"/>
      <c r="N25" s="488"/>
    </row>
    <row r="26" spans="1:45" outlineLevel="1">
      <c r="B26" s="443" t="s">
        <v>366</v>
      </c>
      <c r="C26" s="1080">
        <v>11</v>
      </c>
      <c r="D26" s="1081">
        <v>8</v>
      </c>
      <c r="E26" s="1081">
        <v>6</v>
      </c>
      <c r="F26" s="1082">
        <v>4</v>
      </c>
      <c r="G26" s="485"/>
      <c r="H26" s="485"/>
      <c r="I26" s="485"/>
      <c r="J26" s="485"/>
      <c r="K26" s="483"/>
      <c r="L26" s="487" t="s">
        <v>873</v>
      </c>
      <c r="M26" s="488"/>
      <c r="N26" s="488"/>
    </row>
    <row r="27" spans="1:45" ht="15" outlineLevel="1" thickBot="1">
      <c r="B27" s="489" t="s">
        <v>367</v>
      </c>
      <c r="C27" s="1083">
        <v>3</v>
      </c>
      <c r="D27" s="1084">
        <v>3</v>
      </c>
      <c r="E27" s="1084">
        <v>1</v>
      </c>
      <c r="F27" s="1085">
        <v>1</v>
      </c>
      <c r="G27" s="485"/>
      <c r="H27" s="485"/>
      <c r="I27" s="485"/>
      <c r="J27" s="485"/>
      <c r="K27" s="483"/>
      <c r="L27" s="487" t="s">
        <v>873</v>
      </c>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0.61818181818181817</v>
      </c>
      <c r="D29" s="707">
        <v>0.59090909090909083</v>
      </c>
      <c r="E29" s="707">
        <f>(F29+D29)/2</f>
        <v>0.56363636363636349</v>
      </c>
      <c r="F29" s="708">
        <v>0.53636363636363626</v>
      </c>
      <c r="G29" s="485"/>
      <c r="H29" s="485"/>
      <c r="I29" s="485"/>
      <c r="J29" s="485"/>
      <c r="K29" s="486" t="s">
        <v>1099</v>
      </c>
      <c r="L29" s="500" t="s">
        <v>878</v>
      </c>
      <c r="M29" s="480"/>
      <c r="N29" s="480"/>
    </row>
    <row r="30" spans="1:45" outlineLevel="1">
      <c r="B30" s="501" t="s">
        <v>964</v>
      </c>
      <c r="C30" s="502">
        <v>60</v>
      </c>
      <c r="D30" s="502">
        <v>60</v>
      </c>
      <c r="E30" s="502">
        <v>60</v>
      </c>
      <c r="F30" s="502">
        <v>60</v>
      </c>
      <c r="G30" s="485"/>
      <c r="H30" s="485"/>
      <c r="I30" s="485"/>
      <c r="J30" s="485"/>
      <c r="K30" s="504"/>
      <c r="L30" s="433">
        <v>3</v>
      </c>
      <c r="M30" s="71"/>
      <c r="N30" s="480"/>
    </row>
    <row r="31" spans="1:45" outlineLevel="1">
      <c r="B31" s="501" t="s">
        <v>965</v>
      </c>
      <c r="C31" s="502">
        <f>100-C30</f>
        <v>40</v>
      </c>
      <c r="D31" s="502">
        <f>100-D30</f>
        <v>40</v>
      </c>
      <c r="E31" s="502">
        <f>100-E30</f>
        <v>40</v>
      </c>
      <c r="F31" s="502">
        <f>100-F30</f>
        <v>40</v>
      </c>
      <c r="G31" s="485"/>
      <c r="H31" s="485"/>
      <c r="I31" s="485"/>
      <c r="J31" s="485"/>
      <c r="K31" s="504"/>
      <c r="L31" s="433">
        <v>3</v>
      </c>
      <c r="M31" s="480"/>
      <c r="N31" s="480"/>
    </row>
    <row r="32" spans="1:45" outlineLevel="1">
      <c r="B32" s="443" t="s">
        <v>966</v>
      </c>
      <c r="C32" s="662">
        <v>33700</v>
      </c>
      <c r="D32" s="663">
        <v>35900</v>
      </c>
      <c r="E32" s="663">
        <f>(F32+D32)/2</f>
        <v>34800</v>
      </c>
      <c r="F32" s="664">
        <v>33700</v>
      </c>
      <c r="G32" s="485"/>
      <c r="H32" s="485"/>
      <c r="I32" s="485"/>
      <c r="J32" s="485"/>
      <c r="K32" s="508" t="s">
        <v>52</v>
      </c>
      <c r="L32" s="433">
        <v>3</v>
      </c>
      <c r="M32" s="480"/>
      <c r="N32" s="480"/>
    </row>
    <row r="33" spans="2:30" ht="37.200000000000003" customHeight="1" outlineLevel="1" thickBot="1">
      <c r="B33" s="443" t="s">
        <v>724</v>
      </c>
      <c r="C33" s="665">
        <f>C34+C35</f>
        <v>2.7789999999999999</v>
      </c>
      <c r="D33" s="665">
        <f t="shared" ref="D33:F33" si="1">D34+D35</f>
        <v>2.8250000000000002</v>
      </c>
      <c r="E33" s="665">
        <f t="shared" si="1"/>
        <v>2.8479999999999999</v>
      </c>
      <c r="F33" s="665">
        <f t="shared" si="1"/>
        <v>2.8479999999999999</v>
      </c>
      <c r="G33" s="485"/>
      <c r="H33" s="485"/>
      <c r="I33" s="485"/>
      <c r="J33" s="485"/>
      <c r="K33" s="508"/>
      <c r="L33" s="433">
        <v>3</v>
      </c>
      <c r="M33" s="510"/>
      <c r="N33" s="421"/>
      <c r="P33" s="999">
        <f>C33</f>
        <v>2.7789999999999999</v>
      </c>
      <c r="Q33" s="977"/>
      <c r="R33" s="977"/>
      <c r="S33" s="977"/>
      <c r="T33" s="977"/>
      <c r="U33" s="1000"/>
    </row>
    <row r="34" spans="2:30" ht="15.75" customHeight="1" outlineLevel="1" thickBot="1">
      <c r="B34" s="511" t="s">
        <v>883</v>
      </c>
      <c r="C34" s="512">
        <f>C13/100*73</f>
        <v>1.679</v>
      </c>
      <c r="D34" s="512">
        <f>D13/100*75</f>
        <v>1.7249999999999999</v>
      </c>
      <c r="E34" s="512">
        <f>E13/100*76</f>
        <v>1.748</v>
      </c>
      <c r="F34" s="512">
        <f>F13/100*76</f>
        <v>1.748</v>
      </c>
      <c r="G34" s="513"/>
      <c r="H34" s="513"/>
      <c r="I34" s="513"/>
      <c r="J34" s="513"/>
      <c r="K34" s="439" t="s">
        <v>55</v>
      </c>
      <c r="L34" s="440">
        <v>3</v>
      </c>
      <c r="M34" s="510"/>
      <c r="N34" s="421"/>
      <c r="P34" s="1001">
        <f>C34</f>
        <v>1.679</v>
      </c>
      <c r="Q34" s="1002"/>
      <c r="R34" s="1002"/>
      <c r="S34" s="1002"/>
      <c r="T34" s="1002"/>
      <c r="U34" s="1003"/>
    </row>
    <row r="35" spans="2:30" outlineLevel="1">
      <c r="B35" s="511" t="s">
        <v>884</v>
      </c>
      <c r="C35" s="514">
        <v>1.1000000000000001</v>
      </c>
      <c r="D35" s="514">
        <v>1.1000000000000001</v>
      </c>
      <c r="E35" s="514">
        <v>1.1000000000000001</v>
      </c>
      <c r="F35" s="514">
        <v>1.1000000000000001</v>
      </c>
      <c r="G35" s="513"/>
      <c r="H35" s="513"/>
      <c r="I35" s="513"/>
      <c r="J35" s="513"/>
      <c r="K35" s="515"/>
      <c r="L35" s="440">
        <v>3</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522" t="s">
        <v>36</v>
      </c>
      <c r="D39" s="522" t="s">
        <v>36</v>
      </c>
      <c r="E39" s="522" t="s">
        <v>36</v>
      </c>
      <c r="F39" s="522" t="s">
        <v>36</v>
      </c>
      <c r="G39" s="523"/>
      <c r="H39" s="523"/>
      <c r="I39" s="523"/>
      <c r="J39" s="523"/>
      <c r="K39" s="523" t="s">
        <v>49</v>
      </c>
      <c r="L39" s="524"/>
      <c r="M39" s="423"/>
      <c r="N39" s="423"/>
      <c r="O39" s="525">
        <f>C12</f>
        <v>89</v>
      </c>
      <c r="P39" s="526">
        <f>C8</f>
        <v>2020</v>
      </c>
      <c r="Q39" s="58">
        <f>P39</f>
        <v>2020</v>
      </c>
      <c r="R39" s="526">
        <f>O39/100</f>
        <v>0.89</v>
      </c>
      <c r="S39" s="58"/>
      <c r="T39" s="526">
        <f>C16</f>
        <v>25</v>
      </c>
      <c r="U39" s="527">
        <f>C46</f>
        <v>4605.454545454545</v>
      </c>
      <c r="V39" s="527">
        <f>C48</f>
        <v>251.065</v>
      </c>
      <c r="W39" s="527">
        <f>C49</f>
        <v>5.7509861111111107</v>
      </c>
      <c r="X39" s="58"/>
      <c r="Y39" s="58"/>
      <c r="Z39" s="526">
        <f>C23</f>
        <v>11</v>
      </c>
      <c r="AA39" s="528">
        <f>C25</f>
        <v>63</v>
      </c>
      <c r="AB39" s="528">
        <f>C26</f>
        <v>11</v>
      </c>
      <c r="AC39" s="528">
        <f>C27</f>
        <v>3</v>
      </c>
      <c r="AD39" s="528">
        <f>C24</f>
        <v>10</v>
      </c>
    </row>
    <row r="40" spans="2:30" ht="14.7" customHeight="1" outlineLevel="1">
      <c r="B40" s="436" t="s">
        <v>888</v>
      </c>
      <c r="C40" s="529" t="s">
        <v>36</v>
      </c>
      <c r="D40" s="530" t="s">
        <v>36</v>
      </c>
      <c r="E40" s="530" t="s">
        <v>36</v>
      </c>
      <c r="F40" s="531" t="s">
        <v>36</v>
      </c>
      <c r="G40" s="531"/>
      <c r="H40" s="531"/>
      <c r="I40" s="531"/>
      <c r="J40" s="531"/>
      <c r="K40" s="532" t="s">
        <v>49</v>
      </c>
      <c r="L40" s="524"/>
      <c r="M40" s="423"/>
      <c r="N40" s="423"/>
      <c r="O40" s="525">
        <f>D12</f>
        <v>89</v>
      </c>
      <c r="P40" s="526">
        <f>D8</f>
        <v>2030</v>
      </c>
      <c r="Q40" s="58"/>
      <c r="R40" s="526">
        <f>O40/100</f>
        <v>0.89</v>
      </c>
      <c r="S40" s="58"/>
      <c r="T40" s="526">
        <f>D16</f>
        <v>25</v>
      </c>
      <c r="U40" s="527">
        <f>D46</f>
        <v>4402.2727272727261</v>
      </c>
      <c r="V40" s="527">
        <f>D48</f>
        <v>267.45499999999998</v>
      </c>
      <c r="W40" s="527">
        <f>D49</f>
        <v>5.8461805555555557</v>
      </c>
      <c r="X40" s="58"/>
      <c r="Y40" s="58"/>
      <c r="Z40" s="526">
        <f>D23</f>
        <v>11</v>
      </c>
      <c r="AA40" s="528">
        <f>D25</f>
        <v>49</v>
      </c>
      <c r="AB40" s="528">
        <f>D26</f>
        <v>8</v>
      </c>
      <c r="AC40" s="528">
        <f>D27</f>
        <v>3</v>
      </c>
      <c r="AD40" s="528">
        <f>D24</f>
        <v>10</v>
      </c>
    </row>
    <row r="41" spans="2:30" outlineLevel="1">
      <c r="B41" s="436" t="s">
        <v>889</v>
      </c>
      <c r="C41" s="529" t="s">
        <v>36</v>
      </c>
      <c r="D41" s="530" t="s">
        <v>36</v>
      </c>
      <c r="E41" s="530" t="s">
        <v>36</v>
      </c>
      <c r="F41" s="531" t="s">
        <v>36</v>
      </c>
      <c r="G41" s="513"/>
      <c r="H41" s="513"/>
      <c r="I41" s="513"/>
      <c r="J41" s="513"/>
      <c r="K41" s="513"/>
      <c r="L41" s="440"/>
      <c r="M41" s="423"/>
      <c r="N41" s="423"/>
      <c r="O41" s="525">
        <f>E12</f>
        <v>89</v>
      </c>
      <c r="P41" s="526">
        <f>E8</f>
        <v>2040</v>
      </c>
      <c r="Q41" s="58"/>
      <c r="R41" s="526">
        <f>O41/100</f>
        <v>0.89</v>
      </c>
      <c r="S41" s="58"/>
      <c r="T41" s="526">
        <f>E16</f>
        <v>25</v>
      </c>
      <c r="U41" s="527">
        <f>E46</f>
        <v>4199.0909090909081</v>
      </c>
      <c r="V41" s="527">
        <f>E48</f>
        <v>259.26</v>
      </c>
      <c r="W41" s="527">
        <f>E49</f>
        <v>5.8937777777777782</v>
      </c>
      <c r="X41" s="58"/>
      <c r="Y41" s="58"/>
      <c r="Z41" s="526">
        <f>E23</f>
        <v>11</v>
      </c>
      <c r="AA41" s="528">
        <f>E25</f>
        <v>46</v>
      </c>
      <c r="AB41" s="528">
        <f>E26</f>
        <v>6</v>
      </c>
      <c r="AC41" s="528">
        <f>E27</f>
        <v>1</v>
      </c>
      <c r="AD41" s="528">
        <f>E24</f>
        <v>10</v>
      </c>
    </row>
    <row r="42" spans="2:30" ht="14.7" customHeight="1" outlineLevel="1">
      <c r="B42" s="436" t="s">
        <v>890</v>
      </c>
      <c r="C42" s="1086">
        <v>90</v>
      </c>
      <c r="D42" s="1087">
        <v>90</v>
      </c>
      <c r="E42" s="1087">
        <v>90</v>
      </c>
      <c r="F42" s="1088">
        <v>90</v>
      </c>
      <c r="G42" s="534"/>
      <c r="H42" s="534"/>
      <c r="I42" s="534"/>
      <c r="J42" s="534"/>
      <c r="K42" s="534"/>
      <c r="L42" s="440">
        <v>3</v>
      </c>
      <c r="M42" s="423"/>
      <c r="N42" s="423"/>
      <c r="O42" s="525">
        <f>F12</f>
        <v>90</v>
      </c>
      <c r="P42" s="526">
        <f>F8</f>
        <v>2050</v>
      </c>
      <c r="Q42" s="58"/>
      <c r="R42" s="526">
        <f>O42/100</f>
        <v>0.9</v>
      </c>
      <c r="S42" s="58"/>
      <c r="T42" s="526">
        <f>F16</f>
        <v>25</v>
      </c>
      <c r="U42" s="527">
        <f>F46</f>
        <v>3995.9090909090901</v>
      </c>
      <c r="V42" s="527">
        <f>F48</f>
        <v>251.065</v>
      </c>
      <c r="W42" s="527">
        <f>F49</f>
        <v>5.8937777777777782</v>
      </c>
      <c r="X42" s="58"/>
      <c r="Y42" s="58"/>
      <c r="Z42" s="526">
        <f>F23</f>
        <v>11</v>
      </c>
      <c r="AA42" s="528">
        <f>F25</f>
        <v>41</v>
      </c>
      <c r="AB42" s="528">
        <f>F26</f>
        <v>4</v>
      </c>
      <c r="AC42" s="528">
        <f>F27</f>
        <v>1</v>
      </c>
      <c r="AD42" s="528">
        <f>F24</f>
        <v>10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4605.454545454545</v>
      </c>
      <c r="D46" s="543">
        <f t="shared" ref="D46" si="2">D29*$F$4*1000</f>
        <v>4402.2727272727261</v>
      </c>
      <c r="E46" s="543">
        <f>E29*$F$4*1000</f>
        <v>4199.0909090909081</v>
      </c>
      <c r="F46" s="543">
        <f>F29*$F$4*1000</f>
        <v>3995.9090909090901</v>
      </c>
      <c r="G46" s="543"/>
      <c r="H46" s="544"/>
      <c r="I46" s="480" t="s">
        <v>332</v>
      </c>
      <c r="J46" s="480"/>
      <c r="K46" s="544"/>
      <c r="L46" s="544"/>
      <c r="N46" s="480"/>
      <c r="U46" s="972"/>
    </row>
    <row r="47" spans="2:30" outlineLevel="1">
      <c r="B47" s="545" t="s">
        <v>895</v>
      </c>
      <c r="C47" s="546">
        <f>C46*$I47</f>
        <v>2302727.2727272725</v>
      </c>
      <c r="D47" s="546">
        <f>D46*$I47</f>
        <v>2201136.3636363628</v>
      </c>
      <c r="E47" s="546">
        <f>E46*$I47</f>
        <v>2099545.4545454541</v>
      </c>
      <c r="F47" s="546">
        <f>F46*$I47</f>
        <v>1997954.5454545449</v>
      </c>
      <c r="G47" s="546"/>
      <c r="H47" s="544"/>
      <c r="I47" s="71">
        <v>500</v>
      </c>
      <c r="J47" s="480" t="s">
        <v>330</v>
      </c>
      <c r="K47" s="544"/>
      <c r="L47" s="544"/>
      <c r="N47" s="480"/>
    </row>
    <row r="48" spans="2:30" ht="43.2" outlineLevel="1">
      <c r="B48" s="521" t="s">
        <v>970</v>
      </c>
      <c r="C48" s="419">
        <f>C32*$F$4/1000</f>
        <v>251.065</v>
      </c>
      <c r="D48" s="419">
        <f t="shared" ref="D48:F48" si="3">D32*$F$4/1000</f>
        <v>267.45499999999998</v>
      </c>
      <c r="E48" s="419">
        <f t="shared" si="3"/>
        <v>259.26</v>
      </c>
      <c r="F48" s="419">
        <f t="shared" si="3"/>
        <v>251.065</v>
      </c>
      <c r="G48" s="419"/>
      <c r="I48" s="480" t="s">
        <v>333</v>
      </c>
      <c r="J48" s="480"/>
      <c r="N48" s="480"/>
    </row>
    <row r="49" spans="2:14" ht="43.2" outlineLevel="1">
      <c r="B49" s="521" t="s">
        <v>971</v>
      </c>
      <c r="C49" s="547">
        <f>C33*$F$4/3.6</f>
        <v>5.7509861111111107</v>
      </c>
      <c r="D49" s="547">
        <f t="shared" ref="D49:F49" si="4">D33*$F$4/3.6</f>
        <v>5.8461805555555557</v>
      </c>
      <c r="E49" s="547">
        <f t="shared" si="4"/>
        <v>5.8937777777777782</v>
      </c>
      <c r="F49" s="547">
        <f t="shared" si="4"/>
        <v>5.8937777777777782</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548" t="s">
        <v>898</v>
      </c>
      <c r="C55" s="549"/>
      <c r="D55" s="417"/>
      <c r="E55" s="417"/>
      <c r="F55" s="417"/>
      <c r="G55" s="417"/>
      <c r="H55" s="417"/>
      <c r="I55" s="417"/>
      <c r="J55" s="417"/>
      <c r="K55" s="417"/>
      <c r="L55" s="417"/>
    </row>
    <row r="56" spans="2:14" outlineLevel="1">
      <c r="B56" s="551">
        <v>1</v>
      </c>
      <c r="C56" s="552" t="s">
        <v>899</v>
      </c>
      <c r="D56" s="550"/>
      <c r="F56" s="417"/>
      <c r="G56" s="417"/>
      <c r="H56" s="417"/>
      <c r="I56" s="417"/>
      <c r="J56" s="417"/>
      <c r="K56" s="417"/>
      <c r="L56" s="417"/>
    </row>
    <row r="57" spans="2:14" outlineLevel="1">
      <c r="B57" s="551">
        <v>2</v>
      </c>
      <c r="C57" s="553" t="s">
        <v>900</v>
      </c>
      <c r="D57" s="550"/>
      <c r="F57" s="417"/>
      <c r="G57" s="417"/>
      <c r="H57" s="417"/>
      <c r="I57" s="417"/>
      <c r="J57" s="417"/>
      <c r="K57" s="417"/>
      <c r="L57" s="417"/>
    </row>
    <row r="58" spans="2:14" outlineLevel="1">
      <c r="B58" s="551">
        <v>3</v>
      </c>
      <c r="C58" s="553" t="s">
        <v>901</v>
      </c>
      <c r="D58" s="550"/>
      <c r="F58" s="417"/>
      <c r="G58" s="417"/>
      <c r="H58" s="417"/>
      <c r="I58" s="417"/>
      <c r="J58" s="417"/>
      <c r="K58" s="417"/>
      <c r="L58" s="417"/>
    </row>
    <row r="59" spans="2:14" outlineLevel="1">
      <c r="B59" s="551">
        <v>4</v>
      </c>
      <c r="C59" s="553" t="s">
        <v>902</v>
      </c>
      <c r="D59" s="550"/>
      <c r="F59" s="417"/>
      <c r="G59" s="417"/>
      <c r="H59" s="417"/>
      <c r="I59" s="417"/>
      <c r="J59" s="417"/>
      <c r="K59" s="417"/>
      <c r="L59" s="417"/>
    </row>
    <row r="60" spans="2:14" outlineLevel="1">
      <c r="B60" s="417">
        <v>5</v>
      </c>
      <c r="C60" s="554" t="s">
        <v>903</v>
      </c>
      <c r="D60" s="550"/>
      <c r="F60" s="417"/>
      <c r="G60" s="417"/>
      <c r="H60" s="417"/>
      <c r="I60" s="417"/>
      <c r="J60" s="417"/>
      <c r="K60" s="417"/>
      <c r="L60" s="417"/>
    </row>
    <row r="61" spans="2:14" outlineLevel="1">
      <c r="B61" s="417">
        <v>6</v>
      </c>
      <c r="C61" s="552" t="s">
        <v>904</v>
      </c>
      <c r="D61" s="550"/>
      <c r="F61" s="417"/>
      <c r="G61" s="417"/>
      <c r="H61" s="417"/>
      <c r="I61" s="417"/>
      <c r="J61" s="417"/>
      <c r="K61" s="417"/>
      <c r="L61" s="417"/>
    </row>
    <row r="62" spans="2:14" outlineLevel="1">
      <c r="B62" s="417">
        <v>7</v>
      </c>
      <c r="C62" s="555" t="s">
        <v>899</v>
      </c>
      <c r="D62" s="550"/>
      <c r="F62" s="417"/>
      <c r="G62" s="417"/>
      <c r="H62" s="417"/>
      <c r="I62" s="417"/>
      <c r="J62" s="417"/>
      <c r="K62" s="417"/>
      <c r="L62" s="417"/>
    </row>
    <row r="63" spans="2:14" outlineLevel="1">
      <c r="B63" s="417">
        <v>8</v>
      </c>
      <c r="C63" s="555" t="s">
        <v>905</v>
      </c>
      <c r="D63" s="550"/>
      <c r="F63" s="417"/>
      <c r="G63" s="417"/>
      <c r="H63" s="417"/>
      <c r="I63" s="417"/>
      <c r="J63" s="417"/>
      <c r="K63" s="417"/>
      <c r="L63" s="417"/>
    </row>
    <row r="64" spans="2:14" outlineLevel="1">
      <c r="B64" s="417">
        <v>9</v>
      </c>
      <c r="C64" s="549" t="s">
        <v>906</v>
      </c>
      <c r="D64" s="550"/>
      <c r="F64" s="417"/>
      <c r="G64" s="417"/>
      <c r="H64" s="417"/>
      <c r="I64" s="417"/>
      <c r="J64" s="417"/>
      <c r="K64" s="417"/>
      <c r="L64" s="417"/>
    </row>
    <row r="65" spans="2:12" outlineLevel="1">
      <c r="B65" s="417">
        <v>10</v>
      </c>
      <c r="C65" s="550" t="s">
        <v>907</v>
      </c>
      <c r="D65" s="417"/>
      <c r="F65" s="417"/>
      <c r="G65" s="417"/>
      <c r="H65" s="417"/>
      <c r="I65" s="417"/>
      <c r="J65" s="417"/>
      <c r="K65" s="417"/>
      <c r="L65" s="417"/>
    </row>
    <row r="66" spans="2:12" outlineLevel="1">
      <c r="B66" s="548" t="s">
        <v>908</v>
      </c>
      <c r="C66" s="549"/>
      <c r="F66" s="417"/>
      <c r="G66" s="417"/>
      <c r="H66" s="417"/>
      <c r="I66" s="417"/>
      <c r="J66" s="417"/>
      <c r="K66" s="417"/>
      <c r="L66" s="417"/>
    </row>
    <row r="67" spans="2:12" outlineLevel="1">
      <c r="B67" s="556" t="s">
        <v>6</v>
      </c>
      <c r="C67" s="557" t="s">
        <v>1100</v>
      </c>
      <c r="D67" s="417"/>
      <c r="F67" s="417"/>
      <c r="G67" s="417"/>
      <c r="H67" s="417"/>
      <c r="I67" s="417"/>
      <c r="J67" s="417"/>
      <c r="K67" s="417"/>
      <c r="L67" s="417"/>
    </row>
    <row r="68" spans="2:12" outlineLevel="1">
      <c r="B68" s="556" t="s">
        <v>59</v>
      </c>
      <c r="C68" s="549" t="s">
        <v>910</v>
      </c>
      <c r="D68" s="417"/>
      <c r="F68" s="417"/>
      <c r="G68" s="417"/>
      <c r="H68" s="417"/>
      <c r="I68" s="417"/>
      <c r="J68" s="417"/>
      <c r="K68" s="417"/>
      <c r="L68" s="417"/>
    </row>
    <row r="69" spans="2:12" outlineLevel="1">
      <c r="B69" s="556" t="s">
        <v>16</v>
      </c>
      <c r="C69" s="549" t="s">
        <v>1101</v>
      </c>
      <c r="F69" s="417"/>
      <c r="G69" s="417"/>
      <c r="H69" s="417"/>
      <c r="I69" s="417"/>
      <c r="J69" s="417"/>
      <c r="K69" s="417"/>
      <c r="L69" s="417"/>
    </row>
    <row r="70" spans="2:12" outlineLevel="1">
      <c r="B70" s="556" t="s">
        <v>20</v>
      </c>
      <c r="C70" s="549" t="s">
        <v>1102</v>
      </c>
      <c r="G70" s="417"/>
      <c r="H70" s="417"/>
      <c r="I70" s="417"/>
      <c r="J70" s="417"/>
      <c r="K70" s="417"/>
      <c r="L70" s="417"/>
    </row>
    <row r="71" spans="2:12" outlineLevel="1">
      <c r="B71" s="556" t="s">
        <v>76</v>
      </c>
      <c r="C71" s="549" t="s">
        <v>911</v>
      </c>
      <c r="G71" s="417"/>
      <c r="H71" s="417"/>
      <c r="I71" s="417"/>
      <c r="J71" s="417"/>
      <c r="K71" s="417"/>
      <c r="L71" s="417"/>
    </row>
    <row r="72" spans="2:12" outlineLevel="1">
      <c r="B72" s="556" t="s">
        <v>25</v>
      </c>
      <c r="C72" s="549" t="s">
        <v>1103</v>
      </c>
      <c r="G72" s="417"/>
      <c r="H72" s="417"/>
      <c r="I72" s="417"/>
      <c r="J72" s="417"/>
      <c r="K72" s="417"/>
      <c r="L72" s="417"/>
    </row>
    <row r="73" spans="2:12" outlineLevel="1">
      <c r="B73" s="556" t="s">
        <v>33</v>
      </c>
      <c r="C73" s="549" t="s">
        <v>1104</v>
      </c>
      <c r="G73" s="417"/>
      <c r="H73" s="417"/>
      <c r="I73" s="417"/>
      <c r="J73" s="417"/>
      <c r="K73" s="417"/>
      <c r="L73" s="417"/>
    </row>
    <row r="74" spans="2:12" outlineLevel="1">
      <c r="B74" s="556" t="s">
        <v>51</v>
      </c>
      <c r="C74" s="549" t="s">
        <v>912</v>
      </c>
      <c r="G74" s="417"/>
      <c r="H74" s="417"/>
      <c r="I74" s="417"/>
      <c r="J74" s="417"/>
      <c r="K74" s="417"/>
      <c r="L74" s="417"/>
    </row>
    <row r="75" spans="2:12" outlineLevel="1">
      <c r="B75" s="556" t="s">
        <v>52</v>
      </c>
      <c r="C75" s="549" t="s">
        <v>1105</v>
      </c>
      <c r="G75" s="417"/>
      <c r="H75" s="417"/>
      <c r="I75" s="417"/>
      <c r="J75" s="417"/>
      <c r="K75" s="417"/>
      <c r="L75" s="417"/>
    </row>
    <row r="76" spans="2:12" outlineLevel="1">
      <c r="B76" s="556" t="s">
        <v>55</v>
      </c>
      <c r="C76" s="558" t="s">
        <v>913</v>
      </c>
      <c r="G76" s="417"/>
      <c r="H76" s="417"/>
      <c r="I76" s="417"/>
      <c r="J76" s="417"/>
      <c r="K76" s="417"/>
      <c r="L76" s="417"/>
    </row>
    <row r="77" spans="2:12" outlineLevel="1">
      <c r="B77" s="556" t="s">
        <v>49</v>
      </c>
      <c r="C77" s="549" t="s">
        <v>914</v>
      </c>
      <c r="G77" s="417"/>
      <c r="H77" s="417"/>
      <c r="I77" s="417"/>
      <c r="J77" s="417"/>
      <c r="K77" s="417"/>
      <c r="L77" s="417"/>
    </row>
    <row r="78" spans="2:12" outlineLevel="1">
      <c r="E78" s="550"/>
      <c r="F78" s="550"/>
    </row>
    <row r="79" spans="2:12" outlineLevel="1"/>
    <row r="80" spans="2:12" outlineLevel="1">
      <c r="B80" s="556"/>
      <c r="C80" s="549"/>
      <c r="D80" s="549"/>
    </row>
    <row r="81" spans="1:44" outlineLevel="1">
      <c r="B81" s="698" t="str">
        <f>C86</f>
        <v>Steam boiler, Wood chips (Condensing)</v>
      </c>
    </row>
    <row r="84" spans="1:44">
      <c r="A84" s="420" t="s">
        <v>1119</v>
      </c>
      <c r="B84" s="976"/>
      <c r="C84" s="977"/>
      <c r="D84" s="977"/>
      <c r="E84" s="977"/>
      <c r="F84" s="977"/>
      <c r="G84" s="977"/>
      <c r="H84" s="977"/>
      <c r="I84" s="977"/>
      <c r="J84" s="977"/>
      <c r="K84" s="977"/>
      <c r="L84" s="977"/>
      <c r="M84" s="977"/>
      <c r="N84" s="421"/>
      <c r="P84" s="977"/>
      <c r="Q84" s="977"/>
      <c r="R84" s="977"/>
      <c r="S84" s="977"/>
      <c r="T84" s="977"/>
      <c r="U84" s="977"/>
    </row>
    <row r="85" spans="1:44" ht="15" outlineLevel="1" thickBot="1">
      <c r="B85" s="976"/>
      <c r="C85" s="977"/>
      <c r="D85" s="977"/>
      <c r="E85" s="977"/>
      <c r="F85" s="977"/>
      <c r="G85" s="977"/>
      <c r="H85" s="977"/>
      <c r="I85" s="977"/>
      <c r="J85" s="977"/>
      <c r="K85" s="977"/>
      <c r="L85" s="977"/>
      <c r="M85" s="977"/>
      <c r="N85" s="421"/>
      <c r="P85" s="752">
        <v>1</v>
      </c>
      <c r="Q85" s="752">
        <v>2</v>
      </c>
      <c r="R85" s="752">
        <v>3</v>
      </c>
      <c r="S85" s="752">
        <v>4</v>
      </c>
      <c r="T85" s="752">
        <v>5</v>
      </c>
      <c r="U85" s="752">
        <v>6</v>
      </c>
      <c r="V85" s="752">
        <v>7</v>
      </c>
      <c r="W85" s="752">
        <v>8</v>
      </c>
      <c r="X85" s="752">
        <v>9</v>
      </c>
      <c r="Y85" s="752">
        <v>10</v>
      </c>
      <c r="Z85" s="752">
        <v>11</v>
      </c>
      <c r="AA85" s="752">
        <v>12</v>
      </c>
      <c r="AB85" s="752">
        <v>13</v>
      </c>
      <c r="AC85" s="752">
        <v>14</v>
      </c>
    </row>
    <row r="86" spans="1:44" ht="20.7" customHeight="1" outlineLevel="1" thickBot="1">
      <c r="B86" s="422" t="s">
        <v>0</v>
      </c>
      <c r="C86" s="1018" t="s">
        <v>1106</v>
      </c>
      <c r="D86" s="1019"/>
      <c r="E86" s="1019"/>
      <c r="F86" s="1019"/>
      <c r="G86" s="1019"/>
      <c r="H86" s="1019"/>
      <c r="I86" s="1019"/>
      <c r="J86" s="1019"/>
      <c r="K86" s="1019"/>
      <c r="L86" s="1020"/>
      <c r="M86" s="423"/>
      <c r="N86" s="423"/>
      <c r="P86" s="424" t="s">
        <v>838</v>
      </c>
      <c r="Q86" s="425"/>
      <c r="R86" s="426"/>
      <c r="S86" s="985" t="s">
        <v>839</v>
      </c>
      <c r="T86" s="989" t="s">
        <v>840</v>
      </c>
      <c r="U86" s="990"/>
      <c r="V86" s="989" t="s">
        <v>841</v>
      </c>
      <c r="W86" s="990"/>
      <c r="X86" s="989" t="s">
        <v>842</v>
      </c>
      <c r="Y86" s="990"/>
      <c r="Z86" s="989" t="s">
        <v>843</v>
      </c>
      <c r="AA86" s="990"/>
      <c r="AB86" s="989" t="s">
        <v>844</v>
      </c>
      <c r="AC86" s="990"/>
      <c r="AE86" s="424" t="s">
        <v>845</v>
      </c>
      <c r="AF86" s="425"/>
      <c r="AG86" s="426"/>
      <c r="AH86" s="985" t="s">
        <v>839</v>
      </c>
      <c r="AI86" s="989" t="s">
        <v>840</v>
      </c>
      <c r="AJ86" s="990"/>
      <c r="AK86" s="989" t="s">
        <v>841</v>
      </c>
      <c r="AL86" s="990"/>
      <c r="AM86" s="989" t="s">
        <v>842</v>
      </c>
      <c r="AN86" s="990"/>
      <c r="AO86" s="989" t="s">
        <v>843</v>
      </c>
      <c r="AP86" s="990"/>
      <c r="AQ86" s="989" t="s">
        <v>844</v>
      </c>
      <c r="AR86" s="990"/>
    </row>
    <row r="87" spans="1:44" ht="15" customHeight="1" outlineLevel="1" thickBot="1">
      <c r="B87" s="1010" t="s">
        <v>4</v>
      </c>
      <c r="C87" s="1012">
        <v>2020</v>
      </c>
      <c r="D87" s="1012">
        <v>2030</v>
      </c>
      <c r="E87" s="1012">
        <v>2040</v>
      </c>
      <c r="F87" s="1012">
        <v>2050</v>
      </c>
      <c r="G87" s="1014" t="s">
        <v>846</v>
      </c>
      <c r="H87" s="1015"/>
      <c r="I87" s="1014" t="s">
        <v>693</v>
      </c>
      <c r="J87" s="1015"/>
      <c r="K87" s="1016" t="s">
        <v>2</v>
      </c>
      <c r="L87" s="1016" t="s">
        <v>3</v>
      </c>
      <c r="M87" s="427"/>
      <c r="N87" s="427"/>
      <c r="P87" s="993" t="s">
        <v>0</v>
      </c>
      <c r="Q87" s="428"/>
      <c r="R87" s="428"/>
      <c r="S87" s="986"/>
      <c r="T87" s="991"/>
      <c r="U87" s="992"/>
      <c r="V87" s="991"/>
      <c r="W87" s="992"/>
      <c r="X87" s="991"/>
      <c r="Y87" s="992"/>
      <c r="Z87" s="991"/>
      <c r="AA87" s="992"/>
      <c r="AB87" s="991"/>
      <c r="AC87" s="992"/>
      <c r="AE87" s="993" t="s">
        <v>0</v>
      </c>
      <c r="AF87" s="428"/>
      <c r="AG87" s="428"/>
      <c r="AH87" s="986"/>
      <c r="AI87" s="991"/>
      <c r="AJ87" s="992"/>
      <c r="AK87" s="991"/>
      <c r="AL87" s="992"/>
      <c r="AM87" s="991"/>
      <c r="AN87" s="992"/>
      <c r="AO87" s="991"/>
      <c r="AP87" s="992"/>
      <c r="AQ87" s="991"/>
      <c r="AR87" s="992"/>
    </row>
    <row r="88" spans="1:44" ht="15" customHeight="1" outlineLevel="1" thickBot="1">
      <c r="B88" s="1011"/>
      <c r="C88" s="1013"/>
      <c r="D88" s="1013"/>
      <c r="E88" s="1013"/>
      <c r="F88" s="1013"/>
      <c r="G88" s="559" t="s">
        <v>694</v>
      </c>
      <c r="H88" s="559" t="s">
        <v>695</v>
      </c>
      <c r="I88" s="559" t="s">
        <v>694</v>
      </c>
      <c r="J88" s="559" t="s">
        <v>695</v>
      </c>
      <c r="K88" s="1017"/>
      <c r="L88" s="1017"/>
      <c r="M88" s="430"/>
      <c r="N88" s="430"/>
      <c r="P88" s="994"/>
      <c r="Q88" s="996" t="s">
        <v>847</v>
      </c>
      <c r="R88" s="997" t="s">
        <v>848</v>
      </c>
      <c r="S88" s="987"/>
      <c r="T88" s="991"/>
      <c r="U88" s="992"/>
      <c r="V88" s="991"/>
      <c r="W88" s="992"/>
      <c r="X88" s="991"/>
      <c r="Y88" s="992"/>
      <c r="Z88" s="991"/>
      <c r="AA88" s="992"/>
      <c r="AB88" s="991"/>
      <c r="AC88" s="992"/>
      <c r="AE88" s="994"/>
      <c r="AF88" s="1040" t="s">
        <v>847</v>
      </c>
      <c r="AG88" s="997" t="s">
        <v>848</v>
      </c>
      <c r="AH88" s="987"/>
      <c r="AI88" s="991"/>
      <c r="AJ88" s="992"/>
      <c r="AK88" s="991"/>
      <c r="AL88" s="992"/>
      <c r="AM88" s="991"/>
      <c r="AN88" s="992"/>
      <c r="AO88" s="991"/>
      <c r="AP88" s="992"/>
      <c r="AQ88" s="991"/>
      <c r="AR88" s="992"/>
    </row>
    <row r="89" spans="1:44" ht="29.4" outlineLevel="1" thickBot="1">
      <c r="B89" s="431" t="s">
        <v>696</v>
      </c>
      <c r="C89" s="432">
        <v>20</v>
      </c>
      <c r="D89" s="432">
        <v>20</v>
      </c>
      <c r="E89" s="432">
        <v>20</v>
      </c>
      <c r="F89" s="432">
        <v>20</v>
      </c>
      <c r="G89" s="432">
        <v>1</v>
      </c>
      <c r="H89" s="432">
        <v>50</v>
      </c>
      <c r="I89" s="432">
        <v>1</v>
      </c>
      <c r="J89" s="432">
        <v>50</v>
      </c>
      <c r="K89" s="432" t="s">
        <v>6</v>
      </c>
      <c r="L89" s="433" t="s">
        <v>850</v>
      </c>
      <c r="M89" s="430"/>
      <c r="N89" s="430"/>
      <c r="O89" s="74"/>
      <c r="P89" s="995"/>
      <c r="Q89" s="988"/>
      <c r="R89" s="998"/>
      <c r="S89" s="988"/>
      <c r="T89" s="434" t="s">
        <v>851</v>
      </c>
      <c r="U89" s="435" t="s">
        <v>852</v>
      </c>
      <c r="V89" s="434" t="s">
        <v>851</v>
      </c>
      <c r="W89" s="435" t="s">
        <v>852</v>
      </c>
      <c r="X89" s="434" t="s">
        <v>851</v>
      </c>
      <c r="Y89" s="435" t="s">
        <v>852</v>
      </c>
      <c r="Z89" s="434" t="s">
        <v>851</v>
      </c>
      <c r="AA89" s="435" t="s">
        <v>852</v>
      </c>
      <c r="AB89" s="434" t="s">
        <v>851</v>
      </c>
      <c r="AC89" s="435" t="s">
        <v>852</v>
      </c>
      <c r="AE89" s="995"/>
      <c r="AF89" s="1041"/>
      <c r="AG89" s="998"/>
      <c r="AH89" s="988"/>
      <c r="AI89" s="434" t="s">
        <v>851</v>
      </c>
      <c r="AJ89" s="435" t="s">
        <v>852</v>
      </c>
      <c r="AK89" s="434" t="s">
        <v>851</v>
      </c>
      <c r="AL89" s="435" t="s">
        <v>852</v>
      </c>
      <c r="AM89" s="434" t="s">
        <v>851</v>
      </c>
      <c r="AN89" s="435" t="s">
        <v>852</v>
      </c>
      <c r="AO89" s="434" t="s">
        <v>851</v>
      </c>
      <c r="AP89" s="435" t="s">
        <v>852</v>
      </c>
      <c r="AQ89" s="434" t="s">
        <v>851</v>
      </c>
      <c r="AR89" s="435" t="s">
        <v>852</v>
      </c>
    </row>
    <row r="90" spans="1:44" ht="15" customHeight="1" outlineLevel="1">
      <c r="B90" s="560" t="s">
        <v>853</v>
      </c>
      <c r="C90" s="728">
        <v>116.18960947726835</v>
      </c>
      <c r="D90" s="728">
        <v>116.18960947726835</v>
      </c>
      <c r="E90" s="729">
        <v>116.18960947726835</v>
      </c>
      <c r="F90" s="728">
        <v>116.18960947726835</v>
      </c>
      <c r="G90" s="561">
        <v>88</v>
      </c>
      <c r="H90" s="561">
        <v>117</v>
      </c>
      <c r="I90" s="561">
        <v>88</v>
      </c>
      <c r="J90" s="561">
        <v>117</v>
      </c>
      <c r="K90" s="563" t="s">
        <v>1107</v>
      </c>
      <c r="L90" s="564">
        <v>11</v>
      </c>
      <c r="M90" s="430"/>
      <c r="N90" s="430"/>
      <c r="P90" s="1042" t="str">
        <f>C86</f>
        <v>Steam boiler, Wood chips (Condensing)</v>
      </c>
      <c r="Q90" s="1030" t="s">
        <v>855</v>
      </c>
      <c r="R90" s="441" t="s">
        <v>856</v>
      </c>
      <c r="S90" s="442"/>
      <c r="T90" s="1033">
        <v>0</v>
      </c>
      <c r="U90" s="1021">
        <v>0</v>
      </c>
      <c r="V90" s="1024">
        <v>0</v>
      </c>
      <c r="W90" s="1021">
        <v>0</v>
      </c>
      <c r="X90" s="1024">
        <v>0</v>
      </c>
      <c r="Y90" s="1021">
        <v>0</v>
      </c>
      <c r="Z90" s="1024">
        <v>0</v>
      </c>
      <c r="AA90" s="1021">
        <v>0</v>
      </c>
      <c r="AB90" s="1024">
        <v>0</v>
      </c>
      <c r="AC90" s="1021">
        <v>0</v>
      </c>
      <c r="AE90" s="1027" t="str">
        <f>P90</f>
        <v>Steam boiler, Wood chips (Condensing)</v>
      </c>
      <c r="AF90" s="1030" t="s">
        <v>855</v>
      </c>
      <c r="AG90" s="441" t="s">
        <v>856</v>
      </c>
      <c r="AH90" s="442"/>
      <c r="AI90" s="1033">
        <v>0</v>
      </c>
      <c r="AJ90" s="1021">
        <v>0</v>
      </c>
      <c r="AK90" s="1024">
        <v>0</v>
      </c>
      <c r="AL90" s="1021">
        <v>0</v>
      </c>
      <c r="AM90" s="1024">
        <v>0</v>
      </c>
      <c r="AN90" s="1021">
        <v>0</v>
      </c>
      <c r="AO90" s="1024">
        <v>0</v>
      </c>
      <c r="AP90" s="1021">
        <v>0</v>
      </c>
      <c r="AQ90" s="1024">
        <v>0</v>
      </c>
      <c r="AR90" s="1021">
        <v>0</v>
      </c>
    </row>
    <row r="91" spans="1:44" outlineLevel="1">
      <c r="B91" s="443" t="s">
        <v>857</v>
      </c>
      <c r="C91" s="637">
        <v>116.18960947726835</v>
      </c>
      <c r="D91" s="637">
        <v>116.18960947726835</v>
      </c>
      <c r="E91" s="637">
        <v>116.18960947726835</v>
      </c>
      <c r="F91" s="637">
        <v>116.18960947726835</v>
      </c>
      <c r="G91" s="565">
        <v>88</v>
      </c>
      <c r="H91" s="565">
        <v>117</v>
      </c>
      <c r="I91" s="565">
        <v>88</v>
      </c>
      <c r="J91" s="565">
        <v>117</v>
      </c>
      <c r="K91" s="432" t="s">
        <v>1107</v>
      </c>
      <c r="L91" s="433">
        <v>11</v>
      </c>
      <c r="M91" s="430"/>
      <c r="N91" s="430"/>
      <c r="O91" s="71"/>
      <c r="P91" s="1028"/>
      <c r="Q91" s="1031"/>
      <c r="R91" s="448" t="s">
        <v>858</v>
      </c>
      <c r="S91" s="449"/>
      <c r="T91" s="1034"/>
      <c r="U91" s="1022"/>
      <c r="V91" s="1025"/>
      <c r="W91" s="1022"/>
      <c r="X91" s="1025"/>
      <c r="Y91" s="1022"/>
      <c r="Z91" s="1025"/>
      <c r="AA91" s="1022"/>
      <c r="AB91" s="1025"/>
      <c r="AC91" s="1022"/>
      <c r="AE91" s="1028"/>
      <c r="AF91" s="1031"/>
      <c r="AG91" s="448" t="s">
        <v>858</v>
      </c>
      <c r="AH91" s="449"/>
      <c r="AI91" s="1034"/>
      <c r="AJ91" s="1022"/>
      <c r="AK91" s="1025"/>
      <c r="AL91" s="1022"/>
      <c r="AM91" s="1025"/>
      <c r="AN91" s="1022"/>
      <c r="AO91" s="1025"/>
      <c r="AP91" s="1022"/>
      <c r="AQ91" s="1025"/>
      <c r="AR91" s="1022"/>
    </row>
    <row r="92" spans="1:44" ht="15" outlineLevel="1" thickBot="1">
      <c r="B92" s="560" t="s">
        <v>859</v>
      </c>
      <c r="C92" s="566">
        <v>2.2999999999999998</v>
      </c>
      <c r="D92" s="567">
        <v>2.2999999999999998</v>
      </c>
      <c r="E92" s="567">
        <v>2.2999999999999998</v>
      </c>
      <c r="F92" s="568">
        <v>2.2999999999999998</v>
      </c>
      <c r="G92" s="567">
        <v>2.2000000000000002</v>
      </c>
      <c r="H92" s="567">
        <v>2.5</v>
      </c>
      <c r="I92" s="567">
        <v>1.8</v>
      </c>
      <c r="J92" s="567">
        <v>2.5</v>
      </c>
      <c r="K92" s="563" t="s">
        <v>59</v>
      </c>
      <c r="L92" s="564">
        <v>3</v>
      </c>
      <c r="M92" s="430"/>
      <c r="N92" s="430"/>
      <c r="O92" s="71"/>
      <c r="P92" s="1028"/>
      <c r="Q92" s="1032"/>
      <c r="R92" s="453" t="s">
        <v>860</v>
      </c>
      <c r="S92" s="454"/>
      <c r="T92" s="1035"/>
      <c r="U92" s="1023"/>
      <c r="V92" s="1026"/>
      <c r="W92" s="1023"/>
      <c r="X92" s="1026"/>
      <c r="Y92" s="1023"/>
      <c r="Z92" s="1026"/>
      <c r="AA92" s="1023"/>
      <c r="AB92" s="1026"/>
      <c r="AC92" s="1023"/>
      <c r="AE92" s="1028"/>
      <c r="AF92" s="1032"/>
      <c r="AG92" s="453" t="s">
        <v>860</v>
      </c>
      <c r="AH92" s="454"/>
      <c r="AI92" s="1035"/>
      <c r="AJ92" s="1023"/>
      <c r="AK92" s="1026"/>
      <c r="AL92" s="1023"/>
      <c r="AM92" s="1026"/>
      <c r="AN92" s="1023"/>
      <c r="AO92" s="1026"/>
      <c r="AP92" s="1023"/>
      <c r="AQ92" s="1026"/>
      <c r="AR92" s="1023"/>
    </row>
    <row r="93" spans="1:44" ht="15" customHeight="1" outlineLevel="1">
      <c r="B93" s="560" t="s">
        <v>702</v>
      </c>
      <c r="C93" s="747">
        <v>3</v>
      </c>
      <c r="D93" s="747">
        <v>3</v>
      </c>
      <c r="E93" s="747">
        <v>3</v>
      </c>
      <c r="F93" s="747">
        <v>3</v>
      </c>
      <c r="G93" s="747">
        <v>3</v>
      </c>
      <c r="H93" s="747">
        <v>3</v>
      </c>
      <c r="I93" s="747">
        <v>3</v>
      </c>
      <c r="J93" s="747">
        <v>3</v>
      </c>
      <c r="K93" s="563" t="s">
        <v>16</v>
      </c>
      <c r="L93" s="564">
        <v>3</v>
      </c>
      <c r="M93" s="430"/>
      <c r="N93" s="430"/>
      <c r="O93" s="71"/>
      <c r="P93" s="1028"/>
      <c r="Q93" s="1030" t="s">
        <v>861</v>
      </c>
      <c r="R93" s="455" t="s">
        <v>862</v>
      </c>
      <c r="S93" s="456" t="s">
        <v>863</v>
      </c>
      <c r="T93" s="1033">
        <v>0</v>
      </c>
      <c r="U93" s="1033">
        <v>0.21</v>
      </c>
      <c r="V93" s="1033">
        <v>0</v>
      </c>
      <c r="W93" s="1033">
        <v>0</v>
      </c>
      <c r="X93" s="1033">
        <v>0</v>
      </c>
      <c r="Y93" s="1033">
        <v>0</v>
      </c>
      <c r="Z93" s="1033">
        <v>0</v>
      </c>
      <c r="AA93" s="1033">
        <v>0.09</v>
      </c>
      <c r="AB93" s="1033">
        <v>0</v>
      </c>
      <c r="AC93" s="1021">
        <v>0</v>
      </c>
      <c r="AE93" s="1028"/>
      <c r="AF93" s="1030" t="s">
        <v>861</v>
      </c>
      <c r="AG93" s="455" t="s">
        <v>862</v>
      </c>
      <c r="AH93" s="456" t="s">
        <v>863</v>
      </c>
      <c r="AI93" s="1033">
        <v>0</v>
      </c>
      <c r="AJ93" s="1033">
        <v>0.21</v>
      </c>
      <c r="AK93" s="1033">
        <v>0</v>
      </c>
      <c r="AL93" s="1033">
        <v>0</v>
      </c>
      <c r="AM93" s="1033">
        <v>0</v>
      </c>
      <c r="AN93" s="1033">
        <v>0</v>
      </c>
      <c r="AO93" s="1033">
        <v>0</v>
      </c>
      <c r="AP93" s="1033">
        <v>0.09</v>
      </c>
      <c r="AQ93" s="1033">
        <v>0</v>
      </c>
      <c r="AR93" s="1021">
        <v>0</v>
      </c>
    </row>
    <row r="94" spans="1:44" outlineLevel="1">
      <c r="B94" s="560" t="s">
        <v>703</v>
      </c>
      <c r="C94" s="566">
        <v>3</v>
      </c>
      <c r="D94" s="566">
        <v>3</v>
      </c>
      <c r="E94" s="566">
        <v>3</v>
      </c>
      <c r="F94" s="566">
        <v>3</v>
      </c>
      <c r="G94" s="566">
        <v>2.6</v>
      </c>
      <c r="H94" s="566">
        <v>3.5</v>
      </c>
      <c r="I94" s="566">
        <v>2.2999999999999998</v>
      </c>
      <c r="J94" s="566">
        <v>3.8</v>
      </c>
      <c r="K94" s="563" t="s">
        <v>16</v>
      </c>
      <c r="L94" s="564">
        <v>3</v>
      </c>
      <c r="M94" s="427"/>
      <c r="N94" s="427"/>
      <c r="O94" s="71"/>
      <c r="P94" s="1028"/>
      <c r="Q94" s="1031"/>
      <c r="R94" s="455" t="s">
        <v>864</v>
      </c>
      <c r="S94" s="456" t="s">
        <v>863</v>
      </c>
      <c r="T94" s="1036"/>
      <c r="U94" s="1036"/>
      <c r="V94" s="1036"/>
      <c r="W94" s="1036"/>
      <c r="X94" s="1036"/>
      <c r="Y94" s="1036"/>
      <c r="Z94" s="1036"/>
      <c r="AA94" s="1036"/>
      <c r="AB94" s="1036"/>
      <c r="AC94" s="1038"/>
      <c r="AE94" s="1028"/>
      <c r="AF94" s="1031"/>
      <c r="AG94" s="455" t="s">
        <v>864</v>
      </c>
      <c r="AH94" s="456" t="s">
        <v>863</v>
      </c>
      <c r="AI94" s="1036"/>
      <c r="AJ94" s="1036"/>
      <c r="AK94" s="1036"/>
      <c r="AL94" s="1036"/>
      <c r="AM94" s="1036"/>
      <c r="AN94" s="1036"/>
      <c r="AO94" s="1036"/>
      <c r="AP94" s="1036"/>
      <c r="AQ94" s="1036"/>
      <c r="AR94" s="1038"/>
    </row>
    <row r="95" spans="1:44" outlineLevel="1">
      <c r="B95" s="443" t="s">
        <v>11</v>
      </c>
      <c r="C95" s="457">
        <v>25</v>
      </c>
      <c r="D95" s="457">
        <v>25</v>
      </c>
      <c r="E95" s="457">
        <v>25</v>
      </c>
      <c r="F95" s="457">
        <v>25</v>
      </c>
      <c r="G95" s="459">
        <v>20</v>
      </c>
      <c r="H95" s="459">
        <v>35</v>
      </c>
      <c r="I95" s="459">
        <v>20</v>
      </c>
      <c r="J95" s="459">
        <v>35</v>
      </c>
      <c r="K95" s="432"/>
      <c r="L95" s="433" t="s">
        <v>865</v>
      </c>
      <c r="M95" s="423"/>
      <c r="N95" s="423"/>
      <c r="P95" s="1028"/>
      <c r="Q95" s="1031"/>
      <c r="R95" s="455" t="s">
        <v>866</v>
      </c>
      <c r="S95" s="456" t="s">
        <v>863</v>
      </c>
      <c r="T95" s="1036"/>
      <c r="U95" s="1036"/>
      <c r="V95" s="1036"/>
      <c r="W95" s="1036"/>
      <c r="X95" s="1036"/>
      <c r="Y95" s="1036"/>
      <c r="Z95" s="1036"/>
      <c r="AA95" s="1036"/>
      <c r="AB95" s="1036"/>
      <c r="AC95" s="1038"/>
      <c r="AE95" s="1028"/>
      <c r="AF95" s="1031"/>
      <c r="AG95" s="455" t="s">
        <v>866</v>
      </c>
      <c r="AH95" s="689" t="s">
        <v>863</v>
      </c>
      <c r="AI95" s="1036"/>
      <c r="AJ95" s="1036"/>
      <c r="AK95" s="1036"/>
      <c r="AL95" s="1036"/>
      <c r="AM95" s="1036"/>
      <c r="AN95" s="1036"/>
      <c r="AO95" s="1036"/>
      <c r="AP95" s="1036"/>
      <c r="AQ95" s="1036"/>
      <c r="AR95" s="1038"/>
    </row>
    <row r="96" spans="1:44" ht="15" outlineLevel="1" thickBot="1">
      <c r="B96" s="560" t="s">
        <v>273</v>
      </c>
      <c r="C96" s="566">
        <v>1</v>
      </c>
      <c r="D96" s="566">
        <v>1</v>
      </c>
      <c r="E96" s="566">
        <v>1</v>
      </c>
      <c r="F96" s="566">
        <v>1</v>
      </c>
      <c r="G96" s="566">
        <v>0.5</v>
      </c>
      <c r="H96" s="566">
        <v>1.5</v>
      </c>
      <c r="I96" s="566">
        <v>0.5</v>
      </c>
      <c r="J96" s="566">
        <v>1.5</v>
      </c>
      <c r="K96" s="432"/>
      <c r="L96" s="460"/>
      <c r="M96" s="423"/>
      <c r="N96" s="423"/>
      <c r="P96" s="1028"/>
      <c r="Q96" s="1031"/>
      <c r="R96" s="455" t="s">
        <v>867</v>
      </c>
      <c r="S96" s="456" t="s">
        <v>863</v>
      </c>
      <c r="T96" s="1036"/>
      <c r="U96" s="1036"/>
      <c r="V96" s="1036"/>
      <c r="W96" s="1036"/>
      <c r="X96" s="1036"/>
      <c r="Y96" s="1036"/>
      <c r="Z96" s="1036"/>
      <c r="AA96" s="1036"/>
      <c r="AB96" s="1036"/>
      <c r="AC96" s="1038"/>
      <c r="AE96" s="1028"/>
      <c r="AF96" s="1031"/>
      <c r="AG96" s="455" t="s">
        <v>867</v>
      </c>
      <c r="AH96" s="456" t="s">
        <v>863</v>
      </c>
      <c r="AI96" s="1036"/>
      <c r="AJ96" s="1036"/>
      <c r="AK96" s="1036"/>
      <c r="AL96" s="1036"/>
      <c r="AM96" s="1036"/>
      <c r="AN96" s="1036"/>
      <c r="AO96" s="1036"/>
      <c r="AP96" s="1036"/>
      <c r="AQ96" s="1036"/>
      <c r="AR96" s="1038"/>
    </row>
    <row r="97" spans="1:44" ht="15" outlineLevel="1" thickBot="1">
      <c r="B97" s="461" t="s">
        <v>868</v>
      </c>
      <c r="C97" s="462"/>
      <c r="D97" s="463"/>
      <c r="E97" s="464"/>
      <c r="F97" s="465"/>
      <c r="G97" s="466"/>
      <c r="H97" s="466"/>
      <c r="I97" s="466"/>
      <c r="J97" s="466"/>
      <c r="K97" s="467"/>
      <c r="L97" s="468"/>
      <c r="M97" s="423"/>
      <c r="N97" s="423"/>
      <c r="P97" s="1028"/>
      <c r="Q97" s="1032"/>
      <c r="R97" s="469" t="s">
        <v>988</v>
      </c>
      <c r="S97" s="470" t="s">
        <v>863</v>
      </c>
      <c r="T97" s="1037"/>
      <c r="U97" s="1037"/>
      <c r="V97" s="1037"/>
      <c r="W97" s="1037"/>
      <c r="X97" s="1037"/>
      <c r="Y97" s="1037"/>
      <c r="Z97" s="1037"/>
      <c r="AA97" s="1037"/>
      <c r="AB97" s="1037"/>
      <c r="AC97" s="1039"/>
      <c r="AE97" s="1028"/>
      <c r="AF97" s="1032"/>
      <c r="AG97" s="469" t="s">
        <v>988</v>
      </c>
      <c r="AH97" s="470" t="s">
        <v>863</v>
      </c>
      <c r="AI97" s="1037"/>
      <c r="AJ97" s="1037"/>
      <c r="AK97" s="1037"/>
      <c r="AL97" s="1037"/>
      <c r="AM97" s="1037"/>
      <c r="AN97" s="1037"/>
      <c r="AO97" s="1037"/>
      <c r="AP97" s="1037"/>
      <c r="AQ97" s="1037"/>
      <c r="AR97" s="1039"/>
    </row>
    <row r="98" spans="1:44" ht="29.4" outlineLevel="1" thickBot="1">
      <c r="B98" s="560" t="s">
        <v>708</v>
      </c>
      <c r="C98" s="566">
        <v>20</v>
      </c>
      <c r="D98" s="566">
        <v>20</v>
      </c>
      <c r="E98" s="566">
        <v>20</v>
      </c>
      <c r="F98" s="566">
        <v>20</v>
      </c>
      <c r="G98" s="567"/>
      <c r="H98" s="567"/>
      <c r="I98" s="567"/>
      <c r="J98" s="567"/>
      <c r="K98" s="563"/>
      <c r="L98" s="564">
        <v>3</v>
      </c>
      <c r="M98" s="423"/>
      <c r="N98" s="423"/>
      <c r="P98" s="1029"/>
      <c r="Q98" s="471" t="s">
        <v>870</v>
      </c>
      <c r="R98" s="472" t="s">
        <v>871</v>
      </c>
      <c r="S98" s="690" t="s">
        <v>863</v>
      </c>
      <c r="T98" s="476">
        <v>1</v>
      </c>
      <c r="U98" s="475">
        <v>1</v>
      </c>
      <c r="V98" s="476">
        <v>0</v>
      </c>
      <c r="W98" s="475">
        <v>0</v>
      </c>
      <c r="X98" s="476">
        <v>0</v>
      </c>
      <c r="Y98" s="475">
        <v>0</v>
      </c>
      <c r="Z98" s="476">
        <v>1</v>
      </c>
      <c r="AA98" s="475">
        <v>1</v>
      </c>
      <c r="AB98" s="476">
        <v>0</v>
      </c>
      <c r="AC98" s="477">
        <v>0</v>
      </c>
      <c r="AE98" s="1029"/>
      <c r="AF98" s="471" t="s">
        <v>870</v>
      </c>
      <c r="AG98" s="691" t="s">
        <v>871</v>
      </c>
      <c r="AH98" s="692" t="s">
        <v>863</v>
      </c>
      <c r="AI98" s="476">
        <v>1</v>
      </c>
      <c r="AJ98" s="475">
        <v>1</v>
      </c>
      <c r="AK98" s="476">
        <v>0</v>
      </c>
      <c r="AL98" s="475">
        <v>0</v>
      </c>
      <c r="AM98" s="476">
        <v>0</v>
      </c>
      <c r="AN98" s="475">
        <v>0</v>
      </c>
      <c r="AO98" s="476">
        <v>1</v>
      </c>
      <c r="AP98" s="475">
        <v>1</v>
      </c>
      <c r="AQ98" s="476">
        <v>0</v>
      </c>
      <c r="AR98" s="477">
        <v>0</v>
      </c>
    </row>
    <row r="99" spans="1:44" outlineLevel="1">
      <c r="B99" s="560" t="s">
        <v>709</v>
      </c>
      <c r="C99" s="566">
        <v>0.3</v>
      </c>
      <c r="D99" s="566">
        <v>0.3</v>
      </c>
      <c r="E99" s="566">
        <v>0.3</v>
      </c>
      <c r="F99" s="566">
        <v>0.3</v>
      </c>
      <c r="G99" s="569"/>
      <c r="H99" s="569"/>
      <c r="I99" s="569"/>
      <c r="J99" s="569"/>
      <c r="K99" s="570"/>
      <c r="L99" s="564">
        <v>3</v>
      </c>
      <c r="M99" s="423"/>
      <c r="N99" s="423"/>
    </row>
    <row r="100" spans="1:44" outlineLevel="1">
      <c r="B100" s="560" t="s">
        <v>711</v>
      </c>
      <c r="C100" s="566">
        <v>0.5</v>
      </c>
      <c r="D100" s="566">
        <v>0.5</v>
      </c>
      <c r="E100" s="566">
        <v>0.5</v>
      </c>
      <c r="F100" s="566">
        <v>0.5</v>
      </c>
      <c r="G100" s="569"/>
      <c r="H100" s="569"/>
      <c r="I100" s="569"/>
      <c r="J100" s="569"/>
      <c r="K100" s="570"/>
      <c r="L100" s="564">
        <v>3</v>
      </c>
      <c r="M100" s="480"/>
      <c r="N100" s="423"/>
    </row>
    <row r="101" spans="1:44" outlineLevel="1">
      <c r="B101" s="481" t="s">
        <v>12</v>
      </c>
      <c r="C101" s="459"/>
      <c r="D101" s="459"/>
      <c r="E101" s="459"/>
      <c r="F101" s="459"/>
      <c r="G101" s="482"/>
      <c r="H101" s="482"/>
      <c r="I101" s="482"/>
      <c r="J101" s="482"/>
      <c r="K101" s="483"/>
      <c r="L101" s="484"/>
      <c r="M101" s="480"/>
      <c r="N101" s="480"/>
    </row>
    <row r="102" spans="1:44" outlineLevel="1">
      <c r="B102" s="443" t="s">
        <v>968</v>
      </c>
      <c r="C102" s="457">
        <v>11</v>
      </c>
      <c r="D102" s="457">
        <v>11</v>
      </c>
      <c r="E102" s="457">
        <v>11</v>
      </c>
      <c r="F102" s="457">
        <v>11</v>
      </c>
      <c r="G102" s="482"/>
      <c r="H102" s="485"/>
      <c r="I102" s="485"/>
      <c r="J102" s="485"/>
      <c r="K102" s="486" t="s">
        <v>20</v>
      </c>
      <c r="L102" s="487" t="s">
        <v>873</v>
      </c>
      <c r="M102" s="488"/>
      <c r="N102" s="488"/>
    </row>
    <row r="103" spans="1:44" outlineLevel="1">
      <c r="B103" s="443" t="s">
        <v>874</v>
      </c>
      <c r="C103" s="457">
        <v>10</v>
      </c>
      <c r="D103" s="457">
        <v>10</v>
      </c>
      <c r="E103" s="457">
        <v>10</v>
      </c>
      <c r="F103" s="457">
        <v>10</v>
      </c>
      <c r="G103" s="485"/>
      <c r="H103" s="485"/>
      <c r="I103" s="485"/>
      <c r="J103" s="485"/>
      <c r="K103" s="483"/>
      <c r="L103" s="487">
        <v>9</v>
      </c>
      <c r="M103" s="488"/>
      <c r="N103" s="488"/>
    </row>
    <row r="104" spans="1:44" outlineLevel="1">
      <c r="B104" s="443" t="s">
        <v>969</v>
      </c>
      <c r="C104" s="457">
        <v>63</v>
      </c>
      <c r="D104" s="457">
        <v>49</v>
      </c>
      <c r="E104" s="457">
        <v>46</v>
      </c>
      <c r="F104" s="457">
        <v>41</v>
      </c>
      <c r="G104" s="485"/>
      <c r="H104" s="485"/>
      <c r="I104" s="485"/>
      <c r="J104" s="485"/>
      <c r="K104" s="483"/>
      <c r="L104" s="487" t="s">
        <v>873</v>
      </c>
      <c r="M104" s="488"/>
      <c r="N104" s="488"/>
    </row>
    <row r="105" spans="1:44" outlineLevel="1">
      <c r="B105" s="443" t="s">
        <v>366</v>
      </c>
      <c r="C105" s="457">
        <v>11</v>
      </c>
      <c r="D105" s="457">
        <v>8</v>
      </c>
      <c r="E105" s="457">
        <v>6</v>
      </c>
      <c r="F105" s="457">
        <v>4</v>
      </c>
      <c r="G105" s="485"/>
      <c r="H105" s="485"/>
      <c r="I105" s="485"/>
      <c r="J105" s="485"/>
      <c r="K105" s="483"/>
      <c r="L105" s="487" t="s">
        <v>873</v>
      </c>
      <c r="M105" s="488"/>
      <c r="N105" s="488"/>
    </row>
    <row r="106" spans="1:44" ht="15" outlineLevel="1" thickBot="1">
      <c r="B106" s="489" t="s">
        <v>367</v>
      </c>
      <c r="C106" s="490">
        <v>3</v>
      </c>
      <c r="D106" s="490">
        <v>3</v>
      </c>
      <c r="E106" s="490">
        <v>1</v>
      </c>
      <c r="F106" s="490">
        <v>1</v>
      </c>
      <c r="G106" s="485"/>
      <c r="H106" s="485"/>
      <c r="I106" s="485"/>
      <c r="J106" s="485"/>
      <c r="K106" s="483"/>
      <c r="L106" s="487" t="s">
        <v>873</v>
      </c>
      <c r="M106" s="488"/>
      <c r="N106" s="488"/>
    </row>
    <row r="107" spans="1:44" ht="15" outlineLevel="1" thickBot="1">
      <c r="B107" s="491" t="s">
        <v>719</v>
      </c>
      <c r="C107" s="492"/>
      <c r="D107" s="463"/>
      <c r="E107" s="463"/>
      <c r="F107" s="493"/>
      <c r="G107" s="494"/>
      <c r="H107" s="466"/>
      <c r="I107" s="466"/>
      <c r="J107" s="466"/>
      <c r="K107" s="467"/>
      <c r="L107" s="468"/>
      <c r="M107" s="488"/>
      <c r="N107" s="488"/>
    </row>
    <row r="108" spans="1:44" ht="14.7" customHeight="1" outlineLevel="1">
      <c r="A108" s="495"/>
      <c r="B108" s="496" t="s">
        <v>1035</v>
      </c>
      <c r="C108" s="611">
        <v>0.68</v>
      </c>
      <c r="D108" s="707">
        <v>0.65</v>
      </c>
      <c r="E108" s="707">
        <v>0.62</v>
      </c>
      <c r="F108" s="708">
        <v>0.59</v>
      </c>
      <c r="G108" s="485"/>
      <c r="H108" s="485"/>
      <c r="I108" s="485"/>
      <c r="J108" s="485"/>
      <c r="K108" s="486" t="s">
        <v>1108</v>
      </c>
      <c r="L108" s="500" t="s">
        <v>878</v>
      </c>
      <c r="M108" s="480"/>
      <c r="N108" s="480"/>
    </row>
    <row r="109" spans="1:44" outlineLevel="1">
      <c r="B109" s="501" t="s">
        <v>964</v>
      </c>
      <c r="C109" s="502">
        <v>65</v>
      </c>
      <c r="D109" s="502">
        <v>65</v>
      </c>
      <c r="E109" s="502">
        <v>65</v>
      </c>
      <c r="F109" s="502">
        <v>65</v>
      </c>
      <c r="G109" s="485"/>
      <c r="H109" s="485"/>
      <c r="I109" s="485"/>
      <c r="J109" s="485"/>
      <c r="K109" s="504"/>
      <c r="L109" s="433">
        <v>3</v>
      </c>
      <c r="M109" s="71"/>
      <c r="N109" s="480"/>
    </row>
    <row r="110" spans="1:44" outlineLevel="1">
      <c r="B110" s="501" t="s">
        <v>965</v>
      </c>
      <c r="C110" s="502">
        <f>100-C109</f>
        <v>35</v>
      </c>
      <c r="D110" s="502">
        <f>100-D109</f>
        <v>35</v>
      </c>
      <c r="E110" s="502">
        <f>100-E109</f>
        <v>35</v>
      </c>
      <c r="F110" s="502">
        <f>100-F109</f>
        <v>35</v>
      </c>
      <c r="G110" s="485"/>
      <c r="H110" s="485"/>
      <c r="I110" s="485"/>
      <c r="J110" s="485"/>
      <c r="K110" s="504"/>
      <c r="L110" s="433">
        <v>3</v>
      </c>
      <c r="M110" s="480"/>
      <c r="N110" s="480"/>
    </row>
    <row r="111" spans="1:44" outlineLevel="1">
      <c r="B111" s="443" t="s">
        <v>966</v>
      </c>
      <c r="C111" s="505">
        <v>37000</v>
      </c>
      <c r="D111" s="506">
        <v>35900</v>
      </c>
      <c r="E111" s="506">
        <f>(F111+D111)/2</f>
        <v>34800</v>
      </c>
      <c r="F111" s="507">
        <v>33700</v>
      </c>
      <c r="G111" s="485"/>
      <c r="H111" s="485"/>
      <c r="I111" s="485"/>
      <c r="J111" s="485"/>
      <c r="K111" s="508" t="s">
        <v>51</v>
      </c>
      <c r="L111" s="433">
        <v>3</v>
      </c>
      <c r="M111" s="480"/>
      <c r="N111" s="480"/>
    </row>
    <row r="112" spans="1:44" outlineLevel="1">
      <c r="B112" s="443" t="s">
        <v>724</v>
      </c>
      <c r="C112" s="665">
        <f>C113+C114</f>
        <v>2.7789999999999999</v>
      </c>
      <c r="D112" s="665">
        <f t="shared" ref="D112:F112" si="5">D113+D114</f>
        <v>2.8250000000000002</v>
      </c>
      <c r="E112" s="665">
        <f t="shared" si="5"/>
        <v>2.8479999999999999</v>
      </c>
      <c r="F112" s="665">
        <f t="shared" si="5"/>
        <v>2.8479999999999999</v>
      </c>
      <c r="G112" s="485"/>
      <c r="H112" s="485"/>
      <c r="I112" s="485"/>
      <c r="J112" s="485"/>
      <c r="K112" s="508"/>
      <c r="L112" s="433">
        <v>3</v>
      </c>
      <c r="M112" s="510"/>
      <c r="N112" s="421"/>
      <c r="P112" s="999">
        <f>C112</f>
        <v>2.7789999999999999</v>
      </c>
      <c r="Q112" s="977"/>
      <c r="R112" s="977"/>
      <c r="S112" s="977"/>
      <c r="T112" s="977"/>
      <c r="U112" s="1000"/>
    </row>
    <row r="113" spans="2:30" ht="15" outlineLevel="1" thickBot="1">
      <c r="B113" s="560" t="s">
        <v>883</v>
      </c>
      <c r="C113" s="574">
        <f>C92/100*73</f>
        <v>1.679</v>
      </c>
      <c r="D113" s="574">
        <f>D92/100*75</f>
        <v>1.7249999999999999</v>
      </c>
      <c r="E113" s="574">
        <f>E92/100*76</f>
        <v>1.748</v>
      </c>
      <c r="F113" s="574">
        <f>F92/100*76</f>
        <v>1.748</v>
      </c>
      <c r="G113" s="575"/>
      <c r="H113" s="575"/>
      <c r="I113" s="575"/>
      <c r="J113" s="575"/>
      <c r="K113" s="563" t="s">
        <v>52</v>
      </c>
      <c r="L113" s="564">
        <v>3</v>
      </c>
      <c r="M113" s="510"/>
      <c r="N113" s="421"/>
      <c r="P113" s="1001">
        <f>C113</f>
        <v>1.679</v>
      </c>
      <c r="Q113" s="1002"/>
      <c r="R113" s="1002"/>
      <c r="S113" s="1002"/>
      <c r="T113" s="1002"/>
      <c r="U113" s="1003"/>
    </row>
    <row r="114" spans="2:30" outlineLevel="1">
      <c r="B114" s="560" t="s">
        <v>884</v>
      </c>
      <c r="C114" s="576">
        <v>1.1000000000000001</v>
      </c>
      <c r="D114" s="576">
        <v>1.1000000000000001</v>
      </c>
      <c r="E114" s="576">
        <v>1.1000000000000001</v>
      </c>
      <c r="F114" s="576">
        <v>1.1000000000000001</v>
      </c>
      <c r="G114" s="575"/>
      <c r="H114" s="575"/>
      <c r="I114" s="575"/>
      <c r="J114" s="575"/>
      <c r="K114" s="577"/>
      <c r="L114" s="564">
        <v>3</v>
      </c>
      <c r="M114" s="423"/>
      <c r="N114" s="423"/>
      <c r="P114" s="53" t="s">
        <v>357</v>
      </c>
    </row>
    <row r="115" spans="2:30" ht="27.6" outlineLevel="1">
      <c r="B115" s="501"/>
      <c r="C115" s="741"/>
      <c r="D115" s="741"/>
      <c r="E115" s="741"/>
      <c r="F115" s="741"/>
      <c r="G115" s="485"/>
      <c r="H115" s="485"/>
      <c r="I115" s="485"/>
      <c r="J115" s="485"/>
      <c r="K115" s="504"/>
      <c r="L115" s="484"/>
      <c r="M115" s="427"/>
      <c r="N115" s="42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79"/>
      <c r="C116" s="502"/>
      <c r="D116" s="580"/>
      <c r="E116" s="580"/>
      <c r="F116" s="581"/>
      <c r="G116" s="485"/>
      <c r="H116" s="485"/>
      <c r="I116" s="485"/>
      <c r="J116" s="485"/>
      <c r="K116" s="508"/>
      <c r="L116" s="484"/>
      <c r="M116" s="423"/>
      <c r="N116" s="423"/>
      <c r="P116" s="50"/>
      <c r="Q116" s="50"/>
      <c r="R116" s="51"/>
      <c r="S116" s="51"/>
      <c r="T116" s="51"/>
      <c r="U116" s="51" t="s">
        <v>885</v>
      </c>
      <c r="V116" s="50" t="s">
        <v>886</v>
      </c>
      <c r="W116" s="50"/>
      <c r="X116" s="50"/>
      <c r="Y116" s="50"/>
      <c r="Z116" s="50"/>
      <c r="AA116" s="50"/>
      <c r="AB116" s="50"/>
      <c r="AC116" s="50"/>
      <c r="AD116" s="50"/>
    </row>
    <row r="117" spans="2:30" ht="43.8" outlineLevel="1" thickBot="1">
      <c r="B117" s="461" t="s">
        <v>727</v>
      </c>
      <c r="C117" s="462"/>
      <c r="D117" s="463"/>
      <c r="E117" s="464"/>
      <c r="F117" s="465"/>
      <c r="G117" s="466"/>
      <c r="H117" s="466"/>
      <c r="I117" s="466"/>
      <c r="J117" s="466"/>
      <c r="K117" s="519"/>
      <c r="L117" s="520"/>
      <c r="M117" s="423"/>
      <c r="N117" s="423"/>
      <c r="O117" s="521" t="s">
        <v>857</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82" t="s">
        <v>887</v>
      </c>
      <c r="C118" s="583" t="s">
        <v>36</v>
      </c>
      <c r="D118" s="583" t="s">
        <v>36</v>
      </c>
      <c r="E118" s="583" t="s">
        <v>36</v>
      </c>
      <c r="F118" s="583" t="s">
        <v>36</v>
      </c>
      <c r="G118" s="584"/>
      <c r="H118" s="584"/>
      <c r="I118" s="584"/>
      <c r="J118" s="584"/>
      <c r="K118" s="584" t="s">
        <v>55</v>
      </c>
      <c r="L118" s="585"/>
      <c r="M118" s="423"/>
      <c r="N118" s="423"/>
      <c r="O118" s="525">
        <f>C91</f>
        <v>116.18960947726835</v>
      </c>
      <c r="P118" s="526">
        <f>C87</f>
        <v>2020</v>
      </c>
      <c r="Q118" s="58">
        <f>P118</f>
        <v>2020</v>
      </c>
      <c r="R118" s="526">
        <f>O118/100</f>
        <v>1.1618960947726835</v>
      </c>
      <c r="S118" s="58"/>
      <c r="T118" s="526">
        <f>C95</f>
        <v>25</v>
      </c>
      <c r="U118" s="527">
        <f>C125</f>
        <v>5066.0000000000009</v>
      </c>
      <c r="V118" s="527">
        <f>C127</f>
        <v>275.64999999999998</v>
      </c>
      <c r="W118" s="527">
        <f>C128</f>
        <v>5.7509861111111107</v>
      </c>
      <c r="X118" s="58"/>
      <c r="Y118" s="58"/>
      <c r="Z118" s="526">
        <f>C102</f>
        <v>11</v>
      </c>
      <c r="AA118" s="528">
        <f>C104</f>
        <v>63</v>
      </c>
      <c r="AB118" s="528">
        <f>C105</f>
        <v>11</v>
      </c>
      <c r="AC118" s="528">
        <f>C106</f>
        <v>3</v>
      </c>
      <c r="AD118" s="528">
        <f>C103</f>
        <v>10</v>
      </c>
    </row>
    <row r="119" spans="2:30" outlineLevel="1">
      <c r="B119" s="560" t="s">
        <v>888</v>
      </c>
      <c r="C119" s="586" t="s">
        <v>36</v>
      </c>
      <c r="D119" s="587" t="s">
        <v>36</v>
      </c>
      <c r="E119" s="587" t="s">
        <v>36</v>
      </c>
      <c r="F119" s="588" t="s">
        <v>36</v>
      </c>
      <c r="G119" s="588"/>
      <c r="H119" s="588"/>
      <c r="I119" s="588"/>
      <c r="J119" s="588"/>
      <c r="K119" s="589" t="s">
        <v>55</v>
      </c>
      <c r="L119" s="585"/>
      <c r="M119" s="423"/>
      <c r="N119" s="423"/>
      <c r="O119" s="525">
        <f>D91</f>
        <v>116.18960947726835</v>
      </c>
      <c r="P119" s="526">
        <f>D87</f>
        <v>2030</v>
      </c>
      <c r="Q119" s="58"/>
      <c r="R119" s="526">
        <f>O119/100</f>
        <v>1.1618960947726835</v>
      </c>
      <c r="S119" s="58"/>
      <c r="T119" s="526">
        <f>D95</f>
        <v>25</v>
      </c>
      <c r="U119" s="527">
        <f>D125</f>
        <v>4842.5</v>
      </c>
      <c r="V119" s="527">
        <f>D127</f>
        <v>267.45499999999998</v>
      </c>
      <c r="W119" s="527">
        <f>D128</f>
        <v>5.8461805555555557</v>
      </c>
      <c r="X119" s="58"/>
      <c r="Y119" s="58"/>
      <c r="Z119" s="526">
        <f>D102</f>
        <v>11</v>
      </c>
      <c r="AA119" s="528">
        <f>D104</f>
        <v>49</v>
      </c>
      <c r="AB119" s="528">
        <f>D105</f>
        <v>8</v>
      </c>
      <c r="AC119" s="528">
        <f>D106</f>
        <v>3</v>
      </c>
      <c r="AD119" s="528">
        <f>D103</f>
        <v>10</v>
      </c>
    </row>
    <row r="120" spans="2:30" outlineLevel="1">
      <c r="B120" s="560" t="s">
        <v>889</v>
      </c>
      <c r="C120" s="586" t="s">
        <v>36</v>
      </c>
      <c r="D120" s="587" t="s">
        <v>36</v>
      </c>
      <c r="E120" s="587" t="s">
        <v>36</v>
      </c>
      <c r="F120" s="588" t="s">
        <v>36</v>
      </c>
      <c r="G120" s="575"/>
      <c r="H120" s="575"/>
      <c r="I120" s="575"/>
      <c r="J120" s="575"/>
      <c r="K120" s="575"/>
      <c r="L120" s="564"/>
      <c r="M120" s="423"/>
      <c r="N120" s="423"/>
      <c r="O120" s="525">
        <f>E91</f>
        <v>116.18960947726835</v>
      </c>
      <c r="P120" s="526">
        <f>E87</f>
        <v>2040</v>
      </c>
      <c r="Q120" s="58"/>
      <c r="R120" s="526">
        <f>O120/100</f>
        <v>1.1618960947726835</v>
      </c>
      <c r="S120" s="58"/>
      <c r="T120" s="526">
        <f>E95</f>
        <v>25</v>
      </c>
      <c r="U120" s="527">
        <f>E125</f>
        <v>4619</v>
      </c>
      <c r="V120" s="527">
        <f>E127</f>
        <v>259.26</v>
      </c>
      <c r="W120" s="527">
        <f>E128</f>
        <v>5.8937777777777782</v>
      </c>
      <c r="X120" s="58"/>
      <c r="Y120" s="58"/>
      <c r="Z120" s="526">
        <f>E102</f>
        <v>11</v>
      </c>
      <c r="AA120" s="528">
        <f>E104</f>
        <v>46</v>
      </c>
      <c r="AB120" s="528">
        <f>E105</f>
        <v>6</v>
      </c>
      <c r="AC120" s="528">
        <f>E106</f>
        <v>1</v>
      </c>
      <c r="AD120" s="528">
        <f>E103</f>
        <v>10</v>
      </c>
    </row>
    <row r="121" spans="2:30" outlineLevel="1">
      <c r="B121" s="560" t="s">
        <v>890</v>
      </c>
      <c r="C121" s="745">
        <v>90</v>
      </c>
      <c r="D121" s="590">
        <v>90</v>
      </c>
      <c r="E121" s="590">
        <v>90</v>
      </c>
      <c r="F121" s="590">
        <v>90</v>
      </c>
      <c r="G121" s="591"/>
      <c r="H121" s="591"/>
      <c r="I121" s="591"/>
      <c r="J121" s="591"/>
      <c r="K121" s="591"/>
      <c r="L121" s="564">
        <v>3</v>
      </c>
      <c r="M121" s="423"/>
      <c r="N121" s="423"/>
      <c r="O121" s="525">
        <f>F91</f>
        <v>116.18960947726835</v>
      </c>
      <c r="P121" s="526">
        <f>F87</f>
        <v>2050</v>
      </c>
      <c r="Q121" s="58"/>
      <c r="R121" s="526">
        <f>O121/100</f>
        <v>1.1618960947726835</v>
      </c>
      <c r="S121" s="58"/>
      <c r="T121" s="526">
        <f>F95</f>
        <v>25</v>
      </c>
      <c r="U121" s="527">
        <f>F125</f>
        <v>4395.5</v>
      </c>
      <c r="V121" s="527">
        <f>F127</f>
        <v>251.065</v>
      </c>
      <c r="W121" s="527">
        <f>F128</f>
        <v>5.8937777777777782</v>
      </c>
      <c r="X121" s="58"/>
      <c r="Y121" s="58"/>
      <c r="Z121" s="526">
        <f>F102</f>
        <v>11</v>
      </c>
      <c r="AA121" s="528">
        <f>F104</f>
        <v>41</v>
      </c>
      <c r="AB121" s="528">
        <f>F105</f>
        <v>4</v>
      </c>
      <c r="AC121" s="528">
        <f>F106</f>
        <v>1</v>
      </c>
      <c r="AD121" s="528">
        <f>F103</f>
        <v>10</v>
      </c>
    </row>
    <row r="122" spans="2:30" outlineLevel="1">
      <c r="B122" s="592" t="s">
        <v>891</v>
      </c>
      <c r="C122" s="586" t="s">
        <v>36</v>
      </c>
      <c r="D122" s="587" t="s">
        <v>36</v>
      </c>
      <c r="E122" s="587" t="s">
        <v>36</v>
      </c>
      <c r="F122" s="588" t="s">
        <v>36</v>
      </c>
      <c r="G122" s="591"/>
      <c r="H122" s="591"/>
      <c r="I122" s="591"/>
      <c r="J122" s="591"/>
      <c r="K122" s="591"/>
      <c r="L122" s="593"/>
      <c r="M122" s="427"/>
      <c r="N122" s="427"/>
    </row>
    <row r="123" spans="2:30" outlineLevel="1">
      <c r="B123" s="592" t="s">
        <v>892</v>
      </c>
      <c r="C123" s="586" t="s">
        <v>36</v>
      </c>
      <c r="D123" s="587" t="s">
        <v>36</v>
      </c>
      <c r="E123" s="587" t="s">
        <v>36</v>
      </c>
      <c r="F123" s="588" t="s">
        <v>36</v>
      </c>
      <c r="G123" s="591"/>
      <c r="H123" s="591"/>
      <c r="I123" s="591"/>
      <c r="J123" s="591"/>
      <c r="K123" s="591"/>
      <c r="L123" s="593"/>
      <c r="M123" s="423"/>
      <c r="N123" s="423"/>
    </row>
    <row r="124" spans="2:30" ht="15" outlineLevel="1" thickBot="1">
      <c r="B124" s="594" t="s">
        <v>893</v>
      </c>
      <c r="C124" s="595" t="s">
        <v>36</v>
      </c>
      <c r="D124" s="596" t="s">
        <v>36</v>
      </c>
      <c r="E124" s="596" t="s">
        <v>36</v>
      </c>
      <c r="F124" s="597" t="s">
        <v>36</v>
      </c>
      <c r="G124" s="598"/>
      <c r="H124" s="598"/>
      <c r="I124" s="598"/>
      <c r="J124" s="598"/>
      <c r="K124" s="598"/>
      <c r="L124" s="599"/>
      <c r="M124" s="423"/>
      <c r="N124" s="423"/>
    </row>
    <row r="125" spans="2:30" ht="57.6" outlineLevel="1">
      <c r="B125" s="521" t="s">
        <v>894</v>
      </c>
      <c r="C125" s="543">
        <f>C108*$F$4*1000</f>
        <v>5066.0000000000009</v>
      </c>
      <c r="D125" s="543">
        <f t="shared" ref="D125:F125" si="6">D108*$F$4*1000</f>
        <v>4842.5</v>
      </c>
      <c r="E125" s="543">
        <f t="shared" si="6"/>
        <v>4619</v>
      </c>
      <c r="F125" s="543">
        <f t="shared" si="6"/>
        <v>4395.5</v>
      </c>
      <c r="G125" s="543"/>
      <c r="H125" s="544"/>
      <c r="I125" s="480" t="s">
        <v>332</v>
      </c>
      <c r="J125" s="480"/>
      <c r="K125" s="544"/>
      <c r="L125" s="544"/>
      <c r="N125" s="480"/>
    </row>
    <row r="126" spans="2:30" outlineLevel="1">
      <c r="B126" s="545" t="s">
        <v>895</v>
      </c>
      <c r="C126" s="546">
        <f>C125*$I126</f>
        <v>2533000.0000000005</v>
      </c>
      <c r="D126" s="546">
        <f>D125*$I126</f>
        <v>2421250</v>
      </c>
      <c r="E126" s="546">
        <f>E125*$I126</f>
        <v>2309500</v>
      </c>
      <c r="F126" s="546">
        <f>F125*$I126</f>
        <v>2197750</v>
      </c>
      <c r="G126" s="546"/>
      <c r="H126" s="544"/>
      <c r="I126" s="71">
        <v>500</v>
      </c>
      <c r="J126" s="480" t="s">
        <v>330</v>
      </c>
      <c r="K126" s="544"/>
      <c r="L126" s="544"/>
      <c r="N126" s="480"/>
    </row>
    <row r="127" spans="2:30" ht="43.2" outlineLevel="1">
      <c r="B127" s="521" t="s">
        <v>970</v>
      </c>
      <c r="C127" s="419">
        <f>C111*$F$4/1000</f>
        <v>275.64999999999998</v>
      </c>
      <c r="D127" s="419">
        <f t="shared" ref="D127:F127" si="7">D111*$F$4/1000</f>
        <v>267.45499999999998</v>
      </c>
      <c r="E127" s="419">
        <f t="shared" si="7"/>
        <v>259.26</v>
      </c>
      <c r="F127" s="419">
        <f t="shared" si="7"/>
        <v>251.065</v>
      </c>
      <c r="G127" s="419"/>
      <c r="I127" s="480" t="s">
        <v>333</v>
      </c>
      <c r="J127" s="480"/>
      <c r="N127" s="480"/>
    </row>
    <row r="128" spans="2:30" ht="43.2" outlineLevel="1">
      <c r="B128" s="521" t="s">
        <v>971</v>
      </c>
      <c r="C128" s="547">
        <f>C112*$F$4/3.6</f>
        <v>5.7509861111111107</v>
      </c>
      <c r="D128" s="547">
        <f t="shared" ref="D128:F128" si="8">D112*$F$4/3.6</f>
        <v>5.8461805555555557</v>
      </c>
      <c r="E128" s="547">
        <f t="shared" si="8"/>
        <v>5.8937777777777782</v>
      </c>
      <c r="F128" s="547">
        <f t="shared" si="8"/>
        <v>5.8937777777777782</v>
      </c>
      <c r="G128" s="419"/>
      <c r="M128" s="480"/>
      <c r="N128" s="480"/>
    </row>
    <row r="129" spans="2:6" outlineLevel="1"/>
    <row r="130" spans="2:6" outlineLevel="1"/>
    <row r="131" spans="2:6" outlineLevel="1"/>
    <row r="132" spans="2:6" outlineLevel="1">
      <c r="B132" s="548" t="s">
        <v>898</v>
      </c>
      <c r="C132" s="549"/>
    </row>
    <row r="133" spans="2:6" outlineLevel="1">
      <c r="B133" s="551">
        <v>1</v>
      </c>
      <c r="C133" s="552" t="s">
        <v>899</v>
      </c>
      <c r="D133" s="550"/>
      <c r="E133" s="550"/>
      <c r="F133" s="550"/>
    </row>
    <row r="134" spans="2:6" outlineLevel="1">
      <c r="B134" s="551">
        <v>2</v>
      </c>
      <c r="C134" s="553" t="s">
        <v>900</v>
      </c>
      <c r="E134" s="550"/>
      <c r="F134" s="550"/>
    </row>
    <row r="135" spans="2:6" outlineLevel="1">
      <c r="B135" s="551">
        <v>3</v>
      </c>
      <c r="C135" s="553" t="s">
        <v>901</v>
      </c>
      <c r="E135" s="550"/>
      <c r="F135" s="550"/>
    </row>
    <row r="136" spans="2:6" outlineLevel="1">
      <c r="B136" s="551">
        <v>4</v>
      </c>
      <c r="C136" s="553" t="s">
        <v>902</v>
      </c>
      <c r="E136" s="550"/>
      <c r="F136" s="550"/>
    </row>
    <row r="137" spans="2:6" outlineLevel="1">
      <c r="B137" s="417">
        <v>5</v>
      </c>
      <c r="C137" s="554" t="s">
        <v>903</v>
      </c>
      <c r="E137" s="550"/>
      <c r="F137" s="550"/>
    </row>
    <row r="138" spans="2:6" outlineLevel="1">
      <c r="B138" s="417">
        <v>6</v>
      </c>
      <c r="C138" s="552" t="s">
        <v>904</v>
      </c>
      <c r="D138" s="550"/>
      <c r="E138" s="550"/>
      <c r="F138" s="550"/>
    </row>
    <row r="139" spans="2:6" outlineLevel="1">
      <c r="B139" s="417">
        <v>7</v>
      </c>
      <c r="C139" s="555" t="s">
        <v>899</v>
      </c>
      <c r="D139" s="550"/>
      <c r="E139" s="550"/>
      <c r="F139" s="550"/>
    </row>
    <row r="140" spans="2:6" outlineLevel="1">
      <c r="B140" s="417">
        <v>8</v>
      </c>
      <c r="C140" s="555" t="s">
        <v>905</v>
      </c>
      <c r="D140" s="550"/>
      <c r="E140" s="550"/>
      <c r="F140" s="550"/>
    </row>
    <row r="141" spans="2:6" outlineLevel="1">
      <c r="B141" s="417">
        <v>9</v>
      </c>
      <c r="C141" s="549" t="s">
        <v>906</v>
      </c>
      <c r="D141" s="550"/>
      <c r="E141" s="550"/>
      <c r="F141" s="550"/>
    </row>
    <row r="142" spans="2:6" outlineLevel="1">
      <c r="B142" s="417">
        <v>10</v>
      </c>
      <c r="C142" s="550" t="s">
        <v>907</v>
      </c>
      <c r="D142" s="550"/>
      <c r="E142" s="550"/>
      <c r="F142" s="550"/>
    </row>
    <row r="143" spans="2:6" outlineLevel="1">
      <c r="B143" s="417">
        <v>11</v>
      </c>
      <c r="C143" s="550" t="s">
        <v>1109</v>
      </c>
      <c r="D143" s="550"/>
      <c r="E143" s="550"/>
      <c r="F143" s="550"/>
    </row>
    <row r="144" spans="2:6" outlineLevel="1">
      <c r="B144" s="548" t="s">
        <v>908</v>
      </c>
      <c r="C144" s="549"/>
      <c r="D144" s="550"/>
      <c r="E144" s="550"/>
      <c r="F144" s="550"/>
    </row>
    <row r="145" spans="2:6" outlineLevel="1">
      <c r="B145" s="556" t="s">
        <v>6</v>
      </c>
      <c r="C145" s="557" t="s">
        <v>1100</v>
      </c>
      <c r="E145" s="550"/>
      <c r="F145" s="550"/>
    </row>
    <row r="146" spans="2:6" outlineLevel="1">
      <c r="B146" s="556" t="s">
        <v>59</v>
      </c>
      <c r="C146" s="549" t="s">
        <v>1101</v>
      </c>
      <c r="E146" s="550"/>
      <c r="F146" s="550"/>
    </row>
    <row r="147" spans="2:6" outlineLevel="1">
      <c r="B147" s="556" t="s">
        <v>16</v>
      </c>
      <c r="C147" s="549" t="s">
        <v>1102</v>
      </c>
      <c r="E147" s="550"/>
      <c r="F147" s="550"/>
    </row>
    <row r="148" spans="2:6" outlineLevel="1">
      <c r="B148" s="556" t="s">
        <v>20</v>
      </c>
      <c r="C148" s="549" t="s">
        <v>911</v>
      </c>
      <c r="E148" s="550"/>
      <c r="F148" s="550"/>
    </row>
    <row r="149" spans="2:6" outlineLevel="1">
      <c r="B149" s="556" t="s">
        <v>76</v>
      </c>
      <c r="C149" s="549" t="s">
        <v>1103</v>
      </c>
      <c r="E149" s="550"/>
      <c r="F149" s="550"/>
    </row>
    <row r="150" spans="2:6" outlineLevel="1">
      <c r="B150" s="556" t="s">
        <v>25</v>
      </c>
      <c r="C150" s="549" t="s">
        <v>1104</v>
      </c>
      <c r="E150" s="550"/>
      <c r="F150" s="550"/>
    </row>
    <row r="151" spans="2:6" outlineLevel="1">
      <c r="B151" s="556" t="s">
        <v>33</v>
      </c>
      <c r="C151" s="549" t="s">
        <v>912</v>
      </c>
      <c r="E151" s="550"/>
      <c r="F151" s="550"/>
    </row>
    <row r="152" spans="2:6" outlineLevel="1">
      <c r="B152" s="556" t="s">
        <v>51</v>
      </c>
      <c r="C152" s="549" t="s">
        <v>1105</v>
      </c>
      <c r="E152" s="550"/>
      <c r="F152" s="550"/>
    </row>
    <row r="153" spans="2:6" outlineLevel="1">
      <c r="B153" s="556" t="s">
        <v>52</v>
      </c>
      <c r="C153" s="558" t="s">
        <v>913</v>
      </c>
      <c r="E153" s="550"/>
      <c r="F153" s="550"/>
    </row>
    <row r="154" spans="2:6" outlineLevel="1">
      <c r="B154" s="556" t="s">
        <v>55</v>
      </c>
      <c r="C154" s="549" t="s">
        <v>914</v>
      </c>
      <c r="E154" s="550"/>
      <c r="F154" s="550"/>
    </row>
    <row r="155" spans="2:6" outlineLevel="1">
      <c r="E155" s="550"/>
      <c r="F155" s="550"/>
    </row>
    <row r="156" spans="2:6" outlineLevel="1">
      <c r="B156" s="556" t="s">
        <v>1110</v>
      </c>
      <c r="C156" s="239" t="s">
        <v>1111</v>
      </c>
      <c r="E156" s="550"/>
      <c r="F156" s="550"/>
    </row>
    <row r="157" spans="2:6" outlineLevel="1">
      <c r="B157" s="556" t="s">
        <v>1112</v>
      </c>
      <c r="C157" s="239" t="s">
        <v>1113</v>
      </c>
      <c r="E157" s="550"/>
      <c r="F157" s="550"/>
    </row>
    <row r="158" spans="2:6" outlineLevel="1">
      <c r="B158" s="556"/>
      <c r="C158" s="549"/>
      <c r="E158" s="550"/>
      <c r="F158" s="550"/>
    </row>
    <row r="159" spans="2:6" outlineLevel="1">
      <c r="B159" s="556"/>
      <c r="C159" s="549"/>
      <c r="E159" s="550"/>
      <c r="F159" s="550"/>
    </row>
    <row r="160" spans="2:6" outlineLevel="1">
      <c r="B160" s="556"/>
      <c r="C160" s="549"/>
      <c r="E160" s="550"/>
      <c r="F160" s="550"/>
    </row>
    <row r="161" spans="1:44" outlineLevel="1"/>
    <row r="162" spans="1:44" outlineLevel="1">
      <c r="M162" s="226"/>
    </row>
    <row r="163" spans="1:44" outlineLevel="1"/>
    <row r="166" spans="1:44">
      <c r="A166" s="420" t="s">
        <v>1114</v>
      </c>
      <c r="B166" s="976"/>
      <c r="C166" s="977"/>
      <c r="D166" s="977"/>
      <c r="E166" s="977"/>
      <c r="F166" s="977"/>
      <c r="G166" s="977"/>
      <c r="H166" s="977"/>
      <c r="I166" s="977"/>
      <c r="J166" s="977"/>
      <c r="K166" s="977"/>
      <c r="L166" s="977"/>
      <c r="M166" s="977"/>
      <c r="N166" s="421"/>
      <c r="P166" s="977"/>
      <c r="Q166" s="977"/>
      <c r="R166" s="977"/>
      <c r="S166" s="977"/>
      <c r="T166" s="977"/>
      <c r="U166" s="977"/>
    </row>
    <row r="167" spans="1:44" ht="15" outlineLevel="1" thickBot="1">
      <c r="B167" s="976"/>
      <c r="C167" s="977"/>
      <c r="D167" s="977"/>
      <c r="E167" s="977"/>
      <c r="F167" s="977"/>
      <c r="G167" s="977"/>
      <c r="H167" s="977"/>
      <c r="I167" s="977"/>
      <c r="J167" s="977"/>
      <c r="K167" s="977"/>
      <c r="L167" s="977"/>
      <c r="M167" s="977"/>
      <c r="N167" s="421"/>
      <c r="P167" s="752">
        <v>1</v>
      </c>
      <c r="Q167" s="752">
        <v>2</v>
      </c>
      <c r="R167" s="752">
        <v>3</v>
      </c>
      <c r="S167" s="752">
        <v>4</v>
      </c>
      <c r="T167" s="752">
        <v>5</v>
      </c>
      <c r="U167" s="752">
        <v>6</v>
      </c>
      <c r="V167" s="752">
        <v>7</v>
      </c>
      <c r="W167" s="752">
        <v>8</v>
      </c>
      <c r="X167" s="752">
        <v>9</v>
      </c>
      <c r="Y167" s="752">
        <v>10</v>
      </c>
      <c r="Z167" s="752">
        <v>11</v>
      </c>
      <c r="AA167" s="752">
        <v>12</v>
      </c>
      <c r="AB167" s="752">
        <v>13</v>
      </c>
      <c r="AC167" s="752">
        <v>14</v>
      </c>
    </row>
    <row r="168" spans="1:44" ht="20.7" customHeight="1" outlineLevel="1" thickBot="1">
      <c r="B168" s="422" t="s">
        <v>0</v>
      </c>
      <c r="C168" s="1018" t="s">
        <v>1115</v>
      </c>
      <c r="D168" s="1019"/>
      <c r="E168" s="1019"/>
      <c r="F168" s="1019"/>
      <c r="G168" s="1019"/>
      <c r="H168" s="1019"/>
      <c r="I168" s="1019"/>
      <c r="J168" s="1019"/>
      <c r="K168" s="1019"/>
      <c r="L168" s="1020"/>
      <c r="M168" s="423"/>
      <c r="N168" s="423"/>
      <c r="P168" s="424" t="s">
        <v>838</v>
      </c>
      <c r="Q168" s="425"/>
      <c r="R168" s="426"/>
      <c r="S168" s="985" t="s">
        <v>839</v>
      </c>
      <c r="T168" s="989" t="s">
        <v>840</v>
      </c>
      <c r="U168" s="990"/>
      <c r="V168" s="989" t="s">
        <v>841</v>
      </c>
      <c r="W168" s="990"/>
      <c r="X168" s="989" t="s">
        <v>842</v>
      </c>
      <c r="Y168" s="990"/>
      <c r="Z168" s="989" t="s">
        <v>843</v>
      </c>
      <c r="AA168" s="990"/>
      <c r="AB168" s="989" t="s">
        <v>844</v>
      </c>
      <c r="AC168" s="990"/>
      <c r="AE168" s="424" t="s">
        <v>845</v>
      </c>
      <c r="AF168" s="425"/>
      <c r="AG168" s="426"/>
      <c r="AH168" s="985" t="s">
        <v>839</v>
      </c>
      <c r="AI168" s="989" t="s">
        <v>840</v>
      </c>
      <c r="AJ168" s="990"/>
      <c r="AK168" s="989" t="s">
        <v>841</v>
      </c>
      <c r="AL168" s="990"/>
      <c r="AM168" s="989" t="s">
        <v>842</v>
      </c>
      <c r="AN168" s="990"/>
      <c r="AO168" s="989" t="s">
        <v>843</v>
      </c>
      <c r="AP168" s="990"/>
      <c r="AQ168" s="989" t="s">
        <v>844</v>
      </c>
      <c r="AR168" s="990"/>
    </row>
    <row r="169" spans="1:44" ht="15" customHeight="1" outlineLevel="1" thickBot="1">
      <c r="B169" s="1010" t="s">
        <v>4</v>
      </c>
      <c r="C169" s="1012">
        <v>2020</v>
      </c>
      <c r="D169" s="1012">
        <v>2030</v>
      </c>
      <c r="E169" s="1012">
        <v>2040</v>
      </c>
      <c r="F169" s="1012">
        <v>2050</v>
      </c>
      <c r="G169" s="1014" t="s">
        <v>846</v>
      </c>
      <c r="H169" s="1015"/>
      <c r="I169" s="1014" t="s">
        <v>693</v>
      </c>
      <c r="J169" s="1015"/>
      <c r="K169" s="1016" t="s">
        <v>2</v>
      </c>
      <c r="L169" s="1016" t="s">
        <v>3</v>
      </c>
      <c r="M169" s="427"/>
      <c r="N169" s="427"/>
      <c r="P169" s="993" t="s">
        <v>0</v>
      </c>
      <c r="Q169" s="428"/>
      <c r="R169" s="428"/>
      <c r="S169" s="986"/>
      <c r="T169" s="991"/>
      <c r="U169" s="992"/>
      <c r="V169" s="991"/>
      <c r="W169" s="992"/>
      <c r="X169" s="991"/>
      <c r="Y169" s="992"/>
      <c r="Z169" s="991"/>
      <c r="AA169" s="992"/>
      <c r="AB169" s="991"/>
      <c r="AC169" s="992"/>
      <c r="AE169" s="993" t="s">
        <v>0</v>
      </c>
      <c r="AF169" s="428"/>
      <c r="AG169" s="428"/>
      <c r="AH169" s="986"/>
      <c r="AI169" s="991"/>
      <c r="AJ169" s="992"/>
      <c r="AK169" s="991"/>
      <c r="AL169" s="992"/>
      <c r="AM169" s="991"/>
      <c r="AN169" s="992"/>
      <c r="AO169" s="991"/>
      <c r="AP169" s="992"/>
      <c r="AQ169" s="991"/>
      <c r="AR169" s="992"/>
    </row>
    <row r="170" spans="1:44" ht="15" customHeight="1" outlineLevel="1" thickBot="1">
      <c r="B170" s="1011"/>
      <c r="C170" s="1013"/>
      <c r="D170" s="1013"/>
      <c r="E170" s="1013"/>
      <c r="F170" s="1013"/>
      <c r="G170" s="559" t="s">
        <v>694</v>
      </c>
      <c r="H170" s="559" t="s">
        <v>695</v>
      </c>
      <c r="I170" s="559" t="s">
        <v>694</v>
      </c>
      <c r="J170" s="559" t="s">
        <v>695</v>
      </c>
      <c r="K170" s="1017"/>
      <c r="L170" s="1017"/>
      <c r="M170" s="430"/>
      <c r="N170" s="430"/>
      <c r="P170" s="994"/>
      <c r="Q170" s="996" t="s">
        <v>847</v>
      </c>
      <c r="R170" s="997" t="s">
        <v>848</v>
      </c>
      <c r="S170" s="987"/>
      <c r="T170" s="991"/>
      <c r="U170" s="992"/>
      <c r="V170" s="991"/>
      <c r="W170" s="992"/>
      <c r="X170" s="991"/>
      <c r="Y170" s="992"/>
      <c r="Z170" s="991"/>
      <c r="AA170" s="992"/>
      <c r="AB170" s="991"/>
      <c r="AC170" s="992"/>
      <c r="AE170" s="994"/>
      <c r="AF170" s="1040" t="s">
        <v>847</v>
      </c>
      <c r="AG170" s="997" t="s">
        <v>848</v>
      </c>
      <c r="AH170" s="987"/>
      <c r="AI170" s="991"/>
      <c r="AJ170" s="992"/>
      <c r="AK170" s="991"/>
      <c r="AL170" s="992"/>
      <c r="AM170" s="991"/>
      <c r="AN170" s="992"/>
      <c r="AO170" s="991"/>
      <c r="AP170" s="992"/>
      <c r="AQ170" s="991"/>
      <c r="AR170" s="992"/>
    </row>
    <row r="171" spans="1:44" ht="29.4" outlineLevel="1" thickBot="1">
      <c r="B171" s="431" t="s">
        <v>696</v>
      </c>
      <c r="C171" s="432">
        <v>20</v>
      </c>
      <c r="D171" s="432">
        <v>20</v>
      </c>
      <c r="E171" s="432">
        <v>20</v>
      </c>
      <c r="F171" s="432">
        <v>20</v>
      </c>
      <c r="G171" s="432">
        <v>1</v>
      </c>
      <c r="H171" s="432">
        <v>50</v>
      </c>
      <c r="I171" s="432">
        <v>1</v>
      </c>
      <c r="J171" s="432">
        <v>50</v>
      </c>
      <c r="K171" s="432" t="s">
        <v>6</v>
      </c>
      <c r="L171" s="433" t="s">
        <v>850</v>
      </c>
      <c r="M171" s="430"/>
      <c r="N171" s="430"/>
      <c r="O171" s="74"/>
      <c r="P171" s="995"/>
      <c r="Q171" s="988"/>
      <c r="R171" s="998"/>
      <c r="S171" s="988"/>
      <c r="T171" s="434" t="s">
        <v>851</v>
      </c>
      <c r="U171" s="435" t="s">
        <v>852</v>
      </c>
      <c r="V171" s="434" t="s">
        <v>851</v>
      </c>
      <c r="W171" s="435" t="s">
        <v>852</v>
      </c>
      <c r="X171" s="434" t="s">
        <v>851</v>
      </c>
      <c r="Y171" s="435" t="s">
        <v>852</v>
      </c>
      <c r="Z171" s="434" t="s">
        <v>851</v>
      </c>
      <c r="AA171" s="435" t="s">
        <v>852</v>
      </c>
      <c r="AB171" s="434" t="s">
        <v>851</v>
      </c>
      <c r="AC171" s="435" t="s">
        <v>852</v>
      </c>
      <c r="AE171" s="995"/>
      <c r="AF171" s="1041"/>
      <c r="AG171" s="998"/>
      <c r="AH171" s="988"/>
      <c r="AI171" s="434" t="s">
        <v>851</v>
      </c>
      <c r="AJ171" s="435" t="s">
        <v>852</v>
      </c>
      <c r="AK171" s="434" t="s">
        <v>851</v>
      </c>
      <c r="AL171" s="435" t="s">
        <v>852</v>
      </c>
      <c r="AM171" s="434" t="s">
        <v>851</v>
      </c>
      <c r="AN171" s="435" t="s">
        <v>852</v>
      </c>
      <c r="AO171" s="434" t="s">
        <v>851</v>
      </c>
      <c r="AP171" s="435" t="s">
        <v>852</v>
      </c>
      <c r="AQ171" s="434" t="s">
        <v>851</v>
      </c>
      <c r="AR171" s="435" t="s">
        <v>852</v>
      </c>
    </row>
    <row r="172" spans="1:44" ht="14.7" customHeight="1" outlineLevel="1">
      <c r="B172" s="560" t="s">
        <v>853</v>
      </c>
      <c r="C172" s="561">
        <v>91</v>
      </c>
      <c r="D172" s="561">
        <v>91</v>
      </c>
      <c r="E172" s="562">
        <v>91</v>
      </c>
      <c r="F172" s="561">
        <v>92</v>
      </c>
      <c r="G172" s="561">
        <f>D172-1</f>
        <v>90</v>
      </c>
      <c r="H172" s="561">
        <f>D172+2</f>
        <v>93</v>
      </c>
      <c r="I172" s="561">
        <f>F172-1</f>
        <v>91</v>
      </c>
      <c r="J172" s="561">
        <f>F172+2</f>
        <v>94</v>
      </c>
      <c r="K172" s="563" t="s">
        <v>59</v>
      </c>
      <c r="L172" s="564" t="s">
        <v>854</v>
      </c>
      <c r="M172" s="430"/>
      <c r="N172" s="430"/>
      <c r="P172" s="1042" t="str">
        <f>C168</f>
        <v>Hot water boiler, Wood Chips</v>
      </c>
      <c r="Q172" s="1030" t="s">
        <v>855</v>
      </c>
      <c r="R172" s="441" t="s">
        <v>856</v>
      </c>
      <c r="S172" s="442"/>
      <c r="T172" s="1033">
        <v>0</v>
      </c>
      <c r="U172" s="1021">
        <v>0</v>
      </c>
      <c r="V172" s="1024">
        <v>0</v>
      </c>
      <c r="W172" s="1021">
        <v>0</v>
      </c>
      <c r="X172" s="1024">
        <v>0</v>
      </c>
      <c r="Y172" s="1021">
        <v>0</v>
      </c>
      <c r="Z172" s="1024">
        <v>0</v>
      </c>
      <c r="AA172" s="1021">
        <v>0</v>
      </c>
      <c r="AB172" s="1024">
        <v>0</v>
      </c>
      <c r="AC172" s="1021">
        <v>0</v>
      </c>
      <c r="AE172" s="1027" t="str">
        <f>P172</f>
        <v>Hot water boiler, Wood Chips</v>
      </c>
      <c r="AF172" s="1030" t="s">
        <v>855</v>
      </c>
      <c r="AG172" s="441" t="s">
        <v>856</v>
      </c>
      <c r="AH172" s="442"/>
      <c r="AI172" s="1033">
        <v>0</v>
      </c>
      <c r="AJ172" s="1021">
        <v>0</v>
      </c>
      <c r="AK172" s="1024">
        <v>0</v>
      </c>
      <c r="AL172" s="1021">
        <v>0</v>
      </c>
      <c r="AM172" s="1024">
        <v>0</v>
      </c>
      <c r="AN172" s="1021">
        <v>0</v>
      </c>
      <c r="AO172" s="1024">
        <v>0</v>
      </c>
      <c r="AP172" s="1021">
        <v>0</v>
      </c>
      <c r="AQ172" s="1024">
        <v>0</v>
      </c>
      <c r="AR172" s="1021">
        <v>0</v>
      </c>
    </row>
    <row r="173" spans="1:44" outlineLevel="1">
      <c r="B173" s="443" t="s">
        <v>857</v>
      </c>
      <c r="C173" s="444">
        <f t="shared" ref="C173:J173" si="9">C172-1</f>
        <v>90</v>
      </c>
      <c r="D173" s="444">
        <f t="shared" si="9"/>
        <v>90</v>
      </c>
      <c r="E173" s="444">
        <f t="shared" si="9"/>
        <v>90</v>
      </c>
      <c r="F173" s="444">
        <f t="shared" si="9"/>
        <v>91</v>
      </c>
      <c r="G173" s="565">
        <f t="shared" si="9"/>
        <v>89</v>
      </c>
      <c r="H173" s="565">
        <f t="shared" si="9"/>
        <v>92</v>
      </c>
      <c r="I173" s="565">
        <f t="shared" si="9"/>
        <v>90</v>
      </c>
      <c r="J173" s="565">
        <f t="shared" si="9"/>
        <v>93</v>
      </c>
      <c r="K173" s="432"/>
      <c r="L173" s="433" t="s">
        <v>854</v>
      </c>
      <c r="M173" s="430"/>
      <c r="N173" s="430"/>
      <c r="O173" s="71"/>
      <c r="P173" s="1028"/>
      <c r="Q173" s="1031"/>
      <c r="R173" s="448" t="s">
        <v>858</v>
      </c>
      <c r="S173" s="449"/>
      <c r="T173" s="1034"/>
      <c r="U173" s="1022"/>
      <c r="V173" s="1025"/>
      <c r="W173" s="1022"/>
      <c r="X173" s="1025"/>
      <c r="Y173" s="1022"/>
      <c r="Z173" s="1025"/>
      <c r="AA173" s="1022"/>
      <c r="AB173" s="1025"/>
      <c r="AC173" s="1022"/>
      <c r="AE173" s="1028"/>
      <c r="AF173" s="1031"/>
      <c r="AG173" s="448" t="s">
        <v>858</v>
      </c>
      <c r="AH173" s="449"/>
      <c r="AI173" s="1034"/>
      <c r="AJ173" s="1022"/>
      <c r="AK173" s="1025"/>
      <c r="AL173" s="1022"/>
      <c r="AM173" s="1025"/>
      <c r="AN173" s="1022"/>
      <c r="AO173" s="1025"/>
      <c r="AP173" s="1022"/>
      <c r="AQ173" s="1025"/>
      <c r="AR173" s="1022"/>
    </row>
    <row r="174" spans="1:44" ht="15" outlineLevel="1" thickBot="1">
      <c r="B174" s="560" t="s">
        <v>859</v>
      </c>
      <c r="C174" s="566">
        <v>2.2999999999999998</v>
      </c>
      <c r="D174" s="567">
        <v>2.2999999999999998</v>
      </c>
      <c r="E174" s="567">
        <v>2.2999999999999998</v>
      </c>
      <c r="F174" s="568">
        <v>2.2999999999999998</v>
      </c>
      <c r="G174" s="567">
        <v>2.2000000000000002</v>
      </c>
      <c r="H174" s="567">
        <v>2.5</v>
      </c>
      <c r="I174" s="567">
        <v>1.8</v>
      </c>
      <c r="J174" s="567">
        <v>2.5</v>
      </c>
      <c r="K174" s="563" t="s">
        <v>16</v>
      </c>
      <c r="L174" s="564">
        <v>3</v>
      </c>
      <c r="M174" s="430"/>
      <c r="N174" s="430"/>
      <c r="O174" s="71"/>
      <c r="P174" s="1028"/>
      <c r="Q174" s="1032"/>
      <c r="R174" s="453" t="s">
        <v>860</v>
      </c>
      <c r="S174" s="454"/>
      <c r="T174" s="1035"/>
      <c r="U174" s="1023"/>
      <c r="V174" s="1026"/>
      <c r="W174" s="1023"/>
      <c r="X174" s="1026"/>
      <c r="Y174" s="1023"/>
      <c r="Z174" s="1026"/>
      <c r="AA174" s="1023"/>
      <c r="AB174" s="1026"/>
      <c r="AC174" s="1023"/>
      <c r="AE174" s="1028"/>
      <c r="AF174" s="1032"/>
      <c r="AG174" s="453" t="s">
        <v>860</v>
      </c>
      <c r="AH174" s="454"/>
      <c r="AI174" s="1035"/>
      <c r="AJ174" s="1023"/>
      <c r="AK174" s="1026"/>
      <c r="AL174" s="1023"/>
      <c r="AM174" s="1026"/>
      <c r="AN174" s="1023"/>
      <c r="AO174" s="1026"/>
      <c r="AP174" s="1023"/>
      <c r="AQ174" s="1026"/>
      <c r="AR174" s="1023"/>
    </row>
    <row r="175" spans="1:44" ht="14.7" customHeight="1" outlineLevel="1">
      <c r="B175" s="560" t="s">
        <v>702</v>
      </c>
      <c r="C175" s="747">
        <v>3</v>
      </c>
      <c r="D175" s="747">
        <v>3</v>
      </c>
      <c r="E175" s="747">
        <v>3</v>
      </c>
      <c r="F175" s="747">
        <v>3</v>
      </c>
      <c r="G175" s="747">
        <v>3</v>
      </c>
      <c r="H175" s="747">
        <v>3</v>
      </c>
      <c r="I175" s="747">
        <v>3</v>
      </c>
      <c r="J175" s="747">
        <v>3</v>
      </c>
      <c r="K175" s="563" t="s">
        <v>20</v>
      </c>
      <c r="L175" s="564">
        <v>3</v>
      </c>
      <c r="M175" s="430"/>
      <c r="N175" s="430"/>
      <c r="O175" s="71"/>
      <c r="P175" s="1028"/>
      <c r="Q175" s="1030" t="s">
        <v>861</v>
      </c>
      <c r="R175" s="455" t="s">
        <v>862</v>
      </c>
      <c r="S175" s="456" t="s">
        <v>863</v>
      </c>
      <c r="T175" s="1033">
        <v>0</v>
      </c>
      <c r="U175" s="1033">
        <v>0.67</v>
      </c>
      <c r="V175" s="1033">
        <v>0</v>
      </c>
      <c r="W175" s="1033">
        <v>0.56999999999999995</v>
      </c>
      <c r="X175" s="1033">
        <v>0</v>
      </c>
      <c r="Y175" s="1033">
        <v>0.5</v>
      </c>
      <c r="Z175" s="1033">
        <v>0</v>
      </c>
      <c r="AA175" s="1033">
        <v>0.51</v>
      </c>
      <c r="AB175" s="1033">
        <v>0</v>
      </c>
      <c r="AC175" s="1021">
        <v>0.41</v>
      </c>
      <c r="AE175" s="1028"/>
      <c r="AF175" s="1030" t="s">
        <v>861</v>
      </c>
      <c r="AG175" s="455" t="s">
        <v>862</v>
      </c>
      <c r="AH175" s="456" t="s">
        <v>863</v>
      </c>
      <c r="AI175" s="1033">
        <v>0</v>
      </c>
      <c r="AJ175" s="1033">
        <f>U175/4</f>
        <v>0.16750000000000001</v>
      </c>
      <c r="AK175" s="1033">
        <v>0</v>
      </c>
      <c r="AL175" s="1033">
        <f>W175/4</f>
        <v>0.14249999999999999</v>
      </c>
      <c r="AM175" s="1033">
        <v>0</v>
      </c>
      <c r="AN175" s="1033">
        <f>Y175/4</f>
        <v>0.125</v>
      </c>
      <c r="AO175" s="1033">
        <v>0</v>
      </c>
      <c r="AP175" s="1033">
        <f>AA175/4</f>
        <v>0.1275</v>
      </c>
      <c r="AQ175" s="1033">
        <v>0</v>
      </c>
      <c r="AR175" s="1021">
        <f>AC175/4</f>
        <v>0.10249999999999999</v>
      </c>
    </row>
    <row r="176" spans="1:44" outlineLevel="1">
      <c r="B176" s="560" t="s">
        <v>703</v>
      </c>
      <c r="C176" s="566">
        <v>3</v>
      </c>
      <c r="D176" s="566">
        <v>3</v>
      </c>
      <c r="E176" s="566">
        <v>3</v>
      </c>
      <c r="F176" s="566">
        <v>3</v>
      </c>
      <c r="G176" s="566">
        <v>2.6</v>
      </c>
      <c r="H176" s="566">
        <v>3.5</v>
      </c>
      <c r="I176" s="566">
        <v>2.2999999999999998</v>
      </c>
      <c r="J176" s="566">
        <v>3.8</v>
      </c>
      <c r="K176" s="563" t="s">
        <v>20</v>
      </c>
      <c r="L176" s="564">
        <v>3</v>
      </c>
      <c r="M176" s="427"/>
      <c r="N176" s="427"/>
      <c r="O176" s="71"/>
      <c r="P176" s="1028"/>
      <c r="Q176" s="1031"/>
      <c r="R176" s="455" t="s">
        <v>864</v>
      </c>
      <c r="S176" s="456" t="s">
        <v>863</v>
      </c>
      <c r="T176" s="1036"/>
      <c r="U176" s="1036"/>
      <c r="V176" s="1036"/>
      <c r="W176" s="1036"/>
      <c r="X176" s="1036"/>
      <c r="Y176" s="1036"/>
      <c r="Z176" s="1036"/>
      <c r="AA176" s="1036"/>
      <c r="AB176" s="1036"/>
      <c r="AC176" s="1038"/>
      <c r="AE176" s="1028"/>
      <c r="AF176" s="1031"/>
      <c r="AG176" s="455" t="s">
        <v>864</v>
      </c>
      <c r="AH176" s="456" t="s">
        <v>863</v>
      </c>
      <c r="AI176" s="1036"/>
      <c r="AJ176" s="1036"/>
      <c r="AK176" s="1036"/>
      <c r="AL176" s="1036"/>
      <c r="AM176" s="1036"/>
      <c r="AN176" s="1036"/>
      <c r="AO176" s="1036"/>
      <c r="AP176" s="1036"/>
      <c r="AQ176" s="1036"/>
      <c r="AR176" s="1038"/>
    </row>
    <row r="177" spans="1:44" outlineLevel="1">
      <c r="B177" s="443" t="s">
        <v>11</v>
      </c>
      <c r="C177" s="457">
        <v>25</v>
      </c>
      <c r="D177" s="457">
        <v>25</v>
      </c>
      <c r="E177" s="457">
        <v>25</v>
      </c>
      <c r="F177" s="457">
        <v>25</v>
      </c>
      <c r="G177" s="459">
        <v>20</v>
      </c>
      <c r="H177" s="459">
        <v>35</v>
      </c>
      <c r="I177" s="459">
        <v>20</v>
      </c>
      <c r="J177" s="459">
        <v>35</v>
      </c>
      <c r="K177" s="432"/>
      <c r="L177" s="433" t="s">
        <v>865</v>
      </c>
      <c r="M177" s="423"/>
      <c r="N177" s="423"/>
      <c r="P177" s="1028"/>
      <c r="Q177" s="1031"/>
      <c r="R177" s="455" t="s">
        <v>866</v>
      </c>
      <c r="S177" s="456"/>
      <c r="T177" s="1036"/>
      <c r="U177" s="1036"/>
      <c r="V177" s="1036"/>
      <c r="W177" s="1036"/>
      <c r="X177" s="1036"/>
      <c r="Y177" s="1036"/>
      <c r="Z177" s="1036"/>
      <c r="AA177" s="1036"/>
      <c r="AB177" s="1036"/>
      <c r="AC177" s="1038"/>
      <c r="AE177" s="1028"/>
      <c r="AF177" s="1031"/>
      <c r="AG177" s="455" t="s">
        <v>866</v>
      </c>
      <c r="AH177" s="689" t="s">
        <v>863</v>
      </c>
      <c r="AI177" s="1036"/>
      <c r="AJ177" s="1036"/>
      <c r="AK177" s="1036"/>
      <c r="AL177" s="1036"/>
      <c r="AM177" s="1036"/>
      <c r="AN177" s="1036"/>
      <c r="AO177" s="1036"/>
      <c r="AP177" s="1036"/>
      <c r="AQ177" s="1036"/>
      <c r="AR177" s="1038"/>
    </row>
    <row r="178" spans="1:44" ht="15" outlineLevel="1" thickBot="1">
      <c r="B178" s="560" t="s">
        <v>273</v>
      </c>
      <c r="C178" s="566">
        <v>1</v>
      </c>
      <c r="D178" s="566">
        <v>1</v>
      </c>
      <c r="E178" s="566">
        <v>1</v>
      </c>
      <c r="F178" s="566">
        <v>1</v>
      </c>
      <c r="G178" s="566">
        <v>0.5</v>
      </c>
      <c r="H178" s="566">
        <v>1.5</v>
      </c>
      <c r="I178" s="566">
        <v>0.5</v>
      </c>
      <c r="J178" s="566">
        <v>1.5</v>
      </c>
      <c r="K178" s="432"/>
      <c r="L178" s="460"/>
      <c r="M178" s="423"/>
      <c r="N178" s="423"/>
      <c r="P178" s="1028"/>
      <c r="Q178" s="1031"/>
      <c r="R178" s="455" t="s">
        <v>867</v>
      </c>
      <c r="S178" s="456" t="s">
        <v>863</v>
      </c>
      <c r="T178" s="1036"/>
      <c r="U178" s="1036"/>
      <c r="V178" s="1036"/>
      <c r="W178" s="1036"/>
      <c r="X178" s="1036"/>
      <c r="Y178" s="1036"/>
      <c r="Z178" s="1036"/>
      <c r="AA178" s="1036"/>
      <c r="AB178" s="1036"/>
      <c r="AC178" s="1038"/>
      <c r="AE178" s="1028"/>
      <c r="AF178" s="1031"/>
      <c r="AG178" s="455" t="s">
        <v>867</v>
      </c>
      <c r="AH178" s="456"/>
      <c r="AI178" s="1036"/>
      <c r="AJ178" s="1036"/>
      <c r="AK178" s="1036"/>
      <c r="AL178" s="1036"/>
      <c r="AM178" s="1036"/>
      <c r="AN178" s="1036"/>
      <c r="AO178" s="1036"/>
      <c r="AP178" s="1036"/>
      <c r="AQ178" s="1036"/>
      <c r="AR178" s="1038"/>
    </row>
    <row r="179" spans="1:44" ht="15" outlineLevel="1" thickBot="1">
      <c r="B179" s="461" t="s">
        <v>868</v>
      </c>
      <c r="C179" s="462"/>
      <c r="D179" s="463"/>
      <c r="E179" s="464"/>
      <c r="F179" s="465"/>
      <c r="G179" s="466"/>
      <c r="H179" s="466"/>
      <c r="I179" s="466"/>
      <c r="J179" s="466"/>
      <c r="K179" s="467"/>
      <c r="L179" s="468"/>
      <c r="M179" s="423"/>
      <c r="N179" s="423"/>
      <c r="P179" s="1028"/>
      <c r="Q179" s="1032"/>
      <c r="R179" s="469" t="s">
        <v>988</v>
      </c>
      <c r="S179" s="470" t="s">
        <v>863</v>
      </c>
      <c r="T179" s="1037"/>
      <c r="U179" s="1037"/>
      <c r="V179" s="1037"/>
      <c r="W179" s="1037"/>
      <c r="X179" s="1037"/>
      <c r="Y179" s="1037"/>
      <c r="Z179" s="1037"/>
      <c r="AA179" s="1037"/>
      <c r="AB179" s="1037"/>
      <c r="AC179" s="1039"/>
      <c r="AE179" s="1028"/>
      <c r="AF179" s="1032"/>
      <c r="AG179" s="469" t="s">
        <v>988</v>
      </c>
      <c r="AH179" s="470" t="s">
        <v>863</v>
      </c>
      <c r="AI179" s="1037"/>
      <c r="AJ179" s="1037"/>
      <c r="AK179" s="1037"/>
      <c r="AL179" s="1037"/>
      <c r="AM179" s="1037"/>
      <c r="AN179" s="1037"/>
      <c r="AO179" s="1037"/>
      <c r="AP179" s="1037"/>
      <c r="AQ179" s="1037"/>
      <c r="AR179" s="1039"/>
    </row>
    <row r="180" spans="1:44" ht="29.4" outlineLevel="1" thickBot="1">
      <c r="B180" s="560" t="s">
        <v>708</v>
      </c>
      <c r="C180" s="566">
        <v>20</v>
      </c>
      <c r="D180" s="566">
        <v>20</v>
      </c>
      <c r="E180" s="566">
        <v>20</v>
      </c>
      <c r="F180" s="566">
        <v>20</v>
      </c>
      <c r="G180" s="567"/>
      <c r="H180" s="567"/>
      <c r="I180" s="567"/>
      <c r="J180" s="567"/>
      <c r="K180" s="563"/>
      <c r="L180" s="564">
        <v>3</v>
      </c>
      <c r="M180" s="423"/>
      <c r="N180" s="423"/>
      <c r="P180" s="1029"/>
      <c r="Q180" s="471" t="s">
        <v>870</v>
      </c>
      <c r="R180" s="472" t="s">
        <v>871</v>
      </c>
      <c r="S180" s="690" t="s">
        <v>863</v>
      </c>
      <c r="T180" s="476">
        <v>1</v>
      </c>
      <c r="U180" s="475">
        <v>1</v>
      </c>
      <c r="V180" s="476">
        <v>1</v>
      </c>
      <c r="W180" s="475">
        <v>1</v>
      </c>
      <c r="X180" s="476">
        <v>1</v>
      </c>
      <c r="Y180" s="475">
        <v>1</v>
      </c>
      <c r="Z180" s="476">
        <v>1</v>
      </c>
      <c r="AA180" s="475">
        <v>1</v>
      </c>
      <c r="AB180" s="476">
        <v>1</v>
      </c>
      <c r="AC180" s="477">
        <v>1</v>
      </c>
      <c r="AE180" s="1029"/>
      <c r="AF180" s="471" t="s">
        <v>870</v>
      </c>
      <c r="AG180" s="691" t="s">
        <v>871</v>
      </c>
      <c r="AH180" s="692" t="s">
        <v>863</v>
      </c>
      <c r="AI180" s="476">
        <v>1</v>
      </c>
      <c r="AJ180" s="475">
        <v>1</v>
      </c>
      <c r="AK180" s="476">
        <v>1</v>
      </c>
      <c r="AL180" s="475">
        <v>1</v>
      </c>
      <c r="AM180" s="476">
        <v>1</v>
      </c>
      <c r="AN180" s="475">
        <v>1</v>
      </c>
      <c r="AO180" s="476">
        <v>1</v>
      </c>
      <c r="AP180" s="475">
        <v>1</v>
      </c>
      <c r="AQ180" s="476">
        <v>1</v>
      </c>
      <c r="AR180" s="477">
        <v>1</v>
      </c>
    </row>
    <row r="181" spans="1:44" outlineLevel="1">
      <c r="B181" s="560" t="s">
        <v>709</v>
      </c>
      <c r="C181" s="566">
        <v>0.3</v>
      </c>
      <c r="D181" s="566">
        <v>0.3</v>
      </c>
      <c r="E181" s="566">
        <v>0.3</v>
      </c>
      <c r="F181" s="566">
        <v>0.3</v>
      </c>
      <c r="G181" s="569"/>
      <c r="H181" s="569"/>
      <c r="I181" s="569"/>
      <c r="J181" s="569"/>
      <c r="K181" s="570"/>
      <c r="L181" s="564">
        <v>3</v>
      </c>
      <c r="M181" s="423"/>
      <c r="N181" s="423"/>
    </row>
    <row r="182" spans="1:44" outlineLevel="1">
      <c r="B182" s="560" t="s">
        <v>711</v>
      </c>
      <c r="C182" s="566">
        <v>0.5</v>
      </c>
      <c r="D182" s="566">
        <v>0.5</v>
      </c>
      <c r="E182" s="566">
        <v>0.5</v>
      </c>
      <c r="F182" s="566">
        <v>0.5</v>
      </c>
      <c r="G182" s="569"/>
      <c r="H182" s="569"/>
      <c r="I182" s="569"/>
      <c r="J182" s="569"/>
      <c r="K182" s="570"/>
      <c r="L182" s="564">
        <v>3</v>
      </c>
      <c r="M182" s="480"/>
      <c r="N182" s="423"/>
    </row>
    <row r="183" spans="1:44" outlineLevel="1">
      <c r="B183" s="481" t="s">
        <v>12</v>
      </c>
      <c r="C183" s="459"/>
      <c r="D183" s="459"/>
      <c r="E183" s="459"/>
      <c r="F183" s="459"/>
      <c r="G183" s="482"/>
      <c r="H183" s="482"/>
      <c r="I183" s="482"/>
      <c r="J183" s="482"/>
      <c r="K183" s="483"/>
      <c r="L183" s="484"/>
      <c r="M183" s="480"/>
      <c r="N183" s="480"/>
    </row>
    <row r="184" spans="1:44" outlineLevel="1">
      <c r="B184" s="443" t="s">
        <v>968</v>
      </c>
      <c r="C184" s="457">
        <v>11</v>
      </c>
      <c r="D184" s="457">
        <v>11</v>
      </c>
      <c r="E184" s="457">
        <v>11</v>
      </c>
      <c r="F184" s="457">
        <v>11</v>
      </c>
      <c r="G184" s="482"/>
      <c r="H184" s="485"/>
      <c r="I184" s="485"/>
      <c r="J184" s="485"/>
      <c r="K184" s="486" t="s">
        <v>76</v>
      </c>
      <c r="L184" s="487" t="s">
        <v>873</v>
      </c>
      <c r="M184" s="488"/>
      <c r="N184" s="488"/>
    </row>
    <row r="185" spans="1:44" outlineLevel="1">
      <c r="B185" s="443" t="s">
        <v>874</v>
      </c>
      <c r="C185" s="457">
        <v>10</v>
      </c>
      <c r="D185" s="457">
        <v>10</v>
      </c>
      <c r="E185" s="457">
        <v>10</v>
      </c>
      <c r="F185" s="457">
        <v>10</v>
      </c>
      <c r="G185" s="485"/>
      <c r="H185" s="485"/>
      <c r="I185" s="485"/>
      <c r="J185" s="485"/>
      <c r="K185" s="483"/>
      <c r="L185" s="487">
        <v>9</v>
      </c>
      <c r="M185" s="488"/>
      <c r="N185" s="488"/>
    </row>
    <row r="186" spans="1:44" outlineLevel="1">
      <c r="B186" s="443" t="s">
        <v>969</v>
      </c>
      <c r="C186" s="457">
        <v>63</v>
      </c>
      <c r="D186" s="457">
        <v>49</v>
      </c>
      <c r="E186" s="457">
        <v>46</v>
      </c>
      <c r="F186" s="457">
        <v>41</v>
      </c>
      <c r="G186" s="485"/>
      <c r="H186" s="485"/>
      <c r="I186" s="485"/>
      <c r="J186" s="485"/>
      <c r="K186" s="483"/>
      <c r="L186" s="487" t="s">
        <v>873</v>
      </c>
      <c r="M186" s="488"/>
      <c r="N186" s="488"/>
    </row>
    <row r="187" spans="1:44" outlineLevel="1">
      <c r="B187" s="443" t="s">
        <v>366</v>
      </c>
      <c r="C187" s="457">
        <v>11</v>
      </c>
      <c r="D187" s="457">
        <v>8</v>
      </c>
      <c r="E187" s="457">
        <v>6</v>
      </c>
      <c r="F187" s="457">
        <v>4</v>
      </c>
      <c r="G187" s="485"/>
      <c r="H187" s="485"/>
      <c r="I187" s="485"/>
      <c r="J187" s="485"/>
      <c r="K187" s="483"/>
      <c r="L187" s="487" t="s">
        <v>873</v>
      </c>
      <c r="M187" s="488"/>
      <c r="N187" s="488"/>
    </row>
    <row r="188" spans="1:44" ht="15" outlineLevel="1" thickBot="1">
      <c r="B188" s="489" t="s">
        <v>367</v>
      </c>
      <c r="C188" s="490">
        <v>3</v>
      </c>
      <c r="D188" s="490">
        <v>3</v>
      </c>
      <c r="E188" s="490">
        <v>1</v>
      </c>
      <c r="F188" s="490">
        <v>1</v>
      </c>
      <c r="G188" s="485"/>
      <c r="H188" s="485"/>
      <c r="I188" s="485"/>
      <c r="J188" s="485"/>
      <c r="K188" s="483"/>
      <c r="L188" s="487" t="s">
        <v>873</v>
      </c>
      <c r="M188" s="488"/>
      <c r="N188" s="488"/>
    </row>
    <row r="189" spans="1:44" ht="15" outlineLevel="1" thickBot="1">
      <c r="B189" s="491" t="s">
        <v>719</v>
      </c>
      <c r="C189" s="492"/>
      <c r="D189" s="463"/>
      <c r="E189" s="463"/>
      <c r="F189" s="493"/>
      <c r="G189" s="494"/>
      <c r="H189" s="466"/>
      <c r="I189" s="466"/>
      <c r="J189" s="466"/>
      <c r="K189" s="467"/>
      <c r="L189" s="468"/>
      <c r="M189" s="488"/>
      <c r="N189" s="488"/>
    </row>
    <row r="190" spans="1:44" ht="26.4" outlineLevel="1">
      <c r="A190" s="495"/>
      <c r="B190" s="496" t="s">
        <v>1035</v>
      </c>
      <c r="C190" s="611">
        <f>0.618181818181818</f>
        <v>0.61818181818181805</v>
      </c>
      <c r="D190" s="707">
        <f>0.590909090909091</f>
        <v>0.59090909090909105</v>
      </c>
      <c r="E190" s="707">
        <f>(F190+D190)/2</f>
        <v>0.56363636363636349</v>
      </c>
      <c r="F190" s="708">
        <f>0.536363636363636</f>
        <v>0.53636363636363604</v>
      </c>
      <c r="G190" s="485"/>
      <c r="H190" s="485"/>
      <c r="I190" s="485"/>
      <c r="J190" s="485"/>
      <c r="K190" s="486" t="s">
        <v>877</v>
      </c>
      <c r="L190" s="500" t="s">
        <v>878</v>
      </c>
      <c r="M190" s="480"/>
      <c r="N190" s="480"/>
    </row>
    <row r="191" spans="1:44" outlineLevel="1">
      <c r="B191" s="501" t="s">
        <v>964</v>
      </c>
      <c r="C191" s="502">
        <v>60</v>
      </c>
      <c r="D191" s="502">
        <v>60</v>
      </c>
      <c r="E191" s="502">
        <v>60</v>
      </c>
      <c r="F191" s="502">
        <v>60</v>
      </c>
      <c r="G191" s="485"/>
      <c r="H191" s="485"/>
      <c r="I191" s="485"/>
      <c r="J191" s="485"/>
      <c r="K191" s="504"/>
      <c r="L191" s="433">
        <v>3</v>
      </c>
      <c r="M191" s="71"/>
      <c r="N191" s="480"/>
    </row>
    <row r="192" spans="1:44" outlineLevel="1">
      <c r="B192" s="501" t="s">
        <v>965</v>
      </c>
      <c r="C192" s="502">
        <f>100-C191</f>
        <v>40</v>
      </c>
      <c r="D192" s="502">
        <f>100-D191</f>
        <v>40</v>
      </c>
      <c r="E192" s="502">
        <f>100-E191</f>
        <v>40</v>
      </c>
      <c r="F192" s="502">
        <f>100-F191</f>
        <v>40</v>
      </c>
      <c r="G192" s="485"/>
      <c r="H192" s="485"/>
      <c r="I192" s="485"/>
      <c r="J192" s="485"/>
      <c r="K192" s="504"/>
      <c r="L192" s="433">
        <v>3</v>
      </c>
      <c r="M192" s="480"/>
      <c r="N192" s="480"/>
    </row>
    <row r="193" spans="2:30" outlineLevel="1">
      <c r="B193" s="443" t="s">
        <v>966</v>
      </c>
      <c r="C193" s="662">
        <v>33700</v>
      </c>
      <c r="D193" s="663">
        <v>35900</v>
      </c>
      <c r="E193" s="663">
        <f>(F193+D193)/2</f>
        <v>34800</v>
      </c>
      <c r="F193" s="664">
        <v>33700</v>
      </c>
      <c r="G193" s="485"/>
      <c r="H193" s="485"/>
      <c r="I193" s="485"/>
      <c r="J193" s="485"/>
      <c r="K193" s="508" t="s">
        <v>51</v>
      </c>
      <c r="L193" s="433">
        <v>3</v>
      </c>
      <c r="M193" s="480"/>
      <c r="N193" s="480"/>
    </row>
    <row r="194" spans="2:30" outlineLevel="1">
      <c r="B194" s="443" t="s">
        <v>724</v>
      </c>
      <c r="C194" s="509">
        <f>C195+C196</f>
        <v>2.7789999999999999</v>
      </c>
      <c r="D194" s="509">
        <f t="shared" ref="D194:F194" si="10">D195+D196</f>
        <v>2.8250000000000002</v>
      </c>
      <c r="E194" s="509">
        <f t="shared" si="10"/>
        <v>2.8479999999999999</v>
      </c>
      <c r="F194" s="509">
        <f t="shared" si="10"/>
        <v>2.8479999999999999</v>
      </c>
      <c r="G194" s="485"/>
      <c r="H194" s="485"/>
      <c r="I194" s="485"/>
      <c r="J194" s="485"/>
      <c r="K194" s="508"/>
      <c r="L194" s="433">
        <v>3</v>
      </c>
      <c r="M194" s="510"/>
      <c r="N194" s="421"/>
      <c r="P194" s="999">
        <f>C194</f>
        <v>2.7789999999999999</v>
      </c>
      <c r="Q194" s="977"/>
      <c r="R194" s="977"/>
      <c r="S194" s="977"/>
      <c r="T194" s="977"/>
      <c r="U194" s="1000"/>
    </row>
    <row r="195" spans="2:30" ht="15" outlineLevel="1" thickBot="1">
      <c r="B195" s="560" t="s">
        <v>883</v>
      </c>
      <c r="C195" s="574">
        <f>C174/100*73</f>
        <v>1.679</v>
      </c>
      <c r="D195" s="574">
        <f>D174/100*75</f>
        <v>1.7249999999999999</v>
      </c>
      <c r="E195" s="574">
        <f>E174/100*76</f>
        <v>1.748</v>
      </c>
      <c r="F195" s="574">
        <f>F174/100*76</f>
        <v>1.748</v>
      </c>
      <c r="G195" s="575"/>
      <c r="H195" s="575"/>
      <c r="I195" s="575"/>
      <c r="J195" s="575"/>
      <c r="K195" s="563" t="s">
        <v>52</v>
      </c>
      <c r="L195" s="564">
        <v>3</v>
      </c>
      <c r="M195" s="510"/>
      <c r="N195" s="421"/>
      <c r="P195" s="1001">
        <f>C195</f>
        <v>1.679</v>
      </c>
      <c r="Q195" s="1002"/>
      <c r="R195" s="1002"/>
      <c r="S195" s="1002"/>
      <c r="T195" s="1002"/>
      <c r="U195" s="1003"/>
    </row>
    <row r="196" spans="2:30" outlineLevel="1">
      <c r="B196" s="560" t="s">
        <v>884</v>
      </c>
      <c r="C196" s="576">
        <v>1.1000000000000001</v>
      </c>
      <c r="D196" s="576">
        <v>1.1000000000000001</v>
      </c>
      <c r="E196" s="576">
        <v>1.1000000000000001</v>
      </c>
      <c r="F196" s="576">
        <v>1.1000000000000001</v>
      </c>
      <c r="G196" s="575"/>
      <c r="H196" s="575"/>
      <c r="I196" s="575"/>
      <c r="J196" s="575"/>
      <c r="K196" s="577"/>
      <c r="L196" s="564">
        <v>3</v>
      </c>
      <c r="M196" s="423"/>
      <c r="N196" s="423"/>
      <c r="P196" s="53" t="s">
        <v>357</v>
      </c>
    </row>
    <row r="197" spans="2:30" ht="27.6" outlineLevel="1">
      <c r="B197" s="501"/>
      <c r="C197" s="741"/>
      <c r="D197" s="741"/>
      <c r="E197" s="741"/>
      <c r="F197" s="741"/>
      <c r="G197" s="485"/>
      <c r="H197" s="485"/>
      <c r="I197" s="485"/>
      <c r="J197" s="485"/>
      <c r="K197" s="504"/>
      <c r="L197" s="484"/>
      <c r="M197" s="427"/>
      <c r="N197" s="42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4.6" outlineLevel="1" thickBot="1">
      <c r="B198" s="579"/>
      <c r="C198" s="502"/>
      <c r="D198" s="580"/>
      <c r="E198" s="580"/>
      <c r="F198" s="581"/>
      <c r="G198" s="485"/>
      <c r="H198" s="485"/>
      <c r="I198" s="485"/>
      <c r="J198" s="485"/>
      <c r="K198" s="508"/>
      <c r="L198" s="484"/>
      <c r="M198" s="423"/>
      <c r="N198" s="423"/>
      <c r="P198" s="50"/>
      <c r="Q198" s="50"/>
      <c r="R198" s="51"/>
      <c r="S198" s="51"/>
      <c r="T198" s="51"/>
      <c r="U198" s="51" t="s">
        <v>885</v>
      </c>
      <c r="V198" s="50" t="s">
        <v>886</v>
      </c>
      <c r="W198" s="50"/>
      <c r="X198" s="50"/>
      <c r="Y198" s="50"/>
      <c r="Z198" s="50"/>
      <c r="AA198" s="50"/>
      <c r="AB198" s="50"/>
      <c r="AC198" s="50"/>
      <c r="AD198" s="50"/>
    </row>
    <row r="199" spans="2:30" ht="43.8" outlineLevel="1" thickBot="1">
      <c r="B199" s="461" t="s">
        <v>727</v>
      </c>
      <c r="C199" s="462"/>
      <c r="D199" s="463"/>
      <c r="E199" s="464"/>
      <c r="F199" s="465"/>
      <c r="G199" s="466"/>
      <c r="H199" s="466"/>
      <c r="I199" s="466"/>
      <c r="J199" s="466"/>
      <c r="K199" s="519"/>
      <c r="L199" s="520"/>
      <c r="M199" s="423"/>
      <c r="N199" s="423"/>
      <c r="O199" s="521" t="s">
        <v>857</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82" t="s">
        <v>887</v>
      </c>
      <c r="C200" s="730">
        <v>3.5000000000000003E-2</v>
      </c>
      <c r="D200" s="730">
        <v>0.03</v>
      </c>
      <c r="E200" s="730">
        <v>0.03</v>
      </c>
      <c r="F200" s="730">
        <v>0.03</v>
      </c>
      <c r="G200" s="584"/>
      <c r="H200" s="584"/>
      <c r="I200" s="584"/>
      <c r="J200" s="584"/>
      <c r="K200" s="584" t="s">
        <v>55</v>
      </c>
      <c r="L200" s="585"/>
      <c r="M200" s="423"/>
      <c r="N200" s="423"/>
      <c r="O200" s="525">
        <f>C173</f>
        <v>90</v>
      </c>
      <c r="P200" s="526">
        <f>C169</f>
        <v>2020</v>
      </c>
      <c r="Q200" s="58">
        <f>P200</f>
        <v>2020</v>
      </c>
      <c r="R200" s="526">
        <f>O200/100</f>
        <v>0.9</v>
      </c>
      <c r="S200" s="58"/>
      <c r="T200" s="526">
        <f>C177</f>
        <v>25</v>
      </c>
      <c r="U200" s="527">
        <f>C207</f>
        <v>4605.4545454545441</v>
      </c>
      <c r="V200" s="527">
        <f>C209</f>
        <v>251.065</v>
      </c>
      <c r="W200" s="527">
        <f>C210</f>
        <v>5.7509861111111107</v>
      </c>
      <c r="X200" s="58"/>
      <c r="Y200" s="58"/>
      <c r="Z200" s="526">
        <f>C184</f>
        <v>11</v>
      </c>
      <c r="AA200" s="528">
        <f>C186</f>
        <v>63</v>
      </c>
      <c r="AB200" s="528">
        <f>C187</f>
        <v>11</v>
      </c>
      <c r="AC200" s="528">
        <f>C188</f>
        <v>3</v>
      </c>
      <c r="AD200" s="528">
        <f>C185</f>
        <v>10</v>
      </c>
    </row>
    <row r="201" spans="2:30" outlineLevel="1">
      <c r="B201" s="560" t="s">
        <v>888</v>
      </c>
      <c r="C201" s="586" t="s">
        <v>36</v>
      </c>
      <c r="D201" s="587" t="s">
        <v>36</v>
      </c>
      <c r="E201" s="587" t="s">
        <v>36</v>
      </c>
      <c r="F201" s="588" t="s">
        <v>36</v>
      </c>
      <c r="G201" s="588"/>
      <c r="H201" s="588"/>
      <c r="I201" s="588"/>
      <c r="J201" s="588"/>
      <c r="K201" s="589" t="s">
        <v>49</v>
      </c>
      <c r="L201" s="585"/>
      <c r="M201" s="423"/>
      <c r="N201" s="423"/>
      <c r="O201" s="525">
        <f>D173</f>
        <v>90</v>
      </c>
      <c r="P201" s="526">
        <f>D169</f>
        <v>2030</v>
      </c>
      <c r="Q201" s="58"/>
      <c r="R201" s="526">
        <f>O201/100</f>
        <v>0.9</v>
      </c>
      <c r="S201" s="58"/>
      <c r="T201" s="526">
        <f>D177</f>
        <v>25</v>
      </c>
      <c r="U201" s="527">
        <f>D207</f>
        <v>4402.2727272727279</v>
      </c>
      <c r="V201" s="527">
        <f>D209</f>
        <v>267.45499999999998</v>
      </c>
      <c r="W201" s="527">
        <f>D210</f>
        <v>5.8461805555555557</v>
      </c>
      <c r="X201" s="58"/>
      <c r="Y201" s="58"/>
      <c r="Z201" s="526">
        <f>D184</f>
        <v>11</v>
      </c>
      <c r="AA201" s="528">
        <f>D186</f>
        <v>49</v>
      </c>
      <c r="AB201" s="528">
        <f>D187</f>
        <v>8</v>
      </c>
      <c r="AC201" s="528">
        <f>D188</f>
        <v>3</v>
      </c>
      <c r="AD201" s="528">
        <f>D185</f>
        <v>10</v>
      </c>
    </row>
    <row r="202" spans="2:30" outlineLevel="1">
      <c r="B202" s="560" t="s">
        <v>889</v>
      </c>
      <c r="C202" s="586" t="s">
        <v>36</v>
      </c>
      <c r="D202" s="587" t="s">
        <v>36</v>
      </c>
      <c r="E202" s="587" t="s">
        <v>36</v>
      </c>
      <c r="F202" s="588" t="s">
        <v>36</v>
      </c>
      <c r="G202" s="575"/>
      <c r="H202" s="575"/>
      <c r="I202" s="575"/>
      <c r="J202" s="575"/>
      <c r="K202" s="575"/>
      <c r="L202" s="564"/>
      <c r="M202" s="423"/>
      <c r="N202" s="423"/>
      <c r="O202" s="525">
        <f>E173</f>
        <v>90</v>
      </c>
      <c r="P202" s="526">
        <f>E169</f>
        <v>2040</v>
      </c>
      <c r="Q202" s="58"/>
      <c r="R202" s="526">
        <f>O202/100</f>
        <v>0.9</v>
      </c>
      <c r="S202" s="58"/>
      <c r="T202" s="526">
        <f>E177</f>
        <v>25</v>
      </c>
      <c r="U202" s="527">
        <f>E207</f>
        <v>4199.0909090909081</v>
      </c>
      <c r="V202" s="527">
        <f>E209</f>
        <v>259.26</v>
      </c>
      <c r="W202" s="527">
        <f>E210</f>
        <v>5.8937777777777782</v>
      </c>
      <c r="X202" s="58"/>
      <c r="Y202" s="58"/>
      <c r="Z202" s="526">
        <f>E184</f>
        <v>11</v>
      </c>
      <c r="AA202" s="528">
        <f>E186</f>
        <v>46</v>
      </c>
      <c r="AB202" s="528">
        <f>E187</f>
        <v>6</v>
      </c>
      <c r="AC202" s="528">
        <f>E188</f>
        <v>1</v>
      </c>
      <c r="AD202" s="528">
        <f>E185</f>
        <v>10</v>
      </c>
    </row>
    <row r="203" spans="2:30" outlineLevel="1">
      <c r="B203" s="560" t="s">
        <v>890</v>
      </c>
      <c r="C203" s="745">
        <v>90</v>
      </c>
      <c r="D203" s="590">
        <v>90</v>
      </c>
      <c r="E203" s="590">
        <v>90</v>
      </c>
      <c r="F203" s="590">
        <v>90</v>
      </c>
      <c r="G203" s="591"/>
      <c r="H203" s="591"/>
      <c r="I203" s="591"/>
      <c r="J203" s="591"/>
      <c r="K203" s="591"/>
      <c r="L203" s="564">
        <v>3</v>
      </c>
      <c r="M203" s="423"/>
      <c r="N203" s="423"/>
      <c r="O203" s="525">
        <f>F173</f>
        <v>91</v>
      </c>
      <c r="P203" s="526">
        <f>F169</f>
        <v>2050</v>
      </c>
      <c r="Q203" s="58"/>
      <c r="R203" s="526">
        <f>O203/100</f>
        <v>0.91</v>
      </c>
      <c r="S203" s="58"/>
      <c r="T203" s="526">
        <f>F177</f>
        <v>25</v>
      </c>
      <c r="U203" s="527">
        <f>F207</f>
        <v>3995.9090909090883</v>
      </c>
      <c r="V203" s="527">
        <f>F209</f>
        <v>251.065</v>
      </c>
      <c r="W203" s="527">
        <f>F210</f>
        <v>5.8937777777777782</v>
      </c>
      <c r="X203" s="58"/>
      <c r="Y203" s="58"/>
      <c r="Z203" s="526">
        <f>F184</f>
        <v>11</v>
      </c>
      <c r="AA203" s="528">
        <f>F186</f>
        <v>41</v>
      </c>
      <c r="AB203" s="528">
        <f>F187</f>
        <v>4</v>
      </c>
      <c r="AC203" s="528">
        <f>F188</f>
        <v>1</v>
      </c>
      <c r="AD203" s="528">
        <f>F185</f>
        <v>10</v>
      </c>
    </row>
    <row r="204" spans="2:30" outlineLevel="1">
      <c r="B204" s="592" t="s">
        <v>891</v>
      </c>
      <c r="C204" s="586"/>
      <c r="D204" s="587"/>
      <c r="E204" s="587"/>
      <c r="F204" s="588"/>
      <c r="G204" s="591"/>
      <c r="H204" s="591"/>
      <c r="I204" s="591"/>
      <c r="J204" s="591"/>
      <c r="K204" s="591"/>
      <c r="L204" s="593"/>
      <c r="M204" s="427"/>
      <c r="N204" s="427"/>
    </row>
    <row r="205" spans="2:30" outlineLevel="1">
      <c r="B205" s="592" t="s">
        <v>892</v>
      </c>
      <c r="C205" s="586"/>
      <c r="D205" s="587"/>
      <c r="E205" s="587"/>
      <c r="F205" s="588"/>
      <c r="G205" s="591"/>
      <c r="H205" s="591"/>
      <c r="I205" s="591"/>
      <c r="J205" s="591"/>
      <c r="K205" s="591"/>
      <c r="L205" s="593"/>
      <c r="M205" s="423"/>
      <c r="N205" s="423"/>
    </row>
    <row r="206" spans="2:30" ht="15" outlineLevel="1" thickBot="1">
      <c r="B206" s="594" t="s">
        <v>893</v>
      </c>
      <c r="C206" s="595"/>
      <c r="D206" s="596"/>
      <c r="E206" s="596"/>
      <c r="F206" s="597"/>
      <c r="G206" s="598"/>
      <c r="H206" s="598"/>
      <c r="I206" s="598"/>
      <c r="J206" s="598"/>
      <c r="K206" s="598"/>
      <c r="L206" s="599"/>
      <c r="M206" s="423"/>
      <c r="N206" s="423"/>
    </row>
    <row r="207" spans="2:30" ht="57.6" outlineLevel="1">
      <c r="B207" s="521" t="s">
        <v>894</v>
      </c>
      <c r="C207" s="543">
        <f>C190*$F$4*1000</f>
        <v>4605.4545454545441</v>
      </c>
      <c r="D207" s="543">
        <f t="shared" ref="D207:E207" si="11">D190*$F$4*1000</f>
        <v>4402.2727272727279</v>
      </c>
      <c r="E207" s="543">
        <f t="shared" si="11"/>
        <v>4199.0909090909081</v>
      </c>
      <c r="F207" s="543">
        <f>F190*$F$4*1000</f>
        <v>3995.9090909090883</v>
      </c>
      <c r="G207" s="543"/>
      <c r="H207" s="544"/>
      <c r="I207" s="480" t="s">
        <v>332</v>
      </c>
      <c r="J207" s="480"/>
      <c r="K207" s="544"/>
      <c r="L207" s="544"/>
      <c r="N207" s="480"/>
    </row>
    <row r="208" spans="2:30" outlineLevel="1">
      <c r="B208" s="545" t="s">
        <v>895</v>
      </c>
      <c r="C208" s="546">
        <f>C207*$I208</f>
        <v>2302727.272727272</v>
      </c>
      <c r="D208" s="546">
        <f>D207*$I208</f>
        <v>2201136.3636363638</v>
      </c>
      <c r="E208" s="546">
        <f>E207*$I208</f>
        <v>2099545.4545454541</v>
      </c>
      <c r="F208" s="546">
        <f>F207*$I208</f>
        <v>1997954.545454544</v>
      </c>
      <c r="G208" s="546"/>
      <c r="H208" s="544"/>
      <c r="I208" s="71">
        <v>500</v>
      </c>
      <c r="J208" s="480" t="s">
        <v>330</v>
      </c>
      <c r="K208" s="544"/>
      <c r="L208" s="544"/>
      <c r="N208" s="480"/>
    </row>
    <row r="209" spans="1:16" ht="43.2" outlineLevel="1">
      <c r="B209" s="521" t="s">
        <v>970</v>
      </c>
      <c r="C209" s="419">
        <f>C193*$F$4/1000</f>
        <v>251.065</v>
      </c>
      <c r="D209" s="419">
        <f t="shared" ref="D209:E209" si="12">D193*$F$4/1000</f>
        <v>267.45499999999998</v>
      </c>
      <c r="E209" s="419">
        <f t="shared" si="12"/>
        <v>259.26</v>
      </c>
      <c r="F209" s="419">
        <f>F193*$F$4/1000</f>
        <v>251.065</v>
      </c>
      <c r="G209" s="419"/>
      <c r="I209" s="480" t="s">
        <v>333</v>
      </c>
      <c r="J209" s="480"/>
      <c r="N209" s="480"/>
    </row>
    <row r="210" spans="1:16" ht="43.2" outlineLevel="1">
      <c r="B210" s="521" t="s">
        <v>971</v>
      </c>
      <c r="C210" s="547">
        <f>C194*$F$4/3.6</f>
        <v>5.7509861111111107</v>
      </c>
      <c r="D210" s="547">
        <f t="shared" ref="D210:E210" si="13">D194*$F$4/3.6</f>
        <v>5.8461805555555557</v>
      </c>
      <c r="E210" s="547">
        <f t="shared" si="13"/>
        <v>5.8937777777777782</v>
      </c>
      <c r="F210" s="547">
        <f>F194*$F$4/3.6</f>
        <v>5.8937777777777782</v>
      </c>
      <c r="G210" s="419"/>
      <c r="M210" s="480"/>
      <c r="N210" s="480"/>
    </row>
    <row r="211" spans="1:16" outlineLevel="1"/>
    <row r="212" spans="1:16" outlineLevel="1">
      <c r="A212" s="548"/>
      <c r="B212" s="549"/>
      <c r="D212" s="550"/>
      <c r="E212" s="550"/>
      <c r="F212" s="550"/>
      <c r="G212" s="417"/>
      <c r="H212" s="417"/>
      <c r="I212" s="417"/>
      <c r="J212" s="417"/>
      <c r="K212" s="417"/>
      <c r="L212" s="417"/>
      <c r="N212" s="630"/>
      <c r="O212" s="549"/>
      <c r="P212" s="550"/>
    </row>
    <row r="213" spans="1:16" outlineLevel="1">
      <c r="A213" s="551"/>
      <c r="B213" s="552"/>
      <c r="D213" s="550"/>
      <c r="E213" s="550"/>
      <c r="F213" s="550"/>
      <c r="G213" s="417"/>
      <c r="H213" s="417"/>
      <c r="I213" s="417"/>
      <c r="J213" s="417"/>
      <c r="K213" s="417"/>
      <c r="L213" s="417"/>
      <c r="N213" s="630"/>
      <c r="O213" s="549"/>
      <c r="P213" s="550"/>
    </row>
    <row r="214" spans="1:16" outlineLevel="1">
      <c r="A214" s="551"/>
      <c r="B214" s="553"/>
      <c r="D214" s="550"/>
      <c r="E214" s="550"/>
      <c r="F214" s="550"/>
      <c r="G214" s="417"/>
      <c r="H214" s="417"/>
      <c r="I214" s="417"/>
      <c r="J214" s="417"/>
      <c r="K214" s="417"/>
      <c r="L214" s="417"/>
      <c r="N214" s="630"/>
      <c r="O214" s="549"/>
      <c r="P214" s="550"/>
    </row>
    <row r="215" spans="1:16" outlineLevel="1">
      <c r="A215" s="551"/>
      <c r="B215" s="548" t="s">
        <v>898</v>
      </c>
      <c r="C215" s="549"/>
      <c r="E215" s="417"/>
      <c r="F215" s="550"/>
      <c r="G215" s="417"/>
      <c r="H215" s="417"/>
      <c r="I215" s="417"/>
      <c r="J215" s="417"/>
      <c r="K215" s="417"/>
      <c r="L215" s="417"/>
      <c r="N215" s="630"/>
      <c r="O215" s="549"/>
      <c r="P215" s="550"/>
    </row>
    <row r="216" spans="1:16" outlineLevel="1">
      <c r="A216" s="551"/>
      <c r="B216" s="551">
        <v>1</v>
      </c>
      <c r="C216" s="552" t="s">
        <v>899</v>
      </c>
      <c r="E216" s="417"/>
      <c r="F216" s="550"/>
      <c r="G216" s="417"/>
      <c r="H216" s="417"/>
      <c r="I216" s="417"/>
      <c r="J216" s="417"/>
      <c r="K216" s="417"/>
      <c r="L216" s="417"/>
      <c r="N216" s="630"/>
      <c r="O216" s="549"/>
      <c r="P216" s="550"/>
    </row>
    <row r="217" spans="1:16" outlineLevel="1">
      <c r="A217" s="417"/>
      <c r="B217" s="551">
        <v>2</v>
      </c>
      <c r="C217" s="553" t="s">
        <v>900</v>
      </c>
      <c r="E217" s="417"/>
      <c r="F217" s="550"/>
      <c r="G217" s="417"/>
      <c r="H217" s="417"/>
      <c r="I217" s="417"/>
      <c r="J217" s="417"/>
      <c r="K217" s="417"/>
      <c r="L217" s="417"/>
    </row>
    <row r="218" spans="1:16" outlineLevel="1">
      <c r="A218" s="417"/>
      <c r="B218" s="551">
        <v>3</v>
      </c>
      <c r="C218" s="553" t="s">
        <v>901</v>
      </c>
      <c r="E218" s="417"/>
      <c r="F218" s="550"/>
      <c r="G218" s="417"/>
      <c r="H218" s="417"/>
      <c r="I218" s="417"/>
      <c r="J218" s="417"/>
      <c r="K218" s="417"/>
      <c r="L218" s="417"/>
    </row>
    <row r="219" spans="1:16" outlineLevel="1">
      <c r="A219" s="417"/>
      <c r="B219" s="551">
        <v>4</v>
      </c>
      <c r="C219" s="553" t="s">
        <v>902</v>
      </c>
      <c r="E219" s="417"/>
      <c r="F219" s="550"/>
      <c r="G219" s="417"/>
      <c r="H219" s="417"/>
      <c r="I219" s="417"/>
      <c r="J219" s="417"/>
      <c r="K219" s="417"/>
      <c r="L219" s="417"/>
    </row>
    <row r="220" spans="1:16" outlineLevel="1">
      <c r="A220" s="417"/>
      <c r="B220" s="417">
        <v>5</v>
      </c>
      <c r="C220" s="554" t="s">
        <v>903</v>
      </c>
      <c r="F220" s="550"/>
      <c r="G220" s="417"/>
      <c r="H220" s="417"/>
      <c r="I220" s="417"/>
      <c r="J220" s="417"/>
      <c r="K220" s="417"/>
      <c r="L220" s="417"/>
    </row>
    <row r="221" spans="1:16" outlineLevel="1">
      <c r="A221" s="417"/>
      <c r="B221" s="417">
        <v>6</v>
      </c>
      <c r="C221" s="552" t="s">
        <v>904</v>
      </c>
      <c r="F221" s="550"/>
      <c r="G221" s="417"/>
      <c r="H221" s="417"/>
      <c r="I221" s="417"/>
      <c r="J221" s="417"/>
      <c r="K221" s="417"/>
      <c r="L221" s="417"/>
    </row>
    <row r="222" spans="1:16" outlineLevel="1">
      <c r="A222" s="417"/>
      <c r="B222" s="417">
        <v>7</v>
      </c>
      <c r="C222" s="555" t="s">
        <v>899</v>
      </c>
      <c r="F222" s="550"/>
      <c r="G222" s="417"/>
      <c r="H222" s="417"/>
      <c r="I222" s="417"/>
      <c r="J222" s="417"/>
      <c r="K222" s="417"/>
      <c r="L222" s="417"/>
    </row>
    <row r="223" spans="1:16" outlineLevel="1">
      <c r="A223" s="548"/>
      <c r="B223" s="417">
        <v>8</v>
      </c>
      <c r="C223" s="555" t="s">
        <v>905</v>
      </c>
      <c r="F223" s="550"/>
      <c r="G223" s="417"/>
      <c r="H223" s="417"/>
      <c r="I223" s="417"/>
      <c r="J223" s="417"/>
      <c r="K223" s="417"/>
      <c r="L223" s="417"/>
    </row>
    <row r="224" spans="1:16" outlineLevel="1">
      <c r="A224" s="556"/>
      <c r="B224" s="417">
        <v>9</v>
      </c>
      <c r="C224" s="549" t="s">
        <v>906</v>
      </c>
      <c r="F224" s="550"/>
      <c r="G224" s="417"/>
      <c r="H224" s="417"/>
      <c r="I224" s="417"/>
      <c r="J224" s="417"/>
      <c r="K224" s="417"/>
      <c r="L224" s="417"/>
      <c r="N224" s="630"/>
      <c r="O224" s="549"/>
      <c r="P224" s="550"/>
    </row>
    <row r="225" spans="1:16" outlineLevel="1">
      <c r="A225" s="556"/>
      <c r="B225" s="417">
        <v>10</v>
      </c>
      <c r="C225" s="550" t="s">
        <v>907</v>
      </c>
      <c r="F225" s="550"/>
      <c r="G225" s="417"/>
      <c r="H225" s="417"/>
      <c r="I225" s="417"/>
      <c r="J225" s="417"/>
      <c r="K225" s="417"/>
      <c r="L225" s="417"/>
      <c r="N225" s="630"/>
      <c r="O225" s="549"/>
      <c r="P225" s="550"/>
    </row>
    <row r="226" spans="1:16" outlineLevel="1">
      <c r="A226" s="556"/>
      <c r="B226" s="548" t="s">
        <v>908</v>
      </c>
      <c r="C226" s="549"/>
      <c r="F226" s="550"/>
      <c r="G226" s="417"/>
      <c r="H226" s="417"/>
      <c r="I226" s="417"/>
      <c r="J226" s="417"/>
      <c r="K226" s="417"/>
      <c r="L226" s="417"/>
      <c r="N226" s="630"/>
      <c r="O226" s="549"/>
      <c r="P226" s="550"/>
    </row>
    <row r="227" spans="1:16" outlineLevel="1">
      <c r="A227" s="556"/>
      <c r="B227" s="556" t="s">
        <v>6</v>
      </c>
      <c r="C227" s="557" t="s">
        <v>1100</v>
      </c>
      <c r="D227" s="549"/>
      <c r="F227" s="550"/>
      <c r="G227" s="417"/>
      <c r="H227" s="417"/>
      <c r="I227" s="417"/>
      <c r="J227" s="417"/>
      <c r="K227" s="417"/>
      <c r="L227" s="417"/>
      <c r="N227" s="630"/>
      <c r="O227" s="549"/>
      <c r="P227" s="550"/>
    </row>
    <row r="228" spans="1:16" outlineLevel="1">
      <c r="A228" s="556"/>
      <c r="B228" s="556" t="s">
        <v>59</v>
      </c>
      <c r="C228" s="549" t="s">
        <v>910</v>
      </c>
      <c r="D228" s="549"/>
      <c r="F228" s="550"/>
      <c r="G228" s="417"/>
      <c r="H228" s="417"/>
      <c r="I228" s="417"/>
      <c r="J228" s="417"/>
      <c r="K228" s="417"/>
      <c r="L228" s="417"/>
      <c r="N228" s="630"/>
      <c r="O228" s="549"/>
      <c r="P228" s="550"/>
    </row>
    <row r="229" spans="1:16" outlineLevel="1">
      <c r="A229" s="556"/>
      <c r="B229" s="556" t="s">
        <v>16</v>
      </c>
      <c r="C229" s="549" t="s">
        <v>1101</v>
      </c>
      <c r="D229" s="549"/>
      <c r="F229" s="550"/>
      <c r="G229" s="417"/>
      <c r="H229" s="417"/>
      <c r="I229" s="417"/>
      <c r="J229" s="417"/>
      <c r="K229" s="417"/>
      <c r="L229" s="417"/>
      <c r="N229" s="630"/>
      <c r="O229" s="549"/>
      <c r="P229" s="550"/>
    </row>
    <row r="230" spans="1:16" outlineLevel="1">
      <c r="A230" s="556"/>
      <c r="B230" s="556" t="s">
        <v>20</v>
      </c>
      <c r="C230" s="549" t="s">
        <v>1102</v>
      </c>
      <c r="D230" s="549"/>
      <c r="F230" s="550"/>
      <c r="G230" s="417"/>
      <c r="H230" s="417"/>
      <c r="I230" s="417"/>
      <c r="J230" s="417"/>
      <c r="K230" s="417"/>
      <c r="L230" s="417"/>
      <c r="N230" s="630"/>
      <c r="O230" s="549"/>
      <c r="P230" s="550"/>
    </row>
    <row r="231" spans="1:16" outlineLevel="1">
      <c r="A231" s="556"/>
      <c r="B231" s="556" t="s">
        <v>76</v>
      </c>
      <c r="C231" s="549" t="s">
        <v>911</v>
      </c>
      <c r="D231" s="549"/>
      <c r="F231" s="550"/>
      <c r="G231" s="417"/>
      <c r="H231" s="417"/>
      <c r="I231" s="417"/>
      <c r="J231" s="417"/>
      <c r="K231" s="417"/>
      <c r="L231" s="417"/>
      <c r="N231" s="630"/>
      <c r="O231" s="549"/>
      <c r="P231" s="550"/>
    </row>
    <row r="232" spans="1:16" outlineLevel="1">
      <c r="A232" s="556"/>
      <c r="B232" s="556" t="s">
        <v>25</v>
      </c>
      <c r="C232" s="549" t="s">
        <v>1103</v>
      </c>
      <c r="D232" s="549"/>
      <c r="F232" s="550"/>
      <c r="G232" s="417"/>
      <c r="H232" s="417"/>
      <c r="I232" s="417"/>
      <c r="J232" s="417"/>
      <c r="K232" s="417"/>
      <c r="L232" s="417"/>
      <c r="N232" s="630"/>
      <c r="O232" s="549"/>
      <c r="P232" s="550"/>
    </row>
    <row r="233" spans="1:16" outlineLevel="1">
      <c r="A233" s="556"/>
      <c r="B233" s="556" t="s">
        <v>33</v>
      </c>
      <c r="C233" s="549" t="s">
        <v>1104</v>
      </c>
      <c r="D233" s="549"/>
      <c r="F233" s="550"/>
      <c r="G233" s="417"/>
      <c r="H233" s="417"/>
      <c r="I233" s="417"/>
      <c r="J233" s="417"/>
      <c r="K233" s="417"/>
      <c r="L233" s="417"/>
      <c r="N233" s="630"/>
      <c r="O233" s="549"/>
      <c r="P233" s="550"/>
    </row>
    <row r="234" spans="1:16" outlineLevel="1">
      <c r="A234" s="556"/>
      <c r="B234" s="556" t="s">
        <v>51</v>
      </c>
      <c r="C234" s="549" t="s">
        <v>1105</v>
      </c>
      <c r="D234" s="549"/>
      <c r="F234" s="550"/>
      <c r="G234" s="417"/>
      <c r="H234" s="417"/>
      <c r="I234" s="417"/>
      <c r="J234" s="417"/>
      <c r="K234" s="417"/>
      <c r="L234" s="417"/>
      <c r="N234" s="630"/>
      <c r="O234" s="549"/>
      <c r="P234" s="550"/>
    </row>
    <row r="235" spans="1:16" outlineLevel="1">
      <c r="A235" s="556"/>
      <c r="B235" s="556" t="s">
        <v>52</v>
      </c>
      <c r="C235" s="558" t="s">
        <v>913</v>
      </c>
      <c r="D235" s="549"/>
      <c r="F235" s="550"/>
      <c r="G235" s="417"/>
      <c r="H235" s="417"/>
      <c r="I235" s="417"/>
      <c r="J235" s="417"/>
      <c r="K235" s="417"/>
      <c r="L235" s="417"/>
      <c r="N235" s="630"/>
      <c r="O235" s="549"/>
      <c r="P235" s="550"/>
    </row>
    <row r="236" spans="1:16" outlineLevel="1">
      <c r="A236" s="556"/>
      <c r="B236" s="556" t="s">
        <v>55</v>
      </c>
      <c r="C236" s="549" t="s">
        <v>929</v>
      </c>
      <c r="D236" s="549"/>
      <c r="F236" s="550"/>
      <c r="G236" s="417"/>
      <c r="H236" s="417"/>
      <c r="I236" s="417"/>
      <c r="J236" s="417"/>
      <c r="K236" s="417"/>
      <c r="L236" s="417"/>
      <c r="N236" s="631"/>
      <c r="O236" s="549"/>
      <c r="P236" s="550"/>
    </row>
    <row r="237" spans="1:16" outlineLevel="1">
      <c r="A237" s="556"/>
      <c r="B237" s="556" t="s">
        <v>49</v>
      </c>
      <c r="C237" s="549" t="s">
        <v>914</v>
      </c>
      <c r="D237" s="549"/>
      <c r="F237" s="550"/>
      <c r="G237" s="417"/>
      <c r="H237" s="417"/>
      <c r="I237" s="417"/>
      <c r="J237" s="417"/>
      <c r="K237" s="417"/>
      <c r="L237" s="417"/>
      <c r="N237" s="632"/>
      <c r="O237" s="549"/>
      <c r="P237" s="550"/>
    </row>
    <row r="238" spans="1:16" outlineLevel="1">
      <c r="A238" s="556"/>
      <c r="F238" s="550"/>
      <c r="G238" s="417"/>
      <c r="H238" s="417"/>
      <c r="I238" s="417"/>
      <c r="J238" s="417"/>
      <c r="K238" s="417"/>
      <c r="L238" s="417"/>
      <c r="N238" s="633"/>
      <c r="O238" s="549"/>
      <c r="P238" s="550"/>
    </row>
    <row r="239" spans="1:16" outlineLevel="1">
      <c r="A239" s="556"/>
      <c r="B239" s="558"/>
      <c r="C239" s="550"/>
      <c r="D239" s="550"/>
      <c r="E239" s="550"/>
      <c r="F239" s="550"/>
      <c r="G239" s="417"/>
      <c r="H239" s="417"/>
      <c r="I239" s="417"/>
      <c r="J239" s="417"/>
      <c r="K239" s="417"/>
      <c r="L239" s="417"/>
      <c r="N239" s="633"/>
      <c r="O239" s="550"/>
      <c r="P239" s="550"/>
    </row>
    <row r="240" spans="1:16" outlineLevel="1">
      <c r="A240" s="556"/>
      <c r="B240" s="549"/>
      <c r="C240" s="550"/>
      <c r="D240" s="550"/>
      <c r="E240" s="550"/>
      <c r="F240" s="550"/>
      <c r="G240" s="417"/>
      <c r="H240" s="417"/>
      <c r="I240" s="417"/>
      <c r="J240" s="417"/>
      <c r="K240" s="417"/>
      <c r="L240" s="417"/>
      <c r="N240" s="549"/>
      <c r="O240" s="550"/>
      <c r="P240" s="550"/>
    </row>
    <row r="241" spans="1:44" outlineLevel="1">
      <c r="A241" s="556"/>
      <c r="B241" s="549"/>
      <c r="C241" s="550"/>
      <c r="D241" s="550"/>
      <c r="E241" s="550"/>
      <c r="F241" s="550"/>
      <c r="G241" s="417"/>
      <c r="H241" s="417"/>
      <c r="I241" s="417"/>
      <c r="J241" s="417"/>
      <c r="K241" s="417"/>
      <c r="L241" s="417"/>
      <c r="N241" s="550"/>
      <c r="O241" s="550"/>
      <c r="P241" s="550"/>
    </row>
    <row r="242" spans="1:44" outlineLevel="1"/>
    <row r="243" spans="1:44" outlineLevel="1"/>
    <row r="245" spans="1:44">
      <c r="A245" s="420" t="s">
        <v>1120</v>
      </c>
      <c r="B245" s="976"/>
      <c r="C245" s="977"/>
      <c r="D245" s="977"/>
      <c r="E245" s="977"/>
      <c r="F245" s="977"/>
      <c r="G245" s="977"/>
      <c r="H245" s="977"/>
      <c r="I245" s="977"/>
      <c r="J245" s="977"/>
      <c r="K245" s="977"/>
      <c r="L245" s="977"/>
      <c r="M245" s="977"/>
      <c r="N245" s="421"/>
      <c r="P245" s="977"/>
      <c r="Q245" s="977"/>
      <c r="R245" s="977"/>
      <c r="S245" s="977"/>
      <c r="T245" s="977"/>
      <c r="U245" s="977"/>
    </row>
    <row r="246" spans="1:44" ht="20.7" customHeight="1" outlineLevel="1" thickBot="1">
      <c r="B246" s="976"/>
      <c r="C246" s="977"/>
      <c r="D246" s="977"/>
      <c r="E246" s="977"/>
      <c r="F246" s="977"/>
      <c r="G246" s="977"/>
      <c r="H246" s="977"/>
      <c r="I246" s="977"/>
      <c r="J246" s="977"/>
      <c r="K246" s="977"/>
      <c r="L246" s="977"/>
      <c r="M246" s="977"/>
      <c r="N246" s="421"/>
      <c r="P246" s="752">
        <v>1</v>
      </c>
      <c r="Q246" s="752">
        <v>2</v>
      </c>
      <c r="R246" s="752">
        <v>3</v>
      </c>
      <c r="S246" s="752">
        <v>4</v>
      </c>
      <c r="T246" s="752">
        <v>5</v>
      </c>
      <c r="U246" s="752">
        <v>6</v>
      </c>
      <c r="V246" s="752">
        <v>7</v>
      </c>
      <c r="W246" s="752">
        <v>8</v>
      </c>
      <c r="X246" s="752">
        <v>9</v>
      </c>
      <c r="Y246" s="752">
        <v>10</v>
      </c>
      <c r="Z246" s="752">
        <v>11</v>
      </c>
      <c r="AA246" s="752">
        <v>12</v>
      </c>
      <c r="AB246" s="752">
        <v>13</v>
      </c>
      <c r="AC246" s="752">
        <v>14</v>
      </c>
    </row>
    <row r="247" spans="1:44" ht="15" customHeight="1" outlineLevel="1" thickBot="1">
      <c r="B247" s="422" t="s">
        <v>0</v>
      </c>
      <c r="C247" s="1018" t="s">
        <v>1116</v>
      </c>
      <c r="D247" s="1019"/>
      <c r="E247" s="1019"/>
      <c r="F247" s="1019"/>
      <c r="G247" s="1019"/>
      <c r="H247" s="1019"/>
      <c r="I247" s="1019"/>
      <c r="J247" s="1019"/>
      <c r="K247" s="1019"/>
      <c r="L247" s="1020"/>
      <c r="M247" s="423"/>
      <c r="N247" s="423"/>
      <c r="P247" s="424" t="s">
        <v>838</v>
      </c>
      <c r="Q247" s="425"/>
      <c r="R247" s="426"/>
      <c r="S247" s="985" t="s">
        <v>839</v>
      </c>
      <c r="T247" s="989" t="s">
        <v>840</v>
      </c>
      <c r="U247" s="990"/>
      <c r="V247" s="989" t="s">
        <v>841</v>
      </c>
      <c r="W247" s="990"/>
      <c r="X247" s="989" t="s">
        <v>842</v>
      </c>
      <c r="Y247" s="990"/>
      <c r="Z247" s="989" t="s">
        <v>843</v>
      </c>
      <c r="AA247" s="990"/>
      <c r="AB247" s="989" t="s">
        <v>844</v>
      </c>
      <c r="AC247" s="990"/>
      <c r="AE247" s="424" t="s">
        <v>845</v>
      </c>
      <c r="AF247" s="425"/>
      <c r="AG247" s="426"/>
      <c r="AH247" s="985" t="s">
        <v>839</v>
      </c>
      <c r="AI247" s="989" t="s">
        <v>840</v>
      </c>
      <c r="AJ247" s="990"/>
      <c r="AK247" s="989" t="s">
        <v>841</v>
      </c>
      <c r="AL247" s="990"/>
      <c r="AM247" s="989" t="s">
        <v>842</v>
      </c>
      <c r="AN247" s="990"/>
      <c r="AO247" s="989" t="s">
        <v>843</v>
      </c>
      <c r="AP247" s="990"/>
      <c r="AQ247" s="989" t="s">
        <v>844</v>
      </c>
      <c r="AR247" s="990"/>
    </row>
    <row r="248" spans="1:44" ht="15" customHeight="1" outlineLevel="1" thickBot="1">
      <c r="B248" s="1010" t="s">
        <v>4</v>
      </c>
      <c r="C248" s="1012">
        <v>2020</v>
      </c>
      <c r="D248" s="1012">
        <v>2030</v>
      </c>
      <c r="E248" s="1012">
        <v>2040</v>
      </c>
      <c r="F248" s="1012">
        <v>2050</v>
      </c>
      <c r="G248" s="1014" t="s">
        <v>846</v>
      </c>
      <c r="H248" s="1015"/>
      <c r="I248" s="1014" t="s">
        <v>693</v>
      </c>
      <c r="J248" s="1015"/>
      <c r="K248" s="1016" t="s">
        <v>2</v>
      </c>
      <c r="L248" s="1016" t="s">
        <v>3</v>
      </c>
      <c r="M248" s="427"/>
      <c r="N248" s="427"/>
      <c r="P248" s="993" t="s">
        <v>0</v>
      </c>
      <c r="Q248" s="428"/>
      <c r="R248" s="428"/>
      <c r="S248" s="986"/>
      <c r="T248" s="991"/>
      <c r="U248" s="992"/>
      <c r="V248" s="991"/>
      <c r="W248" s="992"/>
      <c r="X248" s="991"/>
      <c r="Y248" s="992"/>
      <c r="Z248" s="991"/>
      <c r="AA248" s="992"/>
      <c r="AB248" s="991"/>
      <c r="AC248" s="992"/>
      <c r="AE248" s="993" t="s">
        <v>0</v>
      </c>
      <c r="AF248" s="428"/>
      <c r="AG248" s="428"/>
      <c r="AH248" s="986"/>
      <c r="AI248" s="991"/>
      <c r="AJ248" s="992"/>
      <c r="AK248" s="991"/>
      <c r="AL248" s="992"/>
      <c r="AM248" s="991"/>
      <c r="AN248" s="992"/>
      <c r="AO248" s="991"/>
      <c r="AP248" s="992"/>
      <c r="AQ248" s="991"/>
      <c r="AR248" s="992"/>
    </row>
    <row r="249" spans="1:44" ht="15" outlineLevel="1" thickBot="1">
      <c r="B249" s="1011"/>
      <c r="C249" s="1013"/>
      <c r="D249" s="1013"/>
      <c r="E249" s="1013"/>
      <c r="F249" s="1013"/>
      <c r="G249" s="559" t="s">
        <v>694</v>
      </c>
      <c r="H249" s="559" t="s">
        <v>695</v>
      </c>
      <c r="I249" s="559" t="s">
        <v>694</v>
      </c>
      <c r="J249" s="559" t="s">
        <v>695</v>
      </c>
      <c r="K249" s="1017"/>
      <c r="L249" s="1017"/>
      <c r="M249" s="430"/>
      <c r="N249" s="430"/>
      <c r="P249" s="994"/>
      <c r="Q249" s="996" t="s">
        <v>847</v>
      </c>
      <c r="R249" s="997" t="s">
        <v>848</v>
      </c>
      <c r="S249" s="987"/>
      <c r="T249" s="991"/>
      <c r="U249" s="992"/>
      <c r="V249" s="991"/>
      <c r="W249" s="992"/>
      <c r="X249" s="991"/>
      <c r="Y249" s="992"/>
      <c r="Z249" s="991"/>
      <c r="AA249" s="992"/>
      <c r="AB249" s="991"/>
      <c r="AC249" s="992"/>
      <c r="AE249" s="994"/>
      <c r="AF249" s="1040" t="s">
        <v>847</v>
      </c>
      <c r="AG249" s="997" t="s">
        <v>848</v>
      </c>
      <c r="AH249" s="987"/>
      <c r="AI249" s="991"/>
      <c r="AJ249" s="992"/>
      <c r="AK249" s="991"/>
      <c r="AL249" s="992"/>
      <c r="AM249" s="991"/>
      <c r="AN249" s="992"/>
      <c r="AO249" s="991"/>
      <c r="AP249" s="992"/>
      <c r="AQ249" s="991"/>
      <c r="AR249" s="992"/>
    </row>
    <row r="250" spans="1:44" ht="14.7" customHeight="1" outlineLevel="1" thickBot="1">
      <c r="B250" s="431" t="s">
        <v>696</v>
      </c>
      <c r="C250" s="432">
        <v>20</v>
      </c>
      <c r="D250" s="432">
        <v>20</v>
      </c>
      <c r="E250" s="432">
        <v>20</v>
      </c>
      <c r="F250" s="432">
        <v>20</v>
      </c>
      <c r="G250" s="432">
        <v>1</v>
      </c>
      <c r="H250" s="432">
        <v>50</v>
      </c>
      <c r="I250" s="432">
        <v>1</v>
      </c>
      <c r="J250" s="432">
        <v>50</v>
      </c>
      <c r="K250" s="432" t="s">
        <v>6</v>
      </c>
      <c r="L250" s="433" t="s">
        <v>850</v>
      </c>
      <c r="M250" s="430"/>
      <c r="N250" s="430"/>
      <c r="O250" s="74"/>
      <c r="P250" s="995"/>
      <c r="Q250" s="988"/>
      <c r="R250" s="998"/>
      <c r="S250" s="988"/>
      <c r="T250" s="434" t="s">
        <v>851</v>
      </c>
      <c r="U250" s="435" t="s">
        <v>852</v>
      </c>
      <c r="V250" s="434" t="s">
        <v>851</v>
      </c>
      <c r="W250" s="435" t="s">
        <v>852</v>
      </c>
      <c r="X250" s="434" t="s">
        <v>851</v>
      </c>
      <c r="Y250" s="435" t="s">
        <v>852</v>
      </c>
      <c r="Z250" s="434" t="s">
        <v>851</v>
      </c>
      <c r="AA250" s="435" t="s">
        <v>852</v>
      </c>
      <c r="AB250" s="434" t="s">
        <v>851</v>
      </c>
      <c r="AC250" s="435" t="s">
        <v>852</v>
      </c>
      <c r="AE250" s="995"/>
      <c r="AF250" s="1041"/>
      <c r="AG250" s="998"/>
      <c r="AH250" s="988"/>
      <c r="AI250" s="434" t="s">
        <v>851</v>
      </c>
      <c r="AJ250" s="435" t="s">
        <v>852</v>
      </c>
      <c r="AK250" s="434" t="s">
        <v>851</v>
      </c>
      <c r="AL250" s="435" t="s">
        <v>852</v>
      </c>
      <c r="AM250" s="434" t="s">
        <v>851</v>
      </c>
      <c r="AN250" s="435" t="s">
        <v>852</v>
      </c>
      <c r="AO250" s="434" t="s">
        <v>851</v>
      </c>
      <c r="AP250" s="435" t="s">
        <v>852</v>
      </c>
      <c r="AQ250" s="434" t="s">
        <v>851</v>
      </c>
      <c r="AR250" s="435" t="s">
        <v>852</v>
      </c>
    </row>
    <row r="251" spans="1:44" outlineLevel="1">
      <c r="B251" s="560" t="s">
        <v>853</v>
      </c>
      <c r="C251" s="728">
        <v>116.18960947726835</v>
      </c>
      <c r="D251" s="728">
        <v>116.18960947726835</v>
      </c>
      <c r="E251" s="729">
        <v>116.18960947726835</v>
      </c>
      <c r="F251" s="728">
        <v>116.18960947726835</v>
      </c>
      <c r="G251" s="561">
        <v>88</v>
      </c>
      <c r="H251" s="561">
        <v>117</v>
      </c>
      <c r="I251" s="561">
        <v>88</v>
      </c>
      <c r="J251" s="561">
        <v>117</v>
      </c>
      <c r="K251" s="563" t="s">
        <v>1107</v>
      </c>
      <c r="L251" s="564">
        <v>11</v>
      </c>
      <c r="M251" s="430"/>
      <c r="N251" s="430"/>
      <c r="P251" s="1042" t="str">
        <f>C247</f>
        <v>Hot water boiler, Wood chips (Condensing)</v>
      </c>
      <c r="Q251" s="1030" t="s">
        <v>855</v>
      </c>
      <c r="R251" s="441" t="s">
        <v>856</v>
      </c>
      <c r="S251" s="442"/>
      <c r="T251" s="1033">
        <v>0</v>
      </c>
      <c r="U251" s="1021">
        <v>0</v>
      </c>
      <c r="V251" s="1024">
        <v>0</v>
      </c>
      <c r="W251" s="1021">
        <v>0</v>
      </c>
      <c r="X251" s="1024">
        <v>0</v>
      </c>
      <c r="Y251" s="1021">
        <v>0</v>
      </c>
      <c r="Z251" s="1024">
        <v>0</v>
      </c>
      <c r="AA251" s="1021">
        <v>0</v>
      </c>
      <c r="AB251" s="1024">
        <v>0</v>
      </c>
      <c r="AC251" s="1021">
        <v>0</v>
      </c>
      <c r="AE251" s="1027" t="str">
        <f>P251</f>
        <v>Hot water boiler, Wood chips (Condensing)</v>
      </c>
      <c r="AF251" s="1030" t="s">
        <v>855</v>
      </c>
      <c r="AG251" s="441" t="s">
        <v>856</v>
      </c>
      <c r="AH251" s="442"/>
      <c r="AI251" s="1033">
        <v>0</v>
      </c>
      <c r="AJ251" s="1021">
        <v>0</v>
      </c>
      <c r="AK251" s="1024">
        <v>0</v>
      </c>
      <c r="AL251" s="1021">
        <v>0</v>
      </c>
      <c r="AM251" s="1024">
        <v>0</v>
      </c>
      <c r="AN251" s="1021">
        <v>0</v>
      </c>
      <c r="AO251" s="1024">
        <v>0</v>
      </c>
      <c r="AP251" s="1021">
        <v>0</v>
      </c>
      <c r="AQ251" s="1024">
        <v>0</v>
      </c>
      <c r="AR251" s="1021">
        <v>0</v>
      </c>
    </row>
    <row r="252" spans="1:44" outlineLevel="1">
      <c r="B252" s="443" t="s">
        <v>857</v>
      </c>
      <c r="C252" s="637">
        <v>116.18960947726835</v>
      </c>
      <c r="D252" s="637">
        <v>116.18960947726835</v>
      </c>
      <c r="E252" s="637">
        <v>116.18960947726835</v>
      </c>
      <c r="F252" s="637">
        <v>116.18960947726835</v>
      </c>
      <c r="G252" s="565">
        <v>88</v>
      </c>
      <c r="H252" s="565">
        <v>117</v>
      </c>
      <c r="I252" s="565">
        <v>88</v>
      </c>
      <c r="J252" s="565">
        <v>117</v>
      </c>
      <c r="K252" s="432" t="s">
        <v>1107</v>
      </c>
      <c r="L252" s="433">
        <v>11</v>
      </c>
      <c r="M252" s="430"/>
      <c r="N252" s="430"/>
      <c r="O252" s="71"/>
      <c r="P252" s="1028"/>
      <c r="Q252" s="1031"/>
      <c r="R252" s="448" t="s">
        <v>858</v>
      </c>
      <c r="S252" s="449"/>
      <c r="T252" s="1034"/>
      <c r="U252" s="1022"/>
      <c r="V252" s="1025"/>
      <c r="W252" s="1022"/>
      <c r="X252" s="1025"/>
      <c r="Y252" s="1022"/>
      <c r="Z252" s="1025"/>
      <c r="AA252" s="1022"/>
      <c r="AB252" s="1025"/>
      <c r="AC252" s="1022"/>
      <c r="AE252" s="1028"/>
      <c r="AF252" s="1031"/>
      <c r="AG252" s="448" t="s">
        <v>858</v>
      </c>
      <c r="AH252" s="449"/>
      <c r="AI252" s="1034"/>
      <c r="AJ252" s="1022"/>
      <c r="AK252" s="1025"/>
      <c r="AL252" s="1022"/>
      <c r="AM252" s="1025"/>
      <c r="AN252" s="1022"/>
      <c r="AO252" s="1025"/>
      <c r="AP252" s="1022"/>
      <c r="AQ252" s="1025"/>
      <c r="AR252" s="1022"/>
    </row>
    <row r="253" spans="1:44" ht="14.7" customHeight="1" outlineLevel="1" thickBot="1">
      <c r="B253" s="560" t="s">
        <v>859</v>
      </c>
      <c r="C253" s="566">
        <v>2.2999999999999998</v>
      </c>
      <c r="D253" s="567">
        <v>2.2999999999999998</v>
      </c>
      <c r="E253" s="567">
        <v>2.2999999999999998</v>
      </c>
      <c r="F253" s="568">
        <v>2.2999999999999998</v>
      </c>
      <c r="G253" s="567">
        <v>2.2000000000000002</v>
      </c>
      <c r="H253" s="567">
        <v>2.5</v>
      </c>
      <c r="I253" s="567">
        <v>1.8</v>
      </c>
      <c r="J253" s="567">
        <v>2.5</v>
      </c>
      <c r="K253" s="563" t="s">
        <v>59</v>
      </c>
      <c r="L253" s="564">
        <v>3</v>
      </c>
      <c r="M253" s="430"/>
      <c r="N253" s="430"/>
      <c r="O253" s="71"/>
      <c r="P253" s="1028"/>
      <c r="Q253" s="1032"/>
      <c r="R253" s="453" t="s">
        <v>860</v>
      </c>
      <c r="S253" s="454"/>
      <c r="T253" s="1035"/>
      <c r="U253" s="1023"/>
      <c r="V253" s="1026"/>
      <c r="W253" s="1023"/>
      <c r="X253" s="1026"/>
      <c r="Y253" s="1023"/>
      <c r="Z253" s="1026"/>
      <c r="AA253" s="1023"/>
      <c r="AB253" s="1026"/>
      <c r="AC253" s="1023"/>
      <c r="AE253" s="1028"/>
      <c r="AF253" s="1032"/>
      <c r="AG253" s="453" t="s">
        <v>860</v>
      </c>
      <c r="AH253" s="454"/>
      <c r="AI253" s="1035"/>
      <c r="AJ253" s="1023"/>
      <c r="AK253" s="1026"/>
      <c r="AL253" s="1023"/>
      <c r="AM253" s="1026"/>
      <c r="AN253" s="1023"/>
      <c r="AO253" s="1026"/>
      <c r="AP253" s="1023"/>
      <c r="AQ253" s="1026"/>
      <c r="AR253" s="1023"/>
    </row>
    <row r="254" spans="1:44" outlineLevel="1">
      <c r="B254" s="560" t="s">
        <v>702</v>
      </c>
      <c r="C254" s="747">
        <v>3</v>
      </c>
      <c r="D254" s="747">
        <v>3</v>
      </c>
      <c r="E254" s="747">
        <v>3</v>
      </c>
      <c r="F254" s="747">
        <v>3</v>
      </c>
      <c r="G254" s="747">
        <v>3</v>
      </c>
      <c r="H254" s="747">
        <v>3</v>
      </c>
      <c r="I254" s="747">
        <v>3</v>
      </c>
      <c r="J254" s="747">
        <v>3</v>
      </c>
      <c r="K254" s="563" t="s">
        <v>16</v>
      </c>
      <c r="L254" s="564">
        <v>3</v>
      </c>
      <c r="M254" s="430"/>
      <c r="N254" s="430"/>
      <c r="O254" s="71"/>
      <c r="P254" s="1028"/>
      <c r="Q254" s="1030" t="s">
        <v>861</v>
      </c>
      <c r="R254" s="455" t="s">
        <v>862</v>
      </c>
      <c r="S254" s="456" t="s">
        <v>863</v>
      </c>
      <c r="T254" s="1033">
        <v>0</v>
      </c>
      <c r="U254" s="1033">
        <v>0.17</v>
      </c>
      <c r="V254" s="1033">
        <v>0</v>
      </c>
      <c r="W254" s="1033">
        <v>0</v>
      </c>
      <c r="X254" s="1033">
        <v>0</v>
      </c>
      <c r="Y254" s="1033">
        <v>0</v>
      </c>
      <c r="Z254" s="1033">
        <v>0</v>
      </c>
      <c r="AA254" s="1033">
        <v>0.06</v>
      </c>
      <c r="AB254" s="1033">
        <v>0</v>
      </c>
      <c r="AC254" s="1021">
        <v>0</v>
      </c>
      <c r="AE254" s="1028"/>
      <c r="AF254" s="1030" t="s">
        <v>861</v>
      </c>
      <c r="AG254" s="455" t="s">
        <v>862</v>
      </c>
      <c r="AH254" s="456" t="s">
        <v>863</v>
      </c>
      <c r="AI254" s="1033">
        <v>0</v>
      </c>
      <c r="AJ254" s="1033">
        <f>U254/4</f>
        <v>4.2500000000000003E-2</v>
      </c>
      <c r="AK254" s="1033">
        <v>0</v>
      </c>
      <c r="AL254" s="1033">
        <f>W254/4</f>
        <v>0</v>
      </c>
      <c r="AM254" s="1033">
        <v>0</v>
      </c>
      <c r="AN254" s="1033">
        <f>Y254/4</f>
        <v>0</v>
      </c>
      <c r="AO254" s="1033">
        <v>0</v>
      </c>
      <c r="AP254" s="1033">
        <f>AA254/4</f>
        <v>1.4999999999999999E-2</v>
      </c>
      <c r="AQ254" s="1033">
        <v>0</v>
      </c>
      <c r="AR254" s="1021">
        <f>AC254/4</f>
        <v>0</v>
      </c>
    </row>
    <row r="255" spans="1:44" outlineLevel="1">
      <c r="B255" s="560" t="s">
        <v>703</v>
      </c>
      <c r="C255" s="566">
        <v>3</v>
      </c>
      <c r="D255" s="566">
        <v>3</v>
      </c>
      <c r="E255" s="566">
        <v>3</v>
      </c>
      <c r="F255" s="566">
        <v>3</v>
      </c>
      <c r="G255" s="566">
        <v>2.6</v>
      </c>
      <c r="H255" s="566">
        <v>3.5</v>
      </c>
      <c r="I255" s="566">
        <v>2.2999999999999998</v>
      </c>
      <c r="J255" s="566">
        <v>3.8</v>
      </c>
      <c r="K255" s="563" t="s">
        <v>16</v>
      </c>
      <c r="L255" s="564">
        <v>3</v>
      </c>
      <c r="M255" s="427"/>
      <c r="N255" s="427"/>
      <c r="O255" s="71"/>
      <c r="P255" s="1028"/>
      <c r="Q255" s="1031"/>
      <c r="R255" s="455" t="s">
        <v>864</v>
      </c>
      <c r="S255" s="456" t="s">
        <v>863</v>
      </c>
      <c r="T255" s="1036"/>
      <c r="U255" s="1036"/>
      <c r="V255" s="1036"/>
      <c r="W255" s="1036"/>
      <c r="X255" s="1036"/>
      <c r="Y255" s="1036"/>
      <c r="Z255" s="1036"/>
      <c r="AA255" s="1036"/>
      <c r="AB255" s="1036"/>
      <c r="AC255" s="1038"/>
      <c r="AE255" s="1028"/>
      <c r="AF255" s="1031"/>
      <c r="AG255" s="455" t="s">
        <v>864</v>
      </c>
      <c r="AH255" s="456" t="s">
        <v>863</v>
      </c>
      <c r="AI255" s="1036"/>
      <c r="AJ255" s="1036"/>
      <c r="AK255" s="1036"/>
      <c r="AL255" s="1036"/>
      <c r="AM255" s="1036"/>
      <c r="AN255" s="1036"/>
      <c r="AO255" s="1036"/>
      <c r="AP255" s="1036"/>
      <c r="AQ255" s="1036"/>
      <c r="AR255" s="1038"/>
    </row>
    <row r="256" spans="1:44" outlineLevel="1">
      <c r="B256" s="443" t="s">
        <v>11</v>
      </c>
      <c r="C256" s="457">
        <v>25</v>
      </c>
      <c r="D256" s="457">
        <v>25</v>
      </c>
      <c r="E256" s="457">
        <v>25</v>
      </c>
      <c r="F256" s="457">
        <v>25</v>
      </c>
      <c r="G256" s="459">
        <v>20</v>
      </c>
      <c r="H256" s="459">
        <v>35</v>
      </c>
      <c r="I256" s="459">
        <v>20</v>
      </c>
      <c r="J256" s="459">
        <v>35</v>
      </c>
      <c r="K256" s="432"/>
      <c r="L256" s="433" t="s">
        <v>865</v>
      </c>
      <c r="M256" s="423"/>
      <c r="N256" s="423"/>
      <c r="P256" s="1028"/>
      <c r="Q256" s="1031"/>
      <c r="R256" s="455" t="s">
        <v>866</v>
      </c>
      <c r="S256" s="456"/>
      <c r="T256" s="1036"/>
      <c r="U256" s="1036"/>
      <c r="V256" s="1036"/>
      <c r="W256" s="1036"/>
      <c r="X256" s="1036"/>
      <c r="Y256" s="1036"/>
      <c r="Z256" s="1036"/>
      <c r="AA256" s="1036"/>
      <c r="AB256" s="1036"/>
      <c r="AC256" s="1038"/>
      <c r="AE256" s="1028"/>
      <c r="AF256" s="1031"/>
      <c r="AG256" s="455" t="s">
        <v>866</v>
      </c>
      <c r="AH256" s="689" t="s">
        <v>863</v>
      </c>
      <c r="AI256" s="1036"/>
      <c r="AJ256" s="1036"/>
      <c r="AK256" s="1036"/>
      <c r="AL256" s="1036"/>
      <c r="AM256" s="1036"/>
      <c r="AN256" s="1036"/>
      <c r="AO256" s="1036"/>
      <c r="AP256" s="1036"/>
      <c r="AQ256" s="1036"/>
      <c r="AR256" s="1038"/>
    </row>
    <row r="257" spans="1:44" ht="15" outlineLevel="1" thickBot="1">
      <c r="B257" s="560" t="s">
        <v>273</v>
      </c>
      <c r="C257" s="566">
        <v>1</v>
      </c>
      <c r="D257" s="566">
        <v>1</v>
      </c>
      <c r="E257" s="566">
        <v>1</v>
      </c>
      <c r="F257" s="566">
        <v>1</v>
      </c>
      <c r="G257" s="566">
        <v>0.5</v>
      </c>
      <c r="H257" s="566">
        <v>1.5</v>
      </c>
      <c r="I257" s="566">
        <v>0.5</v>
      </c>
      <c r="J257" s="566">
        <v>1.5</v>
      </c>
      <c r="K257" s="432"/>
      <c r="L257" s="460"/>
      <c r="M257" s="423"/>
      <c r="N257" s="423"/>
      <c r="P257" s="1028"/>
      <c r="Q257" s="1031"/>
      <c r="R257" s="455" t="s">
        <v>867</v>
      </c>
      <c r="S257" s="456" t="s">
        <v>863</v>
      </c>
      <c r="T257" s="1036"/>
      <c r="U257" s="1036"/>
      <c r="V257" s="1036"/>
      <c r="W257" s="1036"/>
      <c r="X257" s="1036"/>
      <c r="Y257" s="1036"/>
      <c r="Z257" s="1036"/>
      <c r="AA257" s="1036"/>
      <c r="AB257" s="1036"/>
      <c r="AC257" s="1038"/>
      <c r="AE257" s="1028"/>
      <c r="AF257" s="1031"/>
      <c r="AG257" s="455" t="s">
        <v>867</v>
      </c>
      <c r="AH257" s="456"/>
      <c r="AI257" s="1036"/>
      <c r="AJ257" s="1036"/>
      <c r="AK257" s="1036"/>
      <c r="AL257" s="1036"/>
      <c r="AM257" s="1036"/>
      <c r="AN257" s="1036"/>
      <c r="AO257" s="1036"/>
      <c r="AP257" s="1036"/>
      <c r="AQ257" s="1036"/>
      <c r="AR257" s="1038"/>
    </row>
    <row r="258" spans="1:44" ht="15" outlineLevel="1" thickBot="1">
      <c r="B258" s="461" t="s">
        <v>868</v>
      </c>
      <c r="C258" s="462"/>
      <c r="D258" s="463"/>
      <c r="E258" s="464"/>
      <c r="F258" s="465"/>
      <c r="G258" s="466"/>
      <c r="H258" s="466"/>
      <c r="I258" s="466"/>
      <c r="J258" s="466"/>
      <c r="K258" s="467"/>
      <c r="L258" s="468"/>
      <c r="M258" s="423"/>
      <c r="N258" s="423"/>
      <c r="P258" s="1028"/>
      <c r="Q258" s="1032"/>
      <c r="R258" s="469" t="s">
        <v>988</v>
      </c>
      <c r="S258" s="470" t="s">
        <v>863</v>
      </c>
      <c r="T258" s="1037"/>
      <c r="U258" s="1037"/>
      <c r="V258" s="1037"/>
      <c r="W258" s="1037"/>
      <c r="X258" s="1037"/>
      <c r="Y258" s="1037"/>
      <c r="Z258" s="1037"/>
      <c r="AA258" s="1037"/>
      <c r="AB258" s="1037"/>
      <c r="AC258" s="1039"/>
      <c r="AE258" s="1028"/>
      <c r="AF258" s="1032"/>
      <c r="AG258" s="469" t="s">
        <v>988</v>
      </c>
      <c r="AH258" s="470" t="s">
        <v>863</v>
      </c>
      <c r="AI258" s="1037"/>
      <c r="AJ258" s="1037"/>
      <c r="AK258" s="1037"/>
      <c r="AL258" s="1037"/>
      <c r="AM258" s="1037"/>
      <c r="AN258" s="1037"/>
      <c r="AO258" s="1037"/>
      <c r="AP258" s="1037"/>
      <c r="AQ258" s="1037"/>
      <c r="AR258" s="1039"/>
    </row>
    <row r="259" spans="1:44" ht="29.4" outlineLevel="1" thickBot="1">
      <c r="B259" s="560" t="s">
        <v>708</v>
      </c>
      <c r="C259" s="566">
        <v>20</v>
      </c>
      <c r="D259" s="566">
        <v>20</v>
      </c>
      <c r="E259" s="566">
        <v>20</v>
      </c>
      <c r="F259" s="566">
        <v>20</v>
      </c>
      <c r="G259" s="567"/>
      <c r="H259" s="567"/>
      <c r="I259" s="567"/>
      <c r="J259" s="567"/>
      <c r="K259" s="563"/>
      <c r="L259" s="564">
        <v>3</v>
      </c>
      <c r="M259" s="423"/>
      <c r="N259" s="423"/>
      <c r="P259" s="1029"/>
      <c r="Q259" s="471" t="s">
        <v>870</v>
      </c>
      <c r="R259" s="472" t="s">
        <v>871</v>
      </c>
      <c r="S259" s="690" t="s">
        <v>863</v>
      </c>
      <c r="T259" s="476">
        <v>1</v>
      </c>
      <c r="U259" s="475">
        <v>1</v>
      </c>
      <c r="V259" s="476">
        <v>0</v>
      </c>
      <c r="W259" s="475">
        <v>0</v>
      </c>
      <c r="X259" s="476">
        <v>0</v>
      </c>
      <c r="Y259" s="475">
        <v>0</v>
      </c>
      <c r="Z259" s="476">
        <v>1</v>
      </c>
      <c r="AA259" s="475">
        <v>1</v>
      </c>
      <c r="AB259" s="476">
        <v>0</v>
      </c>
      <c r="AC259" s="477">
        <v>0</v>
      </c>
      <c r="AE259" s="1029"/>
      <c r="AF259" s="471" t="s">
        <v>870</v>
      </c>
      <c r="AG259" s="691" t="s">
        <v>871</v>
      </c>
      <c r="AH259" s="692" t="s">
        <v>863</v>
      </c>
      <c r="AI259" s="476">
        <v>1</v>
      </c>
      <c r="AJ259" s="475">
        <v>1</v>
      </c>
      <c r="AK259" s="476">
        <v>0</v>
      </c>
      <c r="AL259" s="475">
        <v>0</v>
      </c>
      <c r="AM259" s="476">
        <v>0</v>
      </c>
      <c r="AN259" s="475">
        <v>0</v>
      </c>
      <c r="AO259" s="476">
        <v>1</v>
      </c>
      <c r="AP259" s="475">
        <v>1</v>
      </c>
      <c r="AQ259" s="476">
        <v>0</v>
      </c>
      <c r="AR259" s="477">
        <v>0</v>
      </c>
    </row>
    <row r="260" spans="1:44" outlineLevel="1">
      <c r="B260" s="560" t="s">
        <v>709</v>
      </c>
      <c r="C260" s="566">
        <v>0.3</v>
      </c>
      <c r="D260" s="566">
        <v>0.3</v>
      </c>
      <c r="E260" s="566">
        <v>0.3</v>
      </c>
      <c r="F260" s="566">
        <v>0.3</v>
      </c>
      <c r="G260" s="569"/>
      <c r="H260" s="569"/>
      <c r="I260" s="569"/>
      <c r="J260" s="569"/>
      <c r="K260" s="570"/>
      <c r="L260" s="564">
        <v>3</v>
      </c>
      <c r="M260" s="423"/>
      <c r="N260" s="423"/>
    </row>
    <row r="261" spans="1:44" outlineLevel="1">
      <c r="B261" s="560" t="s">
        <v>711</v>
      </c>
      <c r="C261" s="566">
        <v>0.5</v>
      </c>
      <c r="D261" s="566">
        <v>0.5</v>
      </c>
      <c r="E261" s="566">
        <v>0.5</v>
      </c>
      <c r="F261" s="566">
        <v>0.5</v>
      </c>
      <c r="G261" s="569"/>
      <c r="H261" s="569"/>
      <c r="I261" s="569"/>
      <c r="J261" s="569"/>
      <c r="K261" s="570"/>
      <c r="L261" s="564">
        <v>3</v>
      </c>
      <c r="M261" s="480"/>
      <c r="N261" s="423"/>
    </row>
    <row r="262" spans="1:44" outlineLevel="1">
      <c r="B262" s="481" t="s">
        <v>12</v>
      </c>
      <c r="C262" s="459"/>
      <c r="D262" s="459"/>
      <c r="E262" s="459"/>
      <c r="F262" s="459"/>
      <c r="G262" s="482"/>
      <c r="H262" s="482"/>
      <c r="I262" s="482"/>
      <c r="J262" s="482"/>
      <c r="K262" s="483"/>
      <c r="L262" s="484"/>
      <c r="M262" s="480"/>
      <c r="N262" s="480"/>
    </row>
    <row r="263" spans="1:44" outlineLevel="1">
      <c r="B263" s="443" t="s">
        <v>968</v>
      </c>
      <c r="C263" s="457">
        <v>11</v>
      </c>
      <c r="D263" s="457">
        <v>11</v>
      </c>
      <c r="E263" s="457">
        <v>11</v>
      </c>
      <c r="F263" s="457">
        <v>11</v>
      </c>
      <c r="G263" s="482"/>
      <c r="H263" s="485"/>
      <c r="I263" s="485"/>
      <c r="J263" s="485"/>
      <c r="K263" s="486" t="s">
        <v>20</v>
      </c>
      <c r="L263" s="487" t="s">
        <v>873</v>
      </c>
      <c r="M263" s="488"/>
      <c r="N263" s="488"/>
    </row>
    <row r="264" spans="1:44" outlineLevel="1">
      <c r="B264" s="443" t="s">
        <v>874</v>
      </c>
      <c r="C264" s="457">
        <v>10</v>
      </c>
      <c r="D264" s="457">
        <v>10</v>
      </c>
      <c r="E264" s="457">
        <v>10</v>
      </c>
      <c r="F264" s="457">
        <v>10</v>
      </c>
      <c r="G264" s="485"/>
      <c r="H264" s="485"/>
      <c r="I264" s="485"/>
      <c r="J264" s="485"/>
      <c r="K264" s="483"/>
      <c r="L264" s="487">
        <v>9</v>
      </c>
      <c r="M264" s="488"/>
      <c r="N264" s="488"/>
    </row>
    <row r="265" spans="1:44" outlineLevel="1">
      <c r="B265" s="443" t="s">
        <v>969</v>
      </c>
      <c r="C265" s="457">
        <v>63</v>
      </c>
      <c r="D265" s="457">
        <v>49</v>
      </c>
      <c r="E265" s="457">
        <v>46</v>
      </c>
      <c r="F265" s="457">
        <v>41</v>
      </c>
      <c r="G265" s="485"/>
      <c r="H265" s="485"/>
      <c r="I265" s="485"/>
      <c r="J265" s="485"/>
      <c r="K265" s="483"/>
      <c r="L265" s="487" t="s">
        <v>873</v>
      </c>
      <c r="M265" s="488"/>
      <c r="N265" s="488"/>
    </row>
    <row r="266" spans="1:44" outlineLevel="1">
      <c r="B266" s="443" t="s">
        <v>366</v>
      </c>
      <c r="C266" s="457">
        <v>11</v>
      </c>
      <c r="D266" s="457">
        <v>8</v>
      </c>
      <c r="E266" s="457">
        <v>6</v>
      </c>
      <c r="F266" s="457">
        <v>4</v>
      </c>
      <c r="G266" s="485"/>
      <c r="H266" s="485"/>
      <c r="I266" s="485"/>
      <c r="J266" s="485"/>
      <c r="K266" s="483"/>
      <c r="L266" s="487" t="s">
        <v>873</v>
      </c>
      <c r="M266" s="488"/>
      <c r="N266" s="488"/>
    </row>
    <row r="267" spans="1:44" ht="15" outlineLevel="1" thickBot="1">
      <c r="B267" s="489" t="s">
        <v>367</v>
      </c>
      <c r="C267" s="490">
        <v>3</v>
      </c>
      <c r="D267" s="490">
        <v>3</v>
      </c>
      <c r="E267" s="490">
        <v>1</v>
      </c>
      <c r="F267" s="490">
        <v>1</v>
      </c>
      <c r="G267" s="485"/>
      <c r="H267" s="485"/>
      <c r="I267" s="485"/>
      <c r="J267" s="485"/>
      <c r="K267" s="483"/>
      <c r="L267" s="487" t="s">
        <v>873</v>
      </c>
      <c r="M267" s="488"/>
      <c r="N267" s="488"/>
    </row>
    <row r="268" spans="1:44" ht="15" outlineLevel="1" thickBot="1">
      <c r="B268" s="491" t="s">
        <v>719</v>
      </c>
      <c r="C268" s="492"/>
      <c r="D268" s="463"/>
      <c r="E268" s="463"/>
      <c r="F268" s="493"/>
      <c r="G268" s="494"/>
      <c r="H268" s="466"/>
      <c r="I268" s="466"/>
      <c r="J268" s="466"/>
      <c r="K268" s="467"/>
      <c r="L268" s="468"/>
      <c r="M268" s="488"/>
      <c r="N268" s="488"/>
    </row>
    <row r="269" spans="1:44" ht="26.4" outlineLevel="1">
      <c r="A269" s="495"/>
      <c r="B269" s="496" t="s">
        <v>1035</v>
      </c>
      <c r="C269" s="611">
        <f>0.68</f>
        <v>0.68</v>
      </c>
      <c r="D269" s="707">
        <f>0.65</f>
        <v>0.65</v>
      </c>
      <c r="E269" s="707">
        <f>0.62</f>
        <v>0.62</v>
      </c>
      <c r="F269" s="708">
        <f>0.59</f>
        <v>0.59</v>
      </c>
      <c r="G269" s="485"/>
      <c r="H269" s="485"/>
      <c r="I269" s="485"/>
      <c r="J269" s="485"/>
      <c r="K269" s="486" t="s">
        <v>1117</v>
      </c>
      <c r="L269" s="500" t="s">
        <v>878</v>
      </c>
      <c r="M269" s="480"/>
      <c r="N269" s="480"/>
    </row>
    <row r="270" spans="1:44" outlineLevel="1">
      <c r="B270" s="501" t="s">
        <v>964</v>
      </c>
      <c r="C270" s="502">
        <v>65</v>
      </c>
      <c r="D270" s="502">
        <v>65</v>
      </c>
      <c r="E270" s="502">
        <v>65</v>
      </c>
      <c r="F270" s="502">
        <v>65</v>
      </c>
      <c r="G270" s="485"/>
      <c r="H270" s="485"/>
      <c r="I270" s="485"/>
      <c r="J270" s="485"/>
      <c r="K270" s="504"/>
      <c r="L270" s="433">
        <v>3</v>
      </c>
      <c r="M270" s="71"/>
      <c r="N270" s="480"/>
    </row>
    <row r="271" spans="1:44" outlineLevel="1">
      <c r="B271" s="501" t="s">
        <v>965</v>
      </c>
      <c r="C271" s="502">
        <f>100-C270</f>
        <v>35</v>
      </c>
      <c r="D271" s="502">
        <f>100-D270</f>
        <v>35</v>
      </c>
      <c r="E271" s="502">
        <f>100-E270</f>
        <v>35</v>
      </c>
      <c r="F271" s="502">
        <f>100-F270</f>
        <v>35</v>
      </c>
      <c r="G271" s="485"/>
      <c r="H271" s="485"/>
      <c r="I271" s="485"/>
      <c r="J271" s="485"/>
      <c r="K271" s="504"/>
      <c r="L271" s="433">
        <v>3</v>
      </c>
      <c r="M271" s="480"/>
      <c r="N271" s="480"/>
    </row>
    <row r="272" spans="1:44" outlineLevel="1">
      <c r="B272" s="443" t="s">
        <v>966</v>
      </c>
      <c r="C272" s="505">
        <v>37000</v>
      </c>
      <c r="D272" s="506">
        <v>35900</v>
      </c>
      <c r="E272" s="506">
        <f>(F272+D272)/2</f>
        <v>34800</v>
      </c>
      <c r="F272" s="507">
        <v>33700</v>
      </c>
      <c r="G272" s="485"/>
      <c r="H272" s="485"/>
      <c r="I272" s="485"/>
      <c r="J272" s="485"/>
      <c r="K272" s="508" t="s">
        <v>33</v>
      </c>
      <c r="L272" s="433">
        <v>3</v>
      </c>
      <c r="M272" s="480"/>
      <c r="N272" s="480"/>
    </row>
    <row r="273" spans="2:30" outlineLevel="1">
      <c r="B273" s="443" t="s">
        <v>724</v>
      </c>
      <c r="C273" s="509">
        <f>C274+C275</f>
        <v>2.7789999999999999</v>
      </c>
      <c r="D273" s="509">
        <f t="shared" ref="D273:F273" si="14">D274+D275</f>
        <v>2.8250000000000002</v>
      </c>
      <c r="E273" s="509">
        <f t="shared" si="14"/>
        <v>2.8479999999999999</v>
      </c>
      <c r="F273" s="509">
        <f t="shared" si="14"/>
        <v>2.8479999999999999</v>
      </c>
      <c r="G273" s="485"/>
      <c r="H273" s="485"/>
      <c r="I273" s="485"/>
      <c r="J273" s="485"/>
      <c r="K273" s="508"/>
      <c r="L273" s="433">
        <v>3</v>
      </c>
      <c r="M273" s="510"/>
      <c r="N273" s="421"/>
      <c r="P273" s="999">
        <f>C273</f>
        <v>2.7789999999999999</v>
      </c>
      <c r="Q273" s="977"/>
      <c r="R273" s="977"/>
      <c r="S273" s="977"/>
      <c r="T273" s="977"/>
      <c r="U273" s="1000"/>
    </row>
    <row r="274" spans="2:30" ht="15" outlineLevel="1" thickBot="1">
      <c r="B274" s="560" t="s">
        <v>883</v>
      </c>
      <c r="C274" s="574">
        <f>C253/100*73</f>
        <v>1.679</v>
      </c>
      <c r="D274" s="574">
        <f>D253/100*75</f>
        <v>1.7249999999999999</v>
      </c>
      <c r="E274" s="574">
        <f>E253/100*76</f>
        <v>1.748</v>
      </c>
      <c r="F274" s="574">
        <f>F253/100*76</f>
        <v>1.748</v>
      </c>
      <c r="G274" s="575"/>
      <c r="H274" s="575"/>
      <c r="I274" s="575"/>
      <c r="J274" s="575"/>
      <c r="K274" s="563" t="s">
        <v>51</v>
      </c>
      <c r="L274" s="564">
        <v>3</v>
      </c>
      <c r="M274" s="510"/>
      <c r="N274" s="421"/>
      <c r="P274" s="1001">
        <f>C274</f>
        <v>1.679</v>
      </c>
      <c r="Q274" s="1002"/>
      <c r="R274" s="1002"/>
      <c r="S274" s="1002"/>
      <c r="T274" s="1002"/>
      <c r="U274" s="1003"/>
    </row>
    <row r="275" spans="2:30" outlineLevel="1">
      <c r="B275" s="560" t="s">
        <v>884</v>
      </c>
      <c r="C275" s="576">
        <v>1.1000000000000001</v>
      </c>
      <c r="D275" s="576">
        <v>1.1000000000000001</v>
      </c>
      <c r="E275" s="576">
        <v>1.1000000000000001</v>
      </c>
      <c r="F275" s="576">
        <v>1.1000000000000001</v>
      </c>
      <c r="G275" s="575"/>
      <c r="H275" s="575"/>
      <c r="I275" s="575"/>
      <c r="J275" s="575"/>
      <c r="K275" s="577"/>
      <c r="L275" s="564">
        <v>3</v>
      </c>
      <c r="M275" s="423"/>
      <c r="N275" s="423"/>
      <c r="P275" s="53" t="s">
        <v>357</v>
      </c>
    </row>
    <row r="276" spans="2:30" ht="27.6" outlineLevel="1">
      <c r="B276" s="501"/>
      <c r="C276" s="741"/>
      <c r="D276" s="741"/>
      <c r="E276" s="741"/>
      <c r="F276" s="741"/>
      <c r="G276" s="485"/>
      <c r="H276" s="485"/>
      <c r="I276" s="485"/>
      <c r="J276" s="485"/>
      <c r="K276" s="504"/>
      <c r="L276" s="484"/>
      <c r="M276" s="427"/>
      <c r="N276" s="42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4.6" outlineLevel="1" thickBot="1">
      <c r="B277" s="579"/>
      <c r="C277" s="502"/>
      <c r="D277" s="580"/>
      <c r="E277" s="580"/>
      <c r="F277" s="581"/>
      <c r="G277" s="485"/>
      <c r="H277" s="485"/>
      <c r="I277" s="485"/>
      <c r="J277" s="485"/>
      <c r="K277" s="508"/>
      <c r="L277" s="484"/>
      <c r="M277" s="423"/>
      <c r="N277" s="423"/>
      <c r="P277" s="50"/>
      <c r="Q277" s="50"/>
      <c r="R277" s="51"/>
      <c r="S277" s="51"/>
      <c r="T277" s="51"/>
      <c r="U277" s="51" t="s">
        <v>885</v>
      </c>
      <c r="V277" s="50" t="s">
        <v>886</v>
      </c>
      <c r="W277" s="50"/>
      <c r="X277" s="50"/>
      <c r="Y277" s="50"/>
      <c r="Z277" s="50"/>
      <c r="AA277" s="50"/>
      <c r="AB277" s="50"/>
      <c r="AC277" s="50"/>
      <c r="AD277" s="50"/>
    </row>
    <row r="278" spans="2:30" ht="43.8" outlineLevel="1" thickBot="1">
      <c r="B278" s="461" t="s">
        <v>727</v>
      </c>
      <c r="C278" s="462"/>
      <c r="D278" s="463"/>
      <c r="E278" s="464"/>
      <c r="F278" s="465"/>
      <c r="G278" s="466"/>
      <c r="H278" s="466"/>
      <c r="I278" s="466"/>
      <c r="J278" s="466"/>
      <c r="K278" s="519"/>
      <c r="L278" s="520"/>
      <c r="M278" s="423"/>
      <c r="N278" s="423"/>
      <c r="O278" s="521" t="s">
        <v>857</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82" t="s">
        <v>887</v>
      </c>
      <c r="C279" s="730">
        <v>3.5000000000000003E-2</v>
      </c>
      <c r="D279" s="730">
        <v>0.03</v>
      </c>
      <c r="E279" s="730">
        <v>0.03</v>
      </c>
      <c r="F279" s="730">
        <v>0.03</v>
      </c>
      <c r="G279" s="584"/>
      <c r="H279" s="584"/>
      <c r="I279" s="584"/>
      <c r="J279" s="584"/>
      <c r="K279" s="584" t="s">
        <v>52</v>
      </c>
      <c r="L279" s="585"/>
      <c r="M279" s="423"/>
      <c r="N279" s="423"/>
      <c r="O279" s="525">
        <f>C252</f>
        <v>116.18960947726835</v>
      </c>
      <c r="P279" s="526">
        <f>C248</f>
        <v>2020</v>
      </c>
      <c r="Q279" s="58">
        <f>P279</f>
        <v>2020</v>
      </c>
      <c r="R279" s="526">
        <f>O279/100</f>
        <v>1.1618960947726835</v>
      </c>
      <c r="S279" s="58"/>
      <c r="T279" s="526">
        <f>C256</f>
        <v>25</v>
      </c>
      <c r="U279" s="527">
        <f>C286</f>
        <v>5066.0000000000009</v>
      </c>
      <c r="V279" s="527">
        <f>C288</f>
        <v>275.64999999999998</v>
      </c>
      <c r="W279" s="527">
        <f>C289</f>
        <v>5.7509861111111107</v>
      </c>
      <c r="X279" s="58"/>
      <c r="Y279" s="58"/>
      <c r="Z279" s="526">
        <f>C263</f>
        <v>11</v>
      </c>
      <c r="AA279" s="528">
        <f>C265</f>
        <v>63</v>
      </c>
      <c r="AB279" s="528">
        <f>C266</f>
        <v>11</v>
      </c>
      <c r="AC279" s="528">
        <f>C267</f>
        <v>3</v>
      </c>
      <c r="AD279" s="528">
        <f>C264</f>
        <v>10</v>
      </c>
    </row>
    <row r="280" spans="2:30" outlineLevel="1">
      <c r="B280" s="560" t="s">
        <v>888</v>
      </c>
      <c r="C280" s="586" t="s">
        <v>36</v>
      </c>
      <c r="D280" s="587" t="s">
        <v>36</v>
      </c>
      <c r="E280" s="587" t="s">
        <v>36</v>
      </c>
      <c r="F280" s="588" t="s">
        <v>36</v>
      </c>
      <c r="G280" s="588"/>
      <c r="H280" s="588"/>
      <c r="I280" s="588"/>
      <c r="J280" s="588"/>
      <c r="K280" s="589" t="s">
        <v>55</v>
      </c>
      <c r="L280" s="585"/>
      <c r="M280" s="423"/>
      <c r="N280" s="423"/>
      <c r="O280" s="525">
        <f>D252</f>
        <v>116.18960947726835</v>
      </c>
      <c r="P280" s="526">
        <f>D248</f>
        <v>2030</v>
      </c>
      <c r="Q280" s="58"/>
      <c r="R280" s="526">
        <f>O280/100</f>
        <v>1.1618960947726835</v>
      </c>
      <c r="S280" s="58"/>
      <c r="T280" s="526">
        <f>D256</f>
        <v>25</v>
      </c>
      <c r="U280" s="527">
        <f>D286</f>
        <v>4842.5</v>
      </c>
      <c r="V280" s="527">
        <f>D288</f>
        <v>267.45499999999998</v>
      </c>
      <c r="W280" s="527">
        <f>D289</f>
        <v>5.8461805555555557</v>
      </c>
      <c r="X280" s="58"/>
      <c r="Y280" s="58"/>
      <c r="Z280" s="526">
        <f>D263</f>
        <v>11</v>
      </c>
      <c r="AA280" s="528">
        <f>D265</f>
        <v>49</v>
      </c>
      <c r="AB280" s="528">
        <f>D266</f>
        <v>8</v>
      </c>
      <c r="AC280" s="528">
        <f>D267</f>
        <v>3</v>
      </c>
      <c r="AD280" s="528">
        <f>D264</f>
        <v>10</v>
      </c>
    </row>
    <row r="281" spans="2:30" outlineLevel="1">
      <c r="B281" s="560" t="s">
        <v>889</v>
      </c>
      <c r="C281" s="586" t="s">
        <v>36</v>
      </c>
      <c r="D281" s="587" t="s">
        <v>36</v>
      </c>
      <c r="E281" s="587" t="s">
        <v>36</v>
      </c>
      <c r="F281" s="588" t="s">
        <v>36</v>
      </c>
      <c r="G281" s="575"/>
      <c r="H281" s="575"/>
      <c r="I281" s="575"/>
      <c r="J281" s="575"/>
      <c r="K281" s="575"/>
      <c r="L281" s="564"/>
      <c r="M281" s="423"/>
      <c r="N281" s="423"/>
      <c r="O281" s="525">
        <f>E252</f>
        <v>116.18960947726835</v>
      </c>
      <c r="P281" s="526">
        <f>E248</f>
        <v>2040</v>
      </c>
      <c r="Q281" s="58"/>
      <c r="R281" s="526">
        <f>O281/100</f>
        <v>1.1618960947726835</v>
      </c>
      <c r="S281" s="58"/>
      <c r="T281" s="526">
        <f>E256</f>
        <v>25</v>
      </c>
      <c r="U281" s="527">
        <f>E286</f>
        <v>4619</v>
      </c>
      <c r="V281" s="527">
        <f>E288</f>
        <v>259.26</v>
      </c>
      <c r="W281" s="527">
        <f>E289</f>
        <v>5.8937777777777782</v>
      </c>
      <c r="X281" s="58"/>
      <c r="Y281" s="58"/>
      <c r="Z281" s="526">
        <f>E263</f>
        <v>11</v>
      </c>
      <c r="AA281" s="528">
        <f>E265</f>
        <v>46</v>
      </c>
      <c r="AB281" s="528">
        <f>E266</f>
        <v>6</v>
      </c>
      <c r="AC281" s="528">
        <f>E267</f>
        <v>1</v>
      </c>
      <c r="AD281" s="528">
        <f>E264</f>
        <v>10</v>
      </c>
    </row>
    <row r="282" spans="2:30" outlineLevel="1">
      <c r="B282" s="560" t="s">
        <v>890</v>
      </c>
      <c r="C282" s="745">
        <v>90</v>
      </c>
      <c r="D282" s="590">
        <v>90</v>
      </c>
      <c r="E282" s="590">
        <v>90</v>
      </c>
      <c r="F282" s="590">
        <v>90</v>
      </c>
      <c r="G282" s="591"/>
      <c r="H282" s="591"/>
      <c r="I282" s="591"/>
      <c r="J282" s="591"/>
      <c r="K282" s="591"/>
      <c r="L282" s="564">
        <v>3</v>
      </c>
      <c r="M282" s="423"/>
      <c r="N282" s="423"/>
      <c r="O282" s="525">
        <f>F252</f>
        <v>116.18960947726835</v>
      </c>
      <c r="P282" s="526">
        <f>F248</f>
        <v>2050</v>
      </c>
      <c r="Q282" s="58"/>
      <c r="R282" s="526">
        <f>O282/100</f>
        <v>1.1618960947726835</v>
      </c>
      <c r="S282" s="58"/>
      <c r="T282" s="526">
        <f>F256</f>
        <v>25</v>
      </c>
      <c r="U282" s="527">
        <f>F286</f>
        <v>4395.5</v>
      </c>
      <c r="V282" s="527">
        <f>F288</f>
        <v>251.065</v>
      </c>
      <c r="W282" s="527">
        <f>F289</f>
        <v>5.8937777777777782</v>
      </c>
      <c r="X282" s="58"/>
      <c r="Y282" s="58"/>
      <c r="Z282" s="526">
        <f>F263</f>
        <v>11</v>
      </c>
      <c r="AA282" s="528">
        <f>F265</f>
        <v>41</v>
      </c>
      <c r="AB282" s="528">
        <f>F266</f>
        <v>4</v>
      </c>
      <c r="AC282" s="528">
        <f>F267</f>
        <v>1</v>
      </c>
      <c r="AD282" s="528">
        <f>F264</f>
        <v>10</v>
      </c>
    </row>
    <row r="283" spans="2:30" outlineLevel="1">
      <c r="B283" s="592" t="s">
        <v>891</v>
      </c>
      <c r="C283" s="586"/>
      <c r="D283" s="587"/>
      <c r="E283" s="587"/>
      <c r="F283" s="588"/>
      <c r="G283" s="591"/>
      <c r="H283" s="591"/>
      <c r="I283" s="591"/>
      <c r="J283" s="591"/>
      <c r="K283" s="591"/>
      <c r="L283" s="593"/>
      <c r="M283" s="427"/>
      <c r="N283" s="427"/>
    </row>
    <row r="284" spans="2:30" outlineLevel="1">
      <c r="B284" s="592" t="s">
        <v>892</v>
      </c>
      <c r="C284" s="586"/>
      <c r="D284" s="587"/>
      <c r="E284" s="587"/>
      <c r="F284" s="588"/>
      <c r="G284" s="591"/>
      <c r="H284" s="591"/>
      <c r="I284" s="591"/>
      <c r="J284" s="591"/>
      <c r="K284" s="591"/>
      <c r="L284" s="593"/>
      <c r="M284" s="423"/>
      <c r="N284" s="423"/>
    </row>
    <row r="285" spans="2:30" ht="15" outlineLevel="1" thickBot="1">
      <c r="B285" s="594" t="s">
        <v>893</v>
      </c>
      <c r="C285" s="595"/>
      <c r="D285" s="596"/>
      <c r="E285" s="596"/>
      <c r="F285" s="597"/>
      <c r="G285" s="598"/>
      <c r="H285" s="598"/>
      <c r="I285" s="598"/>
      <c r="J285" s="598"/>
      <c r="K285" s="598"/>
      <c r="L285" s="599"/>
      <c r="M285" s="423"/>
      <c r="N285" s="423"/>
    </row>
    <row r="286" spans="2:30" ht="57.6" outlineLevel="1">
      <c r="B286" s="521" t="s">
        <v>894</v>
      </c>
      <c r="C286" s="543">
        <f>C269*$F$4*1000</f>
        <v>5066.0000000000009</v>
      </c>
      <c r="D286" s="543">
        <f t="shared" ref="D286:F286" si="15">D269*$F$4*1000</f>
        <v>4842.5</v>
      </c>
      <c r="E286" s="543">
        <f t="shared" si="15"/>
        <v>4619</v>
      </c>
      <c r="F286" s="543">
        <f t="shared" si="15"/>
        <v>4395.5</v>
      </c>
      <c r="G286" s="543"/>
      <c r="H286" s="544"/>
      <c r="I286" s="480" t="s">
        <v>332</v>
      </c>
      <c r="J286" s="480"/>
      <c r="K286" s="544"/>
      <c r="L286" s="544"/>
      <c r="N286" s="480"/>
    </row>
    <row r="287" spans="2:30" outlineLevel="1">
      <c r="B287" s="545" t="s">
        <v>895</v>
      </c>
      <c r="C287" s="546">
        <f>C286*$I287</f>
        <v>2533000.0000000005</v>
      </c>
      <c r="D287" s="546">
        <f>D286*$I287</f>
        <v>2421250</v>
      </c>
      <c r="E287" s="546">
        <f>E286*$I287</f>
        <v>2309500</v>
      </c>
      <c r="F287" s="546">
        <f>F286*$I287</f>
        <v>2197750</v>
      </c>
      <c r="G287" s="546"/>
      <c r="H287" s="544"/>
      <c r="I287" s="71">
        <v>500</v>
      </c>
      <c r="J287" s="480" t="s">
        <v>330</v>
      </c>
      <c r="K287" s="544"/>
      <c r="L287" s="544"/>
      <c r="N287" s="480"/>
    </row>
    <row r="288" spans="2:30" ht="43.2" outlineLevel="1">
      <c r="B288" s="521" t="s">
        <v>970</v>
      </c>
      <c r="C288" s="419">
        <f>C272*$F$4/1000</f>
        <v>275.64999999999998</v>
      </c>
      <c r="D288" s="419">
        <f t="shared" ref="D288:F288" si="16">D272*$F$4/1000</f>
        <v>267.45499999999998</v>
      </c>
      <c r="E288" s="419">
        <f t="shared" si="16"/>
        <v>259.26</v>
      </c>
      <c r="F288" s="419">
        <f t="shared" si="16"/>
        <v>251.065</v>
      </c>
      <c r="G288" s="419"/>
      <c r="I288" s="480" t="s">
        <v>333</v>
      </c>
      <c r="J288" s="480"/>
      <c r="N288" s="480"/>
    </row>
    <row r="289" spans="1:15" ht="43.2" outlineLevel="1">
      <c r="B289" s="521" t="s">
        <v>971</v>
      </c>
      <c r="C289" s="547">
        <f>C273*$F$4/3.6</f>
        <v>5.7509861111111107</v>
      </c>
      <c r="D289" s="547">
        <f t="shared" ref="D289:F289" si="17">D273*$F$4/3.6</f>
        <v>5.8461805555555557</v>
      </c>
      <c r="E289" s="547">
        <f t="shared" si="17"/>
        <v>5.8937777777777782</v>
      </c>
      <c r="F289" s="547">
        <f t="shared" si="17"/>
        <v>5.8937777777777782</v>
      </c>
      <c r="G289" s="419"/>
      <c r="M289" s="480"/>
      <c r="N289" s="480"/>
    </row>
    <row r="290" spans="1:15" outlineLevel="1">
      <c r="A290" s="548"/>
      <c r="B290" s="549"/>
      <c r="D290" s="550"/>
      <c r="E290" s="550"/>
      <c r="F290" s="550"/>
      <c r="G290" s="417"/>
      <c r="H290" s="417"/>
      <c r="I290" s="417"/>
      <c r="J290" s="417"/>
      <c r="K290" s="417"/>
      <c r="L290" s="417"/>
    </row>
    <row r="291" spans="1:15" outlineLevel="1">
      <c r="A291" s="551"/>
      <c r="B291" s="552"/>
      <c r="D291" s="550"/>
      <c r="E291" s="550"/>
      <c r="F291" s="550"/>
      <c r="G291" s="417"/>
      <c r="H291" s="417"/>
      <c r="I291" s="417"/>
      <c r="J291" s="417"/>
      <c r="K291" s="417"/>
      <c r="L291" s="417"/>
    </row>
    <row r="292" spans="1:15" outlineLevel="1">
      <c r="A292" s="551"/>
      <c r="B292" s="553"/>
      <c r="D292" s="550"/>
      <c r="E292" s="550"/>
      <c r="F292" s="550"/>
      <c r="G292" s="417"/>
      <c r="H292" s="417"/>
      <c r="I292" s="417"/>
      <c r="J292" s="417"/>
      <c r="K292" s="417"/>
      <c r="L292" s="417"/>
    </row>
    <row r="293" spans="1:15" outlineLevel="1">
      <c r="A293" s="551"/>
      <c r="B293" s="548" t="s">
        <v>898</v>
      </c>
      <c r="C293" s="549"/>
      <c r="E293" s="417"/>
      <c r="F293" s="550"/>
      <c r="G293" s="417"/>
      <c r="H293" s="417"/>
      <c r="I293" s="417"/>
      <c r="J293" s="417"/>
      <c r="K293" s="417"/>
      <c r="L293" s="417"/>
    </row>
    <row r="294" spans="1:15" outlineLevel="1">
      <c r="A294" s="551"/>
      <c r="B294" s="551">
        <v>1</v>
      </c>
      <c r="C294" s="552" t="s">
        <v>899</v>
      </c>
      <c r="E294" s="417"/>
      <c r="F294" s="550"/>
      <c r="G294" s="417"/>
      <c r="H294" s="417"/>
      <c r="I294" s="417"/>
      <c r="J294" s="417"/>
      <c r="K294" s="417"/>
      <c r="L294" s="417"/>
    </row>
    <row r="295" spans="1:15" outlineLevel="1">
      <c r="A295" s="417"/>
      <c r="B295" s="551">
        <v>2</v>
      </c>
      <c r="C295" s="553" t="s">
        <v>900</v>
      </c>
      <c r="E295" s="417"/>
      <c r="F295" s="550"/>
      <c r="G295" s="417"/>
      <c r="H295" s="417"/>
      <c r="I295" s="417"/>
      <c r="J295" s="417"/>
      <c r="K295" s="417"/>
      <c r="L295" s="417"/>
      <c r="M295" s="630"/>
      <c r="N295" s="549"/>
      <c r="O295" s="550"/>
    </row>
    <row r="296" spans="1:15" outlineLevel="1">
      <c r="A296" s="417"/>
      <c r="B296" s="551">
        <v>3</v>
      </c>
      <c r="C296" s="553" t="s">
        <v>901</v>
      </c>
      <c r="E296" s="417"/>
      <c r="F296" s="550"/>
      <c r="G296" s="417"/>
      <c r="H296" s="417"/>
      <c r="I296" s="417"/>
      <c r="J296" s="417"/>
      <c r="K296" s="417"/>
      <c r="L296" s="417"/>
      <c r="O296" s="550"/>
    </row>
    <row r="297" spans="1:15" outlineLevel="1">
      <c r="A297" s="417"/>
      <c r="B297" s="551">
        <v>4</v>
      </c>
      <c r="C297" s="553" t="s">
        <v>902</v>
      </c>
      <c r="E297" s="417"/>
      <c r="F297" s="550"/>
      <c r="G297" s="417"/>
      <c r="H297" s="417"/>
      <c r="I297" s="417"/>
      <c r="J297" s="417"/>
      <c r="K297" s="417"/>
      <c r="L297" s="417"/>
      <c r="O297" s="550"/>
    </row>
    <row r="298" spans="1:15" outlineLevel="1">
      <c r="A298" s="417"/>
      <c r="B298" s="417">
        <v>5</v>
      </c>
      <c r="C298" s="554" t="s">
        <v>903</v>
      </c>
      <c r="F298" s="550"/>
      <c r="G298" s="417"/>
      <c r="H298" s="417"/>
      <c r="I298" s="417"/>
      <c r="J298" s="417"/>
      <c r="K298" s="417"/>
      <c r="L298" s="417"/>
      <c r="O298" s="550"/>
    </row>
    <row r="299" spans="1:15" outlineLevel="1">
      <c r="A299" s="417"/>
      <c r="B299" s="417">
        <v>6</v>
      </c>
      <c r="C299" s="552" t="s">
        <v>904</v>
      </c>
      <c r="F299" s="550"/>
      <c r="G299" s="417"/>
      <c r="H299" s="417"/>
      <c r="I299" s="417"/>
      <c r="J299" s="417"/>
      <c r="K299" s="417"/>
      <c r="L299" s="417"/>
      <c r="O299" s="550"/>
    </row>
    <row r="300" spans="1:15" outlineLevel="1">
      <c r="A300" s="417"/>
      <c r="B300" s="417">
        <v>7</v>
      </c>
      <c r="C300" s="555" t="s">
        <v>899</v>
      </c>
      <c r="F300" s="550"/>
      <c r="G300" s="417"/>
      <c r="H300" s="417"/>
      <c r="I300" s="417"/>
      <c r="J300" s="417"/>
      <c r="K300" s="417"/>
      <c r="L300" s="417"/>
      <c r="O300" s="550"/>
    </row>
    <row r="301" spans="1:15" outlineLevel="1">
      <c r="A301" s="548"/>
      <c r="B301" s="417">
        <v>8</v>
      </c>
      <c r="C301" s="555" t="s">
        <v>905</v>
      </c>
      <c r="F301" s="550"/>
      <c r="G301" s="417"/>
      <c r="H301" s="417"/>
      <c r="I301" s="417"/>
      <c r="J301" s="417"/>
      <c r="K301" s="417"/>
      <c r="L301" s="417"/>
      <c r="O301" s="550"/>
    </row>
    <row r="302" spans="1:15" outlineLevel="1">
      <c r="A302" s="548"/>
      <c r="B302" s="417">
        <v>9</v>
      </c>
      <c r="C302" s="549" t="s">
        <v>906</v>
      </c>
      <c r="F302" s="550"/>
      <c r="G302" s="417"/>
      <c r="H302" s="417"/>
      <c r="I302" s="417"/>
      <c r="J302" s="417"/>
      <c r="K302" s="417"/>
      <c r="L302" s="417"/>
      <c r="O302" s="550"/>
    </row>
    <row r="303" spans="1:15" outlineLevel="1">
      <c r="A303" s="548"/>
      <c r="B303" s="417">
        <v>10</v>
      </c>
      <c r="C303" s="550" t="s">
        <v>907</v>
      </c>
      <c r="F303" s="550"/>
      <c r="G303" s="417"/>
      <c r="H303" s="417"/>
      <c r="I303" s="417"/>
      <c r="J303" s="417"/>
      <c r="K303" s="417"/>
      <c r="L303" s="417"/>
      <c r="O303" s="550"/>
    </row>
    <row r="304" spans="1:15" outlineLevel="1">
      <c r="A304" s="548"/>
      <c r="B304" s="548" t="s">
        <v>908</v>
      </c>
      <c r="C304" s="549"/>
      <c r="F304" s="550"/>
      <c r="G304" s="417"/>
      <c r="H304" s="417"/>
      <c r="I304" s="417"/>
      <c r="J304" s="417"/>
      <c r="K304" s="417"/>
      <c r="L304" s="417"/>
      <c r="O304" s="550"/>
    </row>
    <row r="305" spans="1:15" outlineLevel="1">
      <c r="A305" s="548"/>
      <c r="B305" s="556" t="s">
        <v>6</v>
      </c>
      <c r="C305" s="557" t="s">
        <v>1100</v>
      </c>
      <c r="D305" s="549"/>
      <c r="F305" s="550"/>
      <c r="G305" s="417"/>
      <c r="H305" s="417"/>
      <c r="I305" s="417"/>
      <c r="J305" s="417"/>
      <c r="K305" s="417"/>
      <c r="L305" s="417"/>
      <c r="O305" s="550"/>
    </row>
    <row r="306" spans="1:15" outlineLevel="1">
      <c r="A306" s="548"/>
      <c r="B306" s="556" t="s">
        <v>59</v>
      </c>
      <c r="C306" s="549" t="s">
        <v>910</v>
      </c>
      <c r="D306" s="549"/>
      <c r="F306" s="550"/>
      <c r="G306" s="417"/>
      <c r="H306" s="417"/>
      <c r="I306" s="417"/>
      <c r="J306" s="417"/>
      <c r="K306" s="417"/>
      <c r="L306" s="417"/>
      <c r="O306" s="550"/>
    </row>
    <row r="307" spans="1:15" outlineLevel="1">
      <c r="A307" s="548"/>
      <c r="B307" s="556" t="s">
        <v>16</v>
      </c>
      <c r="C307" s="549" t="s">
        <v>1101</v>
      </c>
      <c r="D307" s="549"/>
      <c r="F307" s="550"/>
      <c r="G307" s="417"/>
      <c r="H307" s="417"/>
      <c r="I307" s="417"/>
      <c r="J307" s="417"/>
      <c r="K307" s="417"/>
      <c r="L307" s="417"/>
      <c r="O307" s="550"/>
    </row>
    <row r="308" spans="1:15" outlineLevel="1">
      <c r="A308" s="548"/>
      <c r="B308" s="556" t="s">
        <v>20</v>
      </c>
      <c r="C308" s="549" t="s">
        <v>1102</v>
      </c>
      <c r="D308" s="549"/>
      <c r="F308" s="550"/>
      <c r="G308" s="417"/>
      <c r="H308" s="417"/>
      <c r="I308" s="417"/>
      <c r="J308" s="417"/>
      <c r="K308" s="417"/>
      <c r="L308" s="417"/>
      <c r="O308" s="550"/>
    </row>
    <row r="309" spans="1:15" outlineLevel="1">
      <c r="A309" s="548"/>
      <c r="B309" s="556" t="s">
        <v>76</v>
      </c>
      <c r="C309" s="549" t="s">
        <v>911</v>
      </c>
      <c r="D309" s="549"/>
      <c r="F309" s="550"/>
      <c r="G309" s="417"/>
      <c r="H309" s="417"/>
      <c r="I309" s="417"/>
      <c r="J309" s="417"/>
      <c r="K309" s="417"/>
      <c r="L309" s="417"/>
      <c r="O309" s="550"/>
    </row>
    <row r="310" spans="1:15" outlineLevel="1">
      <c r="A310" s="548"/>
      <c r="B310" s="556" t="s">
        <v>25</v>
      </c>
      <c r="C310" s="549" t="s">
        <v>1103</v>
      </c>
      <c r="D310" s="549"/>
      <c r="F310" s="550"/>
      <c r="G310" s="417"/>
      <c r="H310" s="417"/>
      <c r="I310" s="417"/>
      <c r="J310" s="417"/>
      <c r="K310" s="417"/>
      <c r="L310" s="417"/>
      <c r="O310" s="550"/>
    </row>
    <row r="311" spans="1:15" outlineLevel="1">
      <c r="A311" s="548"/>
      <c r="B311" s="556" t="s">
        <v>33</v>
      </c>
      <c r="C311" s="549" t="s">
        <v>1104</v>
      </c>
      <c r="D311" s="549"/>
      <c r="F311" s="550"/>
      <c r="G311" s="417"/>
      <c r="H311" s="417"/>
      <c r="I311" s="417"/>
      <c r="J311" s="417"/>
      <c r="K311" s="417"/>
      <c r="L311" s="417"/>
      <c r="O311" s="550"/>
    </row>
    <row r="312" spans="1:15" outlineLevel="1">
      <c r="A312" s="548"/>
      <c r="B312" s="556" t="s">
        <v>51</v>
      </c>
      <c r="C312" s="549" t="s">
        <v>1105</v>
      </c>
      <c r="D312" s="549"/>
      <c r="F312" s="550"/>
      <c r="G312" s="417"/>
      <c r="H312" s="417"/>
      <c r="I312" s="417"/>
      <c r="J312" s="417"/>
      <c r="K312" s="417"/>
      <c r="L312" s="417"/>
      <c r="O312" s="550"/>
    </row>
    <row r="313" spans="1:15" outlineLevel="1">
      <c r="A313" s="548"/>
      <c r="B313" s="556" t="s">
        <v>52</v>
      </c>
      <c r="C313" s="558" t="s">
        <v>913</v>
      </c>
      <c r="D313" s="549"/>
      <c r="F313" s="550"/>
      <c r="G313" s="417"/>
      <c r="H313" s="417"/>
      <c r="I313" s="417"/>
      <c r="J313" s="417"/>
      <c r="K313" s="417"/>
      <c r="L313" s="417"/>
      <c r="O313" s="550"/>
    </row>
    <row r="314" spans="1:15" outlineLevel="1">
      <c r="A314" s="548"/>
      <c r="B314" s="556" t="s">
        <v>55</v>
      </c>
      <c r="C314" s="549" t="s">
        <v>929</v>
      </c>
      <c r="D314" s="549"/>
      <c r="F314" s="550"/>
      <c r="G314" s="417"/>
      <c r="H314" s="417"/>
      <c r="I314" s="417"/>
      <c r="J314" s="417"/>
      <c r="K314" s="417"/>
      <c r="L314" s="417"/>
      <c r="O314" s="550"/>
    </row>
    <row r="315" spans="1:15" outlineLevel="1">
      <c r="A315" s="556"/>
      <c r="B315" s="556" t="s">
        <v>49</v>
      </c>
      <c r="C315" s="549" t="s">
        <v>914</v>
      </c>
      <c r="D315" s="549"/>
      <c r="F315" s="550"/>
      <c r="G315" s="417"/>
      <c r="H315" s="417"/>
      <c r="I315" s="417"/>
      <c r="J315" s="417"/>
      <c r="K315" s="417"/>
      <c r="L315" s="417"/>
      <c r="M315" s="630"/>
      <c r="N315" s="549"/>
      <c r="O315" s="550"/>
    </row>
    <row r="316" spans="1:15" outlineLevel="1">
      <c r="A316" s="556"/>
      <c r="F316" s="550"/>
      <c r="G316" s="417"/>
      <c r="H316" s="417"/>
      <c r="I316" s="417"/>
      <c r="J316" s="417"/>
      <c r="K316" s="417"/>
      <c r="L316" s="417"/>
      <c r="M316" s="631"/>
      <c r="N316" s="549"/>
      <c r="O316" s="550"/>
    </row>
    <row r="317" spans="1:15" outlineLevel="1">
      <c r="A317" s="556"/>
      <c r="B317" s="549"/>
      <c r="D317" s="550"/>
      <c r="E317" s="550"/>
      <c r="F317" s="550"/>
      <c r="G317" s="417"/>
      <c r="H317" s="417"/>
      <c r="I317" s="417"/>
      <c r="J317" s="417"/>
      <c r="K317" s="417"/>
      <c r="L317" s="417"/>
      <c r="M317" s="632"/>
      <c r="N317" s="549"/>
      <c r="O317" s="550"/>
    </row>
    <row r="318" spans="1:15" outlineLevel="1">
      <c r="A318" s="556"/>
      <c r="B318" s="558"/>
      <c r="D318" s="550"/>
      <c r="E318" s="550"/>
      <c r="F318" s="550"/>
      <c r="G318" s="417"/>
      <c r="H318" s="417"/>
      <c r="I318" s="417"/>
      <c r="J318" s="417"/>
      <c r="K318" s="417"/>
      <c r="L318" s="417"/>
      <c r="M318" s="633"/>
      <c r="N318" s="549"/>
      <c r="O318" s="550"/>
    </row>
    <row r="319" spans="1:15" outlineLevel="1">
      <c r="A319" s="556"/>
      <c r="B319" s="549"/>
      <c r="D319" s="550"/>
      <c r="E319" s="550"/>
      <c r="F319" s="550"/>
      <c r="G319" s="417"/>
      <c r="H319" s="417"/>
      <c r="I319" s="417"/>
      <c r="J319" s="417"/>
      <c r="K319" s="417"/>
      <c r="L319" s="417"/>
      <c r="M319" s="633"/>
      <c r="N319" s="550"/>
      <c r="O319" s="550"/>
    </row>
    <row r="320" spans="1:15" outlineLevel="1">
      <c r="A320" s="556"/>
      <c r="B320" s="549"/>
      <c r="D320" s="550"/>
      <c r="E320" s="550"/>
      <c r="F320" s="550"/>
      <c r="G320" s="417"/>
      <c r="H320" s="417"/>
      <c r="I320" s="417"/>
      <c r="J320" s="417"/>
      <c r="K320" s="417"/>
      <c r="L320" s="417"/>
      <c r="M320" s="549"/>
      <c r="N320" s="550"/>
      <c r="O320" s="550"/>
    </row>
    <row r="321" spans="1:44" outlineLevel="1"/>
    <row r="324" spans="1:44" ht="15" thickBot="1">
      <c r="A324" s="420"/>
    </row>
    <row r="325" spans="1:44" ht="20.7" customHeight="1" thickBot="1">
      <c r="B325" s="422"/>
      <c r="C325" s="1043"/>
      <c r="D325" s="1044"/>
      <c r="E325" s="1044"/>
      <c r="F325" s="1044"/>
      <c r="G325" s="1044"/>
      <c r="H325" s="1044"/>
      <c r="I325" s="1044"/>
      <c r="J325" s="1044"/>
      <c r="K325" s="1044"/>
      <c r="L325" s="1045"/>
      <c r="M325" s="423"/>
      <c r="N325" s="423"/>
      <c r="P325" s="424"/>
      <c r="Q325" s="425"/>
      <c r="R325" s="426"/>
      <c r="S325" s="985"/>
      <c r="T325" s="989"/>
      <c r="U325" s="990"/>
      <c r="V325" s="989"/>
      <c r="W325" s="990"/>
      <c r="X325" s="989"/>
      <c r="Y325" s="990"/>
      <c r="Z325" s="989"/>
      <c r="AA325" s="990"/>
      <c r="AB325" s="989"/>
      <c r="AC325" s="990"/>
      <c r="AE325" s="424"/>
      <c r="AF325" s="425"/>
      <c r="AG325" s="426"/>
      <c r="AH325" s="985"/>
      <c r="AI325" s="989"/>
      <c r="AJ325" s="990"/>
      <c r="AK325" s="989"/>
      <c r="AL325" s="990"/>
      <c r="AM325" s="989"/>
      <c r="AN325" s="990"/>
      <c r="AO325" s="989"/>
      <c r="AP325" s="990"/>
      <c r="AQ325" s="989"/>
      <c r="AR325" s="990"/>
    </row>
    <row r="326" spans="1:44" ht="15" customHeight="1" thickBot="1">
      <c r="B326" s="1010"/>
      <c r="C326" s="1012"/>
      <c r="D326" s="1012"/>
      <c r="E326" s="1012"/>
      <c r="F326" s="1012"/>
      <c r="G326" s="1048"/>
      <c r="H326" s="1049"/>
      <c r="I326" s="1048"/>
      <c r="J326" s="1049"/>
      <c r="K326" s="1046"/>
      <c r="L326" s="1046"/>
      <c r="M326" s="427"/>
      <c r="N326" s="427"/>
      <c r="P326" s="993"/>
      <c r="Q326" s="428"/>
      <c r="R326" s="428"/>
      <c r="S326" s="986"/>
      <c r="T326" s="991"/>
      <c r="U326" s="992"/>
      <c r="V326" s="991"/>
      <c r="W326" s="992"/>
      <c r="X326" s="991"/>
      <c r="Y326" s="992"/>
      <c r="Z326" s="991"/>
      <c r="AA326" s="992"/>
      <c r="AB326" s="991"/>
      <c r="AC326" s="992"/>
      <c r="AE326" s="993"/>
      <c r="AF326" s="428"/>
      <c r="AG326" s="428"/>
      <c r="AH326" s="986"/>
      <c r="AI326" s="991"/>
      <c r="AJ326" s="992"/>
      <c r="AK326" s="991"/>
      <c r="AL326" s="992"/>
      <c r="AM326" s="991"/>
      <c r="AN326" s="992"/>
      <c r="AO326" s="991"/>
      <c r="AP326" s="992"/>
      <c r="AQ326" s="991"/>
      <c r="AR326" s="992"/>
    </row>
    <row r="327" spans="1:44" ht="15" customHeight="1" thickBot="1">
      <c r="B327" s="1011"/>
      <c r="C327" s="1013"/>
      <c r="D327" s="1013"/>
      <c r="E327" s="1013"/>
      <c r="F327" s="1013"/>
      <c r="G327" s="466"/>
      <c r="H327" s="466"/>
      <c r="I327" s="466"/>
      <c r="J327" s="466"/>
      <c r="K327" s="1047"/>
      <c r="L327" s="1047"/>
      <c r="M327" s="430"/>
      <c r="N327" s="430"/>
      <c r="P327" s="994"/>
      <c r="Q327" s="996"/>
      <c r="R327" s="997"/>
      <c r="S327" s="987"/>
      <c r="T327" s="991"/>
      <c r="U327" s="992"/>
      <c r="V327" s="991"/>
      <c r="W327" s="992"/>
      <c r="X327" s="991"/>
      <c r="Y327" s="992"/>
      <c r="Z327" s="991"/>
      <c r="AA327" s="992"/>
      <c r="AB327" s="991"/>
      <c r="AC327" s="992"/>
      <c r="AE327" s="994"/>
      <c r="AF327" s="996"/>
      <c r="AG327" s="997"/>
      <c r="AH327" s="987"/>
      <c r="AI327" s="991"/>
      <c r="AJ327" s="992"/>
      <c r="AK327" s="991"/>
      <c r="AL327" s="992"/>
      <c r="AM327" s="991"/>
      <c r="AN327" s="992"/>
      <c r="AO327" s="991"/>
      <c r="AP327" s="992"/>
      <c r="AQ327" s="991"/>
      <c r="AR327" s="992"/>
    </row>
    <row r="328" spans="1:44" ht="15" thickBot="1">
      <c r="B328" s="431"/>
      <c r="C328" s="432"/>
      <c r="D328" s="432"/>
      <c r="E328" s="432"/>
      <c r="F328" s="432"/>
      <c r="G328" s="432"/>
      <c r="H328" s="432"/>
      <c r="I328" s="432"/>
      <c r="J328" s="432"/>
      <c r="K328" s="432"/>
      <c r="L328" s="433"/>
      <c r="M328" s="430"/>
      <c r="N328" s="430"/>
      <c r="O328" s="74"/>
      <c r="P328" s="995"/>
      <c r="Q328" s="988"/>
      <c r="R328" s="998"/>
      <c r="S328" s="988"/>
      <c r="T328" s="434"/>
      <c r="U328" s="435"/>
      <c r="V328" s="434"/>
      <c r="W328" s="435"/>
      <c r="X328" s="434"/>
      <c r="Y328" s="435"/>
      <c r="Z328" s="434"/>
      <c r="AA328" s="435"/>
      <c r="AB328" s="434"/>
      <c r="AC328" s="435"/>
      <c r="AE328" s="995"/>
      <c r="AF328" s="988"/>
      <c r="AG328" s="998"/>
      <c r="AH328" s="988"/>
      <c r="AI328" s="434"/>
      <c r="AJ328" s="435"/>
      <c r="AK328" s="434"/>
      <c r="AL328" s="435"/>
      <c r="AM328" s="434"/>
      <c r="AN328" s="435"/>
      <c r="AO328" s="434"/>
      <c r="AP328" s="435"/>
      <c r="AQ328" s="434"/>
      <c r="AR328" s="435"/>
    </row>
    <row r="329" spans="1:44" ht="14.7" customHeight="1">
      <c r="B329" s="634"/>
      <c r="C329" s="635"/>
      <c r="D329" s="635"/>
      <c r="E329" s="635"/>
      <c r="F329" s="635"/>
      <c r="G329" s="636"/>
      <c r="H329" s="636"/>
      <c r="I329" s="636"/>
      <c r="J329" s="636"/>
      <c r="K329" s="432"/>
      <c r="L329" s="433"/>
      <c r="M329" s="430"/>
      <c r="N329" s="430"/>
      <c r="P329" s="1027"/>
      <c r="Q329" s="1030"/>
      <c r="R329" s="441"/>
      <c r="S329" s="442"/>
      <c r="T329" s="1033"/>
      <c r="U329" s="1021"/>
      <c r="V329" s="1033"/>
      <c r="W329" s="1021"/>
      <c r="X329" s="1033"/>
      <c r="Y329" s="1021"/>
      <c r="Z329" s="1033"/>
      <c r="AA329" s="1021"/>
      <c r="AB329" s="1024"/>
      <c r="AC329" s="1021"/>
      <c r="AE329" s="1027"/>
      <c r="AF329" s="1030"/>
      <c r="AG329" s="441"/>
      <c r="AH329" s="442"/>
      <c r="AI329" s="1033"/>
      <c r="AJ329" s="1021"/>
      <c r="AK329" s="1033"/>
      <c r="AL329" s="1021"/>
      <c r="AM329" s="1033"/>
      <c r="AN329" s="1021"/>
      <c r="AO329" s="1033"/>
      <c r="AP329" s="1021"/>
      <c r="AQ329" s="1024"/>
      <c r="AR329" s="1021"/>
    </row>
    <row r="330" spans="1:44">
      <c r="B330" s="443"/>
      <c r="C330" s="637"/>
      <c r="D330" s="637"/>
      <c r="E330" s="637"/>
      <c r="F330" s="637"/>
      <c r="G330" s="636"/>
      <c r="H330" s="636"/>
      <c r="I330" s="636"/>
      <c r="J330" s="636"/>
      <c r="K330" s="432"/>
      <c r="L330" s="433"/>
      <c r="M330" s="430"/>
      <c r="N330" s="430"/>
      <c r="O330" s="71"/>
      <c r="P330" s="1052"/>
      <c r="Q330" s="1031"/>
      <c r="R330" s="448"/>
      <c r="S330" s="449"/>
      <c r="T330" s="1034"/>
      <c r="U330" s="1022"/>
      <c r="V330" s="1034"/>
      <c r="W330" s="1022"/>
      <c r="X330" s="1034"/>
      <c r="Y330" s="1022"/>
      <c r="Z330" s="1034"/>
      <c r="AA330" s="1022"/>
      <c r="AB330" s="1025"/>
      <c r="AC330" s="1022"/>
      <c r="AE330" s="1052"/>
      <c r="AF330" s="1031"/>
      <c r="AG330" s="448"/>
      <c r="AH330" s="449"/>
      <c r="AI330" s="1034"/>
      <c r="AJ330" s="1022"/>
      <c r="AK330" s="1034"/>
      <c r="AL330" s="1022"/>
      <c r="AM330" s="1034"/>
      <c r="AN330" s="1022"/>
      <c r="AO330" s="1034"/>
      <c r="AP330" s="1022"/>
      <c r="AQ330" s="1025"/>
      <c r="AR330" s="1022"/>
    </row>
    <row r="331" spans="1:44" ht="15" thickBot="1">
      <c r="B331" s="634"/>
      <c r="C331" s="638"/>
      <c r="D331" s="638"/>
      <c r="E331" s="638"/>
      <c r="F331" s="638"/>
      <c r="G331" s="638"/>
      <c r="H331" s="638"/>
      <c r="I331" s="638"/>
      <c r="J331" s="638"/>
      <c r="K331" s="639"/>
      <c r="L331" s="640"/>
      <c r="M331" s="430"/>
      <c r="N331" s="430"/>
      <c r="O331" s="71"/>
      <c r="P331" s="1052"/>
      <c r="Q331" s="1032"/>
      <c r="R331" s="453"/>
      <c r="S331" s="454"/>
      <c r="T331" s="1035"/>
      <c r="U331" s="1023"/>
      <c r="V331" s="1035"/>
      <c r="W331" s="1023"/>
      <c r="X331" s="1035"/>
      <c r="Y331" s="1023"/>
      <c r="Z331" s="1035"/>
      <c r="AA331" s="1023"/>
      <c r="AB331" s="1026"/>
      <c r="AC331" s="1023"/>
      <c r="AE331" s="1052"/>
      <c r="AF331" s="1032"/>
      <c r="AG331" s="453"/>
      <c r="AH331" s="454"/>
      <c r="AI331" s="1035"/>
      <c r="AJ331" s="1023"/>
      <c r="AK331" s="1035"/>
      <c r="AL331" s="1023"/>
      <c r="AM331" s="1035"/>
      <c r="AN331" s="1023"/>
      <c r="AO331" s="1035"/>
      <c r="AP331" s="1023"/>
      <c r="AQ331" s="1026"/>
      <c r="AR331" s="1023"/>
    </row>
    <row r="332" spans="1:44" ht="14.7" customHeight="1">
      <c r="B332" s="634"/>
      <c r="C332" s="641"/>
      <c r="D332" s="641"/>
      <c r="E332" s="641"/>
      <c r="F332" s="641"/>
      <c r="G332" s="641"/>
      <c r="H332" s="641"/>
      <c r="I332" s="641"/>
      <c r="J332" s="641"/>
      <c r="K332" s="639"/>
      <c r="L332" s="640"/>
      <c r="M332" s="430"/>
      <c r="N332" s="430"/>
      <c r="O332" s="71"/>
      <c r="P332" s="1052"/>
      <c r="Q332" s="1054"/>
      <c r="R332" s="455"/>
      <c r="S332" s="456"/>
      <c r="T332" s="1033"/>
      <c r="U332" s="1033"/>
      <c r="V332" s="1033"/>
      <c r="W332" s="1033"/>
      <c r="X332" s="1033"/>
      <c r="Y332" s="1033"/>
      <c r="Z332" s="1033"/>
      <c r="AA332" s="1033"/>
      <c r="AB332" s="1033"/>
      <c r="AC332" s="1033"/>
      <c r="AE332" s="1052"/>
      <c r="AF332" s="1054"/>
      <c r="AG332" s="455"/>
      <c r="AH332" s="456"/>
      <c r="AI332" s="1033"/>
      <c r="AJ332" s="1033"/>
      <c r="AK332" s="1033"/>
      <c r="AL332" s="1033"/>
      <c r="AM332" s="1033"/>
      <c r="AN332" s="1033"/>
      <c r="AO332" s="1033"/>
      <c r="AP332" s="1033"/>
      <c r="AQ332" s="1033"/>
      <c r="AR332" s="1033"/>
    </row>
    <row r="333" spans="1:44">
      <c r="B333" s="634"/>
      <c r="C333" s="642"/>
      <c r="D333" s="642"/>
      <c r="E333" s="642"/>
      <c r="F333" s="642"/>
      <c r="G333" s="642"/>
      <c r="H333" s="642"/>
      <c r="I333" s="642"/>
      <c r="J333" s="642"/>
      <c r="K333" s="639"/>
      <c r="L333" s="640"/>
      <c r="M333" s="427"/>
      <c r="N333" s="427"/>
      <c r="O333" s="71"/>
      <c r="P333" s="1052"/>
      <c r="Q333" s="1055"/>
      <c r="R333" s="455"/>
      <c r="S333" s="456"/>
      <c r="T333" s="1050"/>
      <c r="U333" s="1050"/>
      <c r="V333" s="1050"/>
      <c r="W333" s="1050"/>
      <c r="X333" s="1050"/>
      <c r="Y333" s="1050"/>
      <c r="Z333" s="1050"/>
      <c r="AA333" s="1050"/>
      <c r="AB333" s="1034"/>
      <c r="AC333" s="1050"/>
      <c r="AE333" s="1052"/>
      <c r="AF333" s="1055"/>
      <c r="AG333" s="455"/>
      <c r="AH333" s="456"/>
      <c r="AI333" s="1050"/>
      <c r="AJ333" s="1050"/>
      <c r="AK333" s="1050"/>
      <c r="AL333" s="1050"/>
      <c r="AM333" s="1050"/>
      <c r="AN333" s="1050"/>
      <c r="AO333" s="1050"/>
      <c r="AP333" s="1050"/>
      <c r="AQ333" s="1034"/>
      <c r="AR333" s="1050"/>
    </row>
    <row r="334" spans="1:44">
      <c r="B334" s="443"/>
      <c r="C334" s="457"/>
      <c r="D334" s="457"/>
      <c r="E334" s="457"/>
      <c r="F334" s="457"/>
      <c r="G334" s="458"/>
      <c r="H334" s="458"/>
      <c r="I334" s="458"/>
      <c r="J334" s="458"/>
      <c r="K334" s="432"/>
      <c r="L334" s="433"/>
      <c r="M334" s="423"/>
      <c r="N334" s="423"/>
      <c r="P334" s="1052"/>
      <c r="Q334" s="1055"/>
      <c r="R334" s="455"/>
      <c r="S334" s="456"/>
      <c r="T334" s="1050"/>
      <c r="U334" s="1050"/>
      <c r="V334" s="1050"/>
      <c r="W334" s="1050"/>
      <c r="X334" s="1050"/>
      <c r="Y334" s="1050"/>
      <c r="Z334" s="1050"/>
      <c r="AA334" s="1050"/>
      <c r="AB334" s="1034"/>
      <c r="AC334" s="1050"/>
      <c r="AE334" s="1052"/>
      <c r="AF334" s="1055"/>
      <c r="AG334" s="455"/>
      <c r="AH334" s="456"/>
      <c r="AI334" s="1050"/>
      <c r="AJ334" s="1050"/>
      <c r="AK334" s="1050"/>
      <c r="AL334" s="1050"/>
      <c r="AM334" s="1050"/>
      <c r="AN334" s="1050"/>
      <c r="AO334" s="1050"/>
      <c r="AP334" s="1050"/>
      <c r="AQ334" s="1034"/>
      <c r="AR334" s="1050"/>
    </row>
    <row r="335" spans="1:44" ht="15" thickBot="1">
      <c r="B335" s="634"/>
      <c r="C335" s="642"/>
      <c r="D335" s="642"/>
      <c r="E335" s="642"/>
      <c r="F335" s="642"/>
      <c r="G335" s="642"/>
      <c r="H335" s="642"/>
      <c r="I335" s="642"/>
      <c r="J335" s="642"/>
      <c r="K335" s="432"/>
      <c r="L335" s="433"/>
      <c r="M335" s="423"/>
      <c r="N335" s="423"/>
      <c r="P335" s="1052"/>
      <c r="Q335" s="1055"/>
      <c r="R335" s="455"/>
      <c r="S335" s="456"/>
      <c r="T335" s="1050"/>
      <c r="U335" s="1050"/>
      <c r="V335" s="1050"/>
      <c r="W335" s="1050"/>
      <c r="X335" s="1050"/>
      <c r="Y335" s="1050"/>
      <c r="Z335" s="1050"/>
      <c r="AA335" s="1050"/>
      <c r="AB335" s="1034"/>
      <c r="AC335" s="1050"/>
      <c r="AE335" s="1052"/>
      <c r="AF335" s="1055"/>
      <c r="AG335" s="455"/>
      <c r="AH335" s="456"/>
      <c r="AI335" s="1050"/>
      <c r="AJ335" s="1050"/>
      <c r="AK335" s="1050"/>
      <c r="AL335" s="1050"/>
      <c r="AM335" s="1050"/>
      <c r="AN335" s="1050"/>
      <c r="AO335" s="1050"/>
      <c r="AP335" s="1050"/>
      <c r="AQ335" s="1034"/>
      <c r="AR335" s="1050"/>
    </row>
    <row r="336" spans="1:44" ht="15" thickBot="1">
      <c r="B336" s="461"/>
      <c r="C336" s="643"/>
      <c r="D336" s="644"/>
      <c r="E336" s="645"/>
      <c r="F336" s="646"/>
      <c r="G336" s="466"/>
      <c r="H336" s="466"/>
      <c r="I336" s="466"/>
      <c r="J336" s="466"/>
      <c r="K336" s="467"/>
      <c r="L336" s="647"/>
      <c r="M336" s="423"/>
      <c r="N336" s="423"/>
      <c r="P336" s="1052"/>
      <c r="Q336" s="1056"/>
      <c r="R336" s="469"/>
      <c r="S336" s="470"/>
      <c r="T336" s="1051"/>
      <c r="U336" s="1051"/>
      <c r="V336" s="1051"/>
      <c r="W336" s="1051"/>
      <c r="X336" s="1051"/>
      <c r="Y336" s="1051"/>
      <c r="Z336" s="1051"/>
      <c r="AA336" s="1051"/>
      <c r="AB336" s="1035"/>
      <c r="AC336" s="1051"/>
      <c r="AE336" s="1052"/>
      <c r="AF336" s="1056"/>
      <c r="AG336" s="469"/>
      <c r="AH336" s="470"/>
      <c r="AI336" s="1051"/>
      <c r="AJ336" s="1051"/>
      <c r="AK336" s="1051"/>
      <c r="AL336" s="1051"/>
      <c r="AM336" s="1051"/>
      <c r="AN336" s="1051"/>
      <c r="AO336" s="1051"/>
      <c r="AP336" s="1051"/>
      <c r="AQ336" s="1035"/>
      <c r="AR336" s="1051"/>
    </row>
    <row r="337" spans="1:44" ht="15" thickBot="1">
      <c r="B337" s="634"/>
      <c r="C337" s="648"/>
      <c r="D337" s="648"/>
      <c r="E337" s="648"/>
      <c r="F337" s="648"/>
      <c r="G337" s="649"/>
      <c r="H337" s="649"/>
      <c r="I337" s="650"/>
      <c r="J337" s="650"/>
      <c r="K337" s="639"/>
      <c r="L337" s="640"/>
      <c r="M337" s="423"/>
      <c r="N337" s="423"/>
      <c r="P337" s="1053"/>
      <c r="Q337" s="471"/>
      <c r="R337" s="472"/>
      <c r="S337" s="473"/>
      <c r="T337" s="651"/>
      <c r="U337" s="652"/>
      <c r="V337" s="653"/>
      <c r="W337" s="652"/>
      <c r="X337" s="653"/>
      <c r="Y337" s="652"/>
      <c r="Z337" s="653"/>
      <c r="AA337" s="652"/>
      <c r="AB337" s="653"/>
      <c r="AC337" s="654"/>
      <c r="AE337" s="1053"/>
      <c r="AF337" s="471"/>
      <c r="AG337" s="472"/>
      <c r="AH337" s="473"/>
      <c r="AI337" s="651"/>
      <c r="AJ337" s="652"/>
      <c r="AK337" s="653"/>
      <c r="AL337" s="652"/>
      <c r="AM337" s="653"/>
      <c r="AN337" s="652"/>
      <c r="AO337" s="653"/>
      <c r="AP337" s="652"/>
      <c r="AQ337" s="653"/>
      <c r="AR337" s="654"/>
    </row>
    <row r="338" spans="1:44">
      <c r="B338" s="634"/>
      <c r="C338" s="642"/>
      <c r="D338" s="642"/>
      <c r="E338" s="642"/>
      <c r="F338" s="642"/>
      <c r="G338" s="655"/>
      <c r="H338" s="655"/>
      <c r="I338" s="655"/>
      <c r="J338" s="655"/>
      <c r="K338" s="656"/>
      <c r="L338" s="640"/>
      <c r="M338" s="423"/>
      <c r="N338" s="423"/>
    </row>
    <row r="339" spans="1:44">
      <c r="B339" s="634"/>
      <c r="C339" s="642"/>
      <c r="D339" s="642"/>
      <c r="E339" s="642"/>
      <c r="F339" s="642"/>
      <c r="G339" s="655"/>
      <c r="H339" s="655"/>
      <c r="I339" s="655"/>
      <c r="J339" s="655"/>
      <c r="K339" s="656"/>
      <c r="L339" s="640"/>
      <c r="M339" s="480"/>
      <c r="N339" s="423"/>
    </row>
    <row r="340" spans="1:44">
      <c r="B340" s="481"/>
      <c r="C340" s="459"/>
      <c r="D340" s="459"/>
      <c r="E340" s="459"/>
      <c r="F340" s="459"/>
      <c r="G340" s="482"/>
      <c r="H340" s="482"/>
      <c r="I340" s="482"/>
      <c r="J340" s="482"/>
      <c r="K340" s="483"/>
      <c r="L340" s="657"/>
      <c r="M340" s="480"/>
      <c r="N340" s="480"/>
    </row>
    <row r="341" spans="1:44">
      <c r="B341" s="443"/>
      <c r="C341" s="457"/>
      <c r="D341" s="457"/>
      <c r="E341" s="457"/>
      <c r="F341" s="457"/>
      <c r="G341" s="482"/>
      <c r="H341" s="485"/>
      <c r="I341" s="485"/>
      <c r="J341" s="485"/>
      <c r="K341" s="486"/>
      <c r="L341" s="487"/>
      <c r="M341" s="488"/>
      <c r="N341" s="488"/>
    </row>
    <row r="342" spans="1:44">
      <c r="B342" s="443"/>
      <c r="C342" s="457"/>
      <c r="D342" s="457"/>
      <c r="E342" s="457"/>
      <c r="F342" s="457"/>
      <c r="G342" s="485"/>
      <c r="H342" s="485"/>
      <c r="I342" s="485"/>
      <c r="J342" s="485"/>
      <c r="K342" s="483"/>
      <c r="L342" s="487"/>
      <c r="M342" s="488"/>
      <c r="N342" s="488"/>
    </row>
    <row r="343" spans="1:44">
      <c r="B343" s="443"/>
      <c r="C343" s="457"/>
      <c r="D343" s="457"/>
      <c r="E343" s="457"/>
      <c r="F343" s="457"/>
      <c r="G343" s="485"/>
      <c r="H343" s="485"/>
      <c r="I343" s="485"/>
      <c r="J343" s="485"/>
      <c r="K343" s="483"/>
      <c r="L343" s="487"/>
      <c r="M343" s="488"/>
      <c r="N343" s="488"/>
    </row>
    <row r="344" spans="1:44">
      <c r="B344" s="443"/>
      <c r="C344" s="457"/>
      <c r="D344" s="457"/>
      <c r="E344" s="457"/>
      <c r="F344" s="457"/>
      <c r="G344" s="485"/>
      <c r="H344" s="485"/>
      <c r="I344" s="485"/>
      <c r="J344" s="485"/>
      <c r="K344" s="483"/>
      <c r="L344" s="487"/>
      <c r="M344" s="488"/>
      <c r="N344" s="488"/>
    </row>
    <row r="345" spans="1:44" ht="15" thickBot="1">
      <c r="B345" s="489"/>
      <c r="C345" s="457"/>
      <c r="D345" s="457"/>
      <c r="E345" s="457"/>
      <c r="F345" s="457"/>
      <c r="G345" s="485"/>
      <c r="H345" s="485"/>
      <c r="I345" s="485"/>
      <c r="J345" s="485"/>
      <c r="K345" s="483"/>
      <c r="L345" s="487"/>
      <c r="M345" s="488"/>
      <c r="N345" s="488"/>
    </row>
    <row r="346" spans="1:44" ht="15" thickBot="1">
      <c r="B346" s="491"/>
      <c r="C346" s="658"/>
      <c r="D346" s="644"/>
      <c r="E346" s="644"/>
      <c r="F346" s="659"/>
      <c r="G346" s="494"/>
      <c r="H346" s="466"/>
      <c r="I346" s="466"/>
      <c r="J346" s="466"/>
      <c r="K346" s="467"/>
      <c r="L346" s="647"/>
      <c r="M346" s="488"/>
      <c r="N346" s="488"/>
    </row>
    <row r="347" spans="1:44">
      <c r="A347" s="495"/>
      <c r="B347" s="496"/>
      <c r="C347" s="660"/>
      <c r="D347" s="660"/>
      <c r="E347" s="660"/>
      <c r="F347" s="660"/>
      <c r="G347" s="485"/>
      <c r="H347" s="485"/>
      <c r="I347" s="485"/>
      <c r="J347" s="485"/>
      <c r="K347" s="486"/>
      <c r="L347" s="500"/>
      <c r="M347" s="480"/>
      <c r="N347" s="480"/>
    </row>
    <row r="348" spans="1:44">
      <c r="B348" s="501"/>
      <c r="C348" s="661"/>
      <c r="D348" s="661"/>
      <c r="E348" s="661"/>
      <c r="F348" s="661"/>
      <c r="G348" s="485"/>
      <c r="H348" s="485"/>
      <c r="I348" s="485"/>
      <c r="J348" s="485"/>
      <c r="K348" s="504"/>
      <c r="L348" s="433"/>
      <c r="M348" s="71"/>
      <c r="N348" s="480"/>
    </row>
    <row r="349" spans="1:44">
      <c r="B349" s="501"/>
      <c r="C349" s="661"/>
      <c r="D349" s="661"/>
      <c r="E349" s="661"/>
      <c r="F349" s="661"/>
      <c r="G349" s="485"/>
      <c r="H349" s="485"/>
      <c r="I349" s="485"/>
      <c r="J349" s="485"/>
      <c r="K349" s="504"/>
      <c r="L349" s="433"/>
      <c r="M349" s="480"/>
      <c r="N349" s="480"/>
    </row>
    <row r="350" spans="1:44">
      <c r="B350" s="443"/>
      <c r="C350" s="662"/>
      <c r="D350" s="663"/>
      <c r="E350" s="663"/>
      <c r="F350" s="664"/>
      <c r="G350" s="485"/>
      <c r="H350" s="485"/>
      <c r="I350" s="485"/>
      <c r="J350" s="485"/>
      <c r="K350" s="504"/>
      <c r="L350" s="433"/>
      <c r="M350" s="480"/>
      <c r="N350" s="480"/>
    </row>
    <row r="351" spans="1:44">
      <c r="B351" s="443"/>
      <c r="C351" s="665"/>
      <c r="D351" s="665"/>
      <c r="E351" s="665"/>
      <c r="F351" s="665"/>
      <c r="G351" s="485"/>
      <c r="H351" s="485"/>
      <c r="I351" s="485"/>
      <c r="J351" s="485"/>
      <c r="K351" s="504"/>
      <c r="L351" s="433"/>
      <c r="M351" s="510"/>
      <c r="N351" s="421"/>
      <c r="P351" s="999"/>
      <c r="Q351" s="977"/>
      <c r="R351" s="977"/>
      <c r="S351" s="977"/>
      <c r="T351" s="977"/>
      <c r="U351" s="1000"/>
    </row>
    <row r="352" spans="1:44" ht="15" thickBot="1">
      <c r="B352" s="601"/>
      <c r="C352" s="612"/>
      <c r="D352" s="612"/>
      <c r="E352" s="612"/>
      <c r="F352" s="612"/>
      <c r="G352" s="613"/>
      <c r="H352" s="613"/>
      <c r="I352" s="613"/>
      <c r="J352" s="613"/>
      <c r="K352" s="607"/>
      <c r="L352" s="608"/>
      <c r="M352" s="510"/>
      <c r="N352" s="421"/>
      <c r="P352" s="1001"/>
      <c r="Q352" s="1002"/>
      <c r="R352" s="1002"/>
      <c r="S352" s="1002"/>
      <c r="T352" s="1002"/>
      <c r="U352" s="1003"/>
    </row>
    <row r="353" spans="2:30">
      <c r="B353" s="601"/>
      <c r="C353" s="666"/>
      <c r="D353" s="666"/>
      <c r="E353" s="666"/>
      <c r="F353" s="666"/>
      <c r="G353" s="613"/>
      <c r="H353" s="613"/>
      <c r="I353" s="613"/>
      <c r="J353" s="613"/>
      <c r="K353" s="607"/>
      <c r="L353" s="608"/>
      <c r="M353" s="423"/>
      <c r="N353" s="423"/>
      <c r="P353" s="53"/>
    </row>
    <row r="354" spans="2:30">
      <c r="B354" s="601"/>
      <c r="C354" s="667"/>
      <c r="D354" s="607"/>
      <c r="E354" s="607"/>
      <c r="F354" s="623"/>
      <c r="G354" s="610"/>
      <c r="H354" s="610"/>
      <c r="I354" s="610"/>
      <c r="J354" s="610"/>
      <c r="K354" s="607"/>
      <c r="L354" s="668"/>
      <c r="M354" s="427"/>
      <c r="N354" s="427"/>
      <c r="P354" s="46"/>
      <c r="Q354" s="46"/>
      <c r="R354" s="47"/>
      <c r="S354" s="47"/>
      <c r="T354" s="47"/>
      <c r="U354" s="48"/>
      <c r="V354" s="49"/>
      <c r="W354" s="49"/>
      <c r="X354" s="49"/>
      <c r="Y354" s="49"/>
      <c r="Z354" s="49"/>
      <c r="AA354" s="49"/>
      <c r="AB354" s="49"/>
      <c r="AC354" s="49"/>
      <c r="AD354" s="49"/>
    </row>
    <row r="355" spans="2:30" ht="15" thickBot="1">
      <c r="B355" s="626"/>
      <c r="C355" s="667"/>
      <c r="D355" s="669"/>
      <c r="E355" s="669"/>
      <c r="F355" s="670"/>
      <c r="G355" s="610"/>
      <c r="H355" s="610"/>
      <c r="I355" s="610"/>
      <c r="J355" s="610"/>
      <c r="K355" s="607"/>
      <c r="L355" s="668"/>
      <c r="M355" s="423"/>
      <c r="N355" s="423"/>
      <c r="O355" s="71"/>
      <c r="P355" s="50"/>
      <c r="Q355" s="50"/>
      <c r="R355" s="51"/>
      <c r="S355" s="51"/>
      <c r="T355" s="51"/>
      <c r="U355" s="51"/>
      <c r="V355" s="50"/>
      <c r="W355" s="50"/>
      <c r="X355" s="50"/>
      <c r="Y355" s="50"/>
      <c r="Z355" s="50"/>
      <c r="AA355" s="50"/>
      <c r="AB355" s="50"/>
      <c r="AC355" s="50"/>
      <c r="AD355" s="50"/>
    </row>
    <row r="356" spans="2:30" ht="15" thickBot="1">
      <c r="B356" s="671"/>
      <c r="C356" s="672"/>
      <c r="D356" s="673"/>
      <c r="E356" s="674"/>
      <c r="F356" s="675"/>
      <c r="G356" s="600"/>
      <c r="H356" s="600"/>
      <c r="I356" s="600"/>
      <c r="J356" s="600"/>
      <c r="K356" s="676"/>
      <c r="L356" s="677"/>
      <c r="M356" s="423"/>
      <c r="N356" s="423"/>
      <c r="O356" s="521"/>
      <c r="P356" s="56"/>
      <c r="Q356" s="56"/>
      <c r="R356" s="57"/>
      <c r="S356" s="57"/>
      <c r="T356" s="57"/>
      <c r="U356" s="56"/>
      <c r="V356" s="56"/>
      <c r="W356" s="56"/>
      <c r="X356" s="56"/>
      <c r="Y356" s="56"/>
      <c r="Z356" s="56"/>
      <c r="AA356" s="56"/>
      <c r="AB356" s="56"/>
      <c r="AC356" s="56"/>
      <c r="AD356" s="56"/>
    </row>
    <row r="357" spans="2:30">
      <c r="B357" s="616"/>
      <c r="C357" s="678"/>
      <c r="D357" s="678"/>
      <c r="E357" s="678"/>
      <c r="F357" s="678"/>
      <c r="G357" s="678"/>
      <c r="H357" s="678"/>
      <c r="I357" s="678"/>
      <c r="J357" s="678"/>
      <c r="K357" s="678"/>
      <c r="L357" s="679"/>
      <c r="M357" s="423"/>
      <c r="N357" s="423"/>
      <c r="O357" s="680"/>
      <c r="P357" s="526"/>
      <c r="Q357" s="58"/>
      <c r="R357" s="526"/>
      <c r="S357" s="58"/>
      <c r="T357" s="526"/>
      <c r="U357" s="527"/>
      <c r="V357" s="527"/>
      <c r="W357" s="527"/>
      <c r="X357" s="58"/>
      <c r="Y357" s="58"/>
      <c r="Z357" s="526"/>
      <c r="AA357" s="528"/>
      <c r="AB357" s="528"/>
      <c r="AC357" s="528"/>
      <c r="AD357" s="528"/>
    </row>
    <row r="358" spans="2:30">
      <c r="B358" s="601"/>
      <c r="C358" s="618"/>
      <c r="D358" s="618"/>
      <c r="E358" s="618"/>
      <c r="F358" s="618"/>
      <c r="G358" s="623"/>
      <c r="H358" s="623"/>
      <c r="I358" s="623"/>
      <c r="J358" s="623"/>
      <c r="K358" s="623"/>
      <c r="L358" s="608"/>
      <c r="M358" s="423"/>
      <c r="N358" s="423"/>
      <c r="O358" s="680"/>
      <c r="P358" s="526"/>
      <c r="Q358" s="58"/>
      <c r="R358" s="526"/>
      <c r="S358" s="58"/>
      <c r="T358" s="526"/>
      <c r="U358" s="527"/>
      <c r="V358" s="527"/>
      <c r="W358" s="527"/>
      <c r="X358" s="58"/>
      <c r="Y358" s="58"/>
      <c r="Z358" s="526"/>
      <c r="AA358" s="528"/>
      <c r="AB358" s="528"/>
      <c r="AC358" s="528"/>
      <c r="AD358" s="528"/>
    </row>
    <row r="359" spans="2:30">
      <c r="B359" s="601"/>
      <c r="C359" s="618"/>
      <c r="D359" s="618"/>
      <c r="E359" s="618"/>
      <c r="F359" s="618"/>
      <c r="G359" s="623"/>
      <c r="H359" s="623"/>
      <c r="I359" s="623"/>
      <c r="J359" s="623"/>
      <c r="K359" s="623"/>
      <c r="L359" s="608"/>
      <c r="M359" s="423"/>
      <c r="N359" s="423"/>
      <c r="O359" s="680"/>
      <c r="P359" s="526"/>
      <c r="Q359" s="58"/>
      <c r="R359" s="526"/>
      <c r="S359" s="58"/>
      <c r="T359" s="526"/>
      <c r="U359" s="527"/>
      <c r="V359" s="527"/>
      <c r="W359" s="527"/>
      <c r="X359" s="58"/>
      <c r="Y359" s="58"/>
      <c r="Z359" s="526"/>
      <c r="AA359" s="528"/>
      <c r="AB359" s="528"/>
      <c r="AC359" s="528"/>
      <c r="AD359" s="528"/>
    </row>
    <row r="360" spans="2:30">
      <c r="B360" s="601"/>
      <c r="C360" s="624"/>
      <c r="D360" s="624"/>
      <c r="E360" s="624"/>
      <c r="F360" s="624"/>
      <c r="G360" s="681"/>
      <c r="H360" s="681"/>
      <c r="I360" s="681"/>
      <c r="J360" s="681"/>
      <c r="K360" s="681"/>
      <c r="L360" s="608"/>
      <c r="M360" s="423"/>
      <c r="N360" s="423"/>
      <c r="O360" s="680"/>
      <c r="P360" s="526"/>
      <c r="Q360" s="58"/>
      <c r="R360" s="526"/>
      <c r="S360" s="58"/>
      <c r="T360" s="526"/>
      <c r="U360" s="527"/>
      <c r="V360" s="527"/>
      <c r="W360" s="527"/>
      <c r="X360" s="58"/>
      <c r="Y360" s="58"/>
      <c r="Z360" s="526"/>
      <c r="AA360" s="528"/>
      <c r="AB360" s="528"/>
      <c r="AC360" s="528"/>
      <c r="AD360" s="528"/>
    </row>
    <row r="361" spans="2:30">
      <c r="B361" s="626"/>
      <c r="C361" s="618"/>
      <c r="D361" s="618"/>
      <c r="E361" s="618"/>
      <c r="F361" s="618"/>
      <c r="G361" s="623"/>
      <c r="H361" s="623"/>
      <c r="I361" s="623"/>
      <c r="J361" s="623"/>
      <c r="K361" s="623"/>
      <c r="L361" s="608"/>
      <c r="M361" s="427"/>
      <c r="N361" s="427"/>
    </row>
    <row r="362" spans="2:30">
      <c r="B362" s="626"/>
      <c r="C362" s="618"/>
      <c r="D362" s="618"/>
      <c r="E362" s="618"/>
      <c r="F362" s="618"/>
      <c r="G362" s="623"/>
      <c r="H362" s="623"/>
      <c r="I362" s="623"/>
      <c r="J362" s="623"/>
      <c r="K362" s="623"/>
      <c r="L362" s="608"/>
      <c r="M362" s="423"/>
      <c r="N362" s="423"/>
    </row>
    <row r="363" spans="2:30" ht="15" thickBot="1">
      <c r="B363" s="627"/>
      <c r="C363" s="682"/>
      <c r="D363" s="682"/>
      <c r="E363" s="682"/>
      <c r="F363" s="682"/>
      <c r="G363" s="683"/>
      <c r="H363" s="683"/>
      <c r="I363" s="683"/>
      <c r="J363" s="683"/>
      <c r="K363" s="683"/>
      <c r="L363" s="684"/>
      <c r="M363" s="423"/>
      <c r="N363" s="423"/>
    </row>
    <row r="364" spans="2:30">
      <c r="B364" s="521"/>
      <c r="C364" s="543"/>
      <c r="D364" s="543"/>
      <c r="E364" s="543"/>
      <c r="F364" s="543"/>
      <c r="G364" s="543"/>
      <c r="H364" s="544"/>
      <c r="I364" s="480"/>
      <c r="J364" s="480"/>
      <c r="K364" s="544"/>
      <c r="L364" s="544"/>
      <c r="N364" s="480"/>
    </row>
    <row r="365" spans="2:30">
      <c r="B365" s="545"/>
      <c r="C365" s="546"/>
      <c r="D365" s="546"/>
      <c r="E365" s="546"/>
      <c r="F365" s="546"/>
      <c r="G365" s="546"/>
      <c r="H365" s="544"/>
      <c r="I365" s="71"/>
      <c r="J365" s="480"/>
      <c r="K365" s="544"/>
      <c r="L365" s="544"/>
      <c r="N365" s="480"/>
    </row>
    <row r="366" spans="2:30">
      <c r="B366" s="521"/>
      <c r="C366" s="419"/>
      <c r="D366" s="419"/>
      <c r="E366" s="419"/>
      <c r="F366" s="419"/>
      <c r="G366" s="419"/>
      <c r="I366" s="480"/>
      <c r="J366" s="480"/>
      <c r="N366" s="480"/>
    </row>
    <row r="367" spans="2:30">
      <c r="B367" s="521"/>
      <c r="C367" s="547"/>
      <c r="D367" s="547"/>
      <c r="E367" s="547"/>
      <c r="F367" s="547"/>
      <c r="G367" s="419"/>
      <c r="M367" s="480"/>
      <c r="N367" s="480"/>
    </row>
    <row r="370" spans="1:11">
      <c r="A370" s="548"/>
      <c r="B370" s="549"/>
      <c r="D370" s="417"/>
      <c r="E370" s="417"/>
      <c r="F370" s="417"/>
      <c r="G370" s="417"/>
      <c r="H370" s="417"/>
      <c r="I370" s="417"/>
      <c r="J370" s="417"/>
      <c r="K370" s="417"/>
    </row>
    <row r="371" spans="1:11">
      <c r="A371" s="417"/>
      <c r="B371" s="550"/>
      <c r="E371" s="417"/>
      <c r="F371" s="417"/>
      <c r="G371" s="417"/>
      <c r="H371" s="417"/>
      <c r="I371" s="417"/>
      <c r="J371" s="417"/>
      <c r="K371" s="417"/>
    </row>
    <row r="372" spans="1:11">
      <c r="A372" s="417"/>
      <c r="B372" s="550"/>
      <c r="E372" s="417"/>
      <c r="F372" s="417"/>
      <c r="G372" s="417"/>
      <c r="H372" s="417"/>
      <c r="I372" s="417"/>
      <c r="J372" s="417"/>
      <c r="K372" s="417"/>
    </row>
    <row r="373" spans="1:11">
      <c r="A373" s="417"/>
      <c r="B373" s="550"/>
      <c r="E373" s="417"/>
      <c r="F373" s="417"/>
      <c r="G373" s="417"/>
      <c r="H373" s="417"/>
      <c r="I373" s="417"/>
      <c r="J373" s="417"/>
      <c r="K373" s="417"/>
    </row>
    <row r="374" spans="1:11">
      <c r="A374" s="417"/>
      <c r="B374" s="550"/>
      <c r="E374" s="417"/>
      <c r="F374" s="417"/>
      <c r="G374" s="417"/>
      <c r="H374" s="417"/>
      <c r="I374" s="417"/>
      <c r="J374" s="417"/>
      <c r="K374" s="417"/>
    </row>
    <row r="375" spans="1:11">
      <c r="A375" s="417"/>
      <c r="B375" s="550"/>
      <c r="E375" s="417"/>
      <c r="F375" s="417"/>
      <c r="G375" s="417"/>
      <c r="H375" s="417"/>
      <c r="I375" s="417"/>
      <c r="J375" s="417"/>
      <c r="K375" s="417"/>
    </row>
    <row r="376" spans="1:11">
      <c r="A376" s="417"/>
      <c r="B376" s="550"/>
      <c r="E376" s="417"/>
      <c r="F376" s="417"/>
      <c r="G376" s="417"/>
      <c r="H376" s="417"/>
      <c r="I376" s="417"/>
      <c r="J376" s="417"/>
      <c r="K376" s="417"/>
    </row>
    <row r="377" spans="1:11">
      <c r="A377" s="417"/>
      <c r="B377" s="550"/>
      <c r="E377" s="417"/>
      <c r="F377" s="417"/>
      <c r="G377" s="417"/>
      <c r="H377" s="417"/>
      <c r="I377" s="417"/>
      <c r="J377" s="417"/>
      <c r="K377" s="417"/>
    </row>
    <row r="378" spans="1:11">
      <c r="A378" s="417"/>
      <c r="B378" s="685"/>
      <c r="E378" s="417"/>
      <c r="F378" s="417"/>
      <c r="G378" s="417"/>
      <c r="H378" s="417"/>
      <c r="I378" s="417"/>
      <c r="J378" s="417"/>
      <c r="K378" s="417"/>
    </row>
    <row r="379" spans="1:11">
      <c r="A379" s="417"/>
      <c r="B379" s="550"/>
      <c r="E379" s="417"/>
      <c r="F379" s="417"/>
      <c r="G379" s="417"/>
      <c r="H379" s="417"/>
      <c r="I379" s="417"/>
      <c r="J379" s="417"/>
      <c r="K379" s="417"/>
    </row>
    <row r="380" spans="1:11">
      <c r="A380" s="548"/>
      <c r="B380" s="549"/>
      <c r="E380" s="417"/>
      <c r="F380" s="417"/>
      <c r="G380" s="417"/>
      <c r="H380" s="417"/>
      <c r="I380" s="417"/>
      <c r="J380" s="417"/>
      <c r="K380" s="417"/>
    </row>
    <row r="381" spans="1:11">
      <c r="A381" s="556"/>
      <c r="B381" s="550"/>
      <c r="C381" s="549"/>
      <c r="E381" s="417"/>
      <c r="F381" s="417"/>
      <c r="G381" s="417"/>
      <c r="H381" s="417"/>
      <c r="I381" s="417"/>
      <c r="J381" s="417"/>
      <c r="K381" s="417"/>
    </row>
    <row r="382" spans="1:11">
      <c r="A382" s="556"/>
      <c r="B382" s="550"/>
      <c r="C382" s="549"/>
      <c r="E382" s="417"/>
      <c r="F382" s="417"/>
      <c r="G382" s="417"/>
      <c r="H382" s="417"/>
      <c r="I382" s="417"/>
      <c r="J382" s="417"/>
      <c r="K382" s="417"/>
    </row>
    <row r="383" spans="1:11">
      <c r="A383" s="556"/>
      <c r="B383" s="550"/>
      <c r="C383" s="549"/>
      <c r="E383" s="417"/>
      <c r="F383" s="417"/>
      <c r="G383" s="417"/>
      <c r="H383" s="417"/>
      <c r="I383" s="417"/>
      <c r="J383" s="417"/>
      <c r="K383" s="417"/>
    </row>
    <row r="384" spans="1:11">
      <c r="A384" s="556"/>
      <c r="B384" s="550"/>
      <c r="C384" s="549"/>
      <c r="E384" s="417"/>
      <c r="F384" s="417"/>
      <c r="G384" s="417"/>
      <c r="H384" s="417"/>
      <c r="I384" s="417"/>
      <c r="J384" s="417"/>
      <c r="K384" s="417"/>
    </row>
    <row r="385" spans="1:11" ht="15.75" customHeight="1">
      <c r="A385" s="556"/>
      <c r="B385" s="550"/>
      <c r="C385" s="549"/>
      <c r="E385" s="417"/>
      <c r="F385" s="417"/>
      <c r="G385" s="417"/>
      <c r="H385" s="417"/>
      <c r="I385" s="417"/>
      <c r="J385" s="417"/>
      <c r="K385" s="417"/>
    </row>
    <row r="386" spans="1:11" ht="15.75" customHeight="1">
      <c r="A386" s="556"/>
      <c r="B386" s="550"/>
      <c r="C386" s="549"/>
      <c r="E386" s="417"/>
      <c r="F386" s="417"/>
      <c r="G386" s="417"/>
      <c r="H386" s="417"/>
      <c r="I386" s="417"/>
      <c r="J386" s="417"/>
      <c r="K386" s="417"/>
    </row>
  </sheetData>
  <mergeCells count="403">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Z254:Z258"/>
    <mergeCell ref="AA254:AA258"/>
    <mergeCell ref="AB254:AB258"/>
    <mergeCell ref="AK247:AL249"/>
    <mergeCell ref="P194:U194"/>
    <mergeCell ref="P195:U195"/>
    <mergeCell ref="AM247:AN249"/>
    <mergeCell ref="Q254:Q258"/>
    <mergeCell ref="T254:T258"/>
    <mergeCell ref="U254:U258"/>
    <mergeCell ref="V254:V258"/>
    <mergeCell ref="W254:W258"/>
    <mergeCell ref="V251:V253"/>
    <mergeCell ref="W251:W253"/>
    <mergeCell ref="X251:X253"/>
    <mergeCell ref="Y251:Y253"/>
    <mergeCell ref="X254:X258"/>
    <mergeCell ref="Y254:Y258"/>
    <mergeCell ref="AM254:AM258"/>
    <mergeCell ref="AN254:AN258"/>
    <mergeCell ref="V247:W249"/>
    <mergeCell ref="X247:Y249"/>
    <mergeCell ref="AN251:AN253"/>
    <mergeCell ref="AL254:AL258"/>
    <mergeCell ref="AG327:AG328"/>
    <mergeCell ref="P273:U273"/>
    <mergeCell ref="C325:L325"/>
    <mergeCell ref="S325:S328"/>
    <mergeCell ref="T325:U327"/>
    <mergeCell ref="V325:W327"/>
    <mergeCell ref="X325:Y327"/>
    <mergeCell ref="L326:L327"/>
    <mergeCell ref="P326:P328"/>
    <mergeCell ref="Q327:Q328"/>
    <mergeCell ref="R327:R328"/>
    <mergeCell ref="P274:U274"/>
    <mergeCell ref="V329:V331"/>
    <mergeCell ref="W329:W331"/>
    <mergeCell ref="Q332:Q336"/>
    <mergeCell ref="T332:T336"/>
    <mergeCell ref="U332:U336"/>
    <mergeCell ref="V332:V336"/>
    <mergeCell ref="AO325:AP327"/>
    <mergeCell ref="AQ325:AR327"/>
    <mergeCell ref="B326:B327"/>
    <mergeCell ref="C326:C327"/>
    <mergeCell ref="D326:D327"/>
    <mergeCell ref="E326:E327"/>
    <mergeCell ref="F326:F327"/>
    <mergeCell ref="G326:H326"/>
    <mergeCell ref="I326:J326"/>
    <mergeCell ref="K326:K327"/>
    <mergeCell ref="Z325:AA327"/>
    <mergeCell ref="AB325:AC327"/>
    <mergeCell ref="AH325:AH328"/>
    <mergeCell ref="AI325:AJ327"/>
    <mergeCell ref="AK325:AL327"/>
    <mergeCell ref="AM325:AN327"/>
    <mergeCell ref="AE326:AE328"/>
    <mergeCell ref="AF327:AF328"/>
    <mergeCell ref="AP329:AP331"/>
    <mergeCell ref="AQ329:AQ331"/>
    <mergeCell ref="AR329:AR331"/>
    <mergeCell ref="AE329:AE337"/>
    <mergeCell ref="AF329:AF331"/>
    <mergeCell ref="AI329:AI331"/>
    <mergeCell ref="AJ329:AJ331"/>
    <mergeCell ref="AK329:AK331"/>
    <mergeCell ref="AL329:AL331"/>
    <mergeCell ref="AP332:AP336"/>
    <mergeCell ref="AQ332:AQ336"/>
    <mergeCell ref="AR332:AR336"/>
    <mergeCell ref="W332:W336"/>
    <mergeCell ref="X332:X336"/>
    <mergeCell ref="Y332:Y336"/>
    <mergeCell ref="Z332:Z336"/>
    <mergeCell ref="AA332:AA336"/>
    <mergeCell ref="AB332:AB336"/>
    <mergeCell ref="AM329:AM331"/>
    <mergeCell ref="AN329:AN331"/>
    <mergeCell ref="AO329:AO331"/>
    <mergeCell ref="X329:X331"/>
    <mergeCell ref="Y329:Y331"/>
    <mergeCell ref="Z329:Z331"/>
    <mergeCell ref="AA329:AA331"/>
    <mergeCell ref="AB329:AB331"/>
    <mergeCell ref="AC329:AC331"/>
    <mergeCell ref="AM332:AM336"/>
    <mergeCell ref="AN332:AN336"/>
    <mergeCell ref="AO332:AO336"/>
    <mergeCell ref="AC332:AC336"/>
    <mergeCell ref="AF332:AF336"/>
    <mergeCell ref="AI332:AI336"/>
    <mergeCell ref="AJ332:AJ336"/>
    <mergeCell ref="AK332:AK336"/>
    <mergeCell ref="AL332:AL336"/>
    <mergeCell ref="P351:U351"/>
    <mergeCell ref="P352:U352"/>
    <mergeCell ref="B245:B246"/>
    <mergeCell ref="C245:M245"/>
    <mergeCell ref="P245:U245"/>
    <mergeCell ref="C246:M246"/>
    <mergeCell ref="C247:L247"/>
    <mergeCell ref="S247:S250"/>
    <mergeCell ref="T247:U249"/>
    <mergeCell ref="P329:P337"/>
    <mergeCell ref="Q329:Q331"/>
    <mergeCell ref="T329:T331"/>
    <mergeCell ref="U329:U331"/>
    <mergeCell ref="P251:P259"/>
    <mergeCell ref="Q251:Q253"/>
    <mergeCell ref="T251:T253"/>
    <mergeCell ref="U251:U253"/>
    <mergeCell ref="B248:B249"/>
    <mergeCell ref="C248:C249"/>
    <mergeCell ref="D248:D249"/>
    <mergeCell ref="E248:E249"/>
    <mergeCell ref="F248:F249"/>
    <mergeCell ref="G248:H248"/>
    <mergeCell ref="I248:J248"/>
    <mergeCell ref="K248:K249"/>
    <mergeCell ref="L248:L249"/>
    <mergeCell ref="P248:P250"/>
    <mergeCell ref="AE248:AE250"/>
    <mergeCell ref="Q249:Q250"/>
    <mergeCell ref="R249:R250"/>
    <mergeCell ref="AO247:AP249"/>
    <mergeCell ref="AQ247:AR249"/>
    <mergeCell ref="Z247:AA249"/>
    <mergeCell ref="AB247:AC249"/>
    <mergeCell ref="AH247:AH250"/>
    <mergeCell ref="AI247:AJ249"/>
    <mergeCell ref="AF249:AF250"/>
    <mergeCell ref="AG249:AG250"/>
    <mergeCell ref="AO251:AO253"/>
    <mergeCell ref="AP251:AP253"/>
    <mergeCell ref="AQ251:AQ253"/>
    <mergeCell ref="AR251:AR253"/>
    <mergeCell ref="Z251:Z253"/>
    <mergeCell ref="AA251:AA253"/>
    <mergeCell ref="AF251:AF253"/>
    <mergeCell ref="AI251:AI253"/>
    <mergeCell ref="AJ251:AJ253"/>
    <mergeCell ref="AK251:AK253"/>
    <mergeCell ref="AB251:AB253"/>
    <mergeCell ref="AC251:AC253"/>
    <mergeCell ref="AL251:AL253"/>
    <mergeCell ref="AM251:AM253"/>
    <mergeCell ref="AE251:AE259"/>
    <mergeCell ref="AO254:AO258"/>
    <mergeCell ref="AP254:AP258"/>
    <mergeCell ref="AQ254:AQ258"/>
    <mergeCell ref="AR254:AR258"/>
    <mergeCell ref="AC254:AC258"/>
    <mergeCell ref="AF254:AF258"/>
    <mergeCell ref="AI254:AI258"/>
    <mergeCell ref="AJ254:AJ258"/>
    <mergeCell ref="AK254:AK258"/>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F4-4B49-41CE-96AA-26D664121508}">
  <sheetPr>
    <tabColor theme="3"/>
  </sheetPr>
  <dimension ref="A2:AS386"/>
  <sheetViews>
    <sheetView zoomScale="80" zoomScaleNormal="80" workbookViewId="0">
      <selection activeCell="C31" sqref="C31"/>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Steam boiler, Coal</v>
      </c>
    </row>
    <row r="4" spans="1:45" ht="25.2" customHeight="1">
      <c r="E4" s="239" t="s">
        <v>358</v>
      </c>
      <c r="F4" s="419">
        <v>7.45</v>
      </c>
      <c r="G4" s="419" t="s">
        <v>328</v>
      </c>
    </row>
    <row r="5" spans="1:45" ht="15" customHeight="1">
      <c r="A5" s="420" t="s">
        <v>1220</v>
      </c>
      <c r="B5" s="976"/>
      <c r="C5" s="977"/>
      <c r="D5" s="977"/>
      <c r="E5" s="977"/>
      <c r="F5" s="977"/>
      <c r="G5" s="977"/>
      <c r="H5" s="977"/>
      <c r="I5" s="977"/>
      <c r="J5" s="977"/>
      <c r="K5" s="977"/>
      <c r="L5" s="977"/>
      <c r="M5" s="977"/>
      <c r="N5" s="753"/>
      <c r="P5" s="977"/>
      <c r="Q5" s="977"/>
      <c r="R5" s="977"/>
      <c r="S5" s="977"/>
      <c r="T5" s="977"/>
      <c r="U5" s="977"/>
    </row>
    <row r="6" spans="1:45" ht="15.75" customHeight="1" outlineLevel="1" thickBot="1">
      <c r="B6" s="976"/>
      <c r="C6" s="977"/>
      <c r="D6" s="977"/>
      <c r="E6" s="977"/>
      <c r="F6" s="977"/>
      <c r="G6" s="977"/>
      <c r="H6" s="977"/>
      <c r="I6" s="977"/>
      <c r="J6" s="977"/>
      <c r="K6" s="977"/>
      <c r="L6" s="977"/>
      <c r="M6" s="977"/>
      <c r="N6" s="753"/>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1216</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20</v>
      </c>
      <c r="D10" s="432">
        <v>20</v>
      </c>
      <c r="E10" s="432">
        <v>20</v>
      </c>
      <c r="F10" s="432">
        <v>20</v>
      </c>
      <c r="G10" s="432">
        <v>1</v>
      </c>
      <c r="H10" s="432">
        <v>50</v>
      </c>
      <c r="I10" s="432">
        <v>1</v>
      </c>
      <c r="J10" s="432">
        <v>50</v>
      </c>
      <c r="K10" s="432" t="s">
        <v>6</v>
      </c>
      <c r="L10" s="433">
        <v>3</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699">
        <v>90</v>
      </c>
      <c r="D11" s="699">
        <v>90</v>
      </c>
      <c r="E11" s="700">
        <v>91</v>
      </c>
      <c r="F11" s="699">
        <v>92</v>
      </c>
      <c r="G11" s="699">
        <v>88</v>
      </c>
      <c r="H11" s="699">
        <f>(D11*1.02)</f>
        <v>91.8</v>
      </c>
      <c r="I11" s="699">
        <v>88</v>
      </c>
      <c r="J11" s="699">
        <f>(F11*1.02)</f>
        <v>93.84</v>
      </c>
      <c r="K11" s="439" t="s">
        <v>59</v>
      </c>
      <c r="L11" s="440" t="s">
        <v>854</v>
      </c>
      <c r="M11" s="430"/>
      <c r="N11" s="430"/>
      <c r="P11" s="1027" t="str">
        <f>C7</f>
        <v>Steam boiler, Coal</v>
      </c>
      <c r="Q11" s="1030" t="s">
        <v>855</v>
      </c>
      <c r="R11" s="441" t="s">
        <v>856</v>
      </c>
      <c r="S11" s="442"/>
      <c r="T11" s="1069">
        <v>0</v>
      </c>
      <c r="U11" s="1021">
        <v>1</v>
      </c>
      <c r="V11" s="1069">
        <v>0</v>
      </c>
      <c r="W11" s="1021">
        <v>1</v>
      </c>
      <c r="X11" s="1069">
        <v>0.9</v>
      </c>
      <c r="Y11" s="1021">
        <v>1</v>
      </c>
      <c r="Z11" s="1069">
        <v>0</v>
      </c>
      <c r="AA11" s="1021">
        <v>1</v>
      </c>
      <c r="AB11" s="1069">
        <v>0</v>
      </c>
      <c r="AC11" s="1021">
        <v>1</v>
      </c>
      <c r="AD11" s="1062">
        <v>1</v>
      </c>
      <c r="AE11" s="1021">
        <f>AC11</f>
        <v>1</v>
      </c>
      <c r="AF11" s="1027" t="str">
        <f>P11</f>
        <v>Steam boiler, Coal</v>
      </c>
      <c r="AG11" s="1030" t="s">
        <v>855</v>
      </c>
      <c r="AH11" s="441" t="s">
        <v>856</v>
      </c>
      <c r="AI11" s="442"/>
      <c r="AJ11" s="1033">
        <v>0</v>
      </c>
      <c r="AK11" s="1021">
        <v>1</v>
      </c>
      <c r="AL11" s="1024">
        <v>0</v>
      </c>
      <c r="AM11" s="1021">
        <v>1</v>
      </c>
      <c r="AN11" s="1024">
        <v>0</v>
      </c>
      <c r="AO11" s="1021">
        <v>1</v>
      </c>
      <c r="AP11" s="1024">
        <v>0</v>
      </c>
      <c r="AQ11" s="1021">
        <v>1</v>
      </c>
      <c r="AR11" s="1024">
        <v>0</v>
      </c>
      <c r="AS11" s="1021">
        <v>1</v>
      </c>
    </row>
    <row r="12" spans="1:45" ht="32.700000000000003" customHeight="1" outlineLevel="1">
      <c r="B12" s="443" t="s">
        <v>857</v>
      </c>
      <c r="C12" s="637">
        <f t="shared" ref="C12:J12" si="0">(C11-1)</f>
        <v>89</v>
      </c>
      <c r="D12" s="637">
        <f t="shared" si="0"/>
        <v>89</v>
      </c>
      <c r="E12" s="637">
        <f t="shared" si="0"/>
        <v>90</v>
      </c>
      <c r="F12" s="637">
        <f t="shared" si="0"/>
        <v>91</v>
      </c>
      <c r="G12" s="701">
        <f t="shared" si="0"/>
        <v>87</v>
      </c>
      <c r="H12" s="701">
        <f t="shared" si="0"/>
        <v>90.8</v>
      </c>
      <c r="I12" s="701">
        <f t="shared" si="0"/>
        <v>87</v>
      </c>
      <c r="J12" s="701">
        <f t="shared" si="0"/>
        <v>92.84</v>
      </c>
      <c r="K12" s="446"/>
      <c r="L12" s="447" t="s">
        <v>854</v>
      </c>
      <c r="M12" s="430"/>
      <c r="N12" s="430"/>
      <c r="O12" s="71"/>
      <c r="P12" s="1028"/>
      <c r="Q12" s="1031"/>
      <c r="R12" s="448" t="s">
        <v>858</v>
      </c>
      <c r="S12" s="449"/>
      <c r="T12" s="1070"/>
      <c r="U12" s="1022"/>
      <c r="V12" s="1070"/>
      <c r="W12" s="1022"/>
      <c r="X12" s="1070"/>
      <c r="Y12" s="1022"/>
      <c r="Z12" s="1070"/>
      <c r="AA12" s="1022"/>
      <c r="AB12" s="1070"/>
      <c r="AC12" s="1022"/>
      <c r="AD12" s="1063"/>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1.1000000000000001</v>
      </c>
      <c r="D13" s="451">
        <v>1.1000000000000001</v>
      </c>
      <c r="E13" s="451">
        <v>1.1000000000000001</v>
      </c>
      <c r="F13" s="452">
        <v>1.1000000000000001</v>
      </c>
      <c r="G13" s="451">
        <v>1</v>
      </c>
      <c r="H13" s="451">
        <v>1.5</v>
      </c>
      <c r="I13" s="451">
        <v>1</v>
      </c>
      <c r="J13" s="451">
        <v>1.5</v>
      </c>
      <c r="K13" s="439" t="s">
        <v>16</v>
      </c>
      <c r="L13" s="440">
        <v>3</v>
      </c>
      <c r="M13" s="430"/>
      <c r="N13" s="430"/>
      <c r="O13" s="71"/>
      <c r="P13" s="1028"/>
      <c r="Q13" s="1032"/>
      <c r="R13" s="453" t="s">
        <v>860</v>
      </c>
      <c r="S13" s="454"/>
      <c r="T13" s="1071"/>
      <c r="U13" s="1023"/>
      <c r="V13" s="1071"/>
      <c r="W13" s="1023"/>
      <c r="X13" s="1071"/>
      <c r="Y13" s="1023"/>
      <c r="Z13" s="1071"/>
      <c r="AA13" s="1023"/>
      <c r="AB13" s="1071"/>
      <c r="AC13" s="1023"/>
      <c r="AD13" s="1064"/>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735">
        <f>0.2+1</f>
        <v>1.2</v>
      </c>
      <c r="D14" s="735">
        <f>0.2+1</f>
        <v>1.2</v>
      </c>
      <c r="E14" s="735">
        <f>0.2+1</f>
        <v>1.2</v>
      </c>
      <c r="F14" s="735">
        <f>0.2+1</f>
        <v>1.2</v>
      </c>
      <c r="G14" s="734">
        <v>0.1</v>
      </c>
      <c r="H14" s="735">
        <f>0.2+2</f>
        <v>2.2000000000000002</v>
      </c>
      <c r="I14" s="734">
        <v>0.1</v>
      </c>
      <c r="J14" s="735">
        <f>0.2+2</f>
        <v>2.2000000000000002</v>
      </c>
      <c r="K14" s="439" t="s">
        <v>20</v>
      </c>
      <c r="L14" s="440">
        <v>3</v>
      </c>
      <c r="M14" s="430"/>
      <c r="N14" s="430"/>
      <c r="O14" s="71"/>
      <c r="P14" s="1028"/>
      <c r="Q14" s="1030" t="s">
        <v>861</v>
      </c>
      <c r="R14" s="455" t="s">
        <v>862</v>
      </c>
      <c r="S14" s="456" t="s">
        <v>863</v>
      </c>
      <c r="T14" s="1069">
        <v>0</v>
      </c>
      <c r="U14" s="1033">
        <v>1</v>
      </c>
      <c r="V14" s="1069">
        <v>0</v>
      </c>
      <c r="W14" s="1033">
        <v>1</v>
      </c>
      <c r="X14" s="1069">
        <v>1</v>
      </c>
      <c r="Y14" s="1033">
        <v>0.97</v>
      </c>
      <c r="Z14" s="1069">
        <v>0</v>
      </c>
      <c r="AA14" s="1033">
        <v>1</v>
      </c>
      <c r="AB14" s="1069">
        <v>0</v>
      </c>
      <c r="AC14" s="1021">
        <v>1</v>
      </c>
      <c r="AD14" s="1059">
        <v>1</v>
      </c>
      <c r="AE14" s="1021">
        <f>AC14</f>
        <v>1</v>
      </c>
      <c r="AF14" s="1028"/>
      <c r="AG14" s="1030" t="s">
        <v>861</v>
      </c>
      <c r="AH14" s="455" t="s">
        <v>862</v>
      </c>
      <c r="AI14" s="456" t="s">
        <v>863</v>
      </c>
      <c r="AJ14" s="1033">
        <v>0</v>
      </c>
      <c r="AK14" s="1033">
        <v>1</v>
      </c>
      <c r="AL14" s="1033">
        <v>0</v>
      </c>
      <c r="AM14" s="1033">
        <v>1</v>
      </c>
      <c r="AN14" s="1033">
        <v>0</v>
      </c>
      <c r="AO14" s="1033">
        <v>0.97</v>
      </c>
      <c r="AP14" s="1033">
        <v>0</v>
      </c>
      <c r="AQ14" s="1033">
        <v>1</v>
      </c>
      <c r="AR14" s="1033">
        <v>0</v>
      </c>
      <c r="AS14" s="1021">
        <v>1</v>
      </c>
    </row>
    <row r="15" spans="1:45" outlineLevel="1">
      <c r="B15" s="436" t="s">
        <v>703</v>
      </c>
      <c r="C15" s="450">
        <f>0.5+0.4</f>
        <v>0.9</v>
      </c>
      <c r="D15" s="450">
        <f>0.5+0.4</f>
        <v>0.9</v>
      </c>
      <c r="E15" s="450">
        <f>0.5+0.4</f>
        <v>0.9</v>
      </c>
      <c r="F15" s="450">
        <f>0.5+0.4</f>
        <v>0.9</v>
      </c>
      <c r="G15" s="450">
        <f>0.5+0.3</f>
        <v>0.8</v>
      </c>
      <c r="H15" s="450">
        <f>0.5+0.6</f>
        <v>1.1000000000000001</v>
      </c>
      <c r="I15" s="450">
        <f>0.5+0.3</f>
        <v>0.8</v>
      </c>
      <c r="J15" s="450">
        <f>0.5+0.6</f>
        <v>1.1000000000000001</v>
      </c>
      <c r="K15" s="439" t="s">
        <v>20</v>
      </c>
      <c r="L15" s="440">
        <v>3</v>
      </c>
      <c r="M15" s="427"/>
      <c r="N15" s="427"/>
      <c r="O15" s="71"/>
      <c r="P15" s="1028"/>
      <c r="Q15" s="1031"/>
      <c r="R15" s="455" t="s">
        <v>864</v>
      </c>
      <c r="S15" s="456" t="s">
        <v>863</v>
      </c>
      <c r="T15" s="1075"/>
      <c r="U15" s="1036"/>
      <c r="V15" s="1075"/>
      <c r="W15" s="1036"/>
      <c r="X15" s="1075"/>
      <c r="Y15" s="1036"/>
      <c r="Z15" s="1075"/>
      <c r="AA15" s="1036"/>
      <c r="AB15" s="1075"/>
      <c r="AC15" s="1038"/>
      <c r="AD15" s="1060"/>
      <c r="AE15" s="1038"/>
      <c r="AF15" s="1028"/>
      <c r="AG15" s="1031"/>
      <c r="AH15" s="455" t="s">
        <v>864</v>
      </c>
      <c r="AI15" s="456" t="s">
        <v>863</v>
      </c>
      <c r="AJ15" s="1036"/>
      <c r="AK15" s="1036"/>
      <c r="AL15" s="1036"/>
      <c r="AM15" s="1036"/>
      <c r="AN15" s="1036"/>
      <c r="AO15" s="1036"/>
      <c r="AP15" s="1036"/>
      <c r="AQ15" s="1036"/>
      <c r="AR15" s="1036"/>
      <c r="AS15" s="1038"/>
    </row>
    <row r="16" spans="1:45" outlineLevel="1">
      <c r="B16" s="443" t="s">
        <v>11</v>
      </c>
      <c r="C16" s="457">
        <v>25</v>
      </c>
      <c r="D16" s="457">
        <v>25</v>
      </c>
      <c r="E16" s="457">
        <v>25</v>
      </c>
      <c r="F16" s="457">
        <v>25</v>
      </c>
      <c r="G16" s="458">
        <v>20</v>
      </c>
      <c r="H16" s="458">
        <v>30</v>
      </c>
      <c r="I16" s="458">
        <v>20</v>
      </c>
      <c r="J16" s="458">
        <v>30</v>
      </c>
      <c r="K16" s="432"/>
      <c r="L16" s="433" t="s">
        <v>865</v>
      </c>
      <c r="M16" s="423"/>
      <c r="N16" s="423"/>
      <c r="P16" s="1028"/>
      <c r="Q16" s="1031"/>
      <c r="R16" s="455" t="s">
        <v>866</v>
      </c>
      <c r="S16" s="456" t="s">
        <v>863</v>
      </c>
      <c r="T16" s="1075"/>
      <c r="U16" s="1036"/>
      <c r="V16" s="1075"/>
      <c r="W16" s="1036"/>
      <c r="X16" s="1075"/>
      <c r="Y16" s="1036"/>
      <c r="Z16" s="1075"/>
      <c r="AA16" s="1036"/>
      <c r="AB16" s="1075"/>
      <c r="AC16" s="1038"/>
      <c r="AD16" s="1060"/>
      <c r="AE16" s="1038"/>
      <c r="AF16" s="1028"/>
      <c r="AG16" s="1031"/>
      <c r="AH16" s="455" t="s">
        <v>866</v>
      </c>
      <c r="AI16" s="689" t="s">
        <v>863</v>
      </c>
      <c r="AJ16" s="1036"/>
      <c r="AK16" s="1036"/>
      <c r="AL16" s="1036"/>
      <c r="AM16" s="1036"/>
      <c r="AN16" s="1036"/>
      <c r="AO16" s="1036"/>
      <c r="AP16" s="1036"/>
      <c r="AQ16" s="1036"/>
      <c r="AR16" s="1036"/>
      <c r="AS16" s="1038"/>
    </row>
    <row r="17" spans="1:45" ht="15" outlineLevel="1" thickBot="1">
      <c r="B17" s="436" t="s">
        <v>273</v>
      </c>
      <c r="C17" s="459">
        <v>0.5</v>
      </c>
      <c r="D17" s="459">
        <v>0.5</v>
      </c>
      <c r="E17" s="459">
        <v>0.5</v>
      </c>
      <c r="F17" s="459">
        <v>0.5</v>
      </c>
      <c r="G17" s="459">
        <v>0.2</v>
      </c>
      <c r="H17" s="459">
        <v>0.7</v>
      </c>
      <c r="I17" s="459">
        <v>0.2</v>
      </c>
      <c r="J17" s="459">
        <v>0.7</v>
      </c>
      <c r="K17" s="432"/>
      <c r="L17" s="460"/>
      <c r="M17" s="423"/>
      <c r="N17" s="423"/>
      <c r="P17" s="1028"/>
      <c r="Q17" s="1031"/>
      <c r="R17" s="455" t="s">
        <v>867</v>
      </c>
      <c r="S17" s="456" t="s">
        <v>863</v>
      </c>
      <c r="T17" s="1075"/>
      <c r="U17" s="1036"/>
      <c r="V17" s="1075"/>
      <c r="W17" s="1036"/>
      <c r="X17" s="1075"/>
      <c r="Y17" s="1036"/>
      <c r="Z17" s="1075"/>
      <c r="AA17" s="1036"/>
      <c r="AB17" s="1075"/>
      <c r="AC17" s="1038"/>
      <c r="AD17" s="1060"/>
      <c r="AE17" s="1038"/>
      <c r="AF17" s="1028"/>
      <c r="AG17" s="1031"/>
      <c r="AH17" s="455" t="s">
        <v>867</v>
      </c>
      <c r="AI17" s="456" t="s">
        <v>863</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76"/>
      <c r="U18" s="1037"/>
      <c r="V18" s="1076"/>
      <c r="W18" s="1037"/>
      <c r="X18" s="1076"/>
      <c r="Y18" s="1037"/>
      <c r="Z18" s="1076"/>
      <c r="AA18" s="1037"/>
      <c r="AB18" s="1076"/>
      <c r="AC18" s="1039"/>
      <c r="AD18" s="1061"/>
      <c r="AE18" s="1039"/>
      <c r="AF18" s="1028"/>
      <c r="AG18" s="1032"/>
      <c r="AH18" s="469" t="s">
        <v>988</v>
      </c>
      <c r="AI18" s="470" t="s">
        <v>863</v>
      </c>
      <c r="AJ18" s="1037"/>
      <c r="AK18" s="1037"/>
      <c r="AL18" s="1037"/>
      <c r="AM18" s="1037"/>
      <c r="AN18" s="1037"/>
      <c r="AO18" s="1037"/>
      <c r="AP18" s="1037"/>
      <c r="AQ18" s="1037"/>
      <c r="AR18" s="1037"/>
      <c r="AS18" s="1039"/>
    </row>
    <row r="19" spans="1:45" ht="29.4" outlineLevel="1" thickBot="1">
      <c r="B19" s="436" t="s">
        <v>708</v>
      </c>
      <c r="C19" s="450">
        <v>15</v>
      </c>
      <c r="D19" s="450">
        <v>15</v>
      </c>
      <c r="E19" s="450">
        <v>15</v>
      </c>
      <c r="F19" s="450">
        <v>15</v>
      </c>
      <c r="G19" s="451"/>
      <c r="H19" s="451"/>
      <c r="I19" s="451"/>
      <c r="J19" s="451"/>
      <c r="K19" s="439"/>
      <c r="L19" s="440">
        <v>3</v>
      </c>
      <c r="M19" s="423"/>
      <c r="N19" s="423"/>
      <c r="P19" s="1029"/>
      <c r="Q19" s="471" t="s">
        <v>870</v>
      </c>
      <c r="R19" s="472" t="s">
        <v>871</v>
      </c>
      <c r="S19" s="690" t="s">
        <v>863</v>
      </c>
      <c r="T19" s="965">
        <v>0</v>
      </c>
      <c r="U19" s="475">
        <v>1</v>
      </c>
      <c r="V19" s="967">
        <v>0</v>
      </c>
      <c r="W19" s="475">
        <v>1</v>
      </c>
      <c r="X19" s="967">
        <v>0</v>
      </c>
      <c r="Y19" s="475">
        <v>1</v>
      </c>
      <c r="Z19" s="967">
        <v>0</v>
      </c>
      <c r="AA19" s="475">
        <v>1</v>
      </c>
      <c r="AB19" s="967">
        <v>0</v>
      </c>
      <c r="AC19" s="477">
        <v>1</v>
      </c>
      <c r="AD19" s="970">
        <v>1</v>
      </c>
      <c r="AE19" s="477">
        <f>AC19</f>
        <v>1</v>
      </c>
      <c r="AF19" s="1029"/>
      <c r="AG19" s="471" t="s">
        <v>870</v>
      </c>
      <c r="AH19" s="871" t="s">
        <v>871</v>
      </c>
      <c r="AI19" s="872" t="s">
        <v>863</v>
      </c>
      <c r="AJ19" s="476">
        <v>1</v>
      </c>
      <c r="AK19" s="475">
        <v>1</v>
      </c>
      <c r="AL19" s="476">
        <v>1</v>
      </c>
      <c r="AM19" s="475">
        <v>1</v>
      </c>
      <c r="AN19" s="476">
        <v>1</v>
      </c>
      <c r="AO19" s="475">
        <v>1</v>
      </c>
      <c r="AP19" s="476">
        <v>1</v>
      </c>
      <c r="AQ19" s="475">
        <v>1</v>
      </c>
      <c r="AR19" s="476">
        <v>1</v>
      </c>
      <c r="AS19" s="477">
        <v>1</v>
      </c>
    </row>
    <row r="20" spans="1:45" outlineLevel="1">
      <c r="B20" s="436" t="s">
        <v>709</v>
      </c>
      <c r="C20" s="450">
        <v>0.1</v>
      </c>
      <c r="D20" s="450">
        <v>0.1</v>
      </c>
      <c r="E20" s="450">
        <v>0.1</v>
      </c>
      <c r="F20" s="450">
        <v>0.1</v>
      </c>
      <c r="G20" s="478"/>
      <c r="H20" s="478"/>
      <c r="I20" s="478"/>
      <c r="J20" s="478"/>
      <c r="K20" s="479"/>
      <c r="L20" s="440">
        <v>3</v>
      </c>
      <c r="M20" s="423"/>
      <c r="N20" s="423"/>
    </row>
    <row r="21" spans="1:45" outlineLevel="1">
      <c r="B21" s="436" t="s">
        <v>711</v>
      </c>
      <c r="C21" s="450">
        <v>0.4</v>
      </c>
      <c r="D21" s="450">
        <v>0.4</v>
      </c>
      <c r="E21" s="450">
        <v>0.4</v>
      </c>
      <c r="F21" s="450">
        <v>0.4</v>
      </c>
      <c r="G21" s="478"/>
      <c r="H21" s="478"/>
      <c r="I21" s="478"/>
      <c r="J21" s="478"/>
      <c r="K21" s="479"/>
      <c r="L21" s="440">
        <v>3</v>
      </c>
      <c r="M21" s="480"/>
      <c r="N21" s="423"/>
    </row>
    <row r="22" spans="1:45" outlineLevel="1">
      <c r="B22" s="481" t="s">
        <v>12</v>
      </c>
      <c r="C22" s="459"/>
      <c r="D22" s="459"/>
      <c r="E22" s="459"/>
      <c r="F22" s="459"/>
      <c r="G22" s="482"/>
      <c r="H22" s="482"/>
      <c r="I22" s="482"/>
      <c r="J22" s="482"/>
      <c r="K22" s="483"/>
      <c r="L22" s="484"/>
      <c r="M22" s="480"/>
      <c r="N22" s="480"/>
      <c r="U22" s="239" t="s">
        <v>1433</v>
      </c>
    </row>
    <row r="23" spans="1:45" ht="38.25" customHeight="1" outlineLevel="1">
      <c r="B23" s="443" t="s">
        <v>968</v>
      </c>
      <c r="C23" s="1097">
        <v>8</v>
      </c>
      <c r="D23" s="1098">
        <v>8</v>
      </c>
      <c r="E23" s="1098">
        <v>8</v>
      </c>
      <c r="F23" s="1099">
        <v>8</v>
      </c>
      <c r="G23" s="482"/>
      <c r="H23" s="485"/>
      <c r="I23" s="485"/>
      <c r="J23" s="485"/>
      <c r="K23" s="486" t="s">
        <v>76</v>
      </c>
      <c r="L23" s="487" t="s">
        <v>873</v>
      </c>
      <c r="M23" s="488"/>
      <c r="N23" s="488"/>
    </row>
    <row r="24" spans="1:45" outlineLevel="1">
      <c r="B24" s="443" t="s">
        <v>874</v>
      </c>
      <c r="C24" s="1100">
        <v>2.1</v>
      </c>
      <c r="D24" s="1101">
        <v>2.1</v>
      </c>
      <c r="E24" s="1101">
        <v>2.1</v>
      </c>
      <c r="F24" s="1102">
        <v>2.1</v>
      </c>
      <c r="G24" s="485"/>
      <c r="H24" s="485"/>
      <c r="I24" s="485"/>
      <c r="J24" s="485"/>
      <c r="K24" s="483"/>
      <c r="L24" s="487">
        <v>9</v>
      </c>
      <c r="M24" s="488"/>
      <c r="N24" s="488"/>
    </row>
    <row r="25" spans="1:45" outlineLevel="1">
      <c r="B25" s="443" t="s">
        <v>969</v>
      </c>
      <c r="C25" s="1080">
        <v>35</v>
      </c>
      <c r="D25" s="1081">
        <v>35</v>
      </c>
      <c r="E25" s="1081">
        <v>35</v>
      </c>
      <c r="F25" s="1082">
        <v>35</v>
      </c>
      <c r="G25" s="485"/>
      <c r="H25" s="485"/>
      <c r="I25" s="485"/>
      <c r="J25" s="485"/>
      <c r="K25" s="483"/>
      <c r="L25" s="487" t="s">
        <v>873</v>
      </c>
      <c r="M25" s="488"/>
      <c r="N25" s="488"/>
    </row>
    <row r="26" spans="1:45" outlineLevel="1">
      <c r="B26" s="443" t="s">
        <v>366</v>
      </c>
      <c r="C26" s="1100">
        <v>1.5</v>
      </c>
      <c r="D26" s="1101">
        <v>1.5</v>
      </c>
      <c r="E26" s="1101">
        <v>1.5</v>
      </c>
      <c r="F26" s="1102">
        <v>1.5</v>
      </c>
      <c r="G26" s="485"/>
      <c r="H26" s="485"/>
      <c r="I26" s="485"/>
      <c r="J26" s="485"/>
      <c r="K26" s="483"/>
      <c r="L26" s="487" t="s">
        <v>873</v>
      </c>
      <c r="M26" s="488"/>
      <c r="N26" s="488"/>
    </row>
    <row r="27" spans="1:45" ht="15" outlineLevel="1" thickBot="1">
      <c r="B27" s="489" t="s">
        <v>367</v>
      </c>
      <c r="C27" s="1083">
        <v>0.8</v>
      </c>
      <c r="D27" s="1084">
        <v>0.8</v>
      </c>
      <c r="E27" s="1084">
        <v>0.8</v>
      </c>
      <c r="F27" s="1085">
        <v>0.8</v>
      </c>
      <c r="G27" s="485"/>
      <c r="H27" s="485"/>
      <c r="I27" s="485"/>
      <c r="J27" s="485"/>
      <c r="K27" s="483"/>
      <c r="L27" s="487" t="s">
        <v>873</v>
      </c>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1217</v>
      </c>
      <c r="C29" s="611">
        <v>0.5</v>
      </c>
      <c r="D29" s="707">
        <v>0.46576380486506985</v>
      </c>
      <c r="E29" s="707">
        <v>0.44600000000000001</v>
      </c>
      <c r="F29" s="708">
        <v>0.44045618468049191</v>
      </c>
      <c r="G29" s="485"/>
      <c r="H29" s="485"/>
      <c r="I29" s="485"/>
      <c r="J29" s="485"/>
      <c r="K29" s="486" t="s">
        <v>877</v>
      </c>
      <c r="L29" s="500" t="s">
        <v>878</v>
      </c>
      <c r="M29" s="480"/>
      <c r="N29" s="480"/>
    </row>
    <row r="30" spans="1:45" outlineLevel="1">
      <c r="B30" s="501" t="s">
        <v>879</v>
      </c>
      <c r="C30" s="502">
        <v>60</v>
      </c>
      <c r="D30" s="503">
        <v>60</v>
      </c>
      <c r="E30" s="503">
        <v>60</v>
      </c>
      <c r="F30" s="503">
        <v>60</v>
      </c>
      <c r="G30" s="485"/>
      <c r="H30" s="485"/>
      <c r="I30" s="485"/>
      <c r="J30" s="485"/>
      <c r="K30" s="504"/>
      <c r="L30" s="433">
        <v>3</v>
      </c>
      <c r="M30" s="71"/>
      <c r="N30" s="480"/>
    </row>
    <row r="31" spans="1:45" outlineLevel="1">
      <c r="B31" s="501" t="s">
        <v>880</v>
      </c>
      <c r="C31" s="502">
        <f>100-C30</f>
        <v>40</v>
      </c>
      <c r="D31" s="502">
        <f>100-D30</f>
        <v>40</v>
      </c>
      <c r="E31" s="502">
        <f>100-E30</f>
        <v>40</v>
      </c>
      <c r="F31" s="502">
        <f>100-F30</f>
        <v>40</v>
      </c>
      <c r="G31" s="485"/>
      <c r="H31" s="485"/>
      <c r="I31" s="485"/>
      <c r="J31" s="485"/>
      <c r="K31" s="504"/>
      <c r="L31" s="433">
        <v>3</v>
      </c>
      <c r="M31" s="480"/>
      <c r="N31" s="480"/>
    </row>
    <row r="32" spans="1:45" outlineLevel="1">
      <c r="B32" s="443" t="s">
        <v>966</v>
      </c>
      <c r="C32" s="662">
        <v>33700</v>
      </c>
      <c r="D32" s="663">
        <v>32600</v>
      </c>
      <c r="E32" s="663">
        <f>(D32+F32)/2</f>
        <v>31600</v>
      </c>
      <c r="F32" s="664">
        <v>30600</v>
      </c>
      <c r="G32" s="485"/>
      <c r="H32" s="485"/>
      <c r="I32" s="485"/>
      <c r="J32" s="485"/>
      <c r="K32" s="508"/>
      <c r="L32" s="433">
        <v>3</v>
      </c>
      <c r="M32" s="480"/>
      <c r="N32" s="480"/>
    </row>
    <row r="33" spans="2:30" ht="37.200000000000003" customHeight="1" outlineLevel="1" thickBot="1">
      <c r="B33" s="443" t="s">
        <v>724</v>
      </c>
      <c r="C33" s="509">
        <f>C34+C35</f>
        <v>1.903</v>
      </c>
      <c r="D33" s="509">
        <f t="shared" ref="D33:F33" si="1">D34+D35</f>
        <v>1.9250000000000003</v>
      </c>
      <c r="E33" s="509">
        <f t="shared" si="1"/>
        <v>1.9360000000000002</v>
      </c>
      <c r="F33" s="509">
        <f t="shared" si="1"/>
        <v>1.9360000000000002</v>
      </c>
      <c r="G33" s="485"/>
      <c r="H33" s="485"/>
      <c r="I33" s="485"/>
      <c r="J33" s="485"/>
      <c r="K33" s="508"/>
      <c r="L33" s="433">
        <v>3</v>
      </c>
      <c r="M33" s="754"/>
      <c r="N33" s="753"/>
      <c r="P33" s="999">
        <f>C33</f>
        <v>1.903</v>
      </c>
      <c r="Q33" s="977"/>
      <c r="R33" s="977"/>
      <c r="S33" s="977"/>
      <c r="T33" s="977"/>
      <c r="U33" s="1000"/>
    </row>
    <row r="34" spans="2:30" ht="15.75" customHeight="1" outlineLevel="1" thickBot="1">
      <c r="B34" s="511" t="s">
        <v>883</v>
      </c>
      <c r="C34" s="512">
        <f>C13/100*73</f>
        <v>0.80300000000000005</v>
      </c>
      <c r="D34" s="512">
        <f>D13/100*75</f>
        <v>0.82500000000000007</v>
      </c>
      <c r="E34" s="512">
        <f>E13/100*76</f>
        <v>0.83600000000000008</v>
      </c>
      <c r="F34" s="512">
        <f>F13/100*76</f>
        <v>0.83600000000000008</v>
      </c>
      <c r="G34" s="513"/>
      <c r="H34" s="513"/>
      <c r="I34" s="513"/>
      <c r="J34" s="513"/>
      <c r="K34" s="439" t="s">
        <v>52</v>
      </c>
      <c r="L34" s="440">
        <v>3</v>
      </c>
      <c r="M34" s="754"/>
      <c r="N34" s="753"/>
      <c r="P34" s="1001">
        <f>C34</f>
        <v>0.80300000000000005</v>
      </c>
      <c r="Q34" s="1002"/>
      <c r="R34" s="1002"/>
      <c r="S34" s="1002"/>
      <c r="T34" s="1002"/>
      <c r="U34" s="1003"/>
    </row>
    <row r="35" spans="2:30" outlineLevel="1">
      <c r="B35" s="511" t="s">
        <v>884</v>
      </c>
      <c r="C35" s="514">
        <v>1.1000000000000001</v>
      </c>
      <c r="D35" s="514">
        <v>1.1000000000000001</v>
      </c>
      <c r="E35" s="514">
        <v>1.1000000000000001</v>
      </c>
      <c r="F35" s="514">
        <v>1.1000000000000001</v>
      </c>
      <c r="G35" s="513"/>
      <c r="H35" s="513"/>
      <c r="I35" s="513"/>
      <c r="J35" s="513"/>
      <c r="K35" s="515"/>
      <c r="L35" s="440">
        <v>3</v>
      </c>
      <c r="M35" s="423"/>
      <c r="N35" s="423"/>
      <c r="P35" s="53" t="s">
        <v>357</v>
      </c>
    </row>
    <row r="36" spans="2:30" ht="27.6" outlineLevel="1">
      <c r="B36" s="501"/>
      <c r="C36" s="516"/>
      <c r="D36" s="516"/>
      <c r="E36" s="516"/>
      <c r="F36" s="516"/>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687"/>
      <c r="D37" s="874"/>
      <c r="E37" s="874"/>
      <c r="F37" s="875"/>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522" t="s">
        <v>36</v>
      </c>
      <c r="D39" s="522" t="s">
        <v>36</v>
      </c>
      <c r="E39" s="522" t="s">
        <v>36</v>
      </c>
      <c r="F39" s="522" t="s">
        <v>36</v>
      </c>
      <c r="G39" s="523"/>
      <c r="H39" s="523"/>
      <c r="I39" s="523"/>
      <c r="J39" s="523"/>
      <c r="K39" s="523" t="s">
        <v>55</v>
      </c>
      <c r="L39" s="524"/>
      <c r="M39" s="423"/>
      <c r="N39" s="423"/>
      <c r="O39" s="525">
        <f>C12</f>
        <v>89</v>
      </c>
      <c r="P39" s="526">
        <f>C8</f>
        <v>2020</v>
      </c>
      <c r="Q39" s="58">
        <f>P39</f>
        <v>2020</v>
      </c>
      <c r="R39" s="526">
        <f>O39/100</f>
        <v>0.89</v>
      </c>
      <c r="S39" s="58"/>
      <c r="T39" s="526">
        <f>C16</f>
        <v>25</v>
      </c>
      <c r="U39" s="527">
        <f>C46</f>
        <v>3725</v>
      </c>
      <c r="V39" s="527">
        <f>C48</f>
        <v>251.065</v>
      </c>
      <c r="W39" s="527">
        <f>C49</f>
        <v>3.9381527777777778</v>
      </c>
      <c r="X39" s="58"/>
      <c r="Y39" s="58"/>
      <c r="Z39" s="526">
        <f>C23</f>
        <v>8</v>
      </c>
      <c r="AA39" s="528">
        <f>C25</f>
        <v>35</v>
      </c>
      <c r="AB39" s="528">
        <f>C26</f>
        <v>1.5</v>
      </c>
      <c r="AC39" s="528">
        <f>C27</f>
        <v>0.8</v>
      </c>
      <c r="AD39" s="528">
        <f>C24</f>
        <v>2.1</v>
      </c>
    </row>
    <row r="40" spans="2:30" ht="14.7" customHeight="1" outlineLevel="1">
      <c r="B40" s="436" t="s">
        <v>888</v>
      </c>
      <c r="C40" s="529" t="s">
        <v>36</v>
      </c>
      <c r="D40" s="530" t="s">
        <v>36</v>
      </c>
      <c r="E40" s="530" t="s">
        <v>36</v>
      </c>
      <c r="F40" s="531" t="s">
        <v>36</v>
      </c>
      <c r="G40" s="531"/>
      <c r="H40" s="531"/>
      <c r="I40" s="531"/>
      <c r="J40" s="531"/>
      <c r="K40" s="532" t="s">
        <v>55</v>
      </c>
      <c r="L40" s="524"/>
      <c r="M40" s="423"/>
      <c r="N40" s="423"/>
      <c r="O40" s="525">
        <f>D12</f>
        <v>89</v>
      </c>
      <c r="P40" s="526">
        <f>D8</f>
        <v>2030</v>
      </c>
      <c r="Q40" s="58"/>
      <c r="R40" s="526">
        <f>O40/100</f>
        <v>0.89</v>
      </c>
      <c r="S40" s="58"/>
      <c r="T40" s="526">
        <f>D16</f>
        <v>25</v>
      </c>
      <c r="U40" s="527">
        <f>D46</f>
        <v>3469.9403462447704</v>
      </c>
      <c r="V40" s="527">
        <f>D48</f>
        <v>242.87</v>
      </c>
      <c r="W40" s="527">
        <f>D49</f>
        <v>3.9836805555555559</v>
      </c>
      <c r="X40" s="58"/>
      <c r="Y40" s="58"/>
      <c r="Z40" s="526">
        <f>D23</f>
        <v>8</v>
      </c>
      <c r="AA40" s="528">
        <f>D25</f>
        <v>35</v>
      </c>
      <c r="AB40" s="528">
        <f>D26</f>
        <v>1.5</v>
      </c>
      <c r="AC40" s="528">
        <f>D27</f>
        <v>0.8</v>
      </c>
      <c r="AD40" s="528">
        <f>D24</f>
        <v>2.1</v>
      </c>
    </row>
    <row r="41" spans="2:30" outlineLevel="1">
      <c r="B41" s="436" t="s">
        <v>889</v>
      </c>
      <c r="C41" s="529" t="s">
        <v>36</v>
      </c>
      <c r="D41" s="530" t="s">
        <v>36</v>
      </c>
      <c r="E41" s="530" t="s">
        <v>36</v>
      </c>
      <c r="F41" s="531" t="s">
        <v>36</v>
      </c>
      <c r="G41" s="513"/>
      <c r="H41" s="513"/>
      <c r="I41" s="513"/>
      <c r="J41" s="513"/>
      <c r="K41" s="513"/>
      <c r="L41" s="440"/>
      <c r="M41" s="423"/>
      <c r="N41" s="423"/>
      <c r="O41" s="525">
        <f>E12</f>
        <v>90</v>
      </c>
      <c r="P41" s="526">
        <f>E8</f>
        <v>2040</v>
      </c>
      <c r="Q41" s="58"/>
      <c r="R41" s="526">
        <f>O41/100</f>
        <v>0.9</v>
      </c>
      <c r="S41" s="58"/>
      <c r="T41" s="526">
        <f>E16</f>
        <v>25</v>
      </c>
      <c r="U41" s="527">
        <f>E46</f>
        <v>3322.7000000000003</v>
      </c>
      <c r="V41" s="527">
        <f>E48</f>
        <v>235.42</v>
      </c>
      <c r="W41" s="527">
        <f>E49</f>
        <v>4.0064444444444449</v>
      </c>
      <c r="X41" s="58"/>
      <c r="Y41" s="58"/>
      <c r="Z41" s="526">
        <f>E23</f>
        <v>8</v>
      </c>
      <c r="AA41" s="528">
        <f>E25</f>
        <v>35</v>
      </c>
      <c r="AB41" s="528">
        <f>E26</f>
        <v>1.5</v>
      </c>
      <c r="AC41" s="528">
        <f>E27</f>
        <v>0.8</v>
      </c>
      <c r="AD41" s="528">
        <f>E24</f>
        <v>2.1</v>
      </c>
    </row>
    <row r="42" spans="2:30" ht="14.7" customHeight="1" outlineLevel="1">
      <c r="B42" s="436" t="s">
        <v>890</v>
      </c>
      <c r="C42" s="1086">
        <v>90</v>
      </c>
      <c r="D42" s="1087">
        <v>90</v>
      </c>
      <c r="E42" s="1087">
        <v>90</v>
      </c>
      <c r="F42" s="1088">
        <v>90</v>
      </c>
      <c r="G42" s="534"/>
      <c r="H42" s="534"/>
      <c r="I42" s="534"/>
      <c r="J42" s="534"/>
      <c r="K42" s="534"/>
      <c r="L42" s="440">
        <v>3</v>
      </c>
      <c r="M42" s="423"/>
      <c r="N42" s="423"/>
      <c r="O42" s="525">
        <f>F12</f>
        <v>91</v>
      </c>
      <c r="P42" s="526">
        <f>F8</f>
        <v>2050</v>
      </c>
      <c r="Q42" s="58"/>
      <c r="R42" s="526">
        <f>O42/100</f>
        <v>0.91</v>
      </c>
      <c r="S42" s="58"/>
      <c r="T42" s="526">
        <f>F16</f>
        <v>25</v>
      </c>
      <c r="U42" s="527">
        <f>F46</f>
        <v>3281.3985758696645</v>
      </c>
      <c r="V42" s="527">
        <f>F48</f>
        <v>227.97</v>
      </c>
      <c r="W42" s="527">
        <f>F49</f>
        <v>4.0064444444444449</v>
      </c>
      <c r="X42" s="58"/>
      <c r="Y42" s="58"/>
      <c r="Z42" s="526">
        <f>F23</f>
        <v>8</v>
      </c>
      <c r="AA42" s="528">
        <f>F25</f>
        <v>35</v>
      </c>
      <c r="AB42" s="528">
        <f>F26</f>
        <v>1.5</v>
      </c>
      <c r="AC42" s="528">
        <f>F27</f>
        <v>0.8</v>
      </c>
      <c r="AD42" s="528">
        <f>F24</f>
        <v>2.1</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3725</v>
      </c>
      <c r="D46" s="543">
        <f t="shared" ref="D46:F46" si="2">D29*$F$4*1000</f>
        <v>3469.9403462447704</v>
      </c>
      <c r="E46" s="543">
        <f t="shared" si="2"/>
        <v>3322.7000000000003</v>
      </c>
      <c r="F46" s="543">
        <f t="shared" si="2"/>
        <v>3281.3985758696645</v>
      </c>
      <c r="G46" s="543"/>
      <c r="H46" s="544"/>
      <c r="I46" s="480" t="s">
        <v>332</v>
      </c>
      <c r="J46" s="480"/>
      <c r="K46" s="544"/>
      <c r="L46" s="544"/>
      <c r="N46" s="480"/>
    </row>
    <row r="47" spans="2:30" outlineLevel="1">
      <c r="B47" s="545" t="s">
        <v>895</v>
      </c>
      <c r="C47" s="546">
        <f>C46*$I47</f>
        <v>1862500</v>
      </c>
      <c r="D47" s="546">
        <f>D46*$I47</f>
        <v>1734970.1731223853</v>
      </c>
      <c r="E47" s="546">
        <f>E46*$I47</f>
        <v>1661350.0000000002</v>
      </c>
      <c r="F47" s="546">
        <f>F46*$I47</f>
        <v>1640699.2879348323</v>
      </c>
      <c r="G47" s="546"/>
      <c r="H47" s="544"/>
      <c r="I47" s="71">
        <v>500</v>
      </c>
      <c r="J47" s="480" t="s">
        <v>330</v>
      </c>
      <c r="K47" s="544"/>
      <c r="L47" s="544"/>
      <c r="N47" s="480"/>
    </row>
    <row r="48" spans="2:30" ht="43.2" outlineLevel="1">
      <c r="B48" s="521" t="s">
        <v>970</v>
      </c>
      <c r="C48" s="419">
        <f>C32*$F$4/1000</f>
        <v>251.065</v>
      </c>
      <c r="D48" s="419">
        <f t="shared" ref="D48:F48" si="3">D32*$F$4/1000</f>
        <v>242.87</v>
      </c>
      <c r="E48" s="419">
        <f t="shared" si="3"/>
        <v>235.42</v>
      </c>
      <c r="F48" s="419">
        <f t="shared" si="3"/>
        <v>227.97</v>
      </c>
      <c r="G48" s="419"/>
      <c r="I48" s="480" t="s">
        <v>333</v>
      </c>
      <c r="J48" s="480"/>
      <c r="N48" s="480"/>
    </row>
    <row r="49" spans="2:14" ht="43.2" outlineLevel="1">
      <c r="B49" s="521" t="s">
        <v>971</v>
      </c>
      <c r="C49" s="547">
        <f>C33*$F$4/3.6</f>
        <v>3.9381527777777778</v>
      </c>
      <c r="D49" s="547">
        <f t="shared" ref="D49:F49" si="4">D33*$F$4/3.6</f>
        <v>3.9836805555555559</v>
      </c>
      <c r="E49" s="547">
        <f t="shared" si="4"/>
        <v>4.0064444444444449</v>
      </c>
      <c r="F49" s="547">
        <f t="shared" si="4"/>
        <v>4.0064444444444449</v>
      </c>
      <c r="G49" s="419"/>
      <c r="M49" s="480"/>
      <c r="N49" s="480"/>
    </row>
    <row r="50" spans="2:14" outlineLevel="1"/>
    <row r="51" spans="2:14" outlineLevel="1"/>
    <row r="52" spans="2:14" outlineLevel="1"/>
    <row r="53" spans="2:14" outlineLevel="1"/>
    <row r="54" spans="2:14" outlineLevel="1">
      <c r="B54" s="548" t="s">
        <v>898</v>
      </c>
      <c r="C54" s="549"/>
      <c r="D54" s="549"/>
      <c r="E54" s="549"/>
      <c r="F54" s="417"/>
      <c r="G54" s="417"/>
      <c r="H54" s="417"/>
      <c r="I54" s="417"/>
      <c r="J54" s="417"/>
      <c r="K54" s="417"/>
      <c r="L54" s="417"/>
    </row>
    <row r="55" spans="2:14" outlineLevel="1">
      <c r="B55" s="551">
        <v>1</v>
      </c>
      <c r="C55" s="552" t="s">
        <v>899</v>
      </c>
      <c r="D55" s="549"/>
      <c r="E55" s="549"/>
      <c r="F55" s="417"/>
      <c r="G55" s="417"/>
      <c r="H55" s="417"/>
      <c r="I55" s="417"/>
      <c r="J55" s="417"/>
      <c r="K55" s="417"/>
      <c r="L55" s="417"/>
    </row>
    <row r="56" spans="2:14" outlineLevel="1">
      <c r="B56" s="551">
        <v>2</v>
      </c>
      <c r="C56" s="553" t="s">
        <v>900</v>
      </c>
      <c r="D56" s="549"/>
      <c r="E56" s="549"/>
      <c r="F56" s="417"/>
      <c r="G56" s="417"/>
      <c r="H56" s="417"/>
      <c r="I56" s="417"/>
      <c r="J56" s="417"/>
      <c r="K56" s="417"/>
      <c r="L56" s="417"/>
    </row>
    <row r="57" spans="2:14" outlineLevel="1">
      <c r="B57" s="551">
        <v>3</v>
      </c>
      <c r="C57" s="553" t="s">
        <v>901</v>
      </c>
      <c r="D57" s="549"/>
      <c r="E57" s="549"/>
      <c r="F57" s="417"/>
      <c r="G57" s="417"/>
      <c r="H57" s="417"/>
      <c r="I57" s="417"/>
      <c r="J57" s="417"/>
      <c r="K57" s="417"/>
      <c r="L57" s="417"/>
    </row>
    <row r="58" spans="2:14" outlineLevel="1">
      <c r="B58" s="551">
        <v>4</v>
      </c>
      <c r="C58" s="553" t="s">
        <v>902</v>
      </c>
      <c r="D58" s="549"/>
      <c r="E58" s="549"/>
      <c r="F58" s="417"/>
      <c r="G58" s="417"/>
      <c r="H58" s="417"/>
      <c r="I58" s="417"/>
      <c r="J58" s="417"/>
      <c r="K58" s="417"/>
      <c r="L58" s="417"/>
    </row>
    <row r="59" spans="2:14" outlineLevel="1">
      <c r="B59" s="549">
        <v>5</v>
      </c>
      <c r="C59" s="554" t="s">
        <v>903</v>
      </c>
      <c r="D59" s="549"/>
      <c r="E59" s="549"/>
      <c r="F59" s="417"/>
      <c r="G59" s="417"/>
      <c r="H59" s="417"/>
      <c r="I59" s="417"/>
      <c r="J59" s="417"/>
      <c r="K59" s="417"/>
      <c r="L59" s="417"/>
    </row>
    <row r="60" spans="2:14" outlineLevel="1">
      <c r="B60" s="549">
        <v>6</v>
      </c>
      <c r="C60" s="552" t="s">
        <v>904</v>
      </c>
      <c r="D60" s="549"/>
      <c r="E60" s="549"/>
      <c r="F60" s="417"/>
      <c r="G60" s="417"/>
      <c r="H60" s="417"/>
      <c r="I60" s="417"/>
      <c r="J60" s="417"/>
      <c r="K60" s="417"/>
      <c r="L60" s="417"/>
    </row>
    <row r="61" spans="2:14" outlineLevel="1">
      <c r="B61" s="549">
        <v>7</v>
      </c>
      <c r="C61" s="555" t="s">
        <v>899</v>
      </c>
      <c r="D61" s="549"/>
      <c r="E61" s="549"/>
      <c r="F61" s="417"/>
      <c r="G61" s="417"/>
      <c r="H61" s="417"/>
      <c r="I61" s="417"/>
      <c r="J61" s="417"/>
      <c r="K61" s="417"/>
      <c r="L61" s="417"/>
    </row>
    <row r="62" spans="2:14" outlineLevel="1">
      <c r="B62" s="549">
        <v>8</v>
      </c>
      <c r="C62" s="555" t="s">
        <v>905</v>
      </c>
      <c r="D62" s="550"/>
      <c r="E62" s="549"/>
      <c r="F62" s="417"/>
      <c r="G62" s="417"/>
      <c r="H62" s="417"/>
      <c r="I62" s="417"/>
      <c r="J62" s="417"/>
      <c r="K62" s="417"/>
      <c r="L62" s="417"/>
    </row>
    <row r="63" spans="2:14" outlineLevel="1">
      <c r="B63" s="549">
        <v>9</v>
      </c>
      <c r="C63" s="549" t="s">
        <v>906</v>
      </c>
      <c r="D63" s="550"/>
      <c r="E63" s="549"/>
      <c r="F63" s="417"/>
      <c r="G63" s="417"/>
      <c r="H63" s="417"/>
      <c r="I63" s="417"/>
      <c r="J63" s="417"/>
      <c r="K63" s="417"/>
      <c r="L63" s="417"/>
    </row>
    <row r="64" spans="2:14" outlineLevel="1">
      <c r="B64" s="549">
        <v>10</v>
      </c>
      <c r="C64" s="550" t="s">
        <v>907</v>
      </c>
      <c r="D64" s="550"/>
      <c r="E64" s="549"/>
      <c r="F64" s="417"/>
      <c r="G64" s="417"/>
      <c r="H64" s="417"/>
      <c r="I64" s="417"/>
      <c r="J64" s="417"/>
      <c r="K64" s="417"/>
      <c r="L64" s="417"/>
    </row>
    <row r="65" spans="2:12" outlineLevel="1">
      <c r="B65" s="548" t="s">
        <v>908</v>
      </c>
      <c r="C65" s="549"/>
      <c r="D65" s="417"/>
      <c r="E65" s="549"/>
      <c r="F65" s="417"/>
      <c r="G65" s="417"/>
      <c r="H65" s="417"/>
      <c r="I65" s="417"/>
      <c r="J65" s="417"/>
      <c r="K65" s="417"/>
      <c r="L65" s="417"/>
    </row>
    <row r="66" spans="2:12" outlineLevel="1">
      <c r="B66" s="556" t="s">
        <v>6</v>
      </c>
      <c r="C66" s="549" t="s">
        <v>1218</v>
      </c>
      <c r="D66" s="417"/>
      <c r="E66" s="549"/>
      <c r="F66" s="417"/>
      <c r="G66" s="417"/>
      <c r="H66" s="417"/>
      <c r="I66" s="417"/>
      <c r="J66" s="417"/>
      <c r="K66" s="417"/>
      <c r="L66" s="417"/>
    </row>
    <row r="67" spans="2:12" outlineLevel="1">
      <c r="B67" s="556" t="s">
        <v>59</v>
      </c>
      <c r="C67" s="549" t="s">
        <v>910</v>
      </c>
      <c r="D67" s="417"/>
      <c r="E67" s="549"/>
      <c r="F67" s="417"/>
      <c r="G67" s="417"/>
      <c r="H67" s="417"/>
      <c r="I67" s="417"/>
      <c r="J67" s="417"/>
      <c r="K67" s="417"/>
      <c r="L67" s="417"/>
    </row>
    <row r="68" spans="2:12" outlineLevel="1">
      <c r="B68" s="556" t="s">
        <v>16</v>
      </c>
      <c r="C68" s="549" t="s">
        <v>1101</v>
      </c>
      <c r="D68" s="417"/>
      <c r="E68" s="549"/>
      <c r="F68" s="417"/>
      <c r="G68" s="417"/>
      <c r="H68" s="417"/>
      <c r="I68" s="417"/>
      <c r="J68" s="417"/>
      <c r="K68" s="417"/>
      <c r="L68" s="417"/>
    </row>
    <row r="69" spans="2:12" outlineLevel="1">
      <c r="B69" s="556" t="s">
        <v>20</v>
      </c>
      <c r="C69" s="549" t="s">
        <v>1219</v>
      </c>
      <c r="D69" s="417"/>
      <c r="E69" s="549"/>
      <c r="F69" s="417"/>
      <c r="G69" s="417"/>
      <c r="H69" s="417"/>
      <c r="I69" s="417"/>
      <c r="J69" s="417"/>
      <c r="K69" s="417"/>
      <c r="L69" s="417"/>
    </row>
    <row r="70" spans="2:12" outlineLevel="1">
      <c r="B70" s="556" t="s">
        <v>76</v>
      </c>
      <c r="C70" s="549" t="s">
        <v>911</v>
      </c>
      <c r="D70" s="417"/>
      <c r="E70" s="549"/>
      <c r="G70" s="417"/>
      <c r="H70" s="417"/>
      <c r="I70" s="417"/>
      <c r="J70" s="417"/>
      <c r="K70" s="417"/>
      <c r="L70" s="417"/>
    </row>
    <row r="71" spans="2:12" outlineLevel="1">
      <c r="B71" s="556" t="s">
        <v>25</v>
      </c>
      <c r="C71" s="549" t="s">
        <v>1103</v>
      </c>
      <c r="D71" s="417"/>
      <c r="E71" s="549"/>
      <c r="G71" s="417"/>
      <c r="H71" s="417"/>
      <c r="I71" s="417"/>
      <c r="J71" s="417"/>
      <c r="K71" s="417"/>
      <c r="L71" s="417"/>
    </row>
    <row r="72" spans="2:12" outlineLevel="1">
      <c r="B72" s="556" t="s">
        <v>33</v>
      </c>
      <c r="C72" s="549" t="s">
        <v>1104</v>
      </c>
      <c r="D72" s="417"/>
      <c r="E72" s="549"/>
      <c r="G72" s="417"/>
      <c r="H72" s="417"/>
      <c r="I72" s="417"/>
      <c r="J72" s="417"/>
      <c r="K72" s="417"/>
      <c r="L72" s="417"/>
    </row>
    <row r="73" spans="2:12" outlineLevel="1">
      <c r="B73" s="556" t="s">
        <v>51</v>
      </c>
      <c r="C73" s="549" t="s">
        <v>912</v>
      </c>
      <c r="D73" s="417"/>
      <c r="E73" s="549"/>
      <c r="G73" s="417"/>
      <c r="H73" s="417"/>
      <c r="I73" s="417"/>
      <c r="J73" s="417"/>
      <c r="K73" s="417"/>
      <c r="L73" s="417"/>
    </row>
    <row r="74" spans="2:12" outlineLevel="1">
      <c r="B74" s="556" t="s">
        <v>52</v>
      </c>
      <c r="C74" s="549" t="s">
        <v>913</v>
      </c>
      <c r="D74" s="417"/>
      <c r="E74" s="550"/>
      <c r="G74" s="417"/>
      <c r="H74" s="417"/>
      <c r="I74" s="417"/>
      <c r="J74" s="417"/>
      <c r="K74" s="417"/>
      <c r="L74" s="417"/>
    </row>
    <row r="75" spans="2:12" outlineLevel="1">
      <c r="B75" s="556" t="s">
        <v>55</v>
      </c>
      <c r="C75" s="549" t="s">
        <v>914</v>
      </c>
      <c r="D75" s="417"/>
      <c r="E75" s="550"/>
      <c r="G75" s="417"/>
      <c r="H75" s="417"/>
      <c r="I75" s="417"/>
      <c r="J75" s="417"/>
      <c r="K75" s="417"/>
      <c r="L75" s="417"/>
    </row>
    <row r="76" spans="2:12" outlineLevel="1">
      <c r="E76" s="550"/>
      <c r="G76" s="417"/>
      <c r="H76" s="417"/>
      <c r="I76" s="417"/>
      <c r="J76" s="417"/>
      <c r="K76" s="417"/>
      <c r="L76" s="417"/>
    </row>
    <row r="77" spans="2:12" outlineLevel="1">
      <c r="B77" s="556"/>
      <c r="C77" s="549"/>
      <c r="G77" s="417"/>
      <c r="H77" s="417"/>
      <c r="I77" s="417"/>
      <c r="J77" s="417"/>
      <c r="K77" s="417"/>
      <c r="L77" s="417"/>
    </row>
    <row r="78" spans="2:12" outlineLevel="1">
      <c r="E78" s="550"/>
      <c r="F78" s="550"/>
    </row>
    <row r="79" spans="2:12" outlineLevel="1"/>
    <row r="80" spans="2:12" outlineLevel="1">
      <c r="B80" s="556"/>
      <c r="C80" s="549"/>
      <c r="D80" s="549"/>
    </row>
    <row r="81" spans="1:45" outlineLevel="1">
      <c r="B81" s="698" t="str">
        <f>C86</f>
        <v>Hot water boiler, Coal</v>
      </c>
    </row>
    <row r="84" spans="1:45">
      <c r="A84" s="420" t="s">
        <v>1223</v>
      </c>
      <c r="B84" s="976"/>
      <c r="C84" s="977"/>
      <c r="D84" s="977"/>
      <c r="E84" s="977"/>
      <c r="F84" s="977"/>
      <c r="G84" s="977"/>
      <c r="H84" s="977"/>
      <c r="I84" s="977"/>
      <c r="J84" s="977"/>
      <c r="K84" s="977"/>
      <c r="L84" s="977"/>
      <c r="M84" s="977"/>
      <c r="N84" s="753"/>
      <c r="P84" s="977"/>
      <c r="Q84" s="977"/>
      <c r="R84" s="977"/>
      <c r="S84" s="977"/>
      <c r="T84" s="977"/>
      <c r="U84" s="977"/>
    </row>
    <row r="85" spans="1:45" ht="15" outlineLevel="1" thickBot="1">
      <c r="B85" s="976"/>
      <c r="C85" s="977"/>
      <c r="D85" s="977"/>
      <c r="E85" s="977"/>
      <c r="F85" s="977"/>
      <c r="G85" s="977"/>
      <c r="H85" s="977"/>
      <c r="I85" s="977"/>
      <c r="J85" s="977"/>
      <c r="K85" s="977"/>
      <c r="L85" s="977"/>
      <c r="M85" s="977"/>
      <c r="N85" s="753"/>
      <c r="P85" s="752">
        <v>1</v>
      </c>
      <c r="Q85" s="752">
        <v>2</v>
      </c>
      <c r="R85" s="752">
        <v>3</v>
      </c>
      <c r="S85" s="752">
        <v>4</v>
      </c>
      <c r="T85" s="752">
        <v>5</v>
      </c>
      <c r="U85" s="752">
        <v>6</v>
      </c>
      <c r="V85" s="752">
        <v>7</v>
      </c>
      <c r="W85" s="752">
        <v>8</v>
      </c>
      <c r="X85" s="752">
        <v>9</v>
      </c>
      <c r="Y85" s="752">
        <v>10</v>
      </c>
      <c r="Z85" s="752">
        <v>11</v>
      </c>
      <c r="AA85" s="752">
        <v>12</v>
      </c>
      <c r="AB85" s="752">
        <v>13</v>
      </c>
      <c r="AC85" s="752">
        <v>14</v>
      </c>
      <c r="AD85" s="752">
        <v>15</v>
      </c>
      <c r="AE85" s="752">
        <v>16</v>
      </c>
    </row>
    <row r="86" spans="1:45" ht="20.7" customHeight="1" outlineLevel="1" thickBot="1">
      <c r="B86" s="422" t="s">
        <v>0</v>
      </c>
      <c r="C86" s="1018" t="s">
        <v>1221</v>
      </c>
      <c r="D86" s="1019"/>
      <c r="E86" s="1019"/>
      <c r="F86" s="1019"/>
      <c r="G86" s="1019"/>
      <c r="H86" s="1019"/>
      <c r="I86" s="1019"/>
      <c r="J86" s="1019"/>
      <c r="K86" s="1019"/>
      <c r="L86" s="1020"/>
      <c r="M86" s="423"/>
      <c r="N86" s="423"/>
      <c r="P86" s="424" t="s">
        <v>838</v>
      </c>
      <c r="Q86" s="425"/>
      <c r="R86" s="426"/>
      <c r="S86" s="985" t="s">
        <v>839</v>
      </c>
      <c r="T86" s="989" t="s">
        <v>840</v>
      </c>
      <c r="U86" s="990"/>
      <c r="V86" s="989" t="s">
        <v>841</v>
      </c>
      <c r="W86" s="990"/>
      <c r="X86" s="989" t="s">
        <v>842</v>
      </c>
      <c r="Y86" s="990"/>
      <c r="Z86" s="989" t="s">
        <v>843</v>
      </c>
      <c r="AA86" s="990"/>
      <c r="AB86" s="989" t="s">
        <v>844</v>
      </c>
      <c r="AC86" s="990"/>
      <c r="AD86" s="989" t="s">
        <v>1431</v>
      </c>
      <c r="AE86" s="990"/>
      <c r="AF86" s="424" t="s">
        <v>845</v>
      </c>
      <c r="AG86" s="425"/>
      <c r="AH86" s="426"/>
      <c r="AI86" s="985" t="s">
        <v>839</v>
      </c>
      <c r="AJ86" s="989" t="s">
        <v>840</v>
      </c>
      <c r="AK86" s="990"/>
      <c r="AL86" s="989" t="s">
        <v>841</v>
      </c>
      <c r="AM86" s="990"/>
      <c r="AN86" s="989" t="s">
        <v>842</v>
      </c>
      <c r="AO86" s="990"/>
      <c r="AP86" s="989" t="s">
        <v>843</v>
      </c>
      <c r="AQ86" s="990"/>
      <c r="AR86" s="989" t="s">
        <v>844</v>
      </c>
      <c r="AS86" s="990"/>
    </row>
    <row r="87" spans="1:45" ht="15" customHeight="1" outlineLevel="1" thickBot="1">
      <c r="B87" s="1010" t="s">
        <v>4</v>
      </c>
      <c r="C87" s="1012">
        <v>2020</v>
      </c>
      <c r="D87" s="1012">
        <v>2030</v>
      </c>
      <c r="E87" s="1012">
        <v>2040</v>
      </c>
      <c r="F87" s="1012">
        <v>2050</v>
      </c>
      <c r="G87" s="1014" t="s">
        <v>846</v>
      </c>
      <c r="H87" s="1015"/>
      <c r="I87" s="1014" t="s">
        <v>693</v>
      </c>
      <c r="J87" s="1015"/>
      <c r="K87" s="1016" t="s">
        <v>2</v>
      </c>
      <c r="L87" s="1016" t="s">
        <v>3</v>
      </c>
      <c r="M87" s="427"/>
      <c r="N87" s="427"/>
      <c r="P87" s="993" t="s">
        <v>0</v>
      </c>
      <c r="Q87" s="428"/>
      <c r="R87" s="428"/>
      <c r="S87" s="986"/>
      <c r="T87" s="991"/>
      <c r="U87" s="992"/>
      <c r="V87" s="991"/>
      <c r="W87" s="992"/>
      <c r="X87" s="991"/>
      <c r="Y87" s="992"/>
      <c r="Z87" s="991"/>
      <c r="AA87" s="992"/>
      <c r="AB87" s="991"/>
      <c r="AC87" s="992"/>
      <c r="AD87" s="991"/>
      <c r="AE87" s="992"/>
      <c r="AF87" s="993" t="s">
        <v>0</v>
      </c>
      <c r="AG87" s="428"/>
      <c r="AH87" s="428"/>
      <c r="AI87" s="986"/>
      <c r="AJ87" s="991"/>
      <c r="AK87" s="992"/>
      <c r="AL87" s="991"/>
      <c r="AM87" s="992"/>
      <c r="AN87" s="991"/>
      <c r="AO87" s="992"/>
      <c r="AP87" s="991"/>
      <c r="AQ87" s="992"/>
      <c r="AR87" s="991"/>
      <c r="AS87" s="992"/>
    </row>
    <row r="88" spans="1:45" ht="15" customHeight="1" outlineLevel="1" thickBot="1">
      <c r="B88" s="1011"/>
      <c r="C88" s="1013"/>
      <c r="D88" s="1013"/>
      <c r="E88" s="1013"/>
      <c r="F88" s="1013"/>
      <c r="G88" s="559" t="s">
        <v>694</v>
      </c>
      <c r="H88" s="559" t="s">
        <v>695</v>
      </c>
      <c r="I88" s="559" t="s">
        <v>694</v>
      </c>
      <c r="J88" s="559" t="s">
        <v>695</v>
      </c>
      <c r="K88" s="1017"/>
      <c r="L88" s="1017"/>
      <c r="M88" s="430"/>
      <c r="N88" s="430"/>
      <c r="P88" s="994"/>
      <c r="Q88" s="996" t="s">
        <v>847</v>
      </c>
      <c r="R88" s="997" t="s">
        <v>848</v>
      </c>
      <c r="S88" s="987"/>
      <c r="T88" s="991"/>
      <c r="U88" s="992"/>
      <c r="V88" s="991"/>
      <c r="W88" s="992"/>
      <c r="X88" s="991"/>
      <c r="Y88" s="992"/>
      <c r="Z88" s="991"/>
      <c r="AA88" s="992"/>
      <c r="AB88" s="991"/>
      <c r="AC88" s="992"/>
      <c r="AD88" s="991"/>
      <c r="AE88" s="992"/>
      <c r="AF88" s="994"/>
      <c r="AG88" s="1040" t="s">
        <v>847</v>
      </c>
      <c r="AH88" s="997" t="s">
        <v>848</v>
      </c>
      <c r="AI88" s="987"/>
      <c r="AJ88" s="991"/>
      <c r="AK88" s="992"/>
      <c r="AL88" s="991"/>
      <c r="AM88" s="992"/>
      <c r="AN88" s="991"/>
      <c r="AO88" s="992"/>
      <c r="AP88" s="991"/>
      <c r="AQ88" s="992"/>
      <c r="AR88" s="991"/>
      <c r="AS88" s="992"/>
    </row>
    <row r="89" spans="1:45" ht="29.4" outlineLevel="1" thickBot="1">
      <c r="B89" s="431" t="s">
        <v>696</v>
      </c>
      <c r="C89" s="432">
        <v>20</v>
      </c>
      <c r="D89" s="432">
        <v>20</v>
      </c>
      <c r="E89" s="432">
        <v>20</v>
      </c>
      <c r="F89" s="432">
        <v>20</v>
      </c>
      <c r="G89" s="432">
        <v>1</v>
      </c>
      <c r="H89" s="432">
        <v>50</v>
      </c>
      <c r="I89" s="432">
        <v>1</v>
      </c>
      <c r="J89" s="432">
        <v>50</v>
      </c>
      <c r="K89" s="432" t="s">
        <v>6</v>
      </c>
      <c r="L89" s="433">
        <v>3</v>
      </c>
      <c r="M89" s="430"/>
      <c r="N89" s="430"/>
      <c r="O89" s="74"/>
      <c r="P89" s="995"/>
      <c r="Q89" s="988"/>
      <c r="R89" s="998"/>
      <c r="S89" s="988"/>
      <c r="T89" s="434" t="s">
        <v>851</v>
      </c>
      <c r="U89" s="435" t="s">
        <v>852</v>
      </c>
      <c r="V89" s="434" t="s">
        <v>851</v>
      </c>
      <c r="W89" s="435" t="s">
        <v>852</v>
      </c>
      <c r="X89" s="434" t="s">
        <v>851</v>
      </c>
      <c r="Y89" s="435" t="s">
        <v>852</v>
      </c>
      <c r="Z89" s="434" t="s">
        <v>851</v>
      </c>
      <c r="AA89" s="435" t="s">
        <v>852</v>
      </c>
      <c r="AB89" s="434" t="s">
        <v>851</v>
      </c>
      <c r="AC89" s="435" t="s">
        <v>852</v>
      </c>
      <c r="AD89" s="434" t="s">
        <v>851</v>
      </c>
      <c r="AE89" s="435" t="s">
        <v>852</v>
      </c>
      <c r="AF89" s="995"/>
      <c r="AG89" s="1041"/>
      <c r="AH89" s="998"/>
      <c r="AI89" s="988"/>
      <c r="AJ89" s="434" t="s">
        <v>851</v>
      </c>
      <c r="AK89" s="435" t="s">
        <v>852</v>
      </c>
      <c r="AL89" s="434" t="s">
        <v>851</v>
      </c>
      <c r="AM89" s="435" t="s">
        <v>852</v>
      </c>
      <c r="AN89" s="434" t="s">
        <v>851</v>
      </c>
      <c r="AO89" s="435" t="s">
        <v>852</v>
      </c>
      <c r="AP89" s="434" t="s">
        <v>851</v>
      </c>
      <c r="AQ89" s="435" t="s">
        <v>852</v>
      </c>
      <c r="AR89" s="434" t="s">
        <v>851</v>
      </c>
      <c r="AS89" s="435" t="s">
        <v>852</v>
      </c>
    </row>
    <row r="90" spans="1:45" ht="15" customHeight="1" outlineLevel="1">
      <c r="B90" s="560" t="s">
        <v>853</v>
      </c>
      <c r="C90" s="728">
        <v>90</v>
      </c>
      <c r="D90" s="728">
        <v>90</v>
      </c>
      <c r="E90" s="729">
        <v>91</v>
      </c>
      <c r="F90" s="728">
        <v>92</v>
      </c>
      <c r="G90" s="728">
        <v>88</v>
      </c>
      <c r="H90" s="728">
        <f>(D90*1.02)</f>
        <v>91.8</v>
      </c>
      <c r="I90" s="728">
        <v>88</v>
      </c>
      <c r="J90" s="728">
        <f>(F90*1.01)</f>
        <v>92.92</v>
      </c>
      <c r="K90" s="563"/>
      <c r="L90" s="564" t="s">
        <v>854</v>
      </c>
      <c r="M90" s="430"/>
      <c r="N90" s="430"/>
      <c r="P90" s="1027" t="str">
        <f>C86</f>
        <v>Hot water boiler, Coal</v>
      </c>
      <c r="Q90" s="1030" t="s">
        <v>855</v>
      </c>
      <c r="R90" s="441" t="s">
        <v>856</v>
      </c>
      <c r="S90" s="442"/>
      <c r="T90" s="1033">
        <v>0</v>
      </c>
      <c r="U90" s="1021">
        <v>0</v>
      </c>
      <c r="V90" s="1024">
        <v>0</v>
      </c>
      <c r="W90" s="1021">
        <v>0</v>
      </c>
      <c r="X90" s="1024">
        <v>0</v>
      </c>
      <c r="Y90" s="1021">
        <v>0</v>
      </c>
      <c r="Z90" s="1024">
        <v>0</v>
      </c>
      <c r="AA90" s="1021">
        <v>0</v>
      </c>
      <c r="AB90" s="1024">
        <v>0</v>
      </c>
      <c r="AC90" s="1021">
        <v>0</v>
      </c>
      <c r="AD90" s="1024">
        <v>0</v>
      </c>
      <c r="AE90" s="1021">
        <f>AC90</f>
        <v>0</v>
      </c>
      <c r="AF90" s="1027" t="str">
        <f>P90</f>
        <v>Hot water boiler, Coal</v>
      </c>
      <c r="AG90" s="1030" t="s">
        <v>855</v>
      </c>
      <c r="AH90" s="441" t="s">
        <v>856</v>
      </c>
      <c r="AI90" s="442"/>
      <c r="AJ90" s="1033">
        <v>0</v>
      </c>
      <c r="AK90" s="1021">
        <v>0</v>
      </c>
      <c r="AL90" s="1024">
        <v>0</v>
      </c>
      <c r="AM90" s="1021">
        <v>0</v>
      </c>
      <c r="AN90" s="1024">
        <v>0</v>
      </c>
      <c r="AO90" s="1021">
        <v>0</v>
      </c>
      <c r="AP90" s="1024">
        <v>0</v>
      </c>
      <c r="AQ90" s="1021">
        <v>0</v>
      </c>
      <c r="AR90" s="1024">
        <v>0</v>
      </c>
      <c r="AS90" s="1021">
        <v>0</v>
      </c>
    </row>
    <row r="91" spans="1:45" outlineLevel="1">
      <c r="B91" s="443" t="s">
        <v>857</v>
      </c>
      <c r="C91" s="637">
        <f t="shared" ref="C91:J91" si="5">(C90-1)</f>
        <v>89</v>
      </c>
      <c r="D91" s="637">
        <f t="shared" si="5"/>
        <v>89</v>
      </c>
      <c r="E91" s="637">
        <f t="shared" si="5"/>
        <v>90</v>
      </c>
      <c r="F91" s="637">
        <f t="shared" si="5"/>
        <v>91</v>
      </c>
      <c r="G91" s="636">
        <f t="shared" si="5"/>
        <v>87</v>
      </c>
      <c r="H91" s="636">
        <f t="shared" si="5"/>
        <v>90.8</v>
      </c>
      <c r="I91" s="636">
        <f t="shared" si="5"/>
        <v>87</v>
      </c>
      <c r="J91" s="636">
        <f t="shared" si="5"/>
        <v>91.92</v>
      </c>
      <c r="K91" s="432"/>
      <c r="L91" s="433" t="s">
        <v>854</v>
      </c>
      <c r="M91" s="430"/>
      <c r="N91" s="430"/>
      <c r="O91" s="71"/>
      <c r="P91" s="1028"/>
      <c r="Q91" s="1031"/>
      <c r="R91" s="448" t="s">
        <v>858</v>
      </c>
      <c r="S91" s="449"/>
      <c r="T91" s="1034"/>
      <c r="U91" s="1022"/>
      <c r="V91" s="1025"/>
      <c r="W91" s="1022"/>
      <c r="X91" s="1025"/>
      <c r="Y91" s="1022"/>
      <c r="Z91" s="1025"/>
      <c r="AA91" s="1022"/>
      <c r="AB91" s="1025"/>
      <c r="AC91" s="1022"/>
      <c r="AD91" s="1025"/>
      <c r="AE91" s="1022"/>
      <c r="AF91" s="1028"/>
      <c r="AG91" s="1031"/>
      <c r="AH91" s="448" t="s">
        <v>858</v>
      </c>
      <c r="AI91" s="449"/>
      <c r="AJ91" s="1034"/>
      <c r="AK91" s="1022"/>
      <c r="AL91" s="1025"/>
      <c r="AM91" s="1022"/>
      <c r="AN91" s="1025"/>
      <c r="AO91" s="1022"/>
      <c r="AP91" s="1025"/>
      <c r="AQ91" s="1022"/>
      <c r="AR91" s="1025"/>
      <c r="AS91" s="1022"/>
    </row>
    <row r="92" spans="1:45" ht="15" outlineLevel="1" thickBot="1">
      <c r="B92" s="560" t="s">
        <v>859</v>
      </c>
      <c r="C92" s="566">
        <v>1.1000000000000001</v>
      </c>
      <c r="D92" s="567">
        <v>1.1000000000000001</v>
      </c>
      <c r="E92" s="567">
        <v>1.1000000000000001</v>
      </c>
      <c r="F92" s="568">
        <v>1.1000000000000001</v>
      </c>
      <c r="G92" s="567">
        <v>1</v>
      </c>
      <c r="H92" s="567">
        <v>1.5</v>
      </c>
      <c r="I92" s="567">
        <v>1</v>
      </c>
      <c r="J92" s="567">
        <v>1.5</v>
      </c>
      <c r="K92" s="563" t="s">
        <v>59</v>
      </c>
      <c r="L92" s="564">
        <v>3</v>
      </c>
      <c r="M92" s="430"/>
      <c r="N92" s="430"/>
      <c r="O92" s="71"/>
      <c r="P92" s="1028"/>
      <c r="Q92" s="1032"/>
      <c r="R92" s="453" t="s">
        <v>860</v>
      </c>
      <c r="S92" s="454"/>
      <c r="T92" s="1035"/>
      <c r="U92" s="1023"/>
      <c r="V92" s="1026"/>
      <c r="W92" s="1023"/>
      <c r="X92" s="1026"/>
      <c r="Y92" s="1023"/>
      <c r="Z92" s="1026"/>
      <c r="AA92" s="1023"/>
      <c r="AB92" s="1026"/>
      <c r="AC92" s="1023"/>
      <c r="AD92" s="1026"/>
      <c r="AE92" s="1023"/>
      <c r="AF92" s="1028"/>
      <c r="AG92" s="1032"/>
      <c r="AH92" s="453" t="s">
        <v>860</v>
      </c>
      <c r="AI92" s="454"/>
      <c r="AJ92" s="1035"/>
      <c r="AK92" s="1023"/>
      <c r="AL92" s="1026"/>
      <c r="AM92" s="1023"/>
      <c r="AN92" s="1026"/>
      <c r="AO92" s="1023"/>
      <c r="AP92" s="1026"/>
      <c r="AQ92" s="1023"/>
      <c r="AR92" s="1026"/>
      <c r="AS92" s="1023"/>
    </row>
    <row r="93" spans="1:45" ht="15" customHeight="1" outlineLevel="1">
      <c r="B93" s="560" t="s">
        <v>702</v>
      </c>
      <c r="C93" s="876">
        <f>0.2+1</f>
        <v>1.2</v>
      </c>
      <c r="D93" s="876">
        <f>0.2+1</f>
        <v>1.2</v>
      </c>
      <c r="E93" s="876">
        <f>0.2+1</f>
        <v>1.2</v>
      </c>
      <c r="F93" s="876">
        <f>0.2+1</f>
        <v>1.2</v>
      </c>
      <c r="G93" s="877">
        <v>0.1</v>
      </c>
      <c r="H93" s="876">
        <f>0.2+2</f>
        <v>2.2000000000000002</v>
      </c>
      <c r="I93" s="877">
        <v>0.1</v>
      </c>
      <c r="J93" s="876">
        <f>0.2+2</f>
        <v>2.2000000000000002</v>
      </c>
      <c r="K93" s="563" t="s">
        <v>16</v>
      </c>
      <c r="L93" s="564">
        <v>3</v>
      </c>
      <c r="M93" s="430"/>
      <c r="N93" s="430"/>
      <c r="O93" s="71"/>
      <c r="P93" s="1028"/>
      <c r="Q93" s="1030" t="s">
        <v>861</v>
      </c>
      <c r="R93" s="455" t="s">
        <v>862</v>
      </c>
      <c r="S93" s="456" t="s">
        <v>863</v>
      </c>
      <c r="T93" s="1033">
        <v>0</v>
      </c>
      <c r="U93" s="1033">
        <v>0.67</v>
      </c>
      <c r="V93" s="1033">
        <v>0</v>
      </c>
      <c r="W93" s="1033">
        <v>0.56999999999999995</v>
      </c>
      <c r="X93" s="1033">
        <v>0</v>
      </c>
      <c r="Y93" s="1033">
        <v>0.5</v>
      </c>
      <c r="Z93" s="1033">
        <v>0</v>
      </c>
      <c r="AA93" s="1033">
        <v>0.51</v>
      </c>
      <c r="AB93" s="1033">
        <v>0</v>
      </c>
      <c r="AC93" s="1021">
        <v>0.41</v>
      </c>
      <c r="AD93" s="1033">
        <v>0</v>
      </c>
      <c r="AE93" s="1021">
        <f>AC93</f>
        <v>0.41</v>
      </c>
      <c r="AF93" s="1028"/>
      <c r="AG93" s="1030" t="s">
        <v>861</v>
      </c>
      <c r="AH93" s="455" t="s">
        <v>862</v>
      </c>
      <c r="AI93" s="456" t="s">
        <v>863</v>
      </c>
      <c r="AJ93" s="1033">
        <v>0</v>
      </c>
      <c r="AK93" s="1033">
        <f>U93/4</f>
        <v>0.16750000000000001</v>
      </c>
      <c r="AL93" s="1033">
        <v>0</v>
      </c>
      <c r="AM93" s="1033">
        <f>W93/4</f>
        <v>0.14249999999999999</v>
      </c>
      <c r="AN93" s="1033">
        <v>0</v>
      </c>
      <c r="AO93" s="1033">
        <f>Y93/4</f>
        <v>0.125</v>
      </c>
      <c r="AP93" s="1033">
        <v>0</v>
      </c>
      <c r="AQ93" s="1033">
        <f>AA93/4</f>
        <v>0.1275</v>
      </c>
      <c r="AR93" s="1033">
        <v>0</v>
      </c>
      <c r="AS93" s="1021">
        <f>AC93/4</f>
        <v>0.10249999999999999</v>
      </c>
    </row>
    <row r="94" spans="1:45" outlineLevel="1">
      <c r="B94" s="560" t="s">
        <v>703</v>
      </c>
      <c r="C94" s="566">
        <f>0.5+0.4</f>
        <v>0.9</v>
      </c>
      <c r="D94" s="566">
        <f>0.5+0.4</f>
        <v>0.9</v>
      </c>
      <c r="E94" s="566">
        <f>0.5+0.4</f>
        <v>0.9</v>
      </c>
      <c r="F94" s="566">
        <f>0.5+0.4</f>
        <v>0.9</v>
      </c>
      <c r="G94" s="566">
        <f>0.5+0.3</f>
        <v>0.8</v>
      </c>
      <c r="H94" s="566">
        <f>0.5+0.6</f>
        <v>1.1000000000000001</v>
      </c>
      <c r="I94" s="566">
        <f>0.5+0.3</f>
        <v>0.8</v>
      </c>
      <c r="J94" s="566">
        <f>0.5+0.6</f>
        <v>1.1000000000000001</v>
      </c>
      <c r="K94" s="563" t="s">
        <v>16</v>
      </c>
      <c r="L94" s="564">
        <v>3</v>
      </c>
      <c r="M94" s="427"/>
      <c r="N94" s="427"/>
      <c r="O94" s="71"/>
      <c r="P94" s="1028"/>
      <c r="Q94" s="1031"/>
      <c r="R94" s="455" t="s">
        <v>864</v>
      </c>
      <c r="S94" s="456" t="s">
        <v>863</v>
      </c>
      <c r="T94" s="1036"/>
      <c r="U94" s="1036"/>
      <c r="V94" s="1036"/>
      <c r="W94" s="1036"/>
      <c r="X94" s="1036"/>
      <c r="Y94" s="1036"/>
      <c r="Z94" s="1036"/>
      <c r="AA94" s="1036"/>
      <c r="AB94" s="1036"/>
      <c r="AC94" s="1038"/>
      <c r="AD94" s="1036"/>
      <c r="AE94" s="1038"/>
      <c r="AF94" s="1028"/>
      <c r="AG94" s="1031"/>
      <c r="AH94" s="455" t="s">
        <v>864</v>
      </c>
      <c r="AI94" s="456" t="s">
        <v>863</v>
      </c>
      <c r="AJ94" s="1036"/>
      <c r="AK94" s="1036"/>
      <c r="AL94" s="1036"/>
      <c r="AM94" s="1036"/>
      <c r="AN94" s="1036"/>
      <c r="AO94" s="1036"/>
      <c r="AP94" s="1036"/>
      <c r="AQ94" s="1036"/>
      <c r="AR94" s="1036"/>
      <c r="AS94" s="1038"/>
    </row>
    <row r="95" spans="1:45" outlineLevel="1">
      <c r="B95" s="443" t="s">
        <v>11</v>
      </c>
      <c r="C95" s="457">
        <v>25</v>
      </c>
      <c r="D95" s="457">
        <v>25</v>
      </c>
      <c r="E95" s="457">
        <v>25</v>
      </c>
      <c r="F95" s="457">
        <v>25</v>
      </c>
      <c r="G95" s="459">
        <v>20</v>
      </c>
      <c r="H95" s="459">
        <v>30</v>
      </c>
      <c r="I95" s="459">
        <v>20</v>
      </c>
      <c r="J95" s="459">
        <v>30</v>
      </c>
      <c r="K95" s="432"/>
      <c r="L95" s="433" t="s">
        <v>865</v>
      </c>
      <c r="M95" s="423"/>
      <c r="N95" s="423"/>
      <c r="P95" s="1028"/>
      <c r="Q95" s="1031"/>
      <c r="R95" s="455" t="s">
        <v>866</v>
      </c>
      <c r="S95" s="456"/>
      <c r="T95" s="1036"/>
      <c r="U95" s="1036"/>
      <c r="V95" s="1036"/>
      <c r="W95" s="1036"/>
      <c r="X95" s="1036"/>
      <c r="Y95" s="1036"/>
      <c r="Z95" s="1036"/>
      <c r="AA95" s="1036"/>
      <c r="AB95" s="1036"/>
      <c r="AC95" s="1038"/>
      <c r="AD95" s="1036"/>
      <c r="AE95" s="1038"/>
      <c r="AF95" s="1028"/>
      <c r="AG95" s="1031"/>
      <c r="AH95" s="455" t="s">
        <v>866</v>
      </c>
      <c r="AI95" s="689" t="s">
        <v>863</v>
      </c>
      <c r="AJ95" s="1036"/>
      <c r="AK95" s="1036"/>
      <c r="AL95" s="1036"/>
      <c r="AM95" s="1036"/>
      <c r="AN95" s="1036"/>
      <c r="AO95" s="1036"/>
      <c r="AP95" s="1036"/>
      <c r="AQ95" s="1036"/>
      <c r="AR95" s="1036"/>
      <c r="AS95" s="1038"/>
    </row>
    <row r="96" spans="1:45" ht="15" outlineLevel="1" thickBot="1">
      <c r="B96" s="560" t="s">
        <v>273</v>
      </c>
      <c r="C96" s="566">
        <v>0.5</v>
      </c>
      <c r="D96" s="566">
        <v>0.5</v>
      </c>
      <c r="E96" s="566">
        <v>0.5</v>
      </c>
      <c r="F96" s="566">
        <v>0.5</v>
      </c>
      <c r="G96" s="566">
        <v>0.2</v>
      </c>
      <c r="H96" s="566">
        <v>0.7</v>
      </c>
      <c r="I96" s="566">
        <v>0.2</v>
      </c>
      <c r="J96" s="566">
        <v>0.7</v>
      </c>
      <c r="K96" s="432"/>
      <c r="L96" s="460"/>
      <c r="M96" s="423"/>
      <c r="N96" s="423"/>
      <c r="P96" s="1028"/>
      <c r="Q96" s="1031"/>
      <c r="R96" s="455" t="s">
        <v>867</v>
      </c>
      <c r="S96" s="456" t="s">
        <v>863</v>
      </c>
      <c r="T96" s="1036"/>
      <c r="U96" s="1036"/>
      <c r="V96" s="1036"/>
      <c r="W96" s="1036"/>
      <c r="X96" s="1036"/>
      <c r="Y96" s="1036"/>
      <c r="Z96" s="1036"/>
      <c r="AA96" s="1036"/>
      <c r="AB96" s="1036"/>
      <c r="AC96" s="1038"/>
      <c r="AD96" s="1036"/>
      <c r="AE96" s="1038"/>
      <c r="AF96" s="1028"/>
      <c r="AG96" s="1031"/>
      <c r="AH96" s="455" t="s">
        <v>867</v>
      </c>
      <c r="AI96" s="456"/>
      <c r="AJ96" s="1036"/>
      <c r="AK96" s="1036"/>
      <c r="AL96" s="1036"/>
      <c r="AM96" s="1036"/>
      <c r="AN96" s="1036"/>
      <c r="AO96" s="1036"/>
      <c r="AP96" s="1036"/>
      <c r="AQ96" s="1036"/>
      <c r="AR96" s="1036"/>
      <c r="AS96" s="1038"/>
    </row>
    <row r="97" spans="1:45" ht="15" outlineLevel="1" thickBot="1">
      <c r="B97" s="461" t="s">
        <v>868</v>
      </c>
      <c r="C97" s="462"/>
      <c r="D97" s="463"/>
      <c r="E97" s="464"/>
      <c r="F97" s="465"/>
      <c r="G97" s="466"/>
      <c r="H97" s="466"/>
      <c r="I97" s="466"/>
      <c r="J97" s="466"/>
      <c r="K97" s="467"/>
      <c r="L97" s="468"/>
      <c r="M97" s="423"/>
      <c r="N97" s="423"/>
      <c r="P97" s="1028"/>
      <c r="Q97" s="1032"/>
      <c r="R97" s="469" t="s">
        <v>988</v>
      </c>
      <c r="S97" s="470" t="s">
        <v>863</v>
      </c>
      <c r="T97" s="1037"/>
      <c r="U97" s="1037"/>
      <c r="V97" s="1037"/>
      <c r="W97" s="1037"/>
      <c r="X97" s="1037"/>
      <c r="Y97" s="1037"/>
      <c r="Z97" s="1037"/>
      <c r="AA97" s="1037"/>
      <c r="AB97" s="1037"/>
      <c r="AC97" s="1039"/>
      <c r="AD97" s="1037"/>
      <c r="AE97" s="1039"/>
      <c r="AF97" s="1028"/>
      <c r="AG97" s="1032"/>
      <c r="AH97" s="469" t="s">
        <v>988</v>
      </c>
      <c r="AI97" s="470" t="s">
        <v>863</v>
      </c>
      <c r="AJ97" s="1037"/>
      <c r="AK97" s="1037"/>
      <c r="AL97" s="1037"/>
      <c r="AM97" s="1037"/>
      <c r="AN97" s="1037"/>
      <c r="AO97" s="1037"/>
      <c r="AP97" s="1037"/>
      <c r="AQ97" s="1037"/>
      <c r="AR97" s="1037"/>
      <c r="AS97" s="1039"/>
    </row>
    <row r="98" spans="1:45" ht="29.4" outlineLevel="1" thickBot="1">
      <c r="B98" s="560" t="s">
        <v>708</v>
      </c>
      <c r="C98" s="566">
        <v>15</v>
      </c>
      <c r="D98" s="566">
        <v>15</v>
      </c>
      <c r="E98" s="566">
        <v>15</v>
      </c>
      <c r="F98" s="566">
        <v>15</v>
      </c>
      <c r="G98" s="567"/>
      <c r="H98" s="567"/>
      <c r="I98" s="567"/>
      <c r="J98" s="567"/>
      <c r="K98" s="563"/>
      <c r="L98" s="564">
        <v>3</v>
      </c>
      <c r="M98" s="423"/>
      <c r="N98" s="423"/>
      <c r="P98" s="1029"/>
      <c r="Q98" s="471" t="s">
        <v>870</v>
      </c>
      <c r="R98" s="472" t="s">
        <v>871</v>
      </c>
      <c r="S98" s="690" t="s">
        <v>863</v>
      </c>
      <c r="T98" s="476">
        <v>1</v>
      </c>
      <c r="U98" s="475">
        <v>1</v>
      </c>
      <c r="V98" s="476">
        <v>1</v>
      </c>
      <c r="W98" s="475">
        <v>1</v>
      </c>
      <c r="X98" s="476">
        <v>1</v>
      </c>
      <c r="Y98" s="475">
        <v>1</v>
      </c>
      <c r="Z98" s="476">
        <v>1</v>
      </c>
      <c r="AA98" s="475">
        <v>1</v>
      </c>
      <c r="AB98" s="476">
        <v>1</v>
      </c>
      <c r="AC98" s="477">
        <v>1</v>
      </c>
      <c r="AD98" s="476">
        <v>1</v>
      </c>
      <c r="AE98" s="477">
        <f>AC98</f>
        <v>1</v>
      </c>
      <c r="AF98" s="1029"/>
      <c r="AG98" s="471" t="s">
        <v>870</v>
      </c>
      <c r="AH98" s="871" t="s">
        <v>871</v>
      </c>
      <c r="AI98" s="872" t="s">
        <v>863</v>
      </c>
      <c r="AJ98" s="476">
        <v>1</v>
      </c>
      <c r="AK98" s="475">
        <v>1</v>
      </c>
      <c r="AL98" s="476">
        <v>1</v>
      </c>
      <c r="AM98" s="475">
        <v>1</v>
      </c>
      <c r="AN98" s="476">
        <v>1</v>
      </c>
      <c r="AO98" s="475">
        <v>1</v>
      </c>
      <c r="AP98" s="476">
        <v>1</v>
      </c>
      <c r="AQ98" s="475">
        <v>1</v>
      </c>
      <c r="AR98" s="476">
        <v>1</v>
      </c>
      <c r="AS98" s="477">
        <v>1</v>
      </c>
    </row>
    <row r="99" spans="1:45" outlineLevel="1">
      <c r="B99" s="560" t="s">
        <v>709</v>
      </c>
      <c r="C99" s="566">
        <v>0.1</v>
      </c>
      <c r="D99" s="566">
        <v>0.1</v>
      </c>
      <c r="E99" s="566">
        <v>0.1</v>
      </c>
      <c r="F99" s="566">
        <v>0.1</v>
      </c>
      <c r="G99" s="569"/>
      <c r="H99" s="569"/>
      <c r="I99" s="569"/>
      <c r="J99" s="569"/>
      <c r="K99" s="570"/>
      <c r="L99" s="564">
        <v>3</v>
      </c>
      <c r="M99" s="423"/>
      <c r="N99" s="423"/>
    </row>
    <row r="100" spans="1:45" outlineLevel="1">
      <c r="B100" s="560" t="s">
        <v>711</v>
      </c>
      <c r="C100" s="566">
        <v>0.4</v>
      </c>
      <c r="D100" s="566">
        <v>0.4</v>
      </c>
      <c r="E100" s="566">
        <v>0.4</v>
      </c>
      <c r="F100" s="566">
        <v>0.4</v>
      </c>
      <c r="G100" s="569"/>
      <c r="H100" s="569"/>
      <c r="I100" s="569"/>
      <c r="J100" s="569"/>
      <c r="K100" s="570"/>
      <c r="L100" s="564">
        <v>3</v>
      </c>
      <c r="M100" s="480"/>
      <c r="N100" s="423"/>
    </row>
    <row r="101" spans="1:45" outlineLevel="1">
      <c r="B101" s="481" t="s">
        <v>12</v>
      </c>
      <c r="C101" s="459"/>
      <c r="D101" s="459"/>
      <c r="E101" s="459"/>
      <c r="F101" s="459"/>
      <c r="G101" s="482"/>
      <c r="H101" s="482"/>
      <c r="I101" s="482"/>
      <c r="J101" s="482"/>
      <c r="K101" s="483"/>
      <c r="L101" s="484"/>
      <c r="M101" s="480"/>
      <c r="N101" s="480"/>
    </row>
    <row r="102" spans="1:45" outlineLevel="1">
      <c r="B102" s="443" t="s">
        <v>968</v>
      </c>
      <c r="C102" s="878">
        <v>8</v>
      </c>
      <c r="D102" s="878">
        <v>8</v>
      </c>
      <c r="E102" s="878">
        <v>8</v>
      </c>
      <c r="F102" s="878">
        <v>8</v>
      </c>
      <c r="G102" s="482"/>
      <c r="H102" s="485"/>
      <c r="I102" s="485"/>
      <c r="J102" s="485"/>
      <c r="K102" s="486" t="s">
        <v>20</v>
      </c>
      <c r="L102" s="487" t="s">
        <v>873</v>
      </c>
      <c r="M102" s="488"/>
      <c r="N102" s="488"/>
    </row>
    <row r="103" spans="1:45" outlineLevel="1">
      <c r="B103" s="443" t="s">
        <v>874</v>
      </c>
      <c r="C103" s="878">
        <v>2.1</v>
      </c>
      <c r="D103" s="878">
        <v>2.1</v>
      </c>
      <c r="E103" s="878">
        <v>2.1</v>
      </c>
      <c r="F103" s="878">
        <v>2.1</v>
      </c>
      <c r="G103" s="485"/>
      <c r="H103" s="485"/>
      <c r="I103" s="485"/>
      <c r="J103" s="485"/>
      <c r="K103" s="483"/>
      <c r="L103" s="487">
        <v>9</v>
      </c>
      <c r="M103" s="488"/>
      <c r="N103" s="488"/>
    </row>
    <row r="104" spans="1:45" outlineLevel="1">
      <c r="B104" s="443" t="s">
        <v>969</v>
      </c>
      <c r="C104" s="457">
        <v>35</v>
      </c>
      <c r="D104" s="457">
        <v>35</v>
      </c>
      <c r="E104" s="457">
        <v>35</v>
      </c>
      <c r="F104" s="457">
        <v>35</v>
      </c>
      <c r="G104" s="485"/>
      <c r="H104" s="485"/>
      <c r="I104" s="485"/>
      <c r="J104" s="485"/>
      <c r="K104" s="483"/>
      <c r="L104" s="487" t="s">
        <v>873</v>
      </c>
      <c r="M104" s="488"/>
      <c r="N104" s="488"/>
    </row>
    <row r="105" spans="1:45" outlineLevel="1">
      <c r="B105" s="443" t="s">
        <v>366</v>
      </c>
      <c r="C105" s="878">
        <v>1.5</v>
      </c>
      <c r="D105" s="878">
        <v>1.5</v>
      </c>
      <c r="E105" s="878">
        <v>1.5</v>
      </c>
      <c r="F105" s="878">
        <v>1.5</v>
      </c>
      <c r="G105" s="485"/>
      <c r="H105" s="485"/>
      <c r="I105" s="485"/>
      <c r="J105" s="485"/>
      <c r="K105" s="483"/>
      <c r="L105" s="487" t="s">
        <v>873</v>
      </c>
      <c r="M105" s="488"/>
      <c r="N105" s="488"/>
    </row>
    <row r="106" spans="1:45" ht="15" outlineLevel="1" thickBot="1">
      <c r="B106" s="489" t="s">
        <v>367</v>
      </c>
      <c r="C106" s="870">
        <v>0.8</v>
      </c>
      <c r="D106" s="870">
        <v>0.8</v>
      </c>
      <c r="E106" s="870">
        <v>0.8</v>
      </c>
      <c r="F106" s="870">
        <v>0.8</v>
      </c>
      <c r="G106" s="485"/>
      <c r="H106" s="485"/>
      <c r="I106" s="485"/>
      <c r="J106" s="485"/>
      <c r="K106" s="483"/>
      <c r="L106" s="487" t="s">
        <v>873</v>
      </c>
      <c r="M106" s="488"/>
      <c r="N106" s="488"/>
    </row>
    <row r="107" spans="1:45" ht="15" outlineLevel="1" thickBot="1">
      <c r="B107" s="491" t="s">
        <v>719</v>
      </c>
      <c r="C107" s="492"/>
      <c r="D107" s="463"/>
      <c r="E107" s="463"/>
      <c r="F107" s="493"/>
      <c r="G107" s="494"/>
      <c r="H107" s="466"/>
      <c r="I107" s="466"/>
      <c r="J107" s="466"/>
      <c r="K107" s="467"/>
      <c r="L107" s="468"/>
      <c r="M107" s="488"/>
      <c r="N107" s="488"/>
    </row>
    <row r="108" spans="1:45" ht="14.7" customHeight="1" outlineLevel="1">
      <c r="A108" s="495"/>
      <c r="B108" s="496" t="s">
        <v>1217</v>
      </c>
      <c r="C108" s="611">
        <f>0.5</f>
        <v>0.5</v>
      </c>
      <c r="D108" s="707">
        <f t="shared" ref="D108:F108" si="6">0.5</f>
        <v>0.5</v>
      </c>
      <c r="E108" s="707">
        <f t="shared" si="6"/>
        <v>0.5</v>
      </c>
      <c r="F108" s="708">
        <f t="shared" si="6"/>
        <v>0.5</v>
      </c>
      <c r="G108" s="485"/>
      <c r="H108" s="485"/>
      <c r="I108" s="485"/>
      <c r="J108" s="485"/>
      <c r="K108" s="486" t="s">
        <v>1222</v>
      </c>
      <c r="L108" s="500" t="s">
        <v>878</v>
      </c>
      <c r="M108" s="480"/>
      <c r="N108" s="480"/>
    </row>
    <row r="109" spans="1:45" outlineLevel="1">
      <c r="B109" s="501" t="s">
        <v>879</v>
      </c>
      <c r="C109" s="502">
        <v>60</v>
      </c>
      <c r="D109" s="503">
        <v>60</v>
      </c>
      <c r="E109" s="503">
        <v>60</v>
      </c>
      <c r="F109" s="503">
        <v>60</v>
      </c>
      <c r="G109" s="485"/>
      <c r="H109" s="485"/>
      <c r="I109" s="485"/>
      <c r="J109" s="485"/>
      <c r="K109" s="504"/>
      <c r="L109" s="433">
        <v>3</v>
      </c>
      <c r="M109" s="71"/>
      <c r="N109" s="480"/>
    </row>
    <row r="110" spans="1:45" outlineLevel="1">
      <c r="B110" s="501" t="s">
        <v>880</v>
      </c>
      <c r="C110" s="502">
        <f>100-C109</f>
        <v>40</v>
      </c>
      <c r="D110" s="502">
        <f>100-D109</f>
        <v>40</v>
      </c>
      <c r="E110" s="502">
        <f>100-E109</f>
        <v>40</v>
      </c>
      <c r="F110" s="502">
        <f>100-F109</f>
        <v>40</v>
      </c>
      <c r="G110" s="485"/>
      <c r="H110" s="485"/>
      <c r="I110" s="485"/>
      <c r="J110" s="485"/>
      <c r="K110" s="504"/>
      <c r="L110" s="433">
        <v>3</v>
      </c>
      <c r="M110" s="480"/>
      <c r="N110" s="480"/>
    </row>
    <row r="111" spans="1:45" outlineLevel="1">
      <c r="B111" s="443" t="s">
        <v>966</v>
      </c>
      <c r="C111" s="662">
        <v>33700</v>
      </c>
      <c r="D111" s="663">
        <v>32600</v>
      </c>
      <c r="E111" s="663">
        <f>(D111+F111)/2</f>
        <v>31600</v>
      </c>
      <c r="F111" s="664">
        <v>30600</v>
      </c>
      <c r="G111" s="485"/>
      <c r="H111" s="485"/>
      <c r="I111" s="485"/>
      <c r="J111" s="485"/>
      <c r="K111" s="508"/>
      <c r="L111" s="433">
        <v>3</v>
      </c>
      <c r="M111" s="480"/>
      <c r="N111" s="480"/>
    </row>
    <row r="112" spans="1:45" outlineLevel="1">
      <c r="B112" s="443" t="s">
        <v>724</v>
      </c>
      <c r="C112" s="509">
        <f>C113+C114</f>
        <v>1.903</v>
      </c>
      <c r="D112" s="509">
        <f t="shared" ref="D112:F112" si="7">D113+D114</f>
        <v>1.9250000000000003</v>
      </c>
      <c r="E112" s="509">
        <f t="shared" si="7"/>
        <v>1.9360000000000002</v>
      </c>
      <c r="F112" s="509">
        <f t="shared" si="7"/>
        <v>1.9360000000000002</v>
      </c>
      <c r="G112" s="485"/>
      <c r="H112" s="485"/>
      <c r="I112" s="485"/>
      <c r="J112" s="485"/>
      <c r="K112" s="508"/>
      <c r="L112" s="433">
        <v>3</v>
      </c>
      <c r="M112" s="754"/>
      <c r="N112" s="753"/>
      <c r="P112" s="999">
        <f>C112</f>
        <v>1.903</v>
      </c>
      <c r="Q112" s="977"/>
      <c r="R112" s="977"/>
      <c r="S112" s="977"/>
      <c r="T112" s="977"/>
      <c r="U112" s="1000"/>
    </row>
    <row r="113" spans="2:30" ht="15" outlineLevel="1" thickBot="1">
      <c r="B113" s="560" t="s">
        <v>883</v>
      </c>
      <c r="C113" s="574">
        <f>C92/100*73</f>
        <v>0.80300000000000005</v>
      </c>
      <c r="D113" s="574">
        <f>D92/100*75</f>
        <v>0.82500000000000007</v>
      </c>
      <c r="E113" s="574">
        <f>E92/100*76</f>
        <v>0.83600000000000008</v>
      </c>
      <c r="F113" s="574">
        <f>F92/100*76</f>
        <v>0.83600000000000008</v>
      </c>
      <c r="G113" s="575"/>
      <c r="H113" s="575"/>
      <c r="I113" s="575"/>
      <c r="J113" s="575"/>
      <c r="K113" s="563" t="s">
        <v>33</v>
      </c>
      <c r="L113" s="564">
        <v>3</v>
      </c>
      <c r="M113" s="754"/>
      <c r="N113" s="753"/>
      <c r="P113" s="1001">
        <f>C113</f>
        <v>0.80300000000000005</v>
      </c>
      <c r="Q113" s="1002"/>
      <c r="R113" s="1002"/>
      <c r="S113" s="1002"/>
      <c r="T113" s="1002"/>
      <c r="U113" s="1003"/>
    </row>
    <row r="114" spans="2:30" outlineLevel="1">
      <c r="B114" s="560" t="s">
        <v>884</v>
      </c>
      <c r="C114" s="576">
        <v>1.1000000000000001</v>
      </c>
      <c r="D114" s="576">
        <v>1.1000000000000001</v>
      </c>
      <c r="E114" s="576">
        <v>1.1000000000000001</v>
      </c>
      <c r="F114" s="576">
        <v>1.1000000000000001</v>
      </c>
      <c r="G114" s="575"/>
      <c r="H114" s="575"/>
      <c r="I114" s="575"/>
      <c r="J114" s="575"/>
      <c r="K114" s="577"/>
      <c r="L114" s="564">
        <v>3</v>
      </c>
      <c r="M114" s="423"/>
      <c r="N114" s="423"/>
      <c r="P114" s="53" t="s">
        <v>357</v>
      </c>
    </row>
    <row r="115" spans="2:30" ht="27.6" outlineLevel="1">
      <c r="B115" s="501"/>
      <c r="C115" s="578"/>
      <c r="D115" s="578"/>
      <c r="E115" s="578"/>
      <c r="F115" s="578"/>
      <c r="G115" s="485"/>
      <c r="H115" s="485"/>
      <c r="I115" s="485"/>
      <c r="J115" s="485"/>
      <c r="K115" s="504"/>
      <c r="L115" s="484"/>
      <c r="M115" s="427"/>
      <c r="N115" s="42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79"/>
      <c r="C116" s="687"/>
      <c r="D116" s="879"/>
      <c r="E116" s="879"/>
      <c r="F116" s="880"/>
      <c r="G116" s="485"/>
      <c r="H116" s="485"/>
      <c r="I116" s="485"/>
      <c r="J116" s="485"/>
      <c r="K116" s="508"/>
      <c r="L116" s="484"/>
      <c r="M116" s="423"/>
      <c r="N116" s="423"/>
      <c r="P116" s="50"/>
      <c r="Q116" s="50"/>
      <c r="R116" s="51"/>
      <c r="S116" s="51"/>
      <c r="T116" s="51"/>
      <c r="U116" s="51" t="s">
        <v>885</v>
      </c>
      <c r="V116" s="50" t="s">
        <v>886</v>
      </c>
      <c r="W116" s="50"/>
      <c r="X116" s="50"/>
      <c r="Y116" s="50"/>
      <c r="Z116" s="50"/>
      <c r="AA116" s="50"/>
      <c r="AB116" s="50"/>
      <c r="AC116" s="50"/>
      <c r="AD116" s="50"/>
    </row>
    <row r="117" spans="2:30" ht="43.8" outlineLevel="1" thickBot="1">
      <c r="B117" s="461" t="s">
        <v>727</v>
      </c>
      <c r="C117" s="462"/>
      <c r="D117" s="463"/>
      <c r="E117" s="464"/>
      <c r="F117" s="465"/>
      <c r="G117" s="466"/>
      <c r="H117" s="466"/>
      <c r="I117" s="466"/>
      <c r="J117" s="466"/>
      <c r="K117" s="519"/>
      <c r="L117" s="520"/>
      <c r="M117" s="423"/>
      <c r="N117" s="423"/>
      <c r="O117" s="521" t="s">
        <v>857</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82" t="s">
        <v>887</v>
      </c>
      <c r="C118" s="730">
        <v>3.5000000000000003E-2</v>
      </c>
      <c r="D118" s="730">
        <v>0.03</v>
      </c>
      <c r="E118" s="730">
        <v>0.03</v>
      </c>
      <c r="F118" s="730">
        <v>0.03</v>
      </c>
      <c r="G118" s="584"/>
      <c r="H118" s="584"/>
      <c r="I118" s="584"/>
      <c r="J118" s="584"/>
      <c r="K118" s="584" t="s">
        <v>51</v>
      </c>
      <c r="L118" s="585"/>
      <c r="M118" s="423"/>
      <c r="N118" s="423"/>
      <c r="O118" s="525">
        <f>C91</f>
        <v>89</v>
      </c>
      <c r="P118" s="526">
        <f>C87</f>
        <v>2020</v>
      </c>
      <c r="Q118" s="58">
        <f>P118</f>
        <v>2020</v>
      </c>
      <c r="R118" s="526">
        <f>O118/100</f>
        <v>0.89</v>
      </c>
      <c r="S118" s="58"/>
      <c r="T118" s="526">
        <f>C95</f>
        <v>25</v>
      </c>
      <c r="U118" s="527">
        <f>C125</f>
        <v>3725</v>
      </c>
      <c r="V118" s="527">
        <f>C127</f>
        <v>251.065</v>
      </c>
      <c r="W118" s="527">
        <f>C128</f>
        <v>3.9381527777777778</v>
      </c>
      <c r="X118" s="58"/>
      <c r="Y118" s="58"/>
      <c r="Z118" s="526">
        <f>C102</f>
        <v>8</v>
      </c>
      <c r="AA118" s="528">
        <f>C104</f>
        <v>35</v>
      </c>
      <c r="AB118" s="528">
        <f>C105</f>
        <v>1.5</v>
      </c>
      <c r="AC118" s="528">
        <f>C106</f>
        <v>0.8</v>
      </c>
      <c r="AD118" s="528">
        <f>C103</f>
        <v>2.1</v>
      </c>
    </row>
    <row r="119" spans="2:30" outlineLevel="1">
      <c r="B119" s="560" t="s">
        <v>888</v>
      </c>
      <c r="C119" s="586" t="s">
        <v>36</v>
      </c>
      <c r="D119" s="587" t="s">
        <v>36</v>
      </c>
      <c r="E119" s="587" t="s">
        <v>36</v>
      </c>
      <c r="F119" s="588" t="s">
        <v>36</v>
      </c>
      <c r="G119" s="588"/>
      <c r="H119" s="588"/>
      <c r="I119" s="588"/>
      <c r="J119" s="588"/>
      <c r="K119" s="589" t="s">
        <v>52</v>
      </c>
      <c r="L119" s="585"/>
      <c r="M119" s="423"/>
      <c r="N119" s="423"/>
      <c r="O119" s="525">
        <f>D91</f>
        <v>89</v>
      </c>
      <c r="P119" s="526">
        <f>D87</f>
        <v>2030</v>
      </c>
      <c r="Q119" s="58"/>
      <c r="R119" s="526">
        <f>O119/100</f>
        <v>0.89</v>
      </c>
      <c r="S119" s="58"/>
      <c r="T119" s="526">
        <f>D95</f>
        <v>25</v>
      </c>
      <c r="U119" s="527">
        <f>D125</f>
        <v>3725</v>
      </c>
      <c r="V119" s="527">
        <f>D127</f>
        <v>242.87</v>
      </c>
      <c r="W119" s="527">
        <f>D128</f>
        <v>3.9836805555555559</v>
      </c>
      <c r="X119" s="58"/>
      <c r="Y119" s="58"/>
      <c r="Z119" s="526">
        <f>D102</f>
        <v>8</v>
      </c>
      <c r="AA119" s="528">
        <f>D104</f>
        <v>35</v>
      </c>
      <c r="AB119" s="528">
        <f>D105</f>
        <v>1.5</v>
      </c>
      <c r="AC119" s="528">
        <f>D106</f>
        <v>0.8</v>
      </c>
      <c r="AD119" s="528">
        <f>D103</f>
        <v>2.1</v>
      </c>
    </row>
    <row r="120" spans="2:30" outlineLevel="1">
      <c r="B120" s="560" t="s">
        <v>889</v>
      </c>
      <c r="C120" s="586" t="s">
        <v>36</v>
      </c>
      <c r="D120" s="587" t="s">
        <v>36</v>
      </c>
      <c r="E120" s="587" t="s">
        <v>36</v>
      </c>
      <c r="F120" s="588" t="s">
        <v>36</v>
      </c>
      <c r="G120" s="575"/>
      <c r="H120" s="575"/>
      <c r="I120" s="575"/>
      <c r="J120" s="575"/>
      <c r="K120" s="575"/>
      <c r="L120" s="564"/>
      <c r="M120" s="423"/>
      <c r="N120" s="423"/>
      <c r="O120" s="525">
        <f>E91</f>
        <v>90</v>
      </c>
      <c r="P120" s="526">
        <f>E87</f>
        <v>2040</v>
      </c>
      <c r="Q120" s="58"/>
      <c r="R120" s="526">
        <f>O120/100</f>
        <v>0.9</v>
      </c>
      <c r="S120" s="58"/>
      <c r="T120" s="526">
        <f>E95</f>
        <v>25</v>
      </c>
      <c r="U120" s="527">
        <f>E125</f>
        <v>3725</v>
      </c>
      <c r="V120" s="527">
        <f>E127</f>
        <v>235.42</v>
      </c>
      <c r="W120" s="527">
        <f>E128</f>
        <v>4.0064444444444449</v>
      </c>
      <c r="X120" s="58"/>
      <c r="Y120" s="58"/>
      <c r="Z120" s="526">
        <f>E102</f>
        <v>8</v>
      </c>
      <c r="AA120" s="528">
        <f>E104</f>
        <v>35</v>
      </c>
      <c r="AB120" s="528">
        <f>E105</f>
        <v>1.5</v>
      </c>
      <c r="AC120" s="528">
        <f>E106</f>
        <v>0.8</v>
      </c>
      <c r="AD120" s="528">
        <f>E103</f>
        <v>2.1</v>
      </c>
    </row>
    <row r="121" spans="2:30" outlineLevel="1">
      <c r="B121" s="560" t="s">
        <v>890</v>
      </c>
      <c r="C121" s="745">
        <v>90</v>
      </c>
      <c r="D121" s="590">
        <v>90</v>
      </c>
      <c r="E121" s="590">
        <v>90</v>
      </c>
      <c r="F121" s="590">
        <v>90</v>
      </c>
      <c r="G121" s="591"/>
      <c r="H121" s="591"/>
      <c r="I121" s="591"/>
      <c r="J121" s="591"/>
      <c r="K121" s="591"/>
      <c r="L121" s="564">
        <v>3</v>
      </c>
      <c r="M121" s="423"/>
      <c r="N121" s="423"/>
      <c r="O121" s="525">
        <f>F91</f>
        <v>91</v>
      </c>
      <c r="P121" s="526">
        <f>F87</f>
        <v>2050</v>
      </c>
      <c r="Q121" s="58"/>
      <c r="R121" s="526">
        <f>O121/100</f>
        <v>0.91</v>
      </c>
      <c r="S121" s="58"/>
      <c r="T121" s="526">
        <f>F95</f>
        <v>25</v>
      </c>
      <c r="U121" s="527">
        <f>F125</f>
        <v>3725</v>
      </c>
      <c r="V121" s="527">
        <f>F127</f>
        <v>227.97</v>
      </c>
      <c r="W121" s="527">
        <f>F128</f>
        <v>4.0064444444444449</v>
      </c>
      <c r="X121" s="58"/>
      <c r="Y121" s="58"/>
      <c r="Z121" s="526">
        <f>F102</f>
        <v>8</v>
      </c>
      <c r="AA121" s="528">
        <f>F104</f>
        <v>35</v>
      </c>
      <c r="AB121" s="528">
        <f>F105</f>
        <v>1.5</v>
      </c>
      <c r="AC121" s="528">
        <f>F106</f>
        <v>0.8</v>
      </c>
      <c r="AD121" s="528">
        <f>F103</f>
        <v>2.1</v>
      </c>
    </row>
    <row r="122" spans="2:30" outlineLevel="1">
      <c r="B122" s="592" t="s">
        <v>891</v>
      </c>
      <c r="C122" s="586"/>
      <c r="D122" s="587"/>
      <c r="E122" s="587"/>
      <c r="F122" s="588"/>
      <c r="G122" s="591"/>
      <c r="H122" s="591"/>
      <c r="I122" s="591"/>
      <c r="J122" s="591"/>
      <c r="K122" s="591"/>
      <c r="L122" s="593"/>
      <c r="M122" s="427"/>
      <c r="N122" s="427"/>
    </row>
    <row r="123" spans="2:30" outlineLevel="1">
      <c r="B123" s="592" t="s">
        <v>892</v>
      </c>
      <c r="C123" s="586"/>
      <c r="D123" s="587"/>
      <c r="E123" s="587"/>
      <c r="F123" s="588"/>
      <c r="G123" s="591"/>
      <c r="H123" s="591"/>
      <c r="I123" s="591"/>
      <c r="J123" s="591"/>
      <c r="K123" s="591"/>
      <c r="L123" s="593"/>
      <c r="M123" s="423"/>
      <c r="N123" s="423"/>
    </row>
    <row r="124" spans="2:30" ht="15" outlineLevel="1" thickBot="1">
      <c r="B124" s="594" t="s">
        <v>893</v>
      </c>
      <c r="C124" s="595"/>
      <c r="D124" s="596"/>
      <c r="E124" s="596"/>
      <c r="F124" s="597"/>
      <c r="G124" s="598"/>
      <c r="H124" s="598"/>
      <c r="I124" s="598"/>
      <c r="J124" s="598"/>
      <c r="K124" s="598"/>
      <c r="L124" s="599"/>
      <c r="M124" s="423"/>
      <c r="N124" s="423"/>
    </row>
    <row r="125" spans="2:30" ht="57.6" outlineLevel="1">
      <c r="B125" s="521" t="s">
        <v>894</v>
      </c>
      <c r="C125" s="543">
        <f>C108*$F$4*1000</f>
        <v>3725</v>
      </c>
      <c r="D125" s="543">
        <f t="shared" ref="D125:F125" si="8">D108*$F$4*1000</f>
        <v>3725</v>
      </c>
      <c r="E125" s="543">
        <f t="shared" si="8"/>
        <v>3725</v>
      </c>
      <c r="F125" s="543">
        <f t="shared" si="8"/>
        <v>3725</v>
      </c>
      <c r="G125" s="543"/>
      <c r="H125" s="544"/>
      <c r="I125" s="480" t="s">
        <v>332</v>
      </c>
      <c r="J125" s="480"/>
      <c r="K125" s="544"/>
      <c r="L125" s="544"/>
      <c r="N125" s="480"/>
    </row>
    <row r="126" spans="2:30" outlineLevel="1">
      <c r="B126" s="545" t="s">
        <v>895</v>
      </c>
      <c r="C126" s="546">
        <f>C125*$I126</f>
        <v>1862500</v>
      </c>
      <c r="D126" s="546">
        <f>D125*$I126</f>
        <v>1862500</v>
      </c>
      <c r="E126" s="546">
        <f>E125*$I126</f>
        <v>1862500</v>
      </c>
      <c r="F126" s="546">
        <f>F125*$I126</f>
        <v>1862500</v>
      </c>
      <c r="G126" s="546"/>
      <c r="H126" s="544"/>
      <c r="I126" s="71">
        <v>500</v>
      </c>
      <c r="J126" s="480" t="s">
        <v>330</v>
      </c>
      <c r="K126" s="544"/>
      <c r="L126" s="544"/>
      <c r="N126" s="480"/>
    </row>
    <row r="127" spans="2:30" ht="43.2" outlineLevel="1">
      <c r="B127" s="521" t="s">
        <v>970</v>
      </c>
      <c r="C127" s="419">
        <f>C111*$F$4/1000</f>
        <v>251.065</v>
      </c>
      <c r="D127" s="419">
        <f t="shared" ref="D127:F127" si="9">D111*$F$4/1000</f>
        <v>242.87</v>
      </c>
      <c r="E127" s="419">
        <f t="shared" si="9"/>
        <v>235.42</v>
      </c>
      <c r="F127" s="419">
        <f t="shared" si="9"/>
        <v>227.97</v>
      </c>
      <c r="G127" s="419"/>
      <c r="I127" s="480" t="s">
        <v>333</v>
      </c>
      <c r="J127" s="480"/>
      <c r="N127" s="480"/>
    </row>
    <row r="128" spans="2:30" ht="43.2" outlineLevel="1">
      <c r="B128" s="521" t="s">
        <v>971</v>
      </c>
      <c r="C128" s="547">
        <f>C112*$F$4/3.6</f>
        <v>3.9381527777777778</v>
      </c>
      <c r="D128" s="547">
        <f t="shared" ref="D128:F128" si="10">D112*$F$4/3.6</f>
        <v>3.9836805555555559</v>
      </c>
      <c r="E128" s="547">
        <f t="shared" si="10"/>
        <v>4.0064444444444449</v>
      </c>
      <c r="F128" s="547">
        <f t="shared" si="10"/>
        <v>4.0064444444444449</v>
      </c>
      <c r="G128" s="419"/>
      <c r="M128" s="480"/>
      <c r="N128" s="480"/>
    </row>
    <row r="129" spans="2:6" outlineLevel="1"/>
    <row r="130" spans="2:6" outlineLevel="1"/>
    <row r="131" spans="2:6" outlineLevel="1"/>
    <row r="132" spans="2:6" outlineLevel="1">
      <c r="B132" s="548" t="s">
        <v>898</v>
      </c>
      <c r="C132" s="549"/>
      <c r="E132" s="549"/>
      <c r="F132" s="549"/>
    </row>
    <row r="133" spans="2:6" outlineLevel="1">
      <c r="B133" s="551">
        <v>1</v>
      </c>
      <c r="C133" s="552" t="s">
        <v>899</v>
      </c>
      <c r="E133" s="549"/>
      <c r="F133" s="549"/>
    </row>
    <row r="134" spans="2:6" outlineLevel="1">
      <c r="B134" s="551">
        <v>2</v>
      </c>
      <c r="C134" s="553" t="s">
        <v>900</v>
      </c>
      <c r="E134" s="549"/>
      <c r="F134" s="549"/>
    </row>
    <row r="135" spans="2:6" outlineLevel="1">
      <c r="B135" s="551">
        <v>3</v>
      </c>
      <c r="C135" s="553" t="s">
        <v>901</v>
      </c>
      <c r="E135" s="549"/>
      <c r="F135" s="549"/>
    </row>
    <row r="136" spans="2:6" outlineLevel="1">
      <c r="B136" s="551">
        <v>4</v>
      </c>
      <c r="C136" s="553" t="s">
        <v>902</v>
      </c>
      <c r="E136" s="549"/>
      <c r="F136" s="549"/>
    </row>
    <row r="137" spans="2:6" outlineLevel="1">
      <c r="B137" s="417">
        <v>5</v>
      </c>
      <c r="C137" s="554" t="s">
        <v>903</v>
      </c>
      <c r="E137" s="549"/>
      <c r="F137" s="549"/>
    </row>
    <row r="138" spans="2:6" outlineLevel="1">
      <c r="B138" s="417">
        <v>6</v>
      </c>
      <c r="C138" s="552" t="s">
        <v>904</v>
      </c>
      <c r="E138" s="549"/>
      <c r="F138" s="549"/>
    </row>
    <row r="139" spans="2:6" outlineLevel="1">
      <c r="B139" s="417">
        <v>7</v>
      </c>
      <c r="C139" s="555" t="s">
        <v>899</v>
      </c>
      <c r="E139" s="549"/>
      <c r="F139" s="549"/>
    </row>
    <row r="140" spans="2:6" outlineLevel="1">
      <c r="B140" s="417">
        <v>8</v>
      </c>
      <c r="C140" s="555" t="s">
        <v>905</v>
      </c>
      <c r="E140" s="549"/>
      <c r="F140" s="549"/>
    </row>
    <row r="141" spans="2:6" outlineLevel="1">
      <c r="B141" s="417">
        <v>9</v>
      </c>
      <c r="C141" s="549" t="s">
        <v>906</v>
      </c>
      <c r="E141" s="549"/>
      <c r="F141" s="549"/>
    </row>
    <row r="142" spans="2:6" outlineLevel="1">
      <c r="B142" s="417">
        <v>10</v>
      </c>
      <c r="C142" s="550" t="s">
        <v>907</v>
      </c>
      <c r="E142" s="549"/>
      <c r="F142" s="549"/>
    </row>
    <row r="143" spans="2:6" outlineLevel="1">
      <c r="B143" s="548" t="s">
        <v>908</v>
      </c>
      <c r="C143" s="549"/>
      <c r="E143" s="549"/>
      <c r="F143" s="549"/>
    </row>
    <row r="144" spans="2:6" outlineLevel="1">
      <c r="B144" s="556" t="s">
        <v>6</v>
      </c>
      <c r="C144" s="549" t="s">
        <v>1218</v>
      </c>
      <c r="D144" s="549"/>
      <c r="F144" s="549"/>
    </row>
    <row r="145" spans="2:6" outlineLevel="1">
      <c r="B145" s="556" t="s">
        <v>59</v>
      </c>
      <c r="C145" s="549" t="s">
        <v>1101</v>
      </c>
      <c r="D145" s="549"/>
      <c r="F145" s="549"/>
    </row>
    <row r="146" spans="2:6" outlineLevel="1">
      <c r="B146" s="556" t="s">
        <v>16</v>
      </c>
      <c r="C146" s="549" t="s">
        <v>1219</v>
      </c>
      <c r="D146" s="549"/>
      <c r="F146" s="549"/>
    </row>
    <row r="147" spans="2:6" outlineLevel="1">
      <c r="B147" s="556" t="s">
        <v>20</v>
      </c>
      <c r="C147" s="549" t="s">
        <v>911</v>
      </c>
      <c r="D147" s="549"/>
      <c r="F147" s="549"/>
    </row>
    <row r="148" spans="2:6" outlineLevel="1">
      <c r="B148" s="556" t="s">
        <v>76</v>
      </c>
      <c r="C148" s="549" t="s">
        <v>1103</v>
      </c>
      <c r="D148" s="549"/>
      <c r="F148" s="549"/>
    </row>
    <row r="149" spans="2:6" outlineLevel="1">
      <c r="B149" s="556" t="s">
        <v>25</v>
      </c>
      <c r="C149" s="549" t="s">
        <v>1104</v>
      </c>
      <c r="D149" s="549"/>
      <c r="F149" s="550"/>
    </row>
    <row r="150" spans="2:6" outlineLevel="1">
      <c r="B150" s="556" t="s">
        <v>33</v>
      </c>
      <c r="C150" s="558" t="s">
        <v>913</v>
      </c>
      <c r="D150" s="549"/>
      <c r="F150" s="881"/>
    </row>
    <row r="151" spans="2:6" outlineLevel="1">
      <c r="B151" s="556" t="s">
        <v>51</v>
      </c>
      <c r="C151" s="549" t="s">
        <v>929</v>
      </c>
      <c r="D151" s="549"/>
      <c r="F151" s="882"/>
    </row>
    <row r="152" spans="2:6" outlineLevel="1">
      <c r="B152" s="556" t="s">
        <v>52</v>
      </c>
      <c r="C152" s="549" t="s">
        <v>914</v>
      </c>
      <c r="D152" s="549"/>
    </row>
    <row r="153" spans="2:6" outlineLevel="1">
      <c r="B153" s="556"/>
      <c r="C153" s="558"/>
      <c r="E153" s="550"/>
      <c r="F153" s="550"/>
    </row>
    <row r="154" spans="2:6" outlineLevel="1">
      <c r="B154" s="556"/>
      <c r="C154" s="549"/>
      <c r="E154" s="550"/>
      <c r="F154" s="550"/>
    </row>
    <row r="155" spans="2:6" outlineLevel="1">
      <c r="E155" s="550"/>
      <c r="F155" s="550"/>
    </row>
    <row r="156" spans="2:6" outlineLevel="1">
      <c r="B156" s="556"/>
      <c r="E156" s="550"/>
      <c r="F156" s="550"/>
    </row>
    <row r="157" spans="2:6" outlineLevel="1">
      <c r="B157" s="556"/>
      <c r="E157" s="550"/>
      <c r="F157" s="550"/>
    </row>
    <row r="158" spans="2:6" outlineLevel="1">
      <c r="B158" s="556"/>
      <c r="C158" s="549"/>
      <c r="E158" s="550"/>
      <c r="F158" s="550"/>
    </row>
    <row r="159" spans="2:6" outlineLevel="1">
      <c r="B159" s="556"/>
      <c r="C159" s="549"/>
      <c r="E159" s="550"/>
      <c r="F159" s="550"/>
    </row>
    <row r="160" spans="2:6" outlineLevel="1">
      <c r="B160" s="556"/>
      <c r="C160" s="549"/>
      <c r="E160" s="550"/>
      <c r="F160" s="550"/>
    </row>
    <row r="161" spans="1:44" outlineLevel="1"/>
    <row r="162" spans="1:44" outlineLevel="1">
      <c r="M162" s="226"/>
    </row>
    <row r="163" spans="1:44" outlineLevel="1"/>
    <row r="166" spans="1:44">
      <c r="A166" s="420"/>
      <c r="B166" s="976"/>
      <c r="C166" s="977"/>
      <c r="D166" s="977"/>
      <c r="E166" s="977"/>
      <c r="F166" s="977"/>
      <c r="G166" s="977"/>
      <c r="H166" s="977"/>
      <c r="I166" s="977"/>
      <c r="J166" s="977"/>
      <c r="K166" s="977"/>
      <c r="L166" s="977"/>
      <c r="M166" s="977"/>
      <c r="N166" s="753"/>
      <c r="P166" s="977"/>
      <c r="Q166" s="977"/>
      <c r="R166" s="977"/>
      <c r="S166" s="977"/>
      <c r="T166" s="977"/>
      <c r="U166" s="977"/>
    </row>
    <row r="167" spans="1:44" ht="15" outlineLevel="1" thickBot="1">
      <c r="B167" s="976"/>
      <c r="C167" s="977"/>
      <c r="D167" s="977"/>
      <c r="E167" s="977"/>
      <c r="F167" s="977"/>
      <c r="G167" s="977"/>
      <c r="H167" s="977"/>
      <c r="I167" s="977"/>
      <c r="J167" s="977"/>
      <c r="K167" s="977"/>
      <c r="L167" s="977"/>
      <c r="M167" s="977"/>
      <c r="N167" s="753"/>
      <c r="P167" s="752"/>
      <c r="Q167" s="752"/>
      <c r="R167" s="752"/>
      <c r="S167" s="752"/>
      <c r="T167" s="752"/>
      <c r="U167" s="752"/>
      <c r="V167" s="752"/>
      <c r="W167" s="752"/>
      <c r="X167" s="752"/>
      <c r="Y167" s="752"/>
      <c r="Z167" s="752"/>
      <c r="AA167" s="752"/>
      <c r="AB167" s="752"/>
      <c r="AC167" s="752"/>
    </row>
    <row r="168" spans="1:44" ht="20.7" customHeight="1" outlineLevel="1" thickBot="1">
      <c r="B168" s="422"/>
      <c r="C168" s="1018"/>
      <c r="D168" s="1019"/>
      <c r="E168" s="1019"/>
      <c r="F168" s="1019"/>
      <c r="G168" s="1019"/>
      <c r="H168" s="1019"/>
      <c r="I168" s="1019"/>
      <c r="J168" s="1019"/>
      <c r="K168" s="1019"/>
      <c r="L168" s="1020"/>
      <c r="M168" s="423"/>
      <c r="N168" s="423"/>
      <c r="P168" s="424"/>
      <c r="Q168" s="425"/>
      <c r="R168" s="426"/>
      <c r="S168" s="985"/>
      <c r="T168" s="989"/>
      <c r="U168" s="990"/>
      <c r="V168" s="989"/>
      <c r="W168" s="990"/>
      <c r="X168" s="989"/>
      <c r="Y168" s="990"/>
      <c r="Z168" s="989"/>
      <c r="AA168" s="990"/>
      <c r="AB168" s="989"/>
      <c r="AC168" s="990"/>
      <c r="AE168" s="424"/>
      <c r="AF168" s="425"/>
      <c r="AG168" s="426"/>
      <c r="AH168" s="985"/>
      <c r="AI168" s="989"/>
      <c r="AJ168" s="990"/>
      <c r="AK168" s="989"/>
      <c r="AL168" s="990"/>
      <c r="AM168" s="989"/>
      <c r="AN168" s="990"/>
      <c r="AO168" s="989"/>
      <c r="AP168" s="990"/>
      <c r="AQ168" s="989"/>
      <c r="AR168" s="990"/>
    </row>
    <row r="169" spans="1:44" ht="15" customHeight="1" outlineLevel="1" thickBot="1">
      <c r="B169" s="1010"/>
      <c r="C169" s="1012"/>
      <c r="D169" s="1012"/>
      <c r="E169" s="1012"/>
      <c r="F169" s="1012"/>
      <c r="G169" s="1014"/>
      <c r="H169" s="1015"/>
      <c r="I169" s="1014"/>
      <c r="J169" s="1015"/>
      <c r="K169" s="1016"/>
      <c r="L169" s="1016"/>
      <c r="M169" s="427"/>
      <c r="N169" s="427"/>
      <c r="P169" s="993"/>
      <c r="Q169" s="428"/>
      <c r="R169" s="428"/>
      <c r="S169" s="986"/>
      <c r="T169" s="991"/>
      <c r="U169" s="992"/>
      <c r="V169" s="991"/>
      <c r="W169" s="992"/>
      <c r="X169" s="991"/>
      <c r="Y169" s="992"/>
      <c r="Z169" s="991"/>
      <c r="AA169" s="992"/>
      <c r="AB169" s="991"/>
      <c r="AC169" s="992"/>
      <c r="AE169" s="993"/>
      <c r="AF169" s="428"/>
      <c r="AG169" s="428"/>
      <c r="AH169" s="986"/>
      <c r="AI169" s="991"/>
      <c r="AJ169" s="992"/>
      <c r="AK169" s="991"/>
      <c r="AL169" s="992"/>
      <c r="AM169" s="991"/>
      <c r="AN169" s="992"/>
      <c r="AO169" s="991"/>
      <c r="AP169" s="992"/>
      <c r="AQ169" s="991"/>
      <c r="AR169" s="992"/>
    </row>
    <row r="170" spans="1:44" ht="15" customHeight="1" outlineLevel="1" thickBot="1">
      <c r="B170" s="1011"/>
      <c r="C170" s="1013"/>
      <c r="D170" s="1013"/>
      <c r="E170" s="1013"/>
      <c r="F170" s="1013"/>
      <c r="G170" s="559"/>
      <c r="H170" s="559"/>
      <c r="I170" s="559"/>
      <c r="J170" s="559"/>
      <c r="K170" s="1017"/>
      <c r="L170" s="1017"/>
      <c r="M170" s="430"/>
      <c r="N170" s="430"/>
      <c r="P170" s="994"/>
      <c r="Q170" s="996"/>
      <c r="R170" s="997"/>
      <c r="S170" s="987"/>
      <c r="T170" s="991"/>
      <c r="U170" s="992"/>
      <c r="V170" s="991"/>
      <c r="W170" s="992"/>
      <c r="X170" s="991"/>
      <c r="Y170" s="992"/>
      <c r="Z170" s="991"/>
      <c r="AA170" s="992"/>
      <c r="AB170" s="991"/>
      <c r="AC170" s="992"/>
      <c r="AE170" s="994"/>
      <c r="AF170" s="1040"/>
      <c r="AG170" s="997"/>
      <c r="AH170" s="987"/>
      <c r="AI170" s="991"/>
      <c r="AJ170" s="992"/>
      <c r="AK170" s="991"/>
      <c r="AL170" s="992"/>
      <c r="AM170" s="991"/>
      <c r="AN170" s="992"/>
      <c r="AO170" s="991"/>
      <c r="AP170" s="992"/>
      <c r="AQ170" s="991"/>
      <c r="AR170" s="992"/>
    </row>
    <row r="171" spans="1:44" ht="15" outlineLevel="1" thickBot="1">
      <c r="B171" s="431"/>
      <c r="C171" s="432"/>
      <c r="D171" s="432"/>
      <c r="E171" s="432"/>
      <c r="F171" s="432"/>
      <c r="G171" s="432"/>
      <c r="H171" s="432"/>
      <c r="I171" s="432"/>
      <c r="J171" s="432"/>
      <c r="K171" s="432"/>
      <c r="L171" s="433"/>
      <c r="M171" s="430"/>
      <c r="N171" s="430"/>
      <c r="O171" s="74"/>
      <c r="P171" s="995"/>
      <c r="Q171" s="988"/>
      <c r="R171" s="998"/>
      <c r="S171" s="988"/>
      <c r="T171" s="434"/>
      <c r="U171" s="435"/>
      <c r="V171" s="434"/>
      <c r="W171" s="435"/>
      <c r="X171" s="434"/>
      <c r="Y171" s="435"/>
      <c r="Z171" s="434"/>
      <c r="AA171" s="435"/>
      <c r="AB171" s="434"/>
      <c r="AC171" s="435"/>
      <c r="AE171" s="995"/>
      <c r="AF171" s="1041"/>
      <c r="AG171" s="998"/>
      <c r="AH171" s="988"/>
      <c r="AI171" s="434"/>
      <c r="AJ171" s="435"/>
      <c r="AK171" s="434"/>
      <c r="AL171" s="435"/>
      <c r="AM171" s="434"/>
      <c r="AN171" s="435"/>
      <c r="AO171" s="434"/>
      <c r="AP171" s="435"/>
      <c r="AQ171" s="434"/>
      <c r="AR171" s="435"/>
    </row>
    <row r="172" spans="1:44" ht="14.7" customHeight="1" outlineLevel="1">
      <c r="B172" s="560"/>
      <c r="C172" s="561"/>
      <c r="D172" s="561"/>
      <c r="E172" s="562"/>
      <c r="F172" s="561"/>
      <c r="G172" s="561"/>
      <c r="H172" s="561"/>
      <c r="I172" s="561"/>
      <c r="J172" s="561"/>
      <c r="K172" s="563"/>
      <c r="L172" s="564"/>
      <c r="M172" s="430"/>
      <c r="N172" s="430"/>
      <c r="P172" s="1042"/>
      <c r="Q172" s="1030"/>
      <c r="R172" s="441"/>
      <c r="S172" s="442"/>
      <c r="T172" s="1033"/>
      <c r="U172" s="1021"/>
      <c r="V172" s="1024"/>
      <c r="W172" s="1021"/>
      <c r="X172" s="1024"/>
      <c r="Y172" s="1021"/>
      <c r="Z172" s="1024"/>
      <c r="AA172" s="1021"/>
      <c r="AB172" s="1024"/>
      <c r="AC172" s="1021"/>
      <c r="AE172" s="1027"/>
      <c r="AF172" s="1030"/>
      <c r="AG172" s="441"/>
      <c r="AH172" s="442"/>
      <c r="AI172" s="1033"/>
      <c r="AJ172" s="1021"/>
      <c r="AK172" s="1024"/>
      <c r="AL172" s="1021"/>
      <c r="AM172" s="1024"/>
      <c r="AN172" s="1021"/>
      <c r="AO172" s="1024"/>
      <c r="AP172" s="1021"/>
      <c r="AQ172" s="1024"/>
      <c r="AR172" s="1021"/>
    </row>
    <row r="173" spans="1:44" outlineLevel="1">
      <c r="B173" s="443"/>
      <c r="C173" s="444"/>
      <c r="D173" s="444"/>
      <c r="E173" s="444"/>
      <c r="F173" s="444"/>
      <c r="G173" s="565"/>
      <c r="H173" s="565"/>
      <c r="I173" s="565"/>
      <c r="J173" s="565"/>
      <c r="K173" s="432"/>
      <c r="L173" s="433"/>
      <c r="M173" s="430"/>
      <c r="N173" s="430"/>
      <c r="O173" s="71"/>
      <c r="P173" s="1028"/>
      <c r="Q173" s="1031"/>
      <c r="R173" s="448"/>
      <c r="S173" s="449"/>
      <c r="T173" s="1034"/>
      <c r="U173" s="1022"/>
      <c r="V173" s="1025"/>
      <c r="W173" s="1022"/>
      <c r="X173" s="1025"/>
      <c r="Y173" s="1022"/>
      <c r="Z173" s="1025"/>
      <c r="AA173" s="1022"/>
      <c r="AB173" s="1025"/>
      <c r="AC173" s="1022"/>
      <c r="AE173" s="1028"/>
      <c r="AF173" s="1031"/>
      <c r="AG173" s="448"/>
      <c r="AH173" s="449"/>
      <c r="AI173" s="1034"/>
      <c r="AJ173" s="1022"/>
      <c r="AK173" s="1025"/>
      <c r="AL173" s="1022"/>
      <c r="AM173" s="1025"/>
      <c r="AN173" s="1022"/>
      <c r="AO173" s="1025"/>
      <c r="AP173" s="1022"/>
      <c r="AQ173" s="1025"/>
      <c r="AR173" s="1022"/>
    </row>
    <row r="174" spans="1:44" ht="15" outlineLevel="1" thickBot="1">
      <c r="B174" s="560"/>
      <c r="C174" s="566"/>
      <c r="D174" s="567"/>
      <c r="E174" s="567"/>
      <c r="F174" s="568"/>
      <c r="G174" s="567"/>
      <c r="H174" s="567"/>
      <c r="I174" s="567"/>
      <c r="J174" s="567"/>
      <c r="K174" s="563"/>
      <c r="L174" s="564"/>
      <c r="M174" s="430"/>
      <c r="N174" s="430"/>
      <c r="O174" s="71"/>
      <c r="P174" s="1028"/>
      <c r="Q174" s="1032"/>
      <c r="R174" s="453"/>
      <c r="S174" s="454"/>
      <c r="T174" s="1035"/>
      <c r="U174" s="1023"/>
      <c r="V174" s="1026"/>
      <c r="W174" s="1023"/>
      <c r="X174" s="1026"/>
      <c r="Y174" s="1023"/>
      <c r="Z174" s="1026"/>
      <c r="AA174" s="1023"/>
      <c r="AB174" s="1026"/>
      <c r="AC174" s="1023"/>
      <c r="AE174" s="1028"/>
      <c r="AF174" s="1032"/>
      <c r="AG174" s="453"/>
      <c r="AH174" s="454"/>
      <c r="AI174" s="1035"/>
      <c r="AJ174" s="1023"/>
      <c r="AK174" s="1026"/>
      <c r="AL174" s="1023"/>
      <c r="AM174" s="1026"/>
      <c r="AN174" s="1023"/>
      <c r="AO174" s="1026"/>
      <c r="AP174" s="1023"/>
      <c r="AQ174" s="1026"/>
      <c r="AR174" s="1023"/>
    </row>
    <row r="175" spans="1:44" ht="14.7" customHeight="1" outlineLevel="1">
      <c r="B175" s="560"/>
      <c r="C175" s="747"/>
      <c r="D175" s="747"/>
      <c r="E175" s="747"/>
      <c r="F175" s="747"/>
      <c r="G175" s="747"/>
      <c r="H175" s="747"/>
      <c r="I175" s="747"/>
      <c r="J175" s="747"/>
      <c r="K175" s="563"/>
      <c r="L175" s="564"/>
      <c r="M175" s="430"/>
      <c r="N175" s="430"/>
      <c r="O175" s="71"/>
      <c r="P175" s="1028"/>
      <c r="Q175" s="1030"/>
      <c r="R175" s="455"/>
      <c r="S175" s="456"/>
      <c r="T175" s="1033"/>
      <c r="U175" s="1033"/>
      <c r="V175" s="1033"/>
      <c r="W175" s="1033"/>
      <c r="X175" s="1033"/>
      <c r="Y175" s="1033"/>
      <c r="Z175" s="1033"/>
      <c r="AA175" s="1033"/>
      <c r="AB175" s="1033"/>
      <c r="AC175" s="1021"/>
      <c r="AE175" s="1028"/>
      <c r="AF175" s="1030"/>
      <c r="AG175" s="455"/>
      <c r="AH175" s="456"/>
      <c r="AI175" s="1033"/>
      <c r="AJ175" s="1033"/>
      <c r="AK175" s="1033"/>
      <c r="AL175" s="1033"/>
      <c r="AM175" s="1033"/>
      <c r="AN175" s="1033"/>
      <c r="AO175" s="1033"/>
      <c r="AP175" s="1033"/>
      <c r="AQ175" s="1033"/>
      <c r="AR175" s="1021"/>
    </row>
    <row r="176" spans="1:44" outlineLevel="1">
      <c r="B176" s="560"/>
      <c r="C176" s="566"/>
      <c r="D176" s="566"/>
      <c r="E176" s="566"/>
      <c r="F176" s="566"/>
      <c r="G176" s="566"/>
      <c r="H176" s="566"/>
      <c r="I176" s="566"/>
      <c r="J176" s="566"/>
      <c r="K176" s="563"/>
      <c r="L176" s="564"/>
      <c r="M176" s="427"/>
      <c r="N176" s="427"/>
      <c r="O176" s="71"/>
      <c r="P176" s="1028"/>
      <c r="Q176" s="1031"/>
      <c r="R176" s="455"/>
      <c r="S176" s="456"/>
      <c r="T176" s="1036"/>
      <c r="U176" s="1036"/>
      <c r="V176" s="1036"/>
      <c r="W176" s="1036"/>
      <c r="X176" s="1036"/>
      <c r="Y176" s="1036"/>
      <c r="Z176" s="1036"/>
      <c r="AA176" s="1036"/>
      <c r="AB176" s="1036"/>
      <c r="AC176" s="1038"/>
      <c r="AE176" s="1028"/>
      <c r="AF176" s="1031"/>
      <c r="AG176" s="455"/>
      <c r="AH176" s="456"/>
      <c r="AI176" s="1036"/>
      <c r="AJ176" s="1036"/>
      <c r="AK176" s="1036"/>
      <c r="AL176" s="1036"/>
      <c r="AM176" s="1036"/>
      <c r="AN176" s="1036"/>
      <c r="AO176" s="1036"/>
      <c r="AP176" s="1036"/>
      <c r="AQ176" s="1036"/>
      <c r="AR176" s="1038"/>
    </row>
    <row r="177" spans="1:44" outlineLevel="1">
      <c r="B177" s="443"/>
      <c r="C177" s="457"/>
      <c r="D177" s="457"/>
      <c r="E177" s="457"/>
      <c r="F177" s="457"/>
      <c r="G177" s="459"/>
      <c r="H177" s="459"/>
      <c r="I177" s="459"/>
      <c r="J177" s="459"/>
      <c r="K177" s="432"/>
      <c r="L177" s="433"/>
      <c r="M177" s="423"/>
      <c r="N177" s="423"/>
      <c r="P177" s="1028"/>
      <c r="Q177" s="1031"/>
      <c r="R177" s="455"/>
      <c r="S177" s="456"/>
      <c r="T177" s="1036"/>
      <c r="U177" s="1036"/>
      <c r="V177" s="1036"/>
      <c r="W177" s="1036"/>
      <c r="X177" s="1036"/>
      <c r="Y177" s="1036"/>
      <c r="Z177" s="1036"/>
      <c r="AA177" s="1036"/>
      <c r="AB177" s="1036"/>
      <c r="AC177" s="1038"/>
      <c r="AE177" s="1028"/>
      <c r="AF177" s="1031"/>
      <c r="AG177" s="455"/>
      <c r="AH177" s="689"/>
      <c r="AI177" s="1036"/>
      <c r="AJ177" s="1036"/>
      <c r="AK177" s="1036"/>
      <c r="AL177" s="1036"/>
      <c r="AM177" s="1036"/>
      <c r="AN177" s="1036"/>
      <c r="AO177" s="1036"/>
      <c r="AP177" s="1036"/>
      <c r="AQ177" s="1036"/>
      <c r="AR177" s="1038"/>
    </row>
    <row r="178" spans="1:44" ht="15" outlineLevel="1" thickBot="1">
      <c r="B178" s="560"/>
      <c r="C178" s="566"/>
      <c r="D178" s="566"/>
      <c r="E178" s="566"/>
      <c r="F178" s="566"/>
      <c r="G178" s="566"/>
      <c r="H178" s="566"/>
      <c r="I178" s="566"/>
      <c r="J178" s="566"/>
      <c r="K178" s="432"/>
      <c r="L178" s="460"/>
      <c r="M178" s="423"/>
      <c r="N178" s="423"/>
      <c r="P178" s="1028"/>
      <c r="Q178" s="1031"/>
      <c r="R178" s="455"/>
      <c r="S178" s="456"/>
      <c r="T178" s="1036"/>
      <c r="U178" s="1036"/>
      <c r="V178" s="1036"/>
      <c r="W178" s="1036"/>
      <c r="X178" s="1036"/>
      <c r="Y178" s="1036"/>
      <c r="Z178" s="1036"/>
      <c r="AA178" s="1036"/>
      <c r="AB178" s="1036"/>
      <c r="AC178" s="1038"/>
      <c r="AE178" s="1028"/>
      <c r="AF178" s="1031"/>
      <c r="AG178" s="455"/>
      <c r="AH178" s="456"/>
      <c r="AI178" s="1036"/>
      <c r="AJ178" s="1036"/>
      <c r="AK178" s="1036"/>
      <c r="AL178" s="1036"/>
      <c r="AM178" s="1036"/>
      <c r="AN178" s="1036"/>
      <c r="AO178" s="1036"/>
      <c r="AP178" s="1036"/>
      <c r="AQ178" s="1036"/>
      <c r="AR178" s="1038"/>
    </row>
    <row r="179" spans="1:44" ht="15" outlineLevel="1" thickBot="1">
      <c r="B179" s="461"/>
      <c r="C179" s="462"/>
      <c r="D179" s="463"/>
      <c r="E179" s="464"/>
      <c r="F179" s="465"/>
      <c r="G179" s="466"/>
      <c r="H179" s="466"/>
      <c r="I179" s="466"/>
      <c r="J179" s="466"/>
      <c r="K179" s="467"/>
      <c r="L179" s="468"/>
      <c r="M179" s="423"/>
      <c r="N179" s="423"/>
      <c r="P179" s="1028"/>
      <c r="Q179" s="1032"/>
      <c r="R179" s="469"/>
      <c r="S179" s="470"/>
      <c r="T179" s="1037"/>
      <c r="U179" s="1037"/>
      <c r="V179" s="1037"/>
      <c r="W179" s="1037"/>
      <c r="X179" s="1037"/>
      <c r="Y179" s="1037"/>
      <c r="Z179" s="1037"/>
      <c r="AA179" s="1037"/>
      <c r="AB179" s="1037"/>
      <c r="AC179" s="1039"/>
      <c r="AE179" s="1028"/>
      <c r="AF179" s="1032"/>
      <c r="AG179" s="469"/>
      <c r="AH179" s="470"/>
      <c r="AI179" s="1037"/>
      <c r="AJ179" s="1037"/>
      <c r="AK179" s="1037"/>
      <c r="AL179" s="1037"/>
      <c r="AM179" s="1037"/>
      <c r="AN179" s="1037"/>
      <c r="AO179" s="1037"/>
      <c r="AP179" s="1037"/>
      <c r="AQ179" s="1037"/>
      <c r="AR179" s="1039"/>
    </row>
    <row r="180" spans="1:44" ht="15" outlineLevel="1" thickBot="1">
      <c r="B180" s="560"/>
      <c r="C180" s="566"/>
      <c r="D180" s="566"/>
      <c r="E180" s="566"/>
      <c r="F180" s="566"/>
      <c r="G180" s="567"/>
      <c r="H180" s="567"/>
      <c r="I180" s="567"/>
      <c r="J180" s="567"/>
      <c r="K180" s="563"/>
      <c r="L180" s="564"/>
      <c r="M180" s="423"/>
      <c r="N180" s="423"/>
      <c r="P180" s="1029"/>
      <c r="Q180" s="471"/>
      <c r="R180" s="472"/>
      <c r="S180" s="690"/>
      <c r="T180" s="476"/>
      <c r="U180" s="475"/>
      <c r="V180" s="476"/>
      <c r="W180" s="475"/>
      <c r="X180" s="476"/>
      <c r="Y180" s="475"/>
      <c r="Z180" s="476"/>
      <c r="AA180" s="475"/>
      <c r="AB180" s="476"/>
      <c r="AC180" s="477"/>
      <c r="AE180" s="1029"/>
      <c r="AF180" s="471"/>
      <c r="AG180" s="755"/>
      <c r="AH180" s="756"/>
      <c r="AI180" s="476"/>
      <c r="AJ180" s="475"/>
      <c r="AK180" s="476"/>
      <c r="AL180" s="475"/>
      <c r="AM180" s="476"/>
      <c r="AN180" s="475"/>
      <c r="AO180" s="476"/>
      <c r="AP180" s="475"/>
      <c r="AQ180" s="476"/>
      <c r="AR180" s="477"/>
    </row>
    <row r="181" spans="1:44" outlineLevel="1">
      <c r="B181" s="560"/>
      <c r="C181" s="566"/>
      <c r="D181" s="566"/>
      <c r="E181" s="566"/>
      <c r="F181" s="566"/>
      <c r="G181" s="569"/>
      <c r="H181" s="569"/>
      <c r="I181" s="569"/>
      <c r="J181" s="569"/>
      <c r="K181" s="570"/>
      <c r="L181" s="564"/>
      <c r="M181" s="423"/>
      <c r="N181" s="423"/>
    </row>
    <row r="182" spans="1:44" outlineLevel="1">
      <c r="B182" s="560"/>
      <c r="C182" s="566"/>
      <c r="D182" s="566"/>
      <c r="E182" s="566"/>
      <c r="F182" s="566"/>
      <c r="G182" s="569"/>
      <c r="H182" s="569"/>
      <c r="I182" s="569"/>
      <c r="J182" s="569"/>
      <c r="K182" s="570"/>
      <c r="L182" s="564"/>
      <c r="M182" s="480"/>
      <c r="N182" s="423"/>
    </row>
    <row r="183" spans="1:44" outlineLevel="1">
      <c r="B183" s="481"/>
      <c r="C183" s="459"/>
      <c r="D183" s="459"/>
      <c r="E183" s="459"/>
      <c r="F183" s="459"/>
      <c r="G183" s="482"/>
      <c r="H183" s="482"/>
      <c r="I183" s="482"/>
      <c r="J183" s="482"/>
      <c r="K183" s="483"/>
      <c r="L183" s="484"/>
      <c r="M183" s="480"/>
      <c r="N183" s="480"/>
    </row>
    <row r="184" spans="1:44" outlineLevel="1">
      <c r="B184" s="443"/>
      <c r="C184" s="457"/>
      <c r="D184" s="457"/>
      <c r="E184" s="457"/>
      <c r="F184" s="457"/>
      <c r="G184" s="482"/>
      <c r="H184" s="485"/>
      <c r="I184" s="485"/>
      <c r="J184" s="485"/>
      <c r="K184" s="486"/>
      <c r="L184" s="487"/>
      <c r="M184" s="488"/>
      <c r="N184" s="488"/>
    </row>
    <row r="185" spans="1:44" outlineLevel="1">
      <c r="B185" s="443"/>
      <c r="C185" s="457"/>
      <c r="D185" s="457"/>
      <c r="E185" s="457"/>
      <c r="F185" s="457"/>
      <c r="G185" s="485"/>
      <c r="H185" s="485"/>
      <c r="I185" s="485"/>
      <c r="J185" s="485"/>
      <c r="K185" s="483"/>
      <c r="L185" s="487"/>
      <c r="M185" s="488"/>
      <c r="N185" s="488"/>
    </row>
    <row r="186" spans="1:44" outlineLevel="1">
      <c r="B186" s="443"/>
      <c r="C186" s="457"/>
      <c r="D186" s="457"/>
      <c r="E186" s="457"/>
      <c r="F186" s="457"/>
      <c r="G186" s="485"/>
      <c r="H186" s="485"/>
      <c r="I186" s="485"/>
      <c r="J186" s="485"/>
      <c r="K186" s="483"/>
      <c r="L186" s="487"/>
      <c r="M186" s="488"/>
      <c r="N186" s="488"/>
    </row>
    <row r="187" spans="1:44" outlineLevel="1">
      <c r="B187" s="443"/>
      <c r="C187" s="457"/>
      <c r="D187" s="457"/>
      <c r="E187" s="457"/>
      <c r="F187" s="457"/>
      <c r="G187" s="485"/>
      <c r="H187" s="485"/>
      <c r="I187" s="485"/>
      <c r="J187" s="485"/>
      <c r="K187" s="483"/>
      <c r="L187" s="487"/>
      <c r="M187" s="488"/>
      <c r="N187" s="488"/>
    </row>
    <row r="188" spans="1:44" ht="15" outlineLevel="1" thickBot="1">
      <c r="B188" s="489"/>
      <c r="C188" s="757"/>
      <c r="D188" s="757"/>
      <c r="E188" s="757"/>
      <c r="F188" s="757"/>
      <c r="G188" s="485"/>
      <c r="H188" s="485"/>
      <c r="I188" s="485"/>
      <c r="J188" s="485"/>
      <c r="K188" s="483"/>
      <c r="L188" s="487"/>
      <c r="M188" s="488"/>
      <c r="N188" s="488"/>
    </row>
    <row r="189" spans="1:44" ht="15" outlineLevel="1" thickBot="1">
      <c r="B189" s="491"/>
      <c r="C189" s="492"/>
      <c r="D189" s="463"/>
      <c r="E189" s="463"/>
      <c r="F189" s="493"/>
      <c r="G189" s="494"/>
      <c r="H189" s="466"/>
      <c r="I189" s="466"/>
      <c r="J189" s="466"/>
      <c r="K189" s="467"/>
      <c r="L189" s="468"/>
      <c r="M189" s="488"/>
      <c r="N189" s="488"/>
    </row>
    <row r="190" spans="1:44" outlineLevel="1">
      <c r="A190" s="495"/>
      <c r="B190" s="496"/>
      <c r="C190" s="611"/>
      <c r="D190" s="707"/>
      <c r="E190" s="707"/>
      <c r="F190" s="708"/>
      <c r="G190" s="485"/>
      <c r="H190" s="485"/>
      <c r="I190" s="485"/>
      <c r="J190" s="485"/>
      <c r="K190" s="486"/>
      <c r="L190" s="500"/>
      <c r="M190" s="480"/>
      <c r="N190" s="480"/>
    </row>
    <row r="191" spans="1:44" outlineLevel="1">
      <c r="B191" s="501"/>
      <c r="C191" s="502"/>
      <c r="D191" s="502"/>
      <c r="E191" s="502"/>
      <c r="F191" s="502"/>
      <c r="G191" s="485"/>
      <c r="H191" s="485"/>
      <c r="I191" s="485"/>
      <c r="J191" s="485"/>
      <c r="K191" s="504"/>
      <c r="L191" s="433"/>
      <c r="M191" s="71"/>
      <c r="N191" s="480"/>
    </row>
    <row r="192" spans="1:44" outlineLevel="1">
      <c r="B192" s="501"/>
      <c r="C192" s="502"/>
      <c r="D192" s="502"/>
      <c r="E192" s="502"/>
      <c r="F192" s="502"/>
      <c r="G192" s="485"/>
      <c r="H192" s="485"/>
      <c r="I192" s="485"/>
      <c r="J192" s="485"/>
      <c r="K192" s="504"/>
      <c r="L192" s="433"/>
      <c r="M192" s="480"/>
      <c r="N192" s="480"/>
    </row>
    <row r="193" spans="2:30" outlineLevel="1">
      <c r="B193" s="443"/>
      <c r="C193" s="662"/>
      <c r="D193" s="663"/>
      <c r="E193" s="663"/>
      <c r="F193" s="664"/>
      <c r="G193" s="485"/>
      <c r="H193" s="485"/>
      <c r="I193" s="485"/>
      <c r="J193" s="485"/>
      <c r="K193" s="508"/>
      <c r="L193" s="433"/>
      <c r="M193" s="480"/>
      <c r="N193" s="480"/>
    </row>
    <row r="194" spans="2:30" outlineLevel="1">
      <c r="B194" s="443"/>
      <c r="C194" s="509"/>
      <c r="D194" s="509"/>
      <c r="E194" s="509"/>
      <c r="F194" s="509"/>
      <c r="G194" s="485"/>
      <c r="H194" s="485"/>
      <c r="I194" s="485"/>
      <c r="J194" s="485"/>
      <c r="K194" s="508"/>
      <c r="L194" s="433"/>
      <c r="M194" s="754"/>
      <c r="N194" s="753"/>
      <c r="P194" s="999"/>
      <c r="Q194" s="977"/>
      <c r="R194" s="977"/>
      <c r="S194" s="977"/>
      <c r="T194" s="977"/>
      <c r="U194" s="1000"/>
    </row>
    <row r="195" spans="2:30" ht="15" outlineLevel="1" thickBot="1">
      <c r="B195" s="560"/>
      <c r="C195" s="574"/>
      <c r="D195" s="574"/>
      <c r="E195" s="574"/>
      <c r="F195" s="574"/>
      <c r="G195" s="575"/>
      <c r="H195" s="575"/>
      <c r="I195" s="575"/>
      <c r="J195" s="575"/>
      <c r="K195" s="563"/>
      <c r="L195" s="564"/>
      <c r="M195" s="754"/>
      <c r="N195" s="753"/>
      <c r="P195" s="1001"/>
      <c r="Q195" s="1002"/>
      <c r="R195" s="1002"/>
      <c r="S195" s="1002"/>
      <c r="T195" s="1002"/>
      <c r="U195" s="1003"/>
    </row>
    <row r="196" spans="2:30" outlineLevel="1">
      <c r="B196" s="560"/>
      <c r="C196" s="576"/>
      <c r="D196" s="576"/>
      <c r="E196" s="576"/>
      <c r="F196" s="576"/>
      <c r="G196" s="575"/>
      <c r="H196" s="575"/>
      <c r="I196" s="575"/>
      <c r="J196" s="575"/>
      <c r="K196" s="577"/>
      <c r="L196" s="564"/>
      <c r="M196" s="423"/>
      <c r="N196" s="423"/>
      <c r="P196" s="53"/>
    </row>
    <row r="197" spans="2:30" outlineLevel="1">
      <c r="B197" s="501"/>
      <c r="C197" s="741"/>
      <c r="D197" s="741"/>
      <c r="E197" s="741"/>
      <c r="F197" s="741"/>
      <c r="G197" s="485"/>
      <c r="H197" s="485"/>
      <c r="I197" s="485"/>
      <c r="J197" s="485"/>
      <c r="K197" s="504"/>
      <c r="L197" s="484"/>
      <c r="M197" s="427"/>
      <c r="N197" s="427"/>
      <c r="P197" s="46"/>
      <c r="Q197" s="46"/>
      <c r="R197" s="47"/>
      <c r="S197" s="47"/>
      <c r="T197" s="47"/>
      <c r="U197" s="48"/>
      <c r="V197" s="49"/>
      <c r="W197" s="49"/>
      <c r="X197" s="49"/>
      <c r="Y197" s="49"/>
      <c r="Z197" s="49"/>
      <c r="AA197" s="49"/>
      <c r="AB197" s="49"/>
      <c r="AC197" s="49"/>
      <c r="AD197" s="49"/>
    </row>
    <row r="198" spans="2:30" ht="15" outlineLevel="1" thickBot="1">
      <c r="B198" s="579"/>
      <c r="C198" s="502"/>
      <c r="D198" s="580"/>
      <c r="E198" s="580"/>
      <c r="F198" s="581"/>
      <c r="G198" s="485"/>
      <c r="H198" s="485"/>
      <c r="I198" s="485"/>
      <c r="J198" s="485"/>
      <c r="K198" s="508"/>
      <c r="L198" s="484"/>
      <c r="M198" s="423"/>
      <c r="N198" s="423"/>
      <c r="P198" s="50"/>
      <c r="Q198" s="50"/>
      <c r="R198" s="51"/>
      <c r="S198" s="51"/>
      <c r="T198" s="51"/>
      <c r="U198" s="51"/>
      <c r="V198" s="50"/>
      <c r="W198" s="50"/>
      <c r="X198" s="50"/>
      <c r="Y198" s="50"/>
      <c r="Z198" s="50"/>
      <c r="AA198" s="50"/>
      <c r="AB198" s="50"/>
      <c r="AC198" s="50"/>
      <c r="AD198" s="50"/>
    </row>
    <row r="199" spans="2:30" ht="15" outlineLevel="1" thickBot="1">
      <c r="B199" s="461"/>
      <c r="C199" s="462"/>
      <c r="D199" s="463"/>
      <c r="E199" s="464"/>
      <c r="F199" s="465"/>
      <c r="G199" s="466"/>
      <c r="H199" s="466"/>
      <c r="I199" s="466"/>
      <c r="J199" s="466"/>
      <c r="K199" s="519"/>
      <c r="L199" s="520"/>
      <c r="M199" s="423"/>
      <c r="N199" s="423"/>
      <c r="O199" s="521"/>
      <c r="P199" s="56"/>
      <c r="Q199" s="56"/>
      <c r="R199" s="57"/>
      <c r="S199" s="57"/>
      <c r="T199" s="57"/>
      <c r="U199" s="56"/>
      <c r="V199" s="56"/>
      <c r="W199" s="56"/>
      <c r="X199" s="56"/>
      <c r="Y199" s="56"/>
      <c r="Z199" s="56"/>
      <c r="AA199" s="56"/>
      <c r="AB199" s="56"/>
      <c r="AC199" s="56"/>
      <c r="AD199" s="56"/>
    </row>
    <row r="200" spans="2:30" outlineLevel="1">
      <c r="B200" s="582"/>
      <c r="C200" s="730"/>
      <c r="D200" s="730"/>
      <c r="E200" s="730"/>
      <c r="F200" s="730"/>
      <c r="G200" s="584"/>
      <c r="H200" s="584"/>
      <c r="I200" s="584"/>
      <c r="J200" s="584"/>
      <c r="K200" s="584"/>
      <c r="L200" s="585"/>
      <c r="M200" s="423"/>
      <c r="N200" s="423"/>
      <c r="O200" s="525"/>
      <c r="P200" s="526"/>
      <c r="Q200" s="58"/>
      <c r="R200" s="526"/>
      <c r="S200" s="58"/>
      <c r="T200" s="526"/>
      <c r="U200" s="527"/>
      <c r="V200" s="527"/>
      <c r="W200" s="527"/>
      <c r="X200" s="58"/>
      <c r="Y200" s="58"/>
      <c r="Z200" s="526"/>
      <c r="AA200" s="528"/>
      <c r="AB200" s="528"/>
      <c r="AC200" s="528"/>
      <c r="AD200" s="528"/>
    </row>
    <row r="201" spans="2:30" outlineLevel="1">
      <c r="B201" s="560"/>
      <c r="C201" s="586"/>
      <c r="D201" s="587"/>
      <c r="E201" s="587"/>
      <c r="F201" s="588"/>
      <c r="G201" s="588"/>
      <c r="H201" s="588"/>
      <c r="I201" s="588"/>
      <c r="J201" s="588"/>
      <c r="K201" s="589"/>
      <c r="L201" s="585"/>
      <c r="M201" s="423"/>
      <c r="N201" s="423"/>
      <c r="O201" s="525"/>
      <c r="P201" s="526"/>
      <c r="Q201" s="58"/>
      <c r="R201" s="526"/>
      <c r="S201" s="58"/>
      <c r="T201" s="526"/>
      <c r="U201" s="527"/>
      <c r="V201" s="527"/>
      <c r="W201" s="527"/>
      <c r="X201" s="58"/>
      <c r="Y201" s="58"/>
      <c r="Z201" s="526"/>
      <c r="AA201" s="528"/>
      <c r="AB201" s="528"/>
      <c r="AC201" s="528"/>
      <c r="AD201" s="528"/>
    </row>
    <row r="202" spans="2:30" outlineLevel="1">
      <c r="B202" s="560"/>
      <c r="C202" s="586"/>
      <c r="D202" s="587"/>
      <c r="E202" s="587"/>
      <c r="F202" s="588"/>
      <c r="G202" s="575"/>
      <c r="H202" s="575"/>
      <c r="I202" s="575"/>
      <c r="J202" s="575"/>
      <c r="K202" s="575"/>
      <c r="L202" s="564"/>
      <c r="M202" s="423"/>
      <c r="N202" s="423"/>
      <c r="O202" s="525"/>
      <c r="P202" s="526"/>
      <c r="Q202" s="58"/>
      <c r="R202" s="526"/>
      <c r="S202" s="58"/>
      <c r="T202" s="526"/>
      <c r="U202" s="527"/>
      <c r="V202" s="527"/>
      <c r="W202" s="527"/>
      <c r="X202" s="58"/>
      <c r="Y202" s="58"/>
      <c r="Z202" s="526"/>
      <c r="AA202" s="528"/>
      <c r="AB202" s="528"/>
      <c r="AC202" s="528"/>
      <c r="AD202" s="528"/>
    </row>
    <row r="203" spans="2:30" outlineLevel="1">
      <c r="B203" s="560"/>
      <c r="C203" s="745"/>
      <c r="D203" s="590"/>
      <c r="E203" s="590"/>
      <c r="F203" s="590"/>
      <c r="G203" s="591"/>
      <c r="H203" s="591"/>
      <c r="I203" s="591"/>
      <c r="J203" s="591"/>
      <c r="K203" s="591"/>
      <c r="L203" s="564"/>
      <c r="M203" s="423"/>
      <c r="N203" s="423"/>
      <c r="O203" s="525"/>
      <c r="P203" s="526"/>
      <c r="Q203" s="58"/>
      <c r="R203" s="526"/>
      <c r="S203" s="58"/>
      <c r="T203" s="526"/>
      <c r="U203" s="527"/>
      <c r="V203" s="527"/>
      <c r="W203" s="527"/>
      <c r="X203" s="58"/>
      <c r="Y203" s="58"/>
      <c r="Z203" s="526"/>
      <c r="AA203" s="528"/>
      <c r="AB203" s="528"/>
      <c r="AC203" s="528"/>
      <c r="AD203" s="528"/>
    </row>
    <row r="204" spans="2:30" outlineLevel="1">
      <c r="B204" s="592"/>
      <c r="C204" s="586"/>
      <c r="D204" s="587"/>
      <c r="E204" s="587"/>
      <c r="F204" s="588"/>
      <c r="G204" s="591"/>
      <c r="H204" s="591"/>
      <c r="I204" s="591"/>
      <c r="J204" s="591"/>
      <c r="K204" s="591"/>
      <c r="L204" s="593"/>
      <c r="M204" s="427"/>
      <c r="N204" s="427"/>
    </row>
    <row r="205" spans="2:30" outlineLevel="1">
      <c r="B205" s="592"/>
      <c r="C205" s="586"/>
      <c r="D205" s="587"/>
      <c r="E205" s="587"/>
      <c r="F205" s="588"/>
      <c r="G205" s="591"/>
      <c r="H205" s="591"/>
      <c r="I205" s="591"/>
      <c r="J205" s="591"/>
      <c r="K205" s="591"/>
      <c r="L205" s="593"/>
      <c r="M205" s="423"/>
      <c r="N205" s="423"/>
    </row>
    <row r="206" spans="2:30" ht="15" outlineLevel="1" thickBot="1">
      <c r="B206" s="594"/>
      <c r="C206" s="595"/>
      <c r="D206" s="596"/>
      <c r="E206" s="596"/>
      <c r="F206" s="597"/>
      <c r="G206" s="598"/>
      <c r="H206" s="598"/>
      <c r="I206" s="598"/>
      <c r="J206" s="598"/>
      <c r="K206" s="598"/>
      <c r="L206" s="599"/>
      <c r="M206" s="423"/>
      <c r="N206" s="423"/>
    </row>
    <row r="207" spans="2:30" outlineLevel="1">
      <c r="B207" s="521"/>
      <c r="C207" s="543"/>
      <c r="D207" s="543"/>
      <c r="E207" s="543"/>
      <c r="F207" s="543"/>
      <c r="G207" s="543"/>
      <c r="H207" s="544"/>
      <c r="I207" s="480"/>
      <c r="J207" s="480"/>
      <c r="K207" s="544"/>
      <c r="L207" s="544"/>
      <c r="N207" s="480"/>
    </row>
    <row r="208" spans="2:30" outlineLevel="1">
      <c r="B208" s="545"/>
      <c r="C208" s="546"/>
      <c r="D208" s="546"/>
      <c r="E208" s="546"/>
      <c r="F208" s="546"/>
      <c r="G208" s="546"/>
      <c r="H208" s="544"/>
      <c r="I208" s="71"/>
      <c r="J208" s="480"/>
      <c r="K208" s="544"/>
      <c r="L208" s="544"/>
      <c r="N208" s="480"/>
    </row>
    <row r="209" spans="1:16" outlineLevel="1">
      <c r="B209" s="521"/>
      <c r="C209" s="419"/>
      <c r="D209" s="419"/>
      <c r="E209" s="419"/>
      <c r="F209" s="419"/>
      <c r="G209" s="419"/>
      <c r="I209" s="480"/>
      <c r="J209" s="480"/>
      <c r="N209" s="480"/>
    </row>
    <row r="210" spans="1:16" outlineLevel="1">
      <c r="B210" s="521"/>
      <c r="C210" s="547"/>
      <c r="D210" s="547"/>
      <c r="E210" s="547"/>
      <c r="F210" s="547"/>
      <c r="G210" s="419"/>
      <c r="M210" s="480"/>
      <c r="N210" s="480"/>
    </row>
    <row r="211" spans="1:16" outlineLevel="1"/>
    <row r="212" spans="1:16" outlineLevel="1">
      <c r="A212" s="548"/>
      <c r="B212" s="549"/>
      <c r="D212" s="550"/>
      <c r="E212" s="550"/>
      <c r="F212" s="550"/>
      <c r="G212" s="417"/>
      <c r="H212" s="417"/>
      <c r="I212" s="417"/>
      <c r="J212" s="417"/>
      <c r="K212" s="417"/>
      <c r="L212" s="417"/>
      <c r="N212" s="630"/>
      <c r="O212" s="549"/>
      <c r="P212" s="550"/>
    </row>
    <row r="213" spans="1:16" outlineLevel="1">
      <c r="A213" s="551"/>
      <c r="B213" s="552"/>
      <c r="D213" s="550"/>
      <c r="E213" s="550"/>
      <c r="F213" s="550"/>
      <c r="G213" s="417"/>
      <c r="H213" s="417"/>
      <c r="I213" s="417"/>
      <c r="J213" s="417"/>
      <c r="K213" s="417"/>
      <c r="L213" s="417"/>
      <c r="N213" s="630"/>
      <c r="O213" s="549"/>
      <c r="P213" s="550"/>
    </row>
    <row r="214" spans="1:16" outlineLevel="1">
      <c r="A214" s="551"/>
      <c r="B214" s="553"/>
      <c r="D214" s="550"/>
      <c r="E214" s="550"/>
      <c r="F214" s="550"/>
      <c r="G214" s="417"/>
      <c r="H214" s="417"/>
      <c r="I214" s="417"/>
      <c r="J214" s="417"/>
      <c r="K214" s="417"/>
      <c r="L214" s="417"/>
      <c r="N214" s="630"/>
      <c r="O214" s="549"/>
      <c r="P214" s="550"/>
    </row>
    <row r="215" spans="1:16" outlineLevel="1">
      <c r="A215" s="551"/>
      <c r="B215" s="548"/>
      <c r="C215" s="549"/>
      <c r="E215" s="417"/>
      <c r="F215" s="550"/>
      <c r="G215" s="417"/>
      <c r="H215" s="417"/>
      <c r="I215" s="417"/>
      <c r="J215" s="417"/>
      <c r="K215" s="417"/>
      <c r="L215" s="417"/>
      <c r="N215" s="630"/>
      <c r="O215" s="549"/>
      <c r="P215" s="550"/>
    </row>
    <row r="216" spans="1:16" outlineLevel="1">
      <c r="A216" s="551"/>
      <c r="B216" s="551"/>
      <c r="C216" s="552"/>
      <c r="E216" s="417"/>
      <c r="F216" s="550"/>
      <c r="G216" s="417"/>
      <c r="H216" s="417"/>
      <c r="I216" s="417"/>
      <c r="J216" s="417"/>
      <c r="K216" s="417"/>
      <c r="L216" s="417"/>
      <c r="N216" s="630"/>
      <c r="O216" s="549"/>
      <c r="P216" s="550"/>
    </row>
    <row r="217" spans="1:16" outlineLevel="1">
      <c r="A217" s="417"/>
      <c r="B217" s="551"/>
      <c r="C217" s="553"/>
      <c r="E217" s="417"/>
      <c r="F217" s="550"/>
      <c r="G217" s="417"/>
      <c r="H217" s="417"/>
      <c r="I217" s="417"/>
      <c r="J217" s="417"/>
      <c r="K217" s="417"/>
      <c r="L217" s="417"/>
    </row>
    <row r="218" spans="1:16" outlineLevel="1">
      <c r="A218" s="417"/>
      <c r="B218" s="551"/>
      <c r="C218" s="553"/>
      <c r="E218" s="417"/>
      <c r="F218" s="550"/>
      <c r="G218" s="417"/>
      <c r="H218" s="417"/>
      <c r="I218" s="417"/>
      <c r="J218" s="417"/>
      <c r="K218" s="417"/>
      <c r="L218" s="417"/>
    </row>
    <row r="219" spans="1:16" outlineLevel="1">
      <c r="A219" s="417"/>
      <c r="B219" s="551"/>
      <c r="C219" s="553"/>
      <c r="E219" s="417"/>
      <c r="F219" s="550"/>
      <c r="G219" s="417"/>
      <c r="H219" s="417"/>
      <c r="I219" s="417"/>
      <c r="J219" s="417"/>
      <c r="K219" s="417"/>
      <c r="L219" s="417"/>
    </row>
    <row r="220" spans="1:16" outlineLevel="1">
      <c r="A220" s="417"/>
      <c r="B220" s="417"/>
      <c r="C220" s="554"/>
      <c r="F220" s="550"/>
      <c r="G220" s="417"/>
      <c r="H220" s="417"/>
      <c r="I220" s="417"/>
      <c r="J220" s="417"/>
      <c r="K220" s="417"/>
      <c r="L220" s="417"/>
    </row>
    <row r="221" spans="1:16" outlineLevel="1">
      <c r="A221" s="417"/>
      <c r="B221" s="417"/>
      <c r="C221" s="552"/>
      <c r="F221" s="550"/>
      <c r="G221" s="417"/>
      <c r="H221" s="417"/>
      <c r="I221" s="417"/>
      <c r="J221" s="417"/>
      <c r="K221" s="417"/>
      <c r="L221" s="417"/>
    </row>
    <row r="222" spans="1:16" outlineLevel="1">
      <c r="A222" s="417"/>
      <c r="B222" s="417"/>
      <c r="C222" s="555"/>
      <c r="F222" s="550"/>
      <c r="G222" s="417"/>
      <c r="H222" s="417"/>
      <c r="I222" s="417"/>
      <c r="J222" s="417"/>
      <c r="K222" s="417"/>
      <c r="L222" s="417"/>
    </row>
    <row r="223" spans="1:16" outlineLevel="1">
      <c r="A223" s="548"/>
      <c r="B223" s="417"/>
      <c r="C223" s="555"/>
      <c r="F223" s="550"/>
      <c r="G223" s="417"/>
      <c r="H223" s="417"/>
      <c r="I223" s="417"/>
      <c r="J223" s="417"/>
      <c r="K223" s="417"/>
      <c r="L223" s="417"/>
    </row>
    <row r="224" spans="1:16" outlineLevel="1">
      <c r="A224" s="556"/>
      <c r="B224" s="417"/>
      <c r="C224" s="549"/>
      <c r="F224" s="550"/>
      <c r="G224" s="417"/>
      <c r="H224" s="417"/>
      <c r="I224" s="417"/>
      <c r="J224" s="417"/>
      <c r="K224" s="417"/>
      <c r="L224" s="417"/>
      <c r="N224" s="630"/>
      <c r="O224" s="549"/>
      <c r="P224" s="550"/>
    </row>
    <row r="225" spans="1:16" outlineLevel="1">
      <c r="A225" s="556"/>
      <c r="B225" s="417"/>
      <c r="C225" s="550"/>
      <c r="F225" s="550"/>
      <c r="G225" s="417"/>
      <c r="H225" s="417"/>
      <c r="I225" s="417"/>
      <c r="J225" s="417"/>
      <c r="K225" s="417"/>
      <c r="L225" s="417"/>
      <c r="N225" s="630"/>
      <c r="O225" s="549"/>
      <c r="P225" s="550"/>
    </row>
    <row r="226" spans="1:16" outlineLevel="1">
      <c r="A226" s="556"/>
      <c r="B226" s="548"/>
      <c r="C226" s="549"/>
      <c r="F226" s="550"/>
      <c r="G226" s="417"/>
      <c r="H226" s="417"/>
      <c r="I226" s="417"/>
      <c r="J226" s="417"/>
      <c r="K226" s="417"/>
      <c r="L226" s="417"/>
      <c r="N226" s="630"/>
      <c r="O226" s="549"/>
      <c r="P226" s="550"/>
    </row>
    <row r="227" spans="1:16" outlineLevel="1">
      <c r="A227" s="556"/>
      <c r="B227" s="556"/>
      <c r="C227" s="557"/>
      <c r="D227" s="549"/>
      <c r="F227" s="550"/>
      <c r="G227" s="417"/>
      <c r="H227" s="417"/>
      <c r="I227" s="417"/>
      <c r="J227" s="417"/>
      <c r="K227" s="417"/>
      <c r="L227" s="417"/>
      <c r="N227" s="630"/>
      <c r="O227" s="549"/>
      <c r="P227" s="550"/>
    </row>
    <row r="228" spans="1:16" outlineLevel="1">
      <c r="A228" s="556"/>
      <c r="B228" s="556"/>
      <c r="C228" s="549"/>
      <c r="D228" s="549"/>
      <c r="F228" s="550"/>
      <c r="G228" s="417"/>
      <c r="H228" s="417"/>
      <c r="I228" s="417"/>
      <c r="J228" s="417"/>
      <c r="K228" s="417"/>
      <c r="L228" s="417"/>
      <c r="N228" s="630"/>
      <c r="O228" s="549"/>
      <c r="P228" s="550"/>
    </row>
    <row r="229" spans="1:16" outlineLevel="1">
      <c r="A229" s="556"/>
      <c r="B229" s="556"/>
      <c r="C229" s="549"/>
      <c r="D229" s="549"/>
      <c r="F229" s="550"/>
      <c r="G229" s="417"/>
      <c r="H229" s="417"/>
      <c r="I229" s="417"/>
      <c r="J229" s="417"/>
      <c r="K229" s="417"/>
      <c r="L229" s="417"/>
      <c r="N229" s="630"/>
      <c r="O229" s="549"/>
      <c r="P229" s="550"/>
    </row>
    <row r="230" spans="1:16" outlineLevel="1">
      <c r="A230" s="556"/>
      <c r="B230" s="556"/>
      <c r="C230" s="549"/>
      <c r="D230" s="549"/>
      <c r="F230" s="550"/>
      <c r="G230" s="417"/>
      <c r="H230" s="417"/>
      <c r="I230" s="417"/>
      <c r="J230" s="417"/>
      <c r="K230" s="417"/>
      <c r="L230" s="417"/>
      <c r="N230" s="630"/>
      <c r="O230" s="549"/>
      <c r="P230" s="550"/>
    </row>
    <row r="231" spans="1:16" outlineLevel="1">
      <c r="A231" s="556"/>
      <c r="B231" s="556"/>
      <c r="C231" s="549"/>
      <c r="D231" s="549"/>
      <c r="F231" s="550"/>
      <c r="G231" s="417"/>
      <c r="H231" s="417"/>
      <c r="I231" s="417"/>
      <c r="J231" s="417"/>
      <c r="K231" s="417"/>
      <c r="L231" s="417"/>
      <c r="N231" s="630"/>
      <c r="O231" s="549"/>
      <c r="P231" s="550"/>
    </row>
    <row r="232" spans="1:16" outlineLevel="1">
      <c r="A232" s="556"/>
      <c r="B232" s="556"/>
      <c r="C232" s="549"/>
      <c r="D232" s="549"/>
      <c r="F232" s="550"/>
      <c r="G232" s="417"/>
      <c r="H232" s="417"/>
      <c r="I232" s="417"/>
      <c r="J232" s="417"/>
      <c r="K232" s="417"/>
      <c r="L232" s="417"/>
      <c r="N232" s="630"/>
      <c r="O232" s="549"/>
      <c r="P232" s="550"/>
    </row>
    <row r="233" spans="1:16" outlineLevel="1">
      <c r="A233" s="556"/>
      <c r="B233" s="556"/>
      <c r="C233" s="549"/>
      <c r="D233" s="549"/>
      <c r="F233" s="550"/>
      <c r="G233" s="417"/>
      <c r="H233" s="417"/>
      <c r="I233" s="417"/>
      <c r="J233" s="417"/>
      <c r="K233" s="417"/>
      <c r="L233" s="417"/>
      <c r="N233" s="630"/>
      <c r="O233" s="549"/>
      <c r="P233" s="550"/>
    </row>
    <row r="234" spans="1:16" outlineLevel="1">
      <c r="A234" s="556"/>
      <c r="B234" s="556"/>
      <c r="C234" s="549"/>
      <c r="D234" s="549"/>
      <c r="F234" s="550"/>
      <c r="G234" s="417"/>
      <c r="H234" s="417"/>
      <c r="I234" s="417"/>
      <c r="J234" s="417"/>
      <c r="K234" s="417"/>
      <c r="L234" s="417"/>
      <c r="N234" s="630"/>
      <c r="O234" s="549"/>
      <c r="P234" s="550"/>
    </row>
    <row r="235" spans="1:16" outlineLevel="1">
      <c r="A235" s="556"/>
      <c r="B235" s="556"/>
      <c r="C235" s="558"/>
      <c r="D235" s="549"/>
      <c r="F235" s="550"/>
      <c r="G235" s="417"/>
      <c r="H235" s="417"/>
      <c r="I235" s="417"/>
      <c r="J235" s="417"/>
      <c r="K235" s="417"/>
      <c r="L235" s="417"/>
      <c r="N235" s="630"/>
      <c r="O235" s="549"/>
      <c r="P235" s="550"/>
    </row>
    <row r="236" spans="1:16" outlineLevel="1">
      <c r="A236" s="556"/>
      <c r="B236" s="556"/>
      <c r="C236" s="549"/>
      <c r="D236" s="549"/>
      <c r="F236" s="550"/>
      <c r="G236" s="417"/>
      <c r="H236" s="417"/>
      <c r="I236" s="417"/>
      <c r="J236" s="417"/>
      <c r="K236" s="417"/>
      <c r="L236" s="417"/>
      <c r="N236" s="631"/>
      <c r="O236" s="549"/>
      <c r="P236" s="550"/>
    </row>
    <row r="237" spans="1:16" outlineLevel="1">
      <c r="A237" s="556"/>
      <c r="B237" s="556"/>
      <c r="C237" s="549"/>
      <c r="D237" s="549"/>
      <c r="F237" s="550"/>
      <c r="G237" s="417"/>
      <c r="H237" s="417"/>
      <c r="I237" s="417"/>
      <c r="J237" s="417"/>
      <c r="K237" s="417"/>
      <c r="L237" s="417"/>
      <c r="N237" s="632"/>
      <c r="O237" s="549"/>
      <c r="P237" s="550"/>
    </row>
    <row r="238" spans="1:16" outlineLevel="1">
      <c r="A238" s="556"/>
      <c r="F238" s="550"/>
      <c r="G238" s="417"/>
      <c r="H238" s="417"/>
      <c r="I238" s="417"/>
      <c r="J238" s="417"/>
      <c r="K238" s="417"/>
      <c r="L238" s="417"/>
      <c r="N238" s="633"/>
      <c r="O238" s="549"/>
      <c r="P238" s="550"/>
    </row>
    <row r="239" spans="1:16" outlineLevel="1">
      <c r="A239" s="556"/>
      <c r="B239" s="558"/>
      <c r="C239" s="550"/>
      <c r="D239" s="550"/>
      <c r="E239" s="550"/>
      <c r="F239" s="550"/>
      <c r="G239" s="417"/>
      <c r="H239" s="417"/>
      <c r="I239" s="417"/>
      <c r="J239" s="417"/>
      <c r="K239" s="417"/>
      <c r="L239" s="417"/>
      <c r="N239" s="633"/>
      <c r="O239" s="550"/>
      <c r="P239" s="550"/>
    </row>
    <row r="240" spans="1:16" outlineLevel="1">
      <c r="A240" s="556"/>
      <c r="B240" s="549"/>
      <c r="C240" s="550"/>
      <c r="D240" s="550"/>
      <c r="E240" s="550"/>
      <c r="F240" s="550"/>
      <c r="G240" s="417"/>
      <c r="H240" s="417"/>
      <c r="I240" s="417"/>
      <c r="J240" s="417"/>
      <c r="K240" s="417"/>
      <c r="L240" s="417"/>
      <c r="N240" s="549"/>
      <c r="O240" s="550"/>
      <c r="P240" s="550"/>
    </row>
    <row r="241" spans="1:44" outlineLevel="1">
      <c r="A241" s="556"/>
      <c r="B241" s="549"/>
      <c r="C241" s="550"/>
      <c r="D241" s="550"/>
      <c r="E241" s="550"/>
      <c r="F241" s="550"/>
      <c r="G241" s="417"/>
      <c r="H241" s="417"/>
      <c r="I241" s="417"/>
      <c r="J241" s="417"/>
      <c r="K241" s="417"/>
      <c r="L241" s="417"/>
      <c r="N241" s="550"/>
      <c r="O241" s="550"/>
      <c r="P241" s="550"/>
    </row>
    <row r="242" spans="1:44" outlineLevel="1"/>
    <row r="243" spans="1:44" outlineLevel="1"/>
    <row r="245" spans="1:44">
      <c r="A245" s="420"/>
      <c r="B245" s="976"/>
      <c r="C245" s="977"/>
      <c r="D245" s="977"/>
      <c r="E245" s="977"/>
      <c r="F245" s="977"/>
      <c r="G245" s="977"/>
      <c r="H245" s="977"/>
      <c r="I245" s="977"/>
      <c r="J245" s="977"/>
      <c r="K245" s="977"/>
      <c r="L245" s="977"/>
      <c r="M245" s="977"/>
      <c r="N245" s="753"/>
      <c r="P245" s="977"/>
      <c r="Q245" s="977"/>
      <c r="R245" s="977"/>
      <c r="S245" s="977"/>
      <c r="T245" s="977"/>
      <c r="U245" s="977"/>
    </row>
    <row r="246" spans="1:44" ht="20.7" customHeight="1" outlineLevel="1" thickBot="1">
      <c r="B246" s="976"/>
      <c r="C246" s="977"/>
      <c r="D246" s="977"/>
      <c r="E246" s="977"/>
      <c r="F246" s="977"/>
      <c r="G246" s="977"/>
      <c r="H246" s="977"/>
      <c r="I246" s="977"/>
      <c r="J246" s="977"/>
      <c r="K246" s="977"/>
      <c r="L246" s="977"/>
      <c r="M246" s="977"/>
      <c r="N246" s="753"/>
      <c r="P246" s="752"/>
      <c r="Q246" s="752"/>
      <c r="R246" s="752"/>
      <c r="S246" s="752"/>
      <c r="T246" s="752"/>
      <c r="U246" s="752"/>
      <c r="V246" s="752"/>
      <c r="W246" s="752"/>
      <c r="X246" s="752"/>
      <c r="Y246" s="752"/>
      <c r="Z246" s="752"/>
      <c r="AA246" s="752"/>
      <c r="AB246" s="752"/>
      <c r="AC246" s="752"/>
    </row>
    <row r="247" spans="1:44" ht="15" customHeight="1" outlineLevel="1" thickBot="1">
      <c r="B247" s="422"/>
      <c r="C247" s="1018"/>
      <c r="D247" s="1019"/>
      <c r="E247" s="1019"/>
      <c r="F247" s="1019"/>
      <c r="G247" s="1019"/>
      <c r="H247" s="1019"/>
      <c r="I247" s="1019"/>
      <c r="J247" s="1019"/>
      <c r="K247" s="1019"/>
      <c r="L247" s="1020"/>
      <c r="M247" s="423"/>
      <c r="N247" s="423"/>
      <c r="P247" s="424"/>
      <c r="Q247" s="425"/>
      <c r="R247" s="426"/>
      <c r="S247" s="985"/>
      <c r="T247" s="989"/>
      <c r="U247" s="990"/>
      <c r="V247" s="989"/>
      <c r="W247" s="990"/>
      <c r="X247" s="989"/>
      <c r="Y247" s="990"/>
      <c r="Z247" s="989"/>
      <c r="AA247" s="990"/>
      <c r="AB247" s="989"/>
      <c r="AC247" s="990"/>
      <c r="AE247" s="424"/>
      <c r="AF247" s="425"/>
      <c r="AG247" s="426"/>
      <c r="AH247" s="985"/>
      <c r="AI247" s="989"/>
      <c r="AJ247" s="990"/>
      <c r="AK247" s="989"/>
      <c r="AL247" s="990"/>
      <c r="AM247" s="989"/>
      <c r="AN247" s="990"/>
      <c r="AO247" s="989"/>
      <c r="AP247" s="990"/>
      <c r="AQ247" s="989"/>
      <c r="AR247" s="990"/>
    </row>
    <row r="248" spans="1:44" ht="15" customHeight="1" outlineLevel="1" thickBot="1">
      <c r="B248" s="1010"/>
      <c r="C248" s="1012"/>
      <c r="D248" s="1012"/>
      <c r="E248" s="1012"/>
      <c r="F248" s="1012"/>
      <c r="G248" s="1014"/>
      <c r="H248" s="1015"/>
      <c r="I248" s="1014"/>
      <c r="J248" s="1015"/>
      <c r="K248" s="1016"/>
      <c r="L248" s="1016"/>
      <c r="M248" s="427"/>
      <c r="N248" s="427"/>
      <c r="P248" s="993"/>
      <c r="Q248" s="428"/>
      <c r="R248" s="428"/>
      <c r="S248" s="986"/>
      <c r="T248" s="991"/>
      <c r="U248" s="992"/>
      <c r="V248" s="991"/>
      <c r="W248" s="992"/>
      <c r="X248" s="991"/>
      <c r="Y248" s="992"/>
      <c r="Z248" s="991"/>
      <c r="AA248" s="992"/>
      <c r="AB248" s="991"/>
      <c r="AC248" s="992"/>
      <c r="AE248" s="993"/>
      <c r="AF248" s="428"/>
      <c r="AG248" s="428"/>
      <c r="AH248" s="986"/>
      <c r="AI248" s="991"/>
      <c r="AJ248" s="992"/>
      <c r="AK248" s="991"/>
      <c r="AL248" s="992"/>
      <c r="AM248" s="991"/>
      <c r="AN248" s="992"/>
      <c r="AO248" s="991"/>
      <c r="AP248" s="992"/>
      <c r="AQ248" s="991"/>
      <c r="AR248" s="992"/>
    </row>
    <row r="249" spans="1:44" ht="15" outlineLevel="1" thickBot="1">
      <c r="B249" s="1011"/>
      <c r="C249" s="1013"/>
      <c r="D249" s="1013"/>
      <c r="E249" s="1013"/>
      <c r="F249" s="1013"/>
      <c r="G249" s="559"/>
      <c r="H249" s="559"/>
      <c r="I249" s="559"/>
      <c r="J249" s="559"/>
      <c r="K249" s="1017"/>
      <c r="L249" s="1017"/>
      <c r="M249" s="430"/>
      <c r="N249" s="430"/>
      <c r="P249" s="994"/>
      <c r="Q249" s="996"/>
      <c r="R249" s="997"/>
      <c r="S249" s="987"/>
      <c r="T249" s="991"/>
      <c r="U249" s="992"/>
      <c r="V249" s="991"/>
      <c r="W249" s="992"/>
      <c r="X249" s="991"/>
      <c r="Y249" s="992"/>
      <c r="Z249" s="991"/>
      <c r="AA249" s="992"/>
      <c r="AB249" s="991"/>
      <c r="AC249" s="992"/>
      <c r="AE249" s="994"/>
      <c r="AF249" s="1040"/>
      <c r="AG249" s="997"/>
      <c r="AH249" s="987"/>
      <c r="AI249" s="991"/>
      <c r="AJ249" s="992"/>
      <c r="AK249" s="991"/>
      <c r="AL249" s="992"/>
      <c r="AM249" s="991"/>
      <c r="AN249" s="992"/>
      <c r="AO249" s="991"/>
      <c r="AP249" s="992"/>
      <c r="AQ249" s="991"/>
      <c r="AR249" s="992"/>
    </row>
    <row r="250" spans="1:44" ht="14.7" customHeight="1" outlineLevel="1" thickBot="1">
      <c r="B250" s="431"/>
      <c r="C250" s="432"/>
      <c r="D250" s="432"/>
      <c r="E250" s="432"/>
      <c r="F250" s="432"/>
      <c r="G250" s="432"/>
      <c r="H250" s="432"/>
      <c r="I250" s="432"/>
      <c r="J250" s="432"/>
      <c r="K250" s="432"/>
      <c r="L250" s="433"/>
      <c r="M250" s="430"/>
      <c r="N250" s="430"/>
      <c r="O250" s="74"/>
      <c r="P250" s="995"/>
      <c r="Q250" s="988"/>
      <c r="R250" s="998"/>
      <c r="S250" s="988"/>
      <c r="T250" s="434"/>
      <c r="U250" s="435"/>
      <c r="V250" s="434"/>
      <c r="W250" s="435"/>
      <c r="X250" s="434"/>
      <c r="Y250" s="435"/>
      <c r="Z250" s="434"/>
      <c r="AA250" s="435"/>
      <c r="AB250" s="434"/>
      <c r="AC250" s="435"/>
      <c r="AE250" s="995"/>
      <c r="AF250" s="1041"/>
      <c r="AG250" s="998"/>
      <c r="AH250" s="988"/>
      <c r="AI250" s="434"/>
      <c r="AJ250" s="435"/>
      <c r="AK250" s="434"/>
      <c r="AL250" s="435"/>
      <c r="AM250" s="434"/>
      <c r="AN250" s="435"/>
      <c r="AO250" s="434"/>
      <c r="AP250" s="435"/>
      <c r="AQ250" s="434"/>
      <c r="AR250" s="435"/>
    </row>
    <row r="251" spans="1:44" outlineLevel="1">
      <c r="B251" s="560"/>
      <c r="C251" s="728"/>
      <c r="D251" s="728"/>
      <c r="E251" s="729"/>
      <c r="F251" s="728"/>
      <c r="G251" s="561"/>
      <c r="H251" s="561"/>
      <c r="I251" s="561"/>
      <c r="J251" s="561"/>
      <c r="K251" s="563"/>
      <c r="L251" s="564"/>
      <c r="M251" s="430"/>
      <c r="N251" s="430"/>
      <c r="P251" s="1042"/>
      <c r="Q251" s="1030"/>
      <c r="R251" s="441"/>
      <c r="S251" s="442"/>
      <c r="T251" s="1033"/>
      <c r="U251" s="1021"/>
      <c r="V251" s="1024"/>
      <c r="W251" s="1021"/>
      <c r="X251" s="1024"/>
      <c r="Y251" s="1021"/>
      <c r="Z251" s="1024"/>
      <c r="AA251" s="1021"/>
      <c r="AB251" s="1024"/>
      <c r="AC251" s="1021"/>
      <c r="AE251" s="1027"/>
      <c r="AF251" s="1030"/>
      <c r="AG251" s="441"/>
      <c r="AH251" s="442"/>
      <c r="AI251" s="1033"/>
      <c r="AJ251" s="1021"/>
      <c r="AK251" s="1024"/>
      <c r="AL251" s="1021"/>
      <c r="AM251" s="1024"/>
      <c r="AN251" s="1021"/>
      <c r="AO251" s="1024"/>
      <c r="AP251" s="1021"/>
      <c r="AQ251" s="1024"/>
      <c r="AR251" s="1021"/>
    </row>
    <row r="252" spans="1:44" outlineLevel="1">
      <c r="B252" s="443"/>
      <c r="C252" s="637"/>
      <c r="D252" s="637"/>
      <c r="E252" s="637"/>
      <c r="F252" s="637"/>
      <c r="G252" s="565"/>
      <c r="H252" s="565"/>
      <c r="I252" s="565"/>
      <c r="J252" s="565"/>
      <c r="K252" s="432"/>
      <c r="L252" s="433"/>
      <c r="M252" s="430"/>
      <c r="N252" s="430"/>
      <c r="O252" s="71"/>
      <c r="P252" s="1028"/>
      <c r="Q252" s="1031"/>
      <c r="R252" s="448"/>
      <c r="S252" s="449"/>
      <c r="T252" s="1034"/>
      <c r="U252" s="1022"/>
      <c r="V252" s="1025"/>
      <c r="W252" s="1022"/>
      <c r="X252" s="1025"/>
      <c r="Y252" s="1022"/>
      <c r="Z252" s="1025"/>
      <c r="AA252" s="1022"/>
      <c r="AB252" s="1025"/>
      <c r="AC252" s="1022"/>
      <c r="AE252" s="1028"/>
      <c r="AF252" s="1031"/>
      <c r="AG252" s="448"/>
      <c r="AH252" s="449"/>
      <c r="AI252" s="1034"/>
      <c r="AJ252" s="1022"/>
      <c r="AK252" s="1025"/>
      <c r="AL252" s="1022"/>
      <c r="AM252" s="1025"/>
      <c r="AN252" s="1022"/>
      <c r="AO252" s="1025"/>
      <c r="AP252" s="1022"/>
      <c r="AQ252" s="1025"/>
      <c r="AR252" s="1022"/>
    </row>
    <row r="253" spans="1:44" ht="14.7" customHeight="1" outlineLevel="1" thickBot="1">
      <c r="B253" s="560"/>
      <c r="C253" s="566"/>
      <c r="D253" s="567"/>
      <c r="E253" s="567"/>
      <c r="F253" s="568"/>
      <c r="G253" s="567"/>
      <c r="H253" s="567"/>
      <c r="I253" s="567"/>
      <c r="J253" s="567"/>
      <c r="K253" s="563"/>
      <c r="L253" s="564"/>
      <c r="M253" s="430"/>
      <c r="N253" s="430"/>
      <c r="O253" s="71"/>
      <c r="P253" s="1028"/>
      <c r="Q253" s="1032"/>
      <c r="R253" s="453"/>
      <c r="S253" s="454"/>
      <c r="T253" s="1035"/>
      <c r="U253" s="1023"/>
      <c r="V253" s="1026"/>
      <c r="W253" s="1023"/>
      <c r="X253" s="1026"/>
      <c r="Y253" s="1023"/>
      <c r="Z253" s="1026"/>
      <c r="AA253" s="1023"/>
      <c r="AB253" s="1026"/>
      <c r="AC253" s="1023"/>
      <c r="AE253" s="1028"/>
      <c r="AF253" s="1032"/>
      <c r="AG253" s="453"/>
      <c r="AH253" s="454"/>
      <c r="AI253" s="1035"/>
      <c r="AJ253" s="1023"/>
      <c r="AK253" s="1026"/>
      <c r="AL253" s="1023"/>
      <c r="AM253" s="1026"/>
      <c r="AN253" s="1023"/>
      <c r="AO253" s="1026"/>
      <c r="AP253" s="1023"/>
      <c r="AQ253" s="1026"/>
      <c r="AR253" s="1023"/>
    </row>
    <row r="254" spans="1:44" outlineLevel="1">
      <c r="B254" s="560"/>
      <c r="C254" s="747"/>
      <c r="D254" s="747"/>
      <c r="E254" s="747"/>
      <c r="F254" s="747"/>
      <c r="G254" s="747"/>
      <c r="H254" s="747"/>
      <c r="I254" s="747"/>
      <c r="J254" s="747"/>
      <c r="K254" s="563"/>
      <c r="L254" s="564"/>
      <c r="M254" s="430"/>
      <c r="N254" s="430"/>
      <c r="O254" s="71"/>
      <c r="P254" s="1028"/>
      <c r="Q254" s="1030"/>
      <c r="R254" s="455"/>
      <c r="S254" s="456"/>
      <c r="T254" s="1033"/>
      <c r="U254" s="1033"/>
      <c r="V254" s="1033"/>
      <c r="W254" s="1033"/>
      <c r="X254" s="1033"/>
      <c r="Y254" s="1033"/>
      <c r="Z254" s="1033"/>
      <c r="AA254" s="1033"/>
      <c r="AB254" s="1033"/>
      <c r="AC254" s="1021"/>
      <c r="AE254" s="1028"/>
      <c r="AF254" s="1030"/>
      <c r="AG254" s="455"/>
      <c r="AH254" s="456"/>
      <c r="AI254" s="1033"/>
      <c r="AJ254" s="1033"/>
      <c r="AK254" s="1033"/>
      <c r="AL254" s="1033"/>
      <c r="AM254" s="1033"/>
      <c r="AN254" s="1033"/>
      <c r="AO254" s="1033"/>
      <c r="AP254" s="1033"/>
      <c r="AQ254" s="1033"/>
      <c r="AR254" s="1021"/>
    </row>
    <row r="255" spans="1:44" outlineLevel="1">
      <c r="B255" s="560"/>
      <c r="C255" s="566"/>
      <c r="D255" s="566"/>
      <c r="E255" s="566"/>
      <c r="F255" s="566"/>
      <c r="G255" s="566"/>
      <c r="H255" s="566"/>
      <c r="I255" s="566"/>
      <c r="J255" s="566"/>
      <c r="K255" s="563"/>
      <c r="L255" s="564"/>
      <c r="M255" s="427"/>
      <c r="N255" s="427"/>
      <c r="O255" s="71"/>
      <c r="P255" s="1028"/>
      <c r="Q255" s="1031"/>
      <c r="R255" s="455"/>
      <c r="S255" s="456"/>
      <c r="T255" s="1036"/>
      <c r="U255" s="1036"/>
      <c r="V255" s="1036"/>
      <c r="W255" s="1036"/>
      <c r="X255" s="1036"/>
      <c r="Y255" s="1036"/>
      <c r="Z255" s="1036"/>
      <c r="AA255" s="1036"/>
      <c r="AB255" s="1036"/>
      <c r="AC255" s="1038"/>
      <c r="AE255" s="1028"/>
      <c r="AF255" s="1031"/>
      <c r="AG255" s="455"/>
      <c r="AH255" s="456"/>
      <c r="AI255" s="1036"/>
      <c r="AJ255" s="1036"/>
      <c r="AK255" s="1036"/>
      <c r="AL255" s="1036"/>
      <c r="AM255" s="1036"/>
      <c r="AN255" s="1036"/>
      <c r="AO255" s="1036"/>
      <c r="AP255" s="1036"/>
      <c r="AQ255" s="1036"/>
      <c r="AR255" s="1038"/>
    </row>
    <row r="256" spans="1:44" outlineLevel="1">
      <c r="B256" s="443"/>
      <c r="C256" s="457"/>
      <c r="D256" s="457"/>
      <c r="E256" s="457"/>
      <c r="F256" s="457"/>
      <c r="G256" s="459"/>
      <c r="H256" s="459"/>
      <c r="I256" s="459"/>
      <c r="J256" s="459"/>
      <c r="K256" s="432"/>
      <c r="L256" s="433"/>
      <c r="M256" s="423"/>
      <c r="N256" s="423"/>
      <c r="P256" s="1028"/>
      <c r="Q256" s="1031"/>
      <c r="R256" s="455"/>
      <c r="S256" s="456"/>
      <c r="T256" s="1036"/>
      <c r="U256" s="1036"/>
      <c r="V256" s="1036"/>
      <c r="W256" s="1036"/>
      <c r="X256" s="1036"/>
      <c r="Y256" s="1036"/>
      <c r="Z256" s="1036"/>
      <c r="AA256" s="1036"/>
      <c r="AB256" s="1036"/>
      <c r="AC256" s="1038"/>
      <c r="AE256" s="1028"/>
      <c r="AF256" s="1031"/>
      <c r="AG256" s="455"/>
      <c r="AH256" s="689"/>
      <c r="AI256" s="1036"/>
      <c r="AJ256" s="1036"/>
      <c r="AK256" s="1036"/>
      <c r="AL256" s="1036"/>
      <c r="AM256" s="1036"/>
      <c r="AN256" s="1036"/>
      <c r="AO256" s="1036"/>
      <c r="AP256" s="1036"/>
      <c r="AQ256" s="1036"/>
      <c r="AR256" s="1038"/>
    </row>
    <row r="257" spans="1:44" ht="15" outlineLevel="1" thickBot="1">
      <c r="B257" s="560"/>
      <c r="C257" s="566"/>
      <c r="D257" s="566"/>
      <c r="E257" s="566"/>
      <c r="F257" s="566"/>
      <c r="G257" s="566"/>
      <c r="H257" s="566"/>
      <c r="I257" s="566"/>
      <c r="J257" s="566"/>
      <c r="K257" s="432"/>
      <c r="L257" s="460"/>
      <c r="M257" s="423"/>
      <c r="N257" s="423"/>
      <c r="P257" s="1028"/>
      <c r="Q257" s="1031"/>
      <c r="R257" s="455"/>
      <c r="S257" s="456"/>
      <c r="T257" s="1036"/>
      <c r="U257" s="1036"/>
      <c r="V257" s="1036"/>
      <c r="W257" s="1036"/>
      <c r="X257" s="1036"/>
      <c r="Y257" s="1036"/>
      <c r="Z257" s="1036"/>
      <c r="AA257" s="1036"/>
      <c r="AB257" s="1036"/>
      <c r="AC257" s="1038"/>
      <c r="AE257" s="1028"/>
      <c r="AF257" s="1031"/>
      <c r="AG257" s="455"/>
      <c r="AH257" s="456"/>
      <c r="AI257" s="1036"/>
      <c r="AJ257" s="1036"/>
      <c r="AK257" s="1036"/>
      <c r="AL257" s="1036"/>
      <c r="AM257" s="1036"/>
      <c r="AN257" s="1036"/>
      <c r="AO257" s="1036"/>
      <c r="AP257" s="1036"/>
      <c r="AQ257" s="1036"/>
      <c r="AR257" s="1038"/>
    </row>
    <row r="258" spans="1:44" ht="15" outlineLevel="1" thickBot="1">
      <c r="B258" s="461"/>
      <c r="C258" s="462"/>
      <c r="D258" s="463"/>
      <c r="E258" s="464"/>
      <c r="F258" s="465"/>
      <c r="G258" s="466"/>
      <c r="H258" s="466"/>
      <c r="I258" s="466"/>
      <c r="J258" s="466"/>
      <c r="K258" s="467"/>
      <c r="L258" s="468"/>
      <c r="M258" s="423"/>
      <c r="N258" s="423"/>
      <c r="P258" s="1028"/>
      <c r="Q258" s="1032"/>
      <c r="R258" s="469"/>
      <c r="S258" s="470"/>
      <c r="T258" s="1037"/>
      <c r="U258" s="1037"/>
      <c r="V258" s="1037"/>
      <c r="W258" s="1037"/>
      <c r="X258" s="1037"/>
      <c r="Y258" s="1037"/>
      <c r="Z258" s="1037"/>
      <c r="AA258" s="1037"/>
      <c r="AB258" s="1037"/>
      <c r="AC258" s="1039"/>
      <c r="AE258" s="1028"/>
      <c r="AF258" s="1032"/>
      <c r="AG258" s="469"/>
      <c r="AH258" s="470"/>
      <c r="AI258" s="1037"/>
      <c r="AJ258" s="1037"/>
      <c r="AK258" s="1037"/>
      <c r="AL258" s="1037"/>
      <c r="AM258" s="1037"/>
      <c r="AN258" s="1037"/>
      <c r="AO258" s="1037"/>
      <c r="AP258" s="1037"/>
      <c r="AQ258" s="1037"/>
      <c r="AR258" s="1039"/>
    </row>
    <row r="259" spans="1:44" ht="15" outlineLevel="1" thickBot="1">
      <c r="B259" s="560"/>
      <c r="C259" s="566"/>
      <c r="D259" s="566"/>
      <c r="E259" s="566"/>
      <c r="F259" s="566"/>
      <c r="G259" s="567"/>
      <c r="H259" s="567"/>
      <c r="I259" s="567"/>
      <c r="J259" s="567"/>
      <c r="K259" s="563"/>
      <c r="L259" s="564"/>
      <c r="M259" s="423"/>
      <c r="N259" s="423"/>
      <c r="P259" s="1029"/>
      <c r="Q259" s="471"/>
      <c r="R259" s="472"/>
      <c r="S259" s="690"/>
      <c r="T259" s="476"/>
      <c r="U259" s="475"/>
      <c r="V259" s="476"/>
      <c r="W259" s="475"/>
      <c r="X259" s="476"/>
      <c r="Y259" s="475"/>
      <c r="Z259" s="476"/>
      <c r="AA259" s="475"/>
      <c r="AB259" s="476"/>
      <c r="AC259" s="477"/>
      <c r="AE259" s="1029"/>
      <c r="AF259" s="471"/>
      <c r="AG259" s="755"/>
      <c r="AH259" s="756"/>
      <c r="AI259" s="476"/>
      <c r="AJ259" s="475"/>
      <c r="AK259" s="476"/>
      <c r="AL259" s="475"/>
      <c r="AM259" s="476"/>
      <c r="AN259" s="475"/>
      <c r="AO259" s="476"/>
      <c r="AP259" s="475"/>
      <c r="AQ259" s="476"/>
      <c r="AR259" s="477"/>
    </row>
    <row r="260" spans="1:44" outlineLevel="1">
      <c r="B260" s="560"/>
      <c r="C260" s="566"/>
      <c r="D260" s="566"/>
      <c r="E260" s="566"/>
      <c r="F260" s="566"/>
      <c r="G260" s="569"/>
      <c r="H260" s="569"/>
      <c r="I260" s="569"/>
      <c r="J260" s="569"/>
      <c r="K260" s="570"/>
      <c r="L260" s="564"/>
      <c r="M260" s="423"/>
      <c r="N260" s="423"/>
    </row>
    <row r="261" spans="1:44" outlineLevel="1">
      <c r="B261" s="560"/>
      <c r="C261" s="566"/>
      <c r="D261" s="566"/>
      <c r="E261" s="566"/>
      <c r="F261" s="566"/>
      <c r="G261" s="569"/>
      <c r="H261" s="569"/>
      <c r="I261" s="569"/>
      <c r="J261" s="569"/>
      <c r="K261" s="570"/>
      <c r="L261" s="564"/>
      <c r="M261" s="480"/>
      <c r="N261" s="423"/>
    </row>
    <row r="262" spans="1:44" outlineLevel="1">
      <c r="B262" s="481"/>
      <c r="C262" s="459"/>
      <c r="D262" s="459"/>
      <c r="E262" s="459"/>
      <c r="F262" s="459"/>
      <c r="G262" s="482"/>
      <c r="H262" s="482"/>
      <c r="I262" s="482"/>
      <c r="J262" s="482"/>
      <c r="K262" s="483"/>
      <c r="L262" s="484"/>
      <c r="M262" s="480"/>
      <c r="N262" s="480"/>
    </row>
    <row r="263" spans="1:44" outlineLevel="1">
      <c r="B263" s="443"/>
      <c r="C263" s="457"/>
      <c r="D263" s="457"/>
      <c r="E263" s="457"/>
      <c r="F263" s="457"/>
      <c r="G263" s="482"/>
      <c r="H263" s="485"/>
      <c r="I263" s="485"/>
      <c r="J263" s="485"/>
      <c r="K263" s="486"/>
      <c r="L263" s="487"/>
      <c r="M263" s="488"/>
      <c r="N263" s="488"/>
    </row>
    <row r="264" spans="1:44" outlineLevel="1">
      <c r="B264" s="443"/>
      <c r="C264" s="457"/>
      <c r="D264" s="457"/>
      <c r="E264" s="457"/>
      <c r="F264" s="457"/>
      <c r="G264" s="485"/>
      <c r="H264" s="485"/>
      <c r="I264" s="485"/>
      <c r="J264" s="485"/>
      <c r="K264" s="483"/>
      <c r="L264" s="487"/>
      <c r="M264" s="488"/>
      <c r="N264" s="488"/>
    </row>
    <row r="265" spans="1:44" outlineLevel="1">
      <c r="B265" s="443"/>
      <c r="C265" s="457"/>
      <c r="D265" s="457"/>
      <c r="E265" s="457"/>
      <c r="F265" s="457"/>
      <c r="G265" s="485"/>
      <c r="H265" s="485"/>
      <c r="I265" s="485"/>
      <c r="J265" s="485"/>
      <c r="K265" s="483"/>
      <c r="L265" s="487"/>
      <c r="M265" s="488"/>
      <c r="N265" s="488"/>
    </row>
    <row r="266" spans="1:44" outlineLevel="1">
      <c r="B266" s="443"/>
      <c r="C266" s="457"/>
      <c r="D266" s="457"/>
      <c r="E266" s="457"/>
      <c r="F266" s="457"/>
      <c r="G266" s="485"/>
      <c r="H266" s="485"/>
      <c r="I266" s="485"/>
      <c r="J266" s="485"/>
      <c r="K266" s="483"/>
      <c r="L266" s="487"/>
      <c r="M266" s="488"/>
      <c r="N266" s="488"/>
    </row>
    <row r="267" spans="1:44" ht="15" outlineLevel="1" thickBot="1">
      <c r="B267" s="489"/>
      <c r="C267" s="757"/>
      <c r="D267" s="757"/>
      <c r="E267" s="757"/>
      <c r="F267" s="757"/>
      <c r="G267" s="485"/>
      <c r="H267" s="485"/>
      <c r="I267" s="485"/>
      <c r="J267" s="485"/>
      <c r="K267" s="483"/>
      <c r="L267" s="487"/>
      <c r="M267" s="488"/>
      <c r="N267" s="488"/>
    </row>
    <row r="268" spans="1:44" ht="15" outlineLevel="1" thickBot="1">
      <c r="B268" s="491"/>
      <c r="C268" s="492"/>
      <c r="D268" s="463"/>
      <c r="E268" s="463"/>
      <c r="F268" s="493"/>
      <c r="G268" s="494"/>
      <c r="H268" s="466"/>
      <c r="I268" s="466"/>
      <c r="J268" s="466"/>
      <c r="K268" s="467"/>
      <c r="L268" s="468"/>
      <c r="M268" s="488"/>
      <c r="N268" s="488"/>
    </row>
    <row r="269" spans="1:44" outlineLevel="1">
      <c r="A269" s="495"/>
      <c r="B269" s="496"/>
      <c r="C269" s="611"/>
      <c r="D269" s="707"/>
      <c r="E269" s="707"/>
      <c r="F269" s="708"/>
      <c r="G269" s="485"/>
      <c r="H269" s="485"/>
      <c r="I269" s="485"/>
      <c r="J269" s="485"/>
      <c r="K269" s="486"/>
      <c r="L269" s="500"/>
      <c r="M269" s="480"/>
      <c r="N269" s="480"/>
    </row>
    <row r="270" spans="1:44" outlineLevel="1">
      <c r="B270" s="501"/>
      <c r="C270" s="502"/>
      <c r="D270" s="502"/>
      <c r="E270" s="502"/>
      <c r="F270" s="502"/>
      <c r="G270" s="485"/>
      <c r="H270" s="485"/>
      <c r="I270" s="485"/>
      <c r="J270" s="485"/>
      <c r="K270" s="504"/>
      <c r="L270" s="433"/>
      <c r="M270" s="71"/>
      <c r="N270" s="480"/>
    </row>
    <row r="271" spans="1:44" outlineLevel="1">
      <c r="B271" s="501"/>
      <c r="C271" s="502"/>
      <c r="D271" s="502"/>
      <c r="E271" s="502"/>
      <c r="F271" s="502"/>
      <c r="G271" s="485"/>
      <c r="H271" s="485"/>
      <c r="I271" s="485"/>
      <c r="J271" s="485"/>
      <c r="K271" s="504"/>
      <c r="L271" s="433"/>
      <c r="M271" s="480"/>
      <c r="N271" s="480"/>
    </row>
    <row r="272" spans="1:44" outlineLevel="1">
      <c r="B272" s="443"/>
      <c r="C272" s="505"/>
      <c r="D272" s="506"/>
      <c r="E272" s="506"/>
      <c r="F272" s="507"/>
      <c r="G272" s="485"/>
      <c r="H272" s="485"/>
      <c r="I272" s="485"/>
      <c r="J272" s="485"/>
      <c r="K272" s="508"/>
      <c r="L272" s="433"/>
      <c r="M272" s="480"/>
      <c r="N272" s="480"/>
    </row>
    <row r="273" spans="2:30" outlineLevel="1">
      <c r="B273" s="443"/>
      <c r="C273" s="509"/>
      <c r="D273" s="509"/>
      <c r="E273" s="509"/>
      <c r="F273" s="509"/>
      <c r="G273" s="485"/>
      <c r="H273" s="485"/>
      <c r="I273" s="485"/>
      <c r="J273" s="485"/>
      <c r="K273" s="508"/>
      <c r="L273" s="433"/>
      <c r="M273" s="754"/>
      <c r="N273" s="753"/>
      <c r="P273" s="999"/>
      <c r="Q273" s="977"/>
      <c r="R273" s="977"/>
      <c r="S273" s="977"/>
      <c r="T273" s="977"/>
      <c r="U273" s="1000"/>
    </row>
    <row r="274" spans="2:30" ht="15" outlineLevel="1" thickBot="1">
      <c r="B274" s="560"/>
      <c r="C274" s="574"/>
      <c r="D274" s="574"/>
      <c r="E274" s="574"/>
      <c r="F274" s="574"/>
      <c r="G274" s="575"/>
      <c r="H274" s="575"/>
      <c r="I274" s="575"/>
      <c r="J274" s="575"/>
      <c r="K274" s="563"/>
      <c r="L274" s="564"/>
      <c r="M274" s="754"/>
      <c r="N274" s="753"/>
      <c r="P274" s="1001"/>
      <c r="Q274" s="1002"/>
      <c r="R274" s="1002"/>
      <c r="S274" s="1002"/>
      <c r="T274" s="1002"/>
      <c r="U274" s="1003"/>
    </row>
    <row r="275" spans="2:30" outlineLevel="1">
      <c r="B275" s="560"/>
      <c r="C275" s="576"/>
      <c r="D275" s="576"/>
      <c r="E275" s="576"/>
      <c r="F275" s="576"/>
      <c r="G275" s="575"/>
      <c r="H275" s="575"/>
      <c r="I275" s="575"/>
      <c r="J275" s="575"/>
      <c r="K275" s="577"/>
      <c r="L275" s="564"/>
      <c r="M275" s="423"/>
      <c r="N275" s="423"/>
      <c r="P275" s="53"/>
    </row>
    <row r="276" spans="2:30" outlineLevel="1">
      <c r="B276" s="501"/>
      <c r="C276" s="741"/>
      <c r="D276" s="741"/>
      <c r="E276" s="741"/>
      <c r="F276" s="741"/>
      <c r="G276" s="485"/>
      <c r="H276" s="485"/>
      <c r="I276" s="485"/>
      <c r="J276" s="485"/>
      <c r="K276" s="504"/>
      <c r="L276" s="484"/>
      <c r="M276" s="427"/>
      <c r="N276" s="427"/>
      <c r="P276" s="46"/>
      <c r="Q276" s="46"/>
      <c r="R276" s="47"/>
      <c r="S276" s="47"/>
      <c r="T276" s="47"/>
      <c r="U276" s="48"/>
      <c r="V276" s="49"/>
      <c r="W276" s="49"/>
      <c r="X276" s="49"/>
      <c r="Y276" s="49"/>
      <c r="Z276" s="49"/>
      <c r="AA276" s="49"/>
      <c r="AB276" s="49"/>
      <c r="AC276" s="49"/>
      <c r="AD276" s="49"/>
    </row>
    <row r="277" spans="2:30" ht="15" outlineLevel="1" thickBot="1">
      <c r="B277" s="579"/>
      <c r="C277" s="502"/>
      <c r="D277" s="580"/>
      <c r="E277" s="580"/>
      <c r="F277" s="581"/>
      <c r="G277" s="485"/>
      <c r="H277" s="485"/>
      <c r="I277" s="485"/>
      <c r="J277" s="485"/>
      <c r="K277" s="508"/>
      <c r="L277" s="484"/>
      <c r="M277" s="423"/>
      <c r="N277" s="423"/>
      <c r="P277" s="50"/>
      <c r="Q277" s="50"/>
      <c r="R277" s="51"/>
      <c r="S277" s="51"/>
      <c r="T277" s="51"/>
      <c r="U277" s="51"/>
      <c r="V277" s="50"/>
      <c r="W277" s="50"/>
      <c r="X277" s="50"/>
      <c r="Y277" s="50"/>
      <c r="Z277" s="50"/>
      <c r="AA277" s="50"/>
      <c r="AB277" s="50"/>
      <c r="AC277" s="50"/>
      <c r="AD277" s="50"/>
    </row>
    <row r="278" spans="2:30" ht="15" outlineLevel="1" thickBot="1">
      <c r="B278" s="461"/>
      <c r="C278" s="462"/>
      <c r="D278" s="463"/>
      <c r="E278" s="464"/>
      <c r="F278" s="465"/>
      <c r="G278" s="466"/>
      <c r="H278" s="466"/>
      <c r="I278" s="466"/>
      <c r="J278" s="466"/>
      <c r="K278" s="519"/>
      <c r="L278" s="520"/>
      <c r="M278" s="423"/>
      <c r="N278" s="423"/>
      <c r="O278" s="521"/>
      <c r="P278" s="56"/>
      <c r="Q278" s="56"/>
      <c r="R278" s="57"/>
      <c r="S278" s="57"/>
      <c r="T278" s="57"/>
      <c r="U278" s="56"/>
      <c r="V278" s="56"/>
      <c r="W278" s="56"/>
      <c r="X278" s="56"/>
      <c r="Y278" s="56"/>
      <c r="Z278" s="56"/>
      <c r="AA278" s="56"/>
      <c r="AB278" s="56"/>
      <c r="AC278" s="56"/>
      <c r="AD278" s="56"/>
    </row>
    <row r="279" spans="2:30" outlineLevel="1">
      <c r="B279" s="582"/>
      <c r="C279" s="730"/>
      <c r="D279" s="730"/>
      <c r="E279" s="730"/>
      <c r="F279" s="730"/>
      <c r="G279" s="584"/>
      <c r="H279" s="584"/>
      <c r="I279" s="584"/>
      <c r="J279" s="584"/>
      <c r="K279" s="584"/>
      <c r="L279" s="585"/>
      <c r="M279" s="423"/>
      <c r="N279" s="423"/>
      <c r="O279" s="525"/>
      <c r="P279" s="526"/>
      <c r="Q279" s="58"/>
      <c r="R279" s="526"/>
      <c r="S279" s="58"/>
      <c r="T279" s="526"/>
      <c r="U279" s="527"/>
      <c r="V279" s="527"/>
      <c r="W279" s="527"/>
      <c r="X279" s="58"/>
      <c r="Y279" s="58"/>
      <c r="Z279" s="526"/>
      <c r="AA279" s="528"/>
      <c r="AB279" s="528"/>
      <c r="AC279" s="528"/>
      <c r="AD279" s="528"/>
    </row>
    <row r="280" spans="2:30" outlineLevel="1">
      <c r="B280" s="560"/>
      <c r="C280" s="586"/>
      <c r="D280" s="587"/>
      <c r="E280" s="587"/>
      <c r="F280" s="588"/>
      <c r="G280" s="588"/>
      <c r="H280" s="588"/>
      <c r="I280" s="588"/>
      <c r="J280" s="588"/>
      <c r="K280" s="589"/>
      <c r="L280" s="585"/>
      <c r="M280" s="423"/>
      <c r="N280" s="423"/>
      <c r="O280" s="525"/>
      <c r="P280" s="526"/>
      <c r="Q280" s="58"/>
      <c r="R280" s="526"/>
      <c r="S280" s="58"/>
      <c r="T280" s="526"/>
      <c r="U280" s="527"/>
      <c r="V280" s="527"/>
      <c r="W280" s="527"/>
      <c r="X280" s="58"/>
      <c r="Y280" s="58"/>
      <c r="Z280" s="526"/>
      <c r="AA280" s="528"/>
      <c r="AB280" s="528"/>
      <c r="AC280" s="528"/>
      <c r="AD280" s="528"/>
    </row>
    <row r="281" spans="2:30" outlineLevel="1">
      <c r="B281" s="560"/>
      <c r="C281" s="586"/>
      <c r="D281" s="587"/>
      <c r="E281" s="587"/>
      <c r="F281" s="588"/>
      <c r="G281" s="575"/>
      <c r="H281" s="575"/>
      <c r="I281" s="575"/>
      <c r="J281" s="575"/>
      <c r="K281" s="575"/>
      <c r="L281" s="564"/>
      <c r="M281" s="423"/>
      <c r="N281" s="423"/>
      <c r="O281" s="525"/>
      <c r="P281" s="526"/>
      <c r="Q281" s="58"/>
      <c r="R281" s="526"/>
      <c r="S281" s="58"/>
      <c r="T281" s="526"/>
      <c r="U281" s="527"/>
      <c r="V281" s="527"/>
      <c r="W281" s="527"/>
      <c r="X281" s="58"/>
      <c r="Y281" s="58"/>
      <c r="Z281" s="526"/>
      <c r="AA281" s="528"/>
      <c r="AB281" s="528"/>
      <c r="AC281" s="528"/>
      <c r="AD281" s="528"/>
    </row>
    <row r="282" spans="2:30" outlineLevel="1">
      <c r="B282" s="560"/>
      <c r="C282" s="745"/>
      <c r="D282" s="590"/>
      <c r="E282" s="590"/>
      <c r="F282" s="590"/>
      <c r="G282" s="591"/>
      <c r="H282" s="591"/>
      <c r="I282" s="591"/>
      <c r="J282" s="591"/>
      <c r="K282" s="591"/>
      <c r="L282" s="564"/>
      <c r="M282" s="423"/>
      <c r="N282" s="423"/>
      <c r="O282" s="525"/>
      <c r="P282" s="526"/>
      <c r="Q282" s="58"/>
      <c r="R282" s="526"/>
      <c r="S282" s="58"/>
      <c r="T282" s="526"/>
      <c r="U282" s="527"/>
      <c r="V282" s="527"/>
      <c r="W282" s="527"/>
      <c r="X282" s="58"/>
      <c r="Y282" s="58"/>
      <c r="Z282" s="526"/>
      <c r="AA282" s="528"/>
      <c r="AB282" s="528"/>
      <c r="AC282" s="528"/>
      <c r="AD282" s="528"/>
    </row>
    <row r="283" spans="2:30" outlineLevel="1">
      <c r="B283" s="592"/>
      <c r="C283" s="586"/>
      <c r="D283" s="587"/>
      <c r="E283" s="587"/>
      <c r="F283" s="588"/>
      <c r="G283" s="591"/>
      <c r="H283" s="591"/>
      <c r="I283" s="591"/>
      <c r="J283" s="591"/>
      <c r="K283" s="591"/>
      <c r="L283" s="593"/>
      <c r="M283" s="427"/>
      <c r="N283" s="427"/>
    </row>
    <row r="284" spans="2:30" outlineLevel="1">
      <c r="B284" s="592"/>
      <c r="C284" s="586"/>
      <c r="D284" s="587"/>
      <c r="E284" s="587"/>
      <c r="F284" s="588"/>
      <c r="G284" s="591"/>
      <c r="H284" s="591"/>
      <c r="I284" s="591"/>
      <c r="J284" s="591"/>
      <c r="K284" s="591"/>
      <c r="L284" s="593"/>
      <c r="M284" s="423"/>
      <c r="N284" s="423"/>
    </row>
    <row r="285" spans="2:30" ht="15" outlineLevel="1" thickBot="1">
      <c r="B285" s="594"/>
      <c r="C285" s="595"/>
      <c r="D285" s="596"/>
      <c r="E285" s="596"/>
      <c r="F285" s="597"/>
      <c r="G285" s="598"/>
      <c r="H285" s="598"/>
      <c r="I285" s="598"/>
      <c r="J285" s="598"/>
      <c r="K285" s="598"/>
      <c r="L285" s="599"/>
      <c r="M285" s="423"/>
      <c r="N285" s="423"/>
    </row>
    <row r="286" spans="2:30" outlineLevel="1">
      <c r="B286" s="521"/>
      <c r="C286" s="543"/>
      <c r="D286" s="543"/>
      <c r="E286" s="543"/>
      <c r="F286" s="543"/>
      <c r="G286" s="543"/>
      <c r="H286" s="544"/>
      <c r="I286" s="480"/>
      <c r="J286" s="480"/>
      <c r="K286" s="544"/>
      <c r="L286" s="544"/>
      <c r="N286" s="480"/>
    </row>
    <row r="287" spans="2:30" outlineLevel="1">
      <c r="B287" s="545"/>
      <c r="C287" s="546"/>
      <c r="D287" s="546"/>
      <c r="E287" s="546"/>
      <c r="F287" s="546"/>
      <c r="G287" s="546"/>
      <c r="H287" s="544"/>
      <c r="I287" s="71"/>
      <c r="J287" s="480"/>
      <c r="K287" s="544"/>
      <c r="L287" s="544"/>
      <c r="N287" s="480"/>
    </row>
    <row r="288" spans="2:30" outlineLevel="1">
      <c r="B288" s="521"/>
      <c r="C288" s="419"/>
      <c r="D288" s="419"/>
      <c r="E288" s="419"/>
      <c r="F288" s="419"/>
      <c r="G288" s="419"/>
      <c r="I288" s="480"/>
      <c r="J288" s="480"/>
      <c r="N288" s="480"/>
    </row>
    <row r="289" spans="1:15" outlineLevel="1">
      <c r="B289" s="521"/>
      <c r="C289" s="547"/>
      <c r="D289" s="547"/>
      <c r="E289" s="547"/>
      <c r="F289" s="547"/>
      <c r="G289" s="419"/>
      <c r="M289" s="480"/>
      <c r="N289" s="480"/>
    </row>
    <row r="290" spans="1:15" outlineLevel="1">
      <c r="A290" s="548"/>
      <c r="B290" s="549"/>
      <c r="D290" s="550"/>
      <c r="E290" s="550"/>
      <c r="F290" s="550"/>
      <c r="G290" s="417"/>
      <c r="H290" s="417"/>
      <c r="I290" s="417"/>
      <c r="J290" s="417"/>
      <c r="K290" s="417"/>
      <c r="L290" s="417"/>
    </row>
    <row r="291" spans="1:15" outlineLevel="1">
      <c r="A291" s="551"/>
      <c r="B291" s="552"/>
      <c r="D291" s="550"/>
      <c r="E291" s="550"/>
      <c r="F291" s="550"/>
      <c r="G291" s="417"/>
      <c r="H291" s="417"/>
      <c r="I291" s="417"/>
      <c r="J291" s="417"/>
      <c r="K291" s="417"/>
      <c r="L291" s="417"/>
    </row>
    <row r="292" spans="1:15" outlineLevel="1">
      <c r="A292" s="551"/>
      <c r="B292" s="553"/>
      <c r="D292" s="550"/>
      <c r="E292" s="550"/>
      <c r="F292" s="550"/>
      <c r="G292" s="417"/>
      <c r="H292" s="417"/>
      <c r="I292" s="417"/>
      <c r="J292" s="417"/>
      <c r="K292" s="417"/>
      <c r="L292" s="417"/>
    </row>
    <row r="293" spans="1:15" outlineLevel="1">
      <c r="A293" s="551"/>
      <c r="B293" s="548"/>
      <c r="C293" s="549"/>
      <c r="E293" s="417"/>
      <c r="F293" s="550"/>
      <c r="G293" s="417"/>
      <c r="H293" s="417"/>
      <c r="I293" s="417"/>
      <c r="J293" s="417"/>
      <c r="K293" s="417"/>
      <c r="L293" s="417"/>
    </row>
    <row r="294" spans="1:15" outlineLevel="1">
      <c r="A294" s="551"/>
      <c r="B294" s="551"/>
      <c r="C294" s="552"/>
      <c r="E294" s="417"/>
      <c r="F294" s="550"/>
      <c r="G294" s="417"/>
      <c r="H294" s="417"/>
      <c r="I294" s="417"/>
      <c r="J294" s="417"/>
      <c r="K294" s="417"/>
      <c r="L294" s="417"/>
    </row>
    <row r="295" spans="1:15" outlineLevel="1">
      <c r="A295" s="417"/>
      <c r="B295" s="551"/>
      <c r="C295" s="553"/>
      <c r="E295" s="417"/>
      <c r="F295" s="550"/>
      <c r="G295" s="417"/>
      <c r="H295" s="417"/>
      <c r="I295" s="417"/>
      <c r="J295" s="417"/>
      <c r="K295" s="417"/>
      <c r="L295" s="417"/>
      <c r="M295" s="630"/>
      <c r="N295" s="549"/>
      <c r="O295" s="550"/>
    </row>
    <row r="296" spans="1:15" outlineLevel="1">
      <c r="A296" s="417"/>
      <c r="B296" s="551"/>
      <c r="C296" s="553"/>
      <c r="E296" s="417"/>
      <c r="F296" s="550"/>
      <c r="G296" s="417"/>
      <c r="H296" s="417"/>
      <c r="I296" s="417"/>
      <c r="J296" s="417"/>
      <c r="K296" s="417"/>
      <c r="L296" s="417"/>
      <c r="O296" s="550"/>
    </row>
    <row r="297" spans="1:15" outlineLevel="1">
      <c r="A297" s="417"/>
      <c r="B297" s="551"/>
      <c r="C297" s="553"/>
      <c r="E297" s="417"/>
      <c r="F297" s="550"/>
      <c r="G297" s="417"/>
      <c r="H297" s="417"/>
      <c r="I297" s="417"/>
      <c r="J297" s="417"/>
      <c r="K297" s="417"/>
      <c r="L297" s="417"/>
      <c r="O297" s="550"/>
    </row>
    <row r="298" spans="1:15" outlineLevel="1">
      <c r="A298" s="417"/>
      <c r="B298" s="417"/>
      <c r="C298" s="554"/>
      <c r="F298" s="550"/>
      <c r="G298" s="417"/>
      <c r="H298" s="417"/>
      <c r="I298" s="417"/>
      <c r="J298" s="417"/>
      <c r="K298" s="417"/>
      <c r="L298" s="417"/>
      <c r="O298" s="550"/>
    </row>
    <row r="299" spans="1:15" outlineLevel="1">
      <c r="A299" s="417"/>
      <c r="B299" s="417"/>
      <c r="C299" s="552"/>
      <c r="F299" s="550"/>
      <c r="G299" s="417"/>
      <c r="H299" s="417"/>
      <c r="I299" s="417"/>
      <c r="J299" s="417"/>
      <c r="K299" s="417"/>
      <c r="L299" s="417"/>
      <c r="O299" s="550"/>
    </row>
    <row r="300" spans="1:15" outlineLevel="1">
      <c r="A300" s="417"/>
      <c r="B300" s="417"/>
      <c r="C300" s="555"/>
      <c r="F300" s="550"/>
      <c r="G300" s="417"/>
      <c r="H300" s="417"/>
      <c r="I300" s="417"/>
      <c r="J300" s="417"/>
      <c r="K300" s="417"/>
      <c r="L300" s="417"/>
      <c r="O300" s="550"/>
    </row>
    <row r="301" spans="1:15" outlineLevel="1">
      <c r="A301" s="548"/>
      <c r="B301" s="417"/>
      <c r="C301" s="555"/>
      <c r="F301" s="550"/>
      <c r="G301" s="417"/>
      <c r="H301" s="417"/>
      <c r="I301" s="417"/>
      <c r="J301" s="417"/>
      <c r="K301" s="417"/>
      <c r="L301" s="417"/>
      <c r="O301" s="550"/>
    </row>
    <row r="302" spans="1:15" outlineLevel="1">
      <c r="A302" s="548"/>
      <c r="B302" s="417"/>
      <c r="C302" s="549"/>
      <c r="F302" s="550"/>
      <c r="G302" s="417"/>
      <c r="H302" s="417"/>
      <c r="I302" s="417"/>
      <c r="J302" s="417"/>
      <c r="K302" s="417"/>
      <c r="L302" s="417"/>
      <c r="O302" s="550"/>
    </row>
    <row r="303" spans="1:15" outlineLevel="1">
      <c r="A303" s="548"/>
      <c r="B303" s="417"/>
      <c r="C303" s="550"/>
      <c r="F303" s="550"/>
      <c r="G303" s="417"/>
      <c r="H303" s="417"/>
      <c r="I303" s="417"/>
      <c r="J303" s="417"/>
      <c r="K303" s="417"/>
      <c r="L303" s="417"/>
      <c r="O303" s="550"/>
    </row>
    <row r="304" spans="1:15" outlineLevel="1">
      <c r="A304" s="548"/>
      <c r="B304" s="548"/>
      <c r="C304" s="549"/>
      <c r="F304" s="550"/>
      <c r="G304" s="417"/>
      <c r="H304" s="417"/>
      <c r="I304" s="417"/>
      <c r="J304" s="417"/>
      <c r="K304" s="417"/>
      <c r="L304" s="417"/>
      <c r="O304" s="550"/>
    </row>
    <row r="305" spans="1:15" outlineLevel="1">
      <c r="A305" s="548"/>
      <c r="B305" s="556"/>
      <c r="C305" s="557"/>
      <c r="D305" s="549"/>
      <c r="F305" s="550"/>
      <c r="G305" s="417"/>
      <c r="H305" s="417"/>
      <c r="I305" s="417"/>
      <c r="J305" s="417"/>
      <c r="K305" s="417"/>
      <c r="L305" s="417"/>
      <c r="O305" s="550"/>
    </row>
    <row r="306" spans="1:15" outlineLevel="1">
      <c r="A306" s="548"/>
      <c r="B306" s="556"/>
      <c r="C306" s="549"/>
      <c r="D306" s="549"/>
      <c r="F306" s="550"/>
      <c r="G306" s="417"/>
      <c r="H306" s="417"/>
      <c r="I306" s="417"/>
      <c r="J306" s="417"/>
      <c r="K306" s="417"/>
      <c r="L306" s="417"/>
      <c r="O306" s="550"/>
    </row>
    <row r="307" spans="1:15" outlineLevel="1">
      <c r="A307" s="548"/>
      <c r="B307" s="556"/>
      <c r="C307" s="549"/>
      <c r="D307" s="549"/>
      <c r="F307" s="550"/>
      <c r="G307" s="417"/>
      <c r="H307" s="417"/>
      <c r="I307" s="417"/>
      <c r="J307" s="417"/>
      <c r="K307" s="417"/>
      <c r="L307" s="417"/>
      <c r="O307" s="550"/>
    </row>
    <row r="308" spans="1:15" outlineLevel="1">
      <c r="A308" s="548"/>
      <c r="B308" s="556"/>
      <c r="C308" s="549"/>
      <c r="D308" s="549"/>
      <c r="F308" s="550"/>
      <c r="G308" s="417"/>
      <c r="H308" s="417"/>
      <c r="I308" s="417"/>
      <c r="J308" s="417"/>
      <c r="K308" s="417"/>
      <c r="L308" s="417"/>
      <c r="O308" s="550"/>
    </row>
    <row r="309" spans="1:15" outlineLevel="1">
      <c r="A309" s="548"/>
      <c r="B309" s="556"/>
      <c r="C309" s="549"/>
      <c r="D309" s="549"/>
      <c r="F309" s="550"/>
      <c r="G309" s="417"/>
      <c r="H309" s="417"/>
      <c r="I309" s="417"/>
      <c r="J309" s="417"/>
      <c r="K309" s="417"/>
      <c r="L309" s="417"/>
      <c r="O309" s="550"/>
    </row>
    <row r="310" spans="1:15" outlineLevel="1">
      <c r="A310" s="548"/>
      <c r="B310" s="556"/>
      <c r="C310" s="549"/>
      <c r="D310" s="549"/>
      <c r="F310" s="550"/>
      <c r="G310" s="417"/>
      <c r="H310" s="417"/>
      <c r="I310" s="417"/>
      <c r="J310" s="417"/>
      <c r="K310" s="417"/>
      <c r="L310" s="417"/>
      <c r="O310" s="550"/>
    </row>
    <row r="311" spans="1:15" outlineLevel="1">
      <c r="A311" s="548"/>
      <c r="B311" s="556"/>
      <c r="C311" s="549"/>
      <c r="D311" s="549"/>
      <c r="F311" s="550"/>
      <c r="G311" s="417"/>
      <c r="H311" s="417"/>
      <c r="I311" s="417"/>
      <c r="J311" s="417"/>
      <c r="K311" s="417"/>
      <c r="L311" s="417"/>
      <c r="O311" s="550"/>
    </row>
    <row r="312" spans="1:15" outlineLevel="1">
      <c r="A312" s="548"/>
      <c r="B312" s="556"/>
      <c r="C312" s="549"/>
      <c r="D312" s="549"/>
      <c r="F312" s="550"/>
      <c r="G312" s="417"/>
      <c r="H312" s="417"/>
      <c r="I312" s="417"/>
      <c r="J312" s="417"/>
      <c r="K312" s="417"/>
      <c r="L312" s="417"/>
      <c r="O312" s="550"/>
    </row>
    <row r="313" spans="1:15" outlineLevel="1">
      <c r="A313" s="548"/>
      <c r="B313" s="556"/>
      <c r="C313" s="558"/>
      <c r="D313" s="549"/>
      <c r="F313" s="550"/>
      <c r="G313" s="417"/>
      <c r="H313" s="417"/>
      <c r="I313" s="417"/>
      <c r="J313" s="417"/>
      <c r="K313" s="417"/>
      <c r="L313" s="417"/>
      <c r="O313" s="550"/>
    </row>
    <row r="314" spans="1:15" outlineLevel="1">
      <c r="A314" s="548"/>
      <c r="B314" s="556"/>
      <c r="C314" s="549"/>
      <c r="D314" s="549"/>
      <c r="F314" s="550"/>
      <c r="G314" s="417"/>
      <c r="H314" s="417"/>
      <c r="I314" s="417"/>
      <c r="J314" s="417"/>
      <c r="K314" s="417"/>
      <c r="L314" s="417"/>
      <c r="O314" s="550"/>
    </row>
    <row r="315" spans="1:15" outlineLevel="1">
      <c r="A315" s="556"/>
      <c r="B315" s="556"/>
      <c r="C315" s="549"/>
      <c r="D315" s="549"/>
      <c r="F315" s="550"/>
      <c r="G315" s="417"/>
      <c r="H315" s="417"/>
      <c r="I315" s="417"/>
      <c r="J315" s="417"/>
      <c r="K315" s="417"/>
      <c r="L315" s="417"/>
      <c r="M315" s="630"/>
      <c r="N315" s="549"/>
      <c r="O315" s="550"/>
    </row>
    <row r="316" spans="1:15" outlineLevel="1">
      <c r="A316" s="556"/>
      <c r="F316" s="550"/>
      <c r="G316" s="417"/>
      <c r="H316" s="417"/>
      <c r="I316" s="417"/>
      <c r="J316" s="417"/>
      <c r="K316" s="417"/>
      <c r="L316" s="417"/>
      <c r="M316" s="631"/>
      <c r="N316" s="549"/>
      <c r="O316" s="550"/>
    </row>
    <row r="317" spans="1:15" outlineLevel="1">
      <c r="A317" s="556"/>
      <c r="B317" s="549"/>
      <c r="D317" s="550"/>
      <c r="E317" s="550"/>
      <c r="F317" s="550"/>
      <c r="G317" s="417"/>
      <c r="H317" s="417"/>
      <c r="I317" s="417"/>
      <c r="J317" s="417"/>
      <c r="K317" s="417"/>
      <c r="L317" s="417"/>
      <c r="M317" s="632"/>
      <c r="N317" s="549"/>
      <c r="O317" s="550"/>
    </row>
    <row r="318" spans="1:15" outlineLevel="1">
      <c r="A318" s="556"/>
      <c r="B318" s="558"/>
      <c r="D318" s="550"/>
      <c r="E318" s="550"/>
      <c r="F318" s="550"/>
      <c r="G318" s="417"/>
      <c r="H318" s="417"/>
      <c r="I318" s="417"/>
      <c r="J318" s="417"/>
      <c r="K318" s="417"/>
      <c r="L318" s="417"/>
      <c r="M318" s="633"/>
      <c r="N318" s="549"/>
      <c r="O318" s="550"/>
    </row>
    <row r="319" spans="1:15" outlineLevel="1">
      <c r="A319" s="556"/>
      <c r="B319" s="549"/>
      <c r="D319" s="550"/>
      <c r="E319" s="550"/>
      <c r="F319" s="550"/>
      <c r="G319" s="417"/>
      <c r="H319" s="417"/>
      <c r="I319" s="417"/>
      <c r="J319" s="417"/>
      <c r="K319" s="417"/>
      <c r="L319" s="417"/>
      <c r="M319" s="633"/>
      <c r="N319" s="550"/>
      <c r="O319" s="550"/>
    </row>
    <row r="320" spans="1:15" outlineLevel="1">
      <c r="A320" s="556"/>
      <c r="B320" s="549"/>
      <c r="D320" s="550"/>
      <c r="E320" s="550"/>
      <c r="F320" s="550"/>
      <c r="G320" s="417"/>
      <c r="H320" s="417"/>
      <c r="I320" s="417"/>
      <c r="J320" s="417"/>
      <c r="K320" s="417"/>
      <c r="L320" s="417"/>
      <c r="M320" s="549"/>
      <c r="N320" s="550"/>
      <c r="O320" s="550"/>
    </row>
    <row r="321" spans="1:44" outlineLevel="1"/>
    <row r="324" spans="1:44" ht="15" thickBot="1">
      <c r="A324" s="420"/>
    </row>
    <row r="325" spans="1:44" ht="20.7" customHeight="1" thickBot="1">
      <c r="B325" s="422"/>
      <c r="C325" s="1043"/>
      <c r="D325" s="1044"/>
      <c r="E325" s="1044"/>
      <c r="F325" s="1044"/>
      <c r="G325" s="1044"/>
      <c r="H325" s="1044"/>
      <c r="I325" s="1044"/>
      <c r="J325" s="1044"/>
      <c r="K325" s="1044"/>
      <c r="L325" s="1045"/>
      <c r="M325" s="423"/>
      <c r="N325" s="423"/>
      <c r="P325" s="424"/>
      <c r="Q325" s="425"/>
      <c r="R325" s="426"/>
      <c r="S325" s="985"/>
      <c r="T325" s="989"/>
      <c r="U325" s="990"/>
      <c r="V325" s="989"/>
      <c r="W325" s="990"/>
      <c r="X325" s="989"/>
      <c r="Y325" s="990"/>
      <c r="Z325" s="989"/>
      <c r="AA325" s="990"/>
      <c r="AB325" s="989"/>
      <c r="AC325" s="990"/>
      <c r="AE325" s="424"/>
      <c r="AF325" s="425"/>
      <c r="AG325" s="426"/>
      <c r="AH325" s="985"/>
      <c r="AI325" s="989"/>
      <c r="AJ325" s="990"/>
      <c r="AK325" s="989"/>
      <c r="AL325" s="990"/>
      <c r="AM325" s="989"/>
      <c r="AN325" s="990"/>
      <c r="AO325" s="989"/>
      <c r="AP325" s="990"/>
      <c r="AQ325" s="989"/>
      <c r="AR325" s="990"/>
    </row>
    <row r="326" spans="1:44" ht="15" customHeight="1" thickBot="1">
      <c r="B326" s="1010"/>
      <c r="C326" s="1012"/>
      <c r="D326" s="1012"/>
      <c r="E326" s="1012"/>
      <c r="F326" s="1012"/>
      <c r="G326" s="1048"/>
      <c r="H326" s="1049"/>
      <c r="I326" s="1048"/>
      <c r="J326" s="1049"/>
      <c r="K326" s="1046"/>
      <c r="L326" s="1046"/>
      <c r="M326" s="427"/>
      <c r="N326" s="427"/>
      <c r="P326" s="993"/>
      <c r="Q326" s="428"/>
      <c r="R326" s="428"/>
      <c r="S326" s="986"/>
      <c r="T326" s="991"/>
      <c r="U326" s="992"/>
      <c r="V326" s="991"/>
      <c r="W326" s="992"/>
      <c r="X326" s="991"/>
      <c r="Y326" s="992"/>
      <c r="Z326" s="991"/>
      <c r="AA326" s="992"/>
      <c r="AB326" s="991"/>
      <c r="AC326" s="992"/>
      <c r="AE326" s="993"/>
      <c r="AF326" s="428"/>
      <c r="AG326" s="428"/>
      <c r="AH326" s="986"/>
      <c r="AI326" s="991"/>
      <c r="AJ326" s="992"/>
      <c r="AK326" s="991"/>
      <c r="AL326" s="992"/>
      <c r="AM326" s="991"/>
      <c r="AN326" s="992"/>
      <c r="AO326" s="991"/>
      <c r="AP326" s="992"/>
      <c r="AQ326" s="991"/>
      <c r="AR326" s="992"/>
    </row>
    <row r="327" spans="1:44" ht="15" customHeight="1" thickBot="1">
      <c r="B327" s="1011"/>
      <c r="C327" s="1013"/>
      <c r="D327" s="1013"/>
      <c r="E327" s="1013"/>
      <c r="F327" s="1013"/>
      <c r="G327" s="466"/>
      <c r="H327" s="466"/>
      <c r="I327" s="466"/>
      <c r="J327" s="466"/>
      <c r="K327" s="1047"/>
      <c r="L327" s="1047"/>
      <c r="M327" s="430"/>
      <c r="N327" s="430"/>
      <c r="P327" s="994"/>
      <c r="Q327" s="996"/>
      <c r="R327" s="997"/>
      <c r="S327" s="987"/>
      <c r="T327" s="991"/>
      <c r="U327" s="992"/>
      <c r="V327" s="991"/>
      <c r="W327" s="992"/>
      <c r="X327" s="991"/>
      <c r="Y327" s="992"/>
      <c r="Z327" s="991"/>
      <c r="AA327" s="992"/>
      <c r="AB327" s="991"/>
      <c r="AC327" s="992"/>
      <c r="AE327" s="994"/>
      <c r="AF327" s="996"/>
      <c r="AG327" s="997"/>
      <c r="AH327" s="987"/>
      <c r="AI327" s="991"/>
      <c r="AJ327" s="992"/>
      <c r="AK327" s="991"/>
      <c r="AL327" s="992"/>
      <c r="AM327" s="991"/>
      <c r="AN327" s="992"/>
      <c r="AO327" s="991"/>
      <c r="AP327" s="992"/>
      <c r="AQ327" s="991"/>
      <c r="AR327" s="992"/>
    </row>
    <row r="328" spans="1:44" ht="15" thickBot="1">
      <c r="B328" s="431"/>
      <c r="C328" s="432"/>
      <c r="D328" s="432"/>
      <c r="E328" s="432"/>
      <c r="F328" s="432"/>
      <c r="G328" s="432"/>
      <c r="H328" s="432"/>
      <c r="I328" s="432"/>
      <c r="J328" s="432"/>
      <c r="K328" s="432"/>
      <c r="L328" s="433"/>
      <c r="M328" s="430"/>
      <c r="N328" s="430"/>
      <c r="O328" s="74"/>
      <c r="P328" s="995"/>
      <c r="Q328" s="988"/>
      <c r="R328" s="998"/>
      <c r="S328" s="988"/>
      <c r="T328" s="434"/>
      <c r="U328" s="435"/>
      <c r="V328" s="434"/>
      <c r="W328" s="435"/>
      <c r="X328" s="434"/>
      <c r="Y328" s="435"/>
      <c r="Z328" s="434"/>
      <c r="AA328" s="435"/>
      <c r="AB328" s="434"/>
      <c r="AC328" s="435"/>
      <c r="AE328" s="995"/>
      <c r="AF328" s="988"/>
      <c r="AG328" s="998"/>
      <c r="AH328" s="988"/>
      <c r="AI328" s="434"/>
      <c r="AJ328" s="435"/>
      <c r="AK328" s="434"/>
      <c r="AL328" s="435"/>
      <c r="AM328" s="434"/>
      <c r="AN328" s="435"/>
      <c r="AO328" s="434"/>
      <c r="AP328" s="435"/>
      <c r="AQ328" s="434"/>
      <c r="AR328" s="435"/>
    </row>
    <row r="329" spans="1:44" ht="14.7" customHeight="1">
      <c r="B329" s="634"/>
      <c r="C329" s="635"/>
      <c r="D329" s="635"/>
      <c r="E329" s="635"/>
      <c r="F329" s="635"/>
      <c r="G329" s="636"/>
      <c r="H329" s="636"/>
      <c r="I329" s="636"/>
      <c r="J329" s="636"/>
      <c r="K329" s="432"/>
      <c r="L329" s="433"/>
      <c r="M329" s="430"/>
      <c r="N329" s="430"/>
      <c r="P329" s="1027"/>
      <c r="Q329" s="1030"/>
      <c r="R329" s="441"/>
      <c r="S329" s="442"/>
      <c r="T329" s="1033"/>
      <c r="U329" s="1021"/>
      <c r="V329" s="1033"/>
      <c r="W329" s="1021"/>
      <c r="X329" s="1033"/>
      <c r="Y329" s="1021"/>
      <c r="Z329" s="1033"/>
      <c r="AA329" s="1021"/>
      <c r="AB329" s="1024"/>
      <c r="AC329" s="1021"/>
      <c r="AE329" s="1027"/>
      <c r="AF329" s="1030"/>
      <c r="AG329" s="441"/>
      <c r="AH329" s="442"/>
      <c r="AI329" s="1033"/>
      <c r="AJ329" s="1021"/>
      <c r="AK329" s="1033"/>
      <c r="AL329" s="1021"/>
      <c r="AM329" s="1033"/>
      <c r="AN329" s="1021"/>
      <c r="AO329" s="1033"/>
      <c r="AP329" s="1021"/>
      <c r="AQ329" s="1024"/>
      <c r="AR329" s="1021"/>
    </row>
    <row r="330" spans="1:44">
      <c r="B330" s="443"/>
      <c r="C330" s="637"/>
      <c r="D330" s="637"/>
      <c r="E330" s="637"/>
      <c r="F330" s="637"/>
      <c r="G330" s="636"/>
      <c r="H330" s="636"/>
      <c r="I330" s="636"/>
      <c r="J330" s="636"/>
      <c r="K330" s="432"/>
      <c r="L330" s="433"/>
      <c r="M330" s="430"/>
      <c r="N330" s="430"/>
      <c r="O330" s="71"/>
      <c r="P330" s="1052"/>
      <c r="Q330" s="1031"/>
      <c r="R330" s="448"/>
      <c r="S330" s="449"/>
      <c r="T330" s="1034"/>
      <c r="U330" s="1022"/>
      <c r="V330" s="1034"/>
      <c r="W330" s="1022"/>
      <c r="X330" s="1034"/>
      <c r="Y330" s="1022"/>
      <c r="Z330" s="1034"/>
      <c r="AA330" s="1022"/>
      <c r="AB330" s="1025"/>
      <c r="AC330" s="1022"/>
      <c r="AE330" s="1052"/>
      <c r="AF330" s="1031"/>
      <c r="AG330" s="448"/>
      <c r="AH330" s="449"/>
      <c r="AI330" s="1034"/>
      <c r="AJ330" s="1022"/>
      <c r="AK330" s="1034"/>
      <c r="AL330" s="1022"/>
      <c r="AM330" s="1034"/>
      <c r="AN330" s="1022"/>
      <c r="AO330" s="1034"/>
      <c r="AP330" s="1022"/>
      <c r="AQ330" s="1025"/>
      <c r="AR330" s="1022"/>
    </row>
    <row r="331" spans="1:44" ht="15" thickBot="1">
      <c r="B331" s="634"/>
      <c r="C331" s="638"/>
      <c r="D331" s="638"/>
      <c r="E331" s="638"/>
      <c r="F331" s="638"/>
      <c r="G331" s="638"/>
      <c r="H331" s="638"/>
      <c r="I331" s="638"/>
      <c r="J331" s="638"/>
      <c r="K331" s="639"/>
      <c r="L331" s="640"/>
      <c r="M331" s="430"/>
      <c r="N331" s="430"/>
      <c r="O331" s="71"/>
      <c r="P331" s="1052"/>
      <c r="Q331" s="1032"/>
      <c r="R331" s="453"/>
      <c r="S331" s="454"/>
      <c r="T331" s="1035"/>
      <c r="U331" s="1023"/>
      <c r="V331" s="1035"/>
      <c r="W331" s="1023"/>
      <c r="X331" s="1035"/>
      <c r="Y331" s="1023"/>
      <c r="Z331" s="1035"/>
      <c r="AA331" s="1023"/>
      <c r="AB331" s="1026"/>
      <c r="AC331" s="1023"/>
      <c r="AE331" s="1052"/>
      <c r="AF331" s="1032"/>
      <c r="AG331" s="453"/>
      <c r="AH331" s="454"/>
      <c r="AI331" s="1035"/>
      <c r="AJ331" s="1023"/>
      <c r="AK331" s="1035"/>
      <c r="AL331" s="1023"/>
      <c r="AM331" s="1035"/>
      <c r="AN331" s="1023"/>
      <c r="AO331" s="1035"/>
      <c r="AP331" s="1023"/>
      <c r="AQ331" s="1026"/>
      <c r="AR331" s="1023"/>
    </row>
    <row r="332" spans="1:44" ht="14.7" customHeight="1">
      <c r="B332" s="634"/>
      <c r="C332" s="641"/>
      <c r="D332" s="641"/>
      <c r="E332" s="641"/>
      <c r="F332" s="641"/>
      <c r="G332" s="641"/>
      <c r="H332" s="641"/>
      <c r="I332" s="641"/>
      <c r="J332" s="641"/>
      <c r="K332" s="639"/>
      <c r="L332" s="640"/>
      <c r="M332" s="430"/>
      <c r="N332" s="430"/>
      <c r="O332" s="71"/>
      <c r="P332" s="1052"/>
      <c r="Q332" s="1054"/>
      <c r="R332" s="455"/>
      <c r="S332" s="456"/>
      <c r="T332" s="1033"/>
      <c r="U332" s="1033"/>
      <c r="V332" s="1033"/>
      <c r="W332" s="1033"/>
      <c r="X332" s="1033"/>
      <c r="Y332" s="1033"/>
      <c r="Z332" s="1033"/>
      <c r="AA332" s="1033"/>
      <c r="AB332" s="1033"/>
      <c r="AC332" s="1033"/>
      <c r="AE332" s="1052"/>
      <c r="AF332" s="1054"/>
      <c r="AG332" s="455"/>
      <c r="AH332" s="456"/>
      <c r="AI332" s="1033"/>
      <c r="AJ332" s="1033"/>
      <c r="AK332" s="1033"/>
      <c r="AL332" s="1033"/>
      <c r="AM332" s="1033"/>
      <c r="AN332" s="1033"/>
      <c r="AO332" s="1033"/>
      <c r="AP332" s="1033"/>
      <c r="AQ332" s="1033"/>
      <c r="AR332" s="1033"/>
    </row>
    <row r="333" spans="1:44">
      <c r="B333" s="634"/>
      <c r="C333" s="642"/>
      <c r="D333" s="642"/>
      <c r="E333" s="642"/>
      <c r="F333" s="642"/>
      <c r="G333" s="642"/>
      <c r="H333" s="642"/>
      <c r="I333" s="642"/>
      <c r="J333" s="642"/>
      <c r="K333" s="639"/>
      <c r="L333" s="640"/>
      <c r="M333" s="427"/>
      <c r="N333" s="427"/>
      <c r="O333" s="71"/>
      <c r="P333" s="1052"/>
      <c r="Q333" s="1055"/>
      <c r="R333" s="455"/>
      <c r="S333" s="456"/>
      <c r="T333" s="1050"/>
      <c r="U333" s="1050"/>
      <c r="V333" s="1050"/>
      <c r="W333" s="1050"/>
      <c r="X333" s="1050"/>
      <c r="Y333" s="1050"/>
      <c r="Z333" s="1050"/>
      <c r="AA333" s="1050"/>
      <c r="AB333" s="1034"/>
      <c r="AC333" s="1050"/>
      <c r="AE333" s="1052"/>
      <c r="AF333" s="1055"/>
      <c r="AG333" s="455"/>
      <c r="AH333" s="456"/>
      <c r="AI333" s="1050"/>
      <c r="AJ333" s="1050"/>
      <c r="AK333" s="1050"/>
      <c r="AL333" s="1050"/>
      <c r="AM333" s="1050"/>
      <c r="AN333" s="1050"/>
      <c r="AO333" s="1050"/>
      <c r="AP333" s="1050"/>
      <c r="AQ333" s="1034"/>
      <c r="AR333" s="1050"/>
    </row>
    <row r="334" spans="1:44">
      <c r="B334" s="443"/>
      <c r="C334" s="457"/>
      <c r="D334" s="457"/>
      <c r="E334" s="457"/>
      <c r="F334" s="457"/>
      <c r="G334" s="458"/>
      <c r="H334" s="458"/>
      <c r="I334" s="458"/>
      <c r="J334" s="458"/>
      <c r="K334" s="432"/>
      <c r="L334" s="433"/>
      <c r="M334" s="423"/>
      <c r="N334" s="423"/>
      <c r="P334" s="1052"/>
      <c r="Q334" s="1055"/>
      <c r="R334" s="455"/>
      <c r="S334" s="456"/>
      <c r="T334" s="1050"/>
      <c r="U334" s="1050"/>
      <c r="V334" s="1050"/>
      <c r="W334" s="1050"/>
      <c r="X334" s="1050"/>
      <c r="Y334" s="1050"/>
      <c r="Z334" s="1050"/>
      <c r="AA334" s="1050"/>
      <c r="AB334" s="1034"/>
      <c r="AC334" s="1050"/>
      <c r="AE334" s="1052"/>
      <c r="AF334" s="1055"/>
      <c r="AG334" s="455"/>
      <c r="AH334" s="456"/>
      <c r="AI334" s="1050"/>
      <c r="AJ334" s="1050"/>
      <c r="AK334" s="1050"/>
      <c r="AL334" s="1050"/>
      <c r="AM334" s="1050"/>
      <c r="AN334" s="1050"/>
      <c r="AO334" s="1050"/>
      <c r="AP334" s="1050"/>
      <c r="AQ334" s="1034"/>
      <c r="AR334" s="1050"/>
    </row>
    <row r="335" spans="1:44" ht="15" thickBot="1">
      <c r="B335" s="634"/>
      <c r="C335" s="642"/>
      <c r="D335" s="642"/>
      <c r="E335" s="642"/>
      <c r="F335" s="642"/>
      <c r="G335" s="642"/>
      <c r="H335" s="642"/>
      <c r="I335" s="642"/>
      <c r="J335" s="642"/>
      <c r="K335" s="432"/>
      <c r="L335" s="433"/>
      <c r="M335" s="423"/>
      <c r="N335" s="423"/>
      <c r="P335" s="1052"/>
      <c r="Q335" s="1055"/>
      <c r="R335" s="455"/>
      <c r="S335" s="456"/>
      <c r="T335" s="1050"/>
      <c r="U335" s="1050"/>
      <c r="V335" s="1050"/>
      <c r="W335" s="1050"/>
      <c r="X335" s="1050"/>
      <c r="Y335" s="1050"/>
      <c r="Z335" s="1050"/>
      <c r="AA335" s="1050"/>
      <c r="AB335" s="1034"/>
      <c r="AC335" s="1050"/>
      <c r="AE335" s="1052"/>
      <c r="AF335" s="1055"/>
      <c r="AG335" s="455"/>
      <c r="AH335" s="456"/>
      <c r="AI335" s="1050"/>
      <c r="AJ335" s="1050"/>
      <c r="AK335" s="1050"/>
      <c r="AL335" s="1050"/>
      <c r="AM335" s="1050"/>
      <c r="AN335" s="1050"/>
      <c r="AO335" s="1050"/>
      <c r="AP335" s="1050"/>
      <c r="AQ335" s="1034"/>
      <c r="AR335" s="1050"/>
    </row>
    <row r="336" spans="1:44" ht="15" thickBot="1">
      <c r="B336" s="461"/>
      <c r="C336" s="643"/>
      <c r="D336" s="644"/>
      <c r="E336" s="645"/>
      <c r="F336" s="646"/>
      <c r="G336" s="466"/>
      <c r="H336" s="466"/>
      <c r="I336" s="466"/>
      <c r="J336" s="466"/>
      <c r="K336" s="467"/>
      <c r="L336" s="647"/>
      <c r="M336" s="423"/>
      <c r="N336" s="423"/>
      <c r="P336" s="1052"/>
      <c r="Q336" s="1056"/>
      <c r="R336" s="469"/>
      <c r="S336" s="470"/>
      <c r="T336" s="1051"/>
      <c r="U336" s="1051"/>
      <c r="V336" s="1051"/>
      <c r="W336" s="1051"/>
      <c r="X336" s="1051"/>
      <c r="Y336" s="1051"/>
      <c r="Z336" s="1051"/>
      <c r="AA336" s="1051"/>
      <c r="AB336" s="1035"/>
      <c r="AC336" s="1051"/>
      <c r="AE336" s="1052"/>
      <c r="AF336" s="1056"/>
      <c r="AG336" s="469"/>
      <c r="AH336" s="470"/>
      <c r="AI336" s="1051"/>
      <c r="AJ336" s="1051"/>
      <c r="AK336" s="1051"/>
      <c r="AL336" s="1051"/>
      <c r="AM336" s="1051"/>
      <c r="AN336" s="1051"/>
      <c r="AO336" s="1051"/>
      <c r="AP336" s="1051"/>
      <c r="AQ336" s="1035"/>
      <c r="AR336" s="1051"/>
    </row>
    <row r="337" spans="1:44" ht="15" thickBot="1">
      <c r="B337" s="634"/>
      <c r="C337" s="648"/>
      <c r="D337" s="648"/>
      <c r="E337" s="648"/>
      <c r="F337" s="648"/>
      <c r="G337" s="649"/>
      <c r="H337" s="649"/>
      <c r="I337" s="650"/>
      <c r="J337" s="650"/>
      <c r="K337" s="639"/>
      <c r="L337" s="640"/>
      <c r="M337" s="423"/>
      <c r="N337" s="423"/>
      <c r="P337" s="1053"/>
      <c r="Q337" s="471"/>
      <c r="R337" s="472"/>
      <c r="S337" s="473"/>
      <c r="T337" s="651"/>
      <c r="U337" s="652"/>
      <c r="V337" s="653"/>
      <c r="W337" s="652"/>
      <c r="X337" s="653"/>
      <c r="Y337" s="652"/>
      <c r="Z337" s="653"/>
      <c r="AA337" s="652"/>
      <c r="AB337" s="653"/>
      <c r="AC337" s="654"/>
      <c r="AE337" s="1053"/>
      <c r="AF337" s="471"/>
      <c r="AG337" s="472"/>
      <c r="AH337" s="473"/>
      <c r="AI337" s="651"/>
      <c r="AJ337" s="652"/>
      <c r="AK337" s="653"/>
      <c r="AL337" s="652"/>
      <c r="AM337" s="653"/>
      <c r="AN337" s="652"/>
      <c r="AO337" s="653"/>
      <c r="AP337" s="652"/>
      <c r="AQ337" s="653"/>
      <c r="AR337" s="654"/>
    </row>
    <row r="338" spans="1:44">
      <c r="B338" s="634"/>
      <c r="C338" s="642"/>
      <c r="D338" s="642"/>
      <c r="E338" s="642"/>
      <c r="F338" s="642"/>
      <c r="G338" s="655"/>
      <c r="H338" s="655"/>
      <c r="I338" s="655"/>
      <c r="J338" s="655"/>
      <c r="K338" s="656"/>
      <c r="L338" s="640"/>
      <c r="M338" s="423"/>
      <c r="N338" s="423"/>
    </row>
    <row r="339" spans="1:44">
      <c r="B339" s="634"/>
      <c r="C339" s="642"/>
      <c r="D339" s="642"/>
      <c r="E339" s="642"/>
      <c r="F339" s="642"/>
      <c r="G339" s="655"/>
      <c r="H339" s="655"/>
      <c r="I339" s="655"/>
      <c r="J339" s="655"/>
      <c r="K339" s="656"/>
      <c r="L339" s="640"/>
      <c r="M339" s="480"/>
      <c r="N339" s="423"/>
    </row>
    <row r="340" spans="1:44">
      <c r="B340" s="481"/>
      <c r="C340" s="459"/>
      <c r="D340" s="459"/>
      <c r="E340" s="459"/>
      <c r="F340" s="459"/>
      <c r="G340" s="482"/>
      <c r="H340" s="482"/>
      <c r="I340" s="482"/>
      <c r="J340" s="482"/>
      <c r="K340" s="483"/>
      <c r="L340" s="657"/>
      <c r="M340" s="480"/>
      <c r="N340" s="480"/>
    </row>
    <row r="341" spans="1:44">
      <c r="B341" s="443"/>
      <c r="C341" s="457"/>
      <c r="D341" s="457"/>
      <c r="E341" s="457"/>
      <c r="F341" s="457"/>
      <c r="G341" s="482"/>
      <c r="H341" s="485"/>
      <c r="I341" s="485"/>
      <c r="J341" s="485"/>
      <c r="K341" s="486"/>
      <c r="L341" s="487"/>
      <c r="M341" s="488"/>
      <c r="N341" s="488"/>
    </row>
    <row r="342" spans="1:44">
      <c r="B342" s="443"/>
      <c r="C342" s="457"/>
      <c r="D342" s="457"/>
      <c r="E342" s="457"/>
      <c r="F342" s="457"/>
      <c r="G342" s="485"/>
      <c r="H342" s="485"/>
      <c r="I342" s="485"/>
      <c r="J342" s="485"/>
      <c r="K342" s="483"/>
      <c r="L342" s="487"/>
      <c r="M342" s="488"/>
      <c r="N342" s="488"/>
    </row>
    <row r="343" spans="1:44">
      <c r="B343" s="443"/>
      <c r="C343" s="457"/>
      <c r="D343" s="457"/>
      <c r="E343" s="457"/>
      <c r="F343" s="457"/>
      <c r="G343" s="485"/>
      <c r="H343" s="485"/>
      <c r="I343" s="485"/>
      <c r="J343" s="485"/>
      <c r="K343" s="483"/>
      <c r="L343" s="487"/>
      <c r="M343" s="488"/>
      <c r="N343" s="488"/>
    </row>
    <row r="344" spans="1:44">
      <c r="B344" s="443"/>
      <c r="C344" s="457"/>
      <c r="D344" s="457"/>
      <c r="E344" s="457"/>
      <c r="F344" s="457"/>
      <c r="G344" s="485"/>
      <c r="H344" s="485"/>
      <c r="I344" s="485"/>
      <c r="J344" s="485"/>
      <c r="K344" s="483"/>
      <c r="L344" s="487"/>
      <c r="M344" s="488"/>
      <c r="N344" s="488"/>
    </row>
    <row r="345" spans="1:44" ht="15" thickBot="1">
      <c r="B345" s="489"/>
      <c r="C345" s="457"/>
      <c r="D345" s="457"/>
      <c r="E345" s="457"/>
      <c r="F345" s="457"/>
      <c r="G345" s="485"/>
      <c r="H345" s="485"/>
      <c r="I345" s="485"/>
      <c r="J345" s="485"/>
      <c r="K345" s="483"/>
      <c r="L345" s="487"/>
      <c r="M345" s="488"/>
      <c r="N345" s="488"/>
    </row>
    <row r="346" spans="1:44" ht="15" thickBot="1">
      <c r="B346" s="491"/>
      <c r="C346" s="658"/>
      <c r="D346" s="644"/>
      <c r="E346" s="644"/>
      <c r="F346" s="659"/>
      <c r="G346" s="494"/>
      <c r="H346" s="466"/>
      <c r="I346" s="466"/>
      <c r="J346" s="466"/>
      <c r="K346" s="467"/>
      <c r="L346" s="647"/>
      <c r="M346" s="488"/>
      <c r="N346" s="488"/>
    </row>
    <row r="347" spans="1:44">
      <c r="A347" s="495"/>
      <c r="B347" s="496"/>
      <c r="C347" s="660"/>
      <c r="D347" s="660"/>
      <c r="E347" s="660"/>
      <c r="F347" s="660"/>
      <c r="G347" s="485"/>
      <c r="H347" s="485"/>
      <c r="I347" s="485"/>
      <c r="J347" s="485"/>
      <c r="K347" s="486"/>
      <c r="L347" s="500"/>
      <c r="M347" s="480"/>
      <c r="N347" s="480"/>
    </row>
    <row r="348" spans="1:44">
      <c r="B348" s="501"/>
      <c r="C348" s="661"/>
      <c r="D348" s="661"/>
      <c r="E348" s="661"/>
      <c r="F348" s="661"/>
      <c r="G348" s="485"/>
      <c r="H348" s="485"/>
      <c r="I348" s="485"/>
      <c r="J348" s="485"/>
      <c r="K348" s="504"/>
      <c r="L348" s="433"/>
      <c r="M348" s="71"/>
      <c r="N348" s="480"/>
    </row>
    <row r="349" spans="1:44">
      <c r="B349" s="501"/>
      <c r="C349" s="661"/>
      <c r="D349" s="661"/>
      <c r="E349" s="661"/>
      <c r="F349" s="661"/>
      <c r="G349" s="485"/>
      <c r="H349" s="485"/>
      <c r="I349" s="485"/>
      <c r="J349" s="485"/>
      <c r="K349" s="504"/>
      <c r="L349" s="433"/>
      <c r="M349" s="480"/>
      <c r="N349" s="480"/>
    </row>
    <row r="350" spans="1:44">
      <c r="B350" s="443"/>
      <c r="C350" s="662"/>
      <c r="D350" s="663"/>
      <c r="E350" s="663"/>
      <c r="F350" s="664"/>
      <c r="G350" s="485"/>
      <c r="H350" s="485"/>
      <c r="I350" s="485"/>
      <c r="J350" s="485"/>
      <c r="K350" s="504"/>
      <c r="L350" s="433"/>
      <c r="M350" s="480"/>
      <c r="N350" s="480"/>
    </row>
    <row r="351" spans="1:44">
      <c r="B351" s="443"/>
      <c r="C351" s="665"/>
      <c r="D351" s="665"/>
      <c r="E351" s="665"/>
      <c r="F351" s="665"/>
      <c r="G351" s="485"/>
      <c r="H351" s="485"/>
      <c r="I351" s="485"/>
      <c r="J351" s="485"/>
      <c r="K351" s="504"/>
      <c r="L351" s="433"/>
      <c r="M351" s="754"/>
      <c r="N351" s="753"/>
      <c r="P351" s="999"/>
      <c r="Q351" s="977"/>
      <c r="R351" s="977"/>
      <c r="S351" s="977"/>
      <c r="T351" s="977"/>
      <c r="U351" s="1000"/>
    </row>
    <row r="352" spans="1:44" ht="15" thickBot="1">
      <c r="B352" s="601"/>
      <c r="C352" s="612"/>
      <c r="D352" s="612"/>
      <c r="E352" s="612"/>
      <c r="F352" s="612"/>
      <c r="G352" s="613"/>
      <c r="H352" s="613"/>
      <c r="I352" s="613"/>
      <c r="J352" s="613"/>
      <c r="K352" s="607"/>
      <c r="L352" s="608"/>
      <c r="M352" s="754"/>
      <c r="N352" s="753"/>
      <c r="P352" s="1001"/>
      <c r="Q352" s="1002"/>
      <c r="R352" s="1002"/>
      <c r="S352" s="1002"/>
      <c r="T352" s="1002"/>
      <c r="U352" s="1003"/>
    </row>
    <row r="353" spans="2:30">
      <c r="B353" s="601"/>
      <c r="C353" s="666"/>
      <c r="D353" s="666"/>
      <c r="E353" s="666"/>
      <c r="F353" s="666"/>
      <c r="G353" s="613"/>
      <c r="H353" s="613"/>
      <c r="I353" s="613"/>
      <c r="J353" s="613"/>
      <c r="K353" s="607"/>
      <c r="L353" s="608"/>
      <c r="M353" s="423"/>
      <c r="N353" s="423"/>
      <c r="P353" s="53"/>
    </row>
    <row r="354" spans="2:30">
      <c r="B354" s="601"/>
      <c r="C354" s="667"/>
      <c r="D354" s="607"/>
      <c r="E354" s="607"/>
      <c r="F354" s="623"/>
      <c r="G354" s="610"/>
      <c r="H354" s="610"/>
      <c r="I354" s="610"/>
      <c r="J354" s="610"/>
      <c r="K354" s="607"/>
      <c r="L354" s="668"/>
      <c r="M354" s="427"/>
      <c r="N354" s="427"/>
      <c r="P354" s="46"/>
      <c r="Q354" s="46"/>
      <c r="R354" s="47"/>
      <c r="S354" s="47"/>
      <c r="T354" s="47"/>
      <c r="U354" s="48"/>
      <c r="V354" s="49"/>
      <c r="W354" s="49"/>
      <c r="X354" s="49"/>
      <c r="Y354" s="49"/>
      <c r="Z354" s="49"/>
      <c r="AA354" s="49"/>
      <c r="AB354" s="49"/>
      <c r="AC354" s="49"/>
      <c r="AD354" s="49"/>
    </row>
    <row r="355" spans="2:30" ht="15" thickBot="1">
      <c r="B355" s="626"/>
      <c r="C355" s="667"/>
      <c r="D355" s="669"/>
      <c r="E355" s="669"/>
      <c r="F355" s="670"/>
      <c r="G355" s="610"/>
      <c r="H355" s="610"/>
      <c r="I355" s="610"/>
      <c r="J355" s="610"/>
      <c r="K355" s="607"/>
      <c r="L355" s="668"/>
      <c r="M355" s="423"/>
      <c r="N355" s="423"/>
      <c r="O355" s="71"/>
      <c r="P355" s="50"/>
      <c r="Q355" s="50"/>
      <c r="R355" s="51"/>
      <c r="S355" s="51"/>
      <c r="T355" s="51"/>
      <c r="U355" s="51"/>
      <c r="V355" s="50"/>
      <c r="W355" s="50"/>
      <c r="X355" s="50"/>
      <c r="Y355" s="50"/>
      <c r="Z355" s="50"/>
      <c r="AA355" s="50"/>
      <c r="AB355" s="50"/>
      <c r="AC355" s="50"/>
      <c r="AD355" s="50"/>
    </row>
    <row r="356" spans="2:30" ht="15" thickBot="1">
      <c r="B356" s="671"/>
      <c r="C356" s="672"/>
      <c r="D356" s="673"/>
      <c r="E356" s="674"/>
      <c r="F356" s="675"/>
      <c r="G356" s="600"/>
      <c r="H356" s="600"/>
      <c r="I356" s="600"/>
      <c r="J356" s="600"/>
      <c r="K356" s="676"/>
      <c r="L356" s="677"/>
      <c r="M356" s="423"/>
      <c r="N356" s="423"/>
      <c r="O356" s="521"/>
      <c r="P356" s="56"/>
      <c r="Q356" s="56"/>
      <c r="R356" s="57"/>
      <c r="S356" s="57"/>
      <c r="T356" s="57"/>
      <c r="U356" s="56"/>
      <c r="V356" s="56"/>
      <c r="W356" s="56"/>
      <c r="X356" s="56"/>
      <c r="Y356" s="56"/>
      <c r="Z356" s="56"/>
      <c r="AA356" s="56"/>
      <c r="AB356" s="56"/>
      <c r="AC356" s="56"/>
      <c r="AD356" s="56"/>
    </row>
    <row r="357" spans="2:30">
      <c r="B357" s="616"/>
      <c r="C357" s="678"/>
      <c r="D357" s="678"/>
      <c r="E357" s="678"/>
      <c r="F357" s="678"/>
      <c r="G357" s="678"/>
      <c r="H357" s="678"/>
      <c r="I357" s="678"/>
      <c r="J357" s="678"/>
      <c r="K357" s="678"/>
      <c r="L357" s="679"/>
      <c r="M357" s="423"/>
      <c r="N357" s="423"/>
      <c r="O357" s="680"/>
      <c r="P357" s="526"/>
      <c r="Q357" s="58"/>
      <c r="R357" s="526"/>
      <c r="S357" s="58"/>
      <c r="T357" s="526"/>
      <c r="U357" s="527"/>
      <c r="V357" s="527"/>
      <c r="W357" s="527"/>
      <c r="X357" s="58"/>
      <c r="Y357" s="58"/>
      <c r="Z357" s="526"/>
      <c r="AA357" s="528"/>
      <c r="AB357" s="528"/>
      <c r="AC357" s="528"/>
      <c r="AD357" s="528"/>
    </row>
    <row r="358" spans="2:30">
      <c r="B358" s="601"/>
      <c r="C358" s="618"/>
      <c r="D358" s="618"/>
      <c r="E358" s="618"/>
      <c r="F358" s="618"/>
      <c r="G358" s="623"/>
      <c r="H358" s="623"/>
      <c r="I358" s="623"/>
      <c r="J358" s="623"/>
      <c r="K358" s="623"/>
      <c r="L358" s="608"/>
      <c r="M358" s="423"/>
      <c r="N358" s="423"/>
      <c r="O358" s="680"/>
      <c r="P358" s="526"/>
      <c r="Q358" s="58"/>
      <c r="R358" s="526"/>
      <c r="S358" s="58"/>
      <c r="T358" s="526"/>
      <c r="U358" s="527"/>
      <c r="V358" s="527"/>
      <c r="W358" s="527"/>
      <c r="X358" s="58"/>
      <c r="Y358" s="58"/>
      <c r="Z358" s="526"/>
      <c r="AA358" s="528"/>
      <c r="AB358" s="528"/>
      <c r="AC358" s="528"/>
      <c r="AD358" s="528"/>
    </row>
    <row r="359" spans="2:30">
      <c r="B359" s="601"/>
      <c r="C359" s="618"/>
      <c r="D359" s="618"/>
      <c r="E359" s="618"/>
      <c r="F359" s="618"/>
      <c r="G359" s="623"/>
      <c r="H359" s="623"/>
      <c r="I359" s="623"/>
      <c r="J359" s="623"/>
      <c r="K359" s="623"/>
      <c r="L359" s="608"/>
      <c r="M359" s="423"/>
      <c r="N359" s="423"/>
      <c r="O359" s="680"/>
      <c r="P359" s="526"/>
      <c r="Q359" s="58"/>
      <c r="R359" s="526"/>
      <c r="S359" s="58"/>
      <c r="T359" s="526"/>
      <c r="U359" s="527"/>
      <c r="V359" s="527"/>
      <c r="W359" s="527"/>
      <c r="X359" s="58"/>
      <c r="Y359" s="58"/>
      <c r="Z359" s="526"/>
      <c r="AA359" s="528"/>
      <c r="AB359" s="528"/>
      <c r="AC359" s="528"/>
      <c r="AD359" s="528"/>
    </row>
    <row r="360" spans="2:30">
      <c r="B360" s="601"/>
      <c r="C360" s="624"/>
      <c r="D360" s="624"/>
      <c r="E360" s="624"/>
      <c r="F360" s="624"/>
      <c r="G360" s="681"/>
      <c r="H360" s="681"/>
      <c r="I360" s="681"/>
      <c r="J360" s="681"/>
      <c r="K360" s="681"/>
      <c r="L360" s="608"/>
      <c r="M360" s="423"/>
      <c r="N360" s="423"/>
      <c r="O360" s="680"/>
      <c r="P360" s="526"/>
      <c r="Q360" s="58"/>
      <c r="R360" s="526"/>
      <c r="S360" s="58"/>
      <c r="T360" s="526"/>
      <c r="U360" s="527"/>
      <c r="V360" s="527"/>
      <c r="W360" s="527"/>
      <c r="X360" s="58"/>
      <c r="Y360" s="58"/>
      <c r="Z360" s="526"/>
      <c r="AA360" s="528"/>
      <c r="AB360" s="528"/>
      <c r="AC360" s="528"/>
      <c r="AD360" s="528"/>
    </row>
    <row r="361" spans="2:30">
      <c r="B361" s="626"/>
      <c r="C361" s="618"/>
      <c r="D361" s="618"/>
      <c r="E361" s="618"/>
      <c r="F361" s="618"/>
      <c r="G361" s="623"/>
      <c r="H361" s="623"/>
      <c r="I361" s="623"/>
      <c r="J361" s="623"/>
      <c r="K361" s="623"/>
      <c r="L361" s="608"/>
      <c r="M361" s="427"/>
      <c r="N361" s="427"/>
    </row>
    <row r="362" spans="2:30">
      <c r="B362" s="626"/>
      <c r="C362" s="618"/>
      <c r="D362" s="618"/>
      <c r="E362" s="618"/>
      <c r="F362" s="618"/>
      <c r="G362" s="623"/>
      <c r="H362" s="623"/>
      <c r="I362" s="623"/>
      <c r="J362" s="623"/>
      <c r="K362" s="623"/>
      <c r="L362" s="608"/>
      <c r="M362" s="423"/>
      <c r="N362" s="423"/>
    </row>
    <row r="363" spans="2:30" ht="15" thickBot="1">
      <c r="B363" s="627"/>
      <c r="C363" s="682"/>
      <c r="D363" s="682"/>
      <c r="E363" s="682"/>
      <c r="F363" s="682"/>
      <c r="G363" s="683"/>
      <c r="H363" s="683"/>
      <c r="I363" s="683"/>
      <c r="J363" s="683"/>
      <c r="K363" s="683"/>
      <c r="L363" s="684"/>
      <c r="M363" s="423"/>
      <c r="N363" s="423"/>
    </row>
    <row r="364" spans="2:30">
      <c r="B364" s="521"/>
      <c r="C364" s="543"/>
      <c r="D364" s="543"/>
      <c r="E364" s="543"/>
      <c r="F364" s="543"/>
      <c r="G364" s="543"/>
      <c r="H364" s="544"/>
      <c r="I364" s="480"/>
      <c r="J364" s="480"/>
      <c r="K364" s="544"/>
      <c r="L364" s="544"/>
      <c r="N364" s="480"/>
    </row>
    <row r="365" spans="2:30">
      <c r="B365" s="545"/>
      <c r="C365" s="546"/>
      <c r="D365" s="546"/>
      <c r="E365" s="546"/>
      <c r="F365" s="546"/>
      <c r="G365" s="546"/>
      <c r="H365" s="544"/>
      <c r="I365" s="71"/>
      <c r="J365" s="480"/>
      <c r="K365" s="544"/>
      <c r="L365" s="544"/>
      <c r="N365" s="480"/>
    </row>
    <row r="366" spans="2:30">
      <c r="B366" s="521"/>
      <c r="C366" s="419"/>
      <c r="D366" s="419"/>
      <c r="E366" s="419"/>
      <c r="F366" s="419"/>
      <c r="G366" s="419"/>
      <c r="I366" s="480"/>
      <c r="J366" s="480"/>
      <c r="N366" s="480"/>
    </row>
    <row r="367" spans="2:30">
      <c r="B367" s="521"/>
      <c r="C367" s="547"/>
      <c r="D367" s="547"/>
      <c r="E367" s="547"/>
      <c r="F367" s="547"/>
      <c r="G367" s="419"/>
      <c r="M367" s="480"/>
      <c r="N367" s="480"/>
    </row>
    <row r="370" spans="1:11">
      <c r="A370" s="548"/>
      <c r="B370" s="549"/>
      <c r="D370" s="417"/>
      <c r="E370" s="417"/>
      <c r="F370" s="417"/>
      <c r="G370" s="417"/>
      <c r="H370" s="417"/>
      <c r="I370" s="417"/>
      <c r="J370" s="417"/>
      <c r="K370" s="417"/>
    </row>
    <row r="371" spans="1:11">
      <c r="A371" s="417"/>
      <c r="B371" s="550"/>
      <c r="E371" s="417"/>
      <c r="F371" s="417"/>
      <c r="G371" s="417"/>
      <c r="H371" s="417"/>
      <c r="I371" s="417"/>
      <c r="J371" s="417"/>
      <c r="K371" s="417"/>
    </row>
    <row r="372" spans="1:11">
      <c r="A372" s="417"/>
      <c r="B372" s="550"/>
      <c r="E372" s="417"/>
      <c r="F372" s="417"/>
      <c r="G372" s="417"/>
      <c r="H372" s="417"/>
      <c r="I372" s="417"/>
      <c r="J372" s="417"/>
      <c r="K372" s="417"/>
    </row>
    <row r="373" spans="1:11">
      <c r="A373" s="417"/>
      <c r="B373" s="550"/>
      <c r="E373" s="417"/>
      <c r="F373" s="417"/>
      <c r="G373" s="417"/>
      <c r="H373" s="417"/>
      <c r="I373" s="417"/>
      <c r="J373" s="417"/>
      <c r="K373" s="417"/>
    </row>
    <row r="374" spans="1:11">
      <c r="A374" s="417"/>
      <c r="B374" s="550"/>
      <c r="E374" s="417"/>
      <c r="F374" s="417"/>
      <c r="G374" s="417"/>
      <c r="H374" s="417"/>
      <c r="I374" s="417"/>
      <c r="J374" s="417"/>
      <c r="K374" s="417"/>
    </row>
    <row r="375" spans="1:11">
      <c r="A375" s="417"/>
      <c r="B375" s="550"/>
      <c r="E375" s="417"/>
      <c r="F375" s="417"/>
      <c r="G375" s="417"/>
      <c r="H375" s="417"/>
      <c r="I375" s="417"/>
      <c r="J375" s="417"/>
      <c r="K375" s="417"/>
    </row>
    <row r="376" spans="1:11">
      <c r="A376" s="417"/>
      <c r="B376" s="550"/>
      <c r="E376" s="417"/>
      <c r="F376" s="417"/>
      <c r="G376" s="417"/>
      <c r="H376" s="417"/>
      <c r="I376" s="417"/>
      <c r="J376" s="417"/>
      <c r="K376" s="417"/>
    </row>
    <row r="377" spans="1:11">
      <c r="A377" s="417"/>
      <c r="B377" s="550"/>
      <c r="E377" s="417"/>
      <c r="F377" s="417"/>
      <c r="G377" s="417"/>
      <c r="H377" s="417"/>
      <c r="I377" s="417"/>
      <c r="J377" s="417"/>
      <c r="K377" s="417"/>
    </row>
    <row r="378" spans="1:11">
      <c r="A378" s="417"/>
      <c r="B378" s="685"/>
      <c r="E378" s="417"/>
      <c r="F378" s="417"/>
      <c r="G378" s="417"/>
      <c r="H378" s="417"/>
      <c r="I378" s="417"/>
      <c r="J378" s="417"/>
      <c r="K378" s="417"/>
    </row>
    <row r="379" spans="1:11">
      <c r="A379" s="417"/>
      <c r="B379" s="550"/>
      <c r="E379" s="417"/>
      <c r="F379" s="417"/>
      <c r="G379" s="417"/>
      <c r="H379" s="417"/>
      <c r="I379" s="417"/>
      <c r="J379" s="417"/>
      <c r="K379" s="417"/>
    </row>
    <row r="380" spans="1:11">
      <c r="A380" s="548"/>
      <c r="B380" s="549"/>
      <c r="E380" s="417"/>
      <c r="F380" s="417"/>
      <c r="G380" s="417"/>
      <c r="H380" s="417"/>
      <c r="I380" s="417"/>
      <c r="J380" s="417"/>
      <c r="K380" s="417"/>
    </row>
    <row r="381" spans="1:11">
      <c r="A381" s="556"/>
      <c r="B381" s="550"/>
      <c r="C381" s="549"/>
      <c r="E381" s="417"/>
      <c r="F381" s="417"/>
      <c r="G381" s="417"/>
      <c r="H381" s="417"/>
      <c r="I381" s="417"/>
      <c r="J381" s="417"/>
      <c r="K381" s="417"/>
    </row>
    <row r="382" spans="1:11">
      <c r="A382" s="556"/>
      <c r="B382" s="550"/>
      <c r="C382" s="549"/>
      <c r="E382" s="417"/>
      <c r="F382" s="417"/>
      <c r="G382" s="417"/>
      <c r="H382" s="417"/>
      <c r="I382" s="417"/>
      <c r="J382" s="417"/>
      <c r="K382" s="417"/>
    </row>
    <row r="383" spans="1:11">
      <c r="A383" s="556"/>
      <c r="B383" s="550"/>
      <c r="C383" s="549"/>
      <c r="E383" s="417"/>
      <c r="F383" s="417"/>
      <c r="G383" s="417"/>
      <c r="H383" s="417"/>
      <c r="I383" s="417"/>
      <c r="J383" s="417"/>
      <c r="K383" s="417"/>
    </row>
    <row r="384" spans="1:11">
      <c r="A384" s="556"/>
      <c r="B384" s="550"/>
      <c r="C384" s="549"/>
      <c r="E384" s="417"/>
      <c r="F384" s="417"/>
      <c r="G384" s="417"/>
      <c r="H384" s="417"/>
      <c r="I384" s="417"/>
      <c r="J384" s="417"/>
      <c r="K384" s="417"/>
    </row>
    <row r="385" spans="1:11" ht="15.75" customHeight="1">
      <c r="A385" s="556"/>
      <c r="B385" s="550"/>
      <c r="C385" s="549"/>
      <c r="E385" s="417"/>
      <c r="F385" s="417"/>
      <c r="G385" s="417"/>
      <c r="H385" s="417"/>
      <c r="I385" s="417"/>
      <c r="J385" s="417"/>
      <c r="K385" s="417"/>
    </row>
    <row r="386" spans="1:11" ht="15.75" customHeight="1">
      <c r="A386" s="556"/>
      <c r="B386" s="550"/>
      <c r="C386" s="549"/>
      <c r="E386" s="417"/>
      <c r="F386" s="417"/>
      <c r="G386" s="417"/>
      <c r="H386" s="417"/>
      <c r="I386" s="417"/>
      <c r="J386" s="417"/>
      <c r="K386" s="417"/>
    </row>
  </sheetData>
  <mergeCells count="408">
    <mergeCell ref="AD86:AE88"/>
    <mergeCell ref="AD90:AD92"/>
    <mergeCell ref="AE90:AE92"/>
    <mergeCell ref="AD93:AD97"/>
    <mergeCell ref="AE93:AE97"/>
    <mergeCell ref="B5:B6"/>
    <mergeCell ref="C5:M5"/>
    <mergeCell ref="P5:U5"/>
    <mergeCell ref="C6:M6"/>
    <mergeCell ref="C7:L7"/>
    <mergeCell ref="S7:S10"/>
    <mergeCell ref="T7:U9"/>
    <mergeCell ref="I8:J8"/>
    <mergeCell ref="K8:K9"/>
    <mergeCell ref="L8:L9"/>
    <mergeCell ref="P11:P19"/>
    <mergeCell ref="Q11:Q13"/>
    <mergeCell ref="T11:T13"/>
    <mergeCell ref="U11:U13"/>
    <mergeCell ref="V11:V13"/>
    <mergeCell ref="W11:W13"/>
    <mergeCell ref="Q14:Q18"/>
    <mergeCell ref="T14:T18"/>
    <mergeCell ref="U14:U18"/>
    <mergeCell ref="AR7:AS9"/>
    <mergeCell ref="B8:B9"/>
    <mergeCell ref="C8:C9"/>
    <mergeCell ref="D8:D9"/>
    <mergeCell ref="E8:E9"/>
    <mergeCell ref="F8:F9"/>
    <mergeCell ref="G8:H8"/>
    <mergeCell ref="V7:W9"/>
    <mergeCell ref="X7:Y9"/>
    <mergeCell ref="Z7:AA9"/>
    <mergeCell ref="AB7:AC9"/>
    <mergeCell ref="AI7:AI10"/>
    <mergeCell ref="AJ7:AK9"/>
    <mergeCell ref="P8:P10"/>
    <mergeCell ref="AF8:AF10"/>
    <mergeCell ref="Q9:Q10"/>
    <mergeCell ref="R9:R10"/>
    <mergeCell ref="AG9:AG10"/>
    <mergeCell ref="AH9:AH10"/>
    <mergeCell ref="AL7:AM9"/>
    <mergeCell ref="AN7:AO9"/>
    <mergeCell ref="AP7:AQ9"/>
    <mergeCell ref="AD7:AE9"/>
    <mergeCell ref="V14:V18"/>
    <mergeCell ref="W14:W18"/>
    <mergeCell ref="AQ11:AQ13"/>
    <mergeCell ref="AR11:AR13"/>
    <mergeCell ref="AS11:AS13"/>
    <mergeCell ref="AF11:AF19"/>
    <mergeCell ref="AG11:AG13"/>
    <mergeCell ref="AJ11:AJ13"/>
    <mergeCell ref="AK11:AK13"/>
    <mergeCell ref="AL11:AL13"/>
    <mergeCell ref="AM11:AM13"/>
    <mergeCell ref="AQ14:AQ18"/>
    <mergeCell ref="AR14:AR18"/>
    <mergeCell ref="AS14:AS18"/>
    <mergeCell ref="X14:X18"/>
    <mergeCell ref="Y14:Y18"/>
    <mergeCell ref="Z14:Z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86:AA88"/>
    <mergeCell ref="P87:P89"/>
    <mergeCell ref="Q88:Q89"/>
    <mergeCell ref="R88:R89"/>
    <mergeCell ref="C23:F27"/>
    <mergeCell ref="P33:U33"/>
    <mergeCell ref="P34:U34"/>
    <mergeCell ref="C42:F42"/>
    <mergeCell ref="B84:B85"/>
    <mergeCell ref="C84:M84"/>
    <mergeCell ref="P84:U84"/>
    <mergeCell ref="C85:M85"/>
    <mergeCell ref="AR86:AS88"/>
    <mergeCell ref="B87:B88"/>
    <mergeCell ref="C87:C88"/>
    <mergeCell ref="D87:D88"/>
    <mergeCell ref="E87:E88"/>
    <mergeCell ref="F87:F88"/>
    <mergeCell ref="G87:H87"/>
    <mergeCell ref="I87:J87"/>
    <mergeCell ref="K87:K88"/>
    <mergeCell ref="L87:L88"/>
    <mergeCell ref="AB86:AC88"/>
    <mergeCell ref="AI86:AI89"/>
    <mergeCell ref="AJ86:AK88"/>
    <mergeCell ref="AL86:AM88"/>
    <mergeCell ref="AN86:AO88"/>
    <mergeCell ref="AP86:AQ88"/>
    <mergeCell ref="AF87:AF89"/>
    <mergeCell ref="AG88:AG89"/>
    <mergeCell ref="AH88:AH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Q90:AQ92"/>
    <mergeCell ref="AR90:AR92"/>
    <mergeCell ref="AS90:AS92"/>
    <mergeCell ref="AF90:AF98"/>
    <mergeCell ref="AG90:AG92"/>
    <mergeCell ref="AJ90:AJ92"/>
    <mergeCell ref="AK90:AK92"/>
    <mergeCell ref="AL90:AL92"/>
    <mergeCell ref="AM90:AM92"/>
    <mergeCell ref="AQ93:AQ97"/>
    <mergeCell ref="AR93:AR97"/>
    <mergeCell ref="AS93:AS97"/>
    <mergeCell ref="X93:X97"/>
    <mergeCell ref="Y93:Y97"/>
    <mergeCell ref="Z93:Z97"/>
    <mergeCell ref="AA93:AA97"/>
    <mergeCell ref="AB93:AB97"/>
    <mergeCell ref="AN90:AN92"/>
    <mergeCell ref="AO90:AO92"/>
    <mergeCell ref="AP90:AP92"/>
    <mergeCell ref="X90:X92"/>
    <mergeCell ref="Y90:Y92"/>
    <mergeCell ref="Z90:Z92"/>
    <mergeCell ref="AA90:AA92"/>
    <mergeCell ref="AB90:AB92"/>
    <mergeCell ref="AC90:AC92"/>
    <mergeCell ref="AN93:AN97"/>
    <mergeCell ref="AO93:AO97"/>
    <mergeCell ref="AP93:AP97"/>
    <mergeCell ref="AC93:AC97"/>
    <mergeCell ref="AG93:AG97"/>
    <mergeCell ref="AJ93:AJ97"/>
    <mergeCell ref="AK93:AK97"/>
    <mergeCell ref="AL93:AL97"/>
    <mergeCell ref="AM93:AM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Z247:AA249"/>
    <mergeCell ref="P248:P250"/>
    <mergeCell ref="Q249:Q250"/>
    <mergeCell ref="R249:R250"/>
    <mergeCell ref="P194:U194"/>
    <mergeCell ref="P195:U195"/>
    <mergeCell ref="B245:B246"/>
    <mergeCell ref="C245:M245"/>
    <mergeCell ref="P245:U245"/>
    <mergeCell ref="C246:M246"/>
    <mergeCell ref="AQ247:AR249"/>
    <mergeCell ref="B248:B249"/>
    <mergeCell ref="C248:C249"/>
    <mergeCell ref="D248:D249"/>
    <mergeCell ref="E248:E249"/>
    <mergeCell ref="F248:F249"/>
    <mergeCell ref="G248:H248"/>
    <mergeCell ref="I248:J248"/>
    <mergeCell ref="K248:K249"/>
    <mergeCell ref="L248:L249"/>
    <mergeCell ref="AB247:AC249"/>
    <mergeCell ref="AH247:AH250"/>
    <mergeCell ref="AI247:AJ249"/>
    <mergeCell ref="AK247:AL249"/>
    <mergeCell ref="AM247:AN249"/>
    <mergeCell ref="AO247:AP249"/>
    <mergeCell ref="AE248:AE250"/>
    <mergeCell ref="AF249:AF250"/>
    <mergeCell ref="AG249:AG250"/>
    <mergeCell ref="C247:L247"/>
    <mergeCell ref="S247:S250"/>
    <mergeCell ref="T247:U249"/>
    <mergeCell ref="V247:W249"/>
    <mergeCell ref="X247:Y249"/>
    <mergeCell ref="P251:P259"/>
    <mergeCell ref="Q251:Q253"/>
    <mergeCell ref="T251:T253"/>
    <mergeCell ref="U251:U253"/>
    <mergeCell ref="V251:V253"/>
    <mergeCell ref="W251:W253"/>
    <mergeCell ref="Q254:Q258"/>
    <mergeCell ref="T254:T258"/>
    <mergeCell ref="U254:U258"/>
    <mergeCell ref="V254:V258"/>
    <mergeCell ref="W254:W258"/>
    <mergeCell ref="AP251:AP253"/>
    <mergeCell ref="AQ251:AQ253"/>
    <mergeCell ref="AR251:AR253"/>
    <mergeCell ref="AE251:AE259"/>
    <mergeCell ref="AF251:AF253"/>
    <mergeCell ref="AI251:AI253"/>
    <mergeCell ref="AJ251:AJ253"/>
    <mergeCell ref="AK251:AK253"/>
    <mergeCell ref="AL251:AL253"/>
    <mergeCell ref="AP254:AP258"/>
    <mergeCell ref="AQ254:AQ258"/>
    <mergeCell ref="AR254:AR258"/>
    <mergeCell ref="X254:X258"/>
    <mergeCell ref="Y254:Y258"/>
    <mergeCell ref="Z254:Z258"/>
    <mergeCell ref="AA254:AA258"/>
    <mergeCell ref="AB254:AB258"/>
    <mergeCell ref="AM251:AM253"/>
    <mergeCell ref="AN251:AN253"/>
    <mergeCell ref="AO251:AO253"/>
    <mergeCell ref="X251:X253"/>
    <mergeCell ref="Y251:Y253"/>
    <mergeCell ref="Z251:Z253"/>
    <mergeCell ref="AA251:AA253"/>
    <mergeCell ref="AB251:AB253"/>
    <mergeCell ref="AC251:AC253"/>
    <mergeCell ref="AM254:AM258"/>
    <mergeCell ref="AN254:AN258"/>
    <mergeCell ref="AO254:AO258"/>
    <mergeCell ref="AC254:AC258"/>
    <mergeCell ref="AF254:AF258"/>
    <mergeCell ref="AI254:AI258"/>
    <mergeCell ref="AJ254:AJ258"/>
    <mergeCell ref="AK254:AK258"/>
    <mergeCell ref="AL254:AL258"/>
    <mergeCell ref="P273:U273"/>
    <mergeCell ref="P274:U274"/>
    <mergeCell ref="C325:L325"/>
    <mergeCell ref="S325:S328"/>
    <mergeCell ref="T325:U327"/>
    <mergeCell ref="V325:W327"/>
    <mergeCell ref="K326:K327"/>
    <mergeCell ref="L326:L327"/>
    <mergeCell ref="P326:P328"/>
    <mergeCell ref="Q327:Q328"/>
    <mergeCell ref="AM325:AN327"/>
    <mergeCell ref="AO325:AP327"/>
    <mergeCell ref="AQ325:AR327"/>
    <mergeCell ref="B326:B327"/>
    <mergeCell ref="C326:C327"/>
    <mergeCell ref="D326:D327"/>
    <mergeCell ref="E326:E327"/>
    <mergeCell ref="F326:F327"/>
    <mergeCell ref="G326:H326"/>
    <mergeCell ref="I326:J326"/>
    <mergeCell ref="X325:Y327"/>
    <mergeCell ref="Z325:AA327"/>
    <mergeCell ref="AB325:AC327"/>
    <mergeCell ref="AH325:AH328"/>
    <mergeCell ref="AI325:AJ327"/>
    <mergeCell ref="AK325:AL327"/>
    <mergeCell ref="AE326:AE328"/>
    <mergeCell ref="R327:R328"/>
    <mergeCell ref="AF327:AF328"/>
    <mergeCell ref="AG327:AG328"/>
    <mergeCell ref="AP329:AP331"/>
    <mergeCell ref="AQ329:AQ331"/>
    <mergeCell ref="AR329:AR331"/>
    <mergeCell ref="Q332:Q336"/>
    <mergeCell ref="T332:T336"/>
    <mergeCell ref="U332:U336"/>
    <mergeCell ref="V332:V336"/>
    <mergeCell ref="W332:W336"/>
    <mergeCell ref="AF329:AF331"/>
    <mergeCell ref="AI329:AI331"/>
    <mergeCell ref="AJ329:AJ331"/>
    <mergeCell ref="AK329:AK331"/>
    <mergeCell ref="AL329:AL331"/>
    <mergeCell ref="AM329:AM331"/>
    <mergeCell ref="Y329:Y331"/>
    <mergeCell ref="Z329:Z331"/>
    <mergeCell ref="AA329:AA331"/>
    <mergeCell ref="AB329:AB331"/>
    <mergeCell ref="AC329:AC331"/>
    <mergeCell ref="AE329:AE337"/>
    <mergeCell ref="Q329:Q331"/>
    <mergeCell ref="T329:T331"/>
    <mergeCell ref="U329:U331"/>
    <mergeCell ref="V329:V331"/>
    <mergeCell ref="P352:U352"/>
    <mergeCell ref="AN332:AN336"/>
    <mergeCell ref="AO332:AO336"/>
    <mergeCell ref="AP332:AP336"/>
    <mergeCell ref="AQ332:AQ336"/>
    <mergeCell ref="AR332:AR336"/>
    <mergeCell ref="P351:U351"/>
    <mergeCell ref="AF332:AF336"/>
    <mergeCell ref="AI332:AI336"/>
    <mergeCell ref="AJ332:AJ336"/>
    <mergeCell ref="AK332:AK336"/>
    <mergeCell ref="AL332:AL336"/>
    <mergeCell ref="AM332:AM336"/>
    <mergeCell ref="X332:X336"/>
    <mergeCell ref="Y332:Y336"/>
    <mergeCell ref="Z332:Z336"/>
    <mergeCell ref="AA332:AA336"/>
    <mergeCell ref="AB332:AB336"/>
    <mergeCell ref="AC332:AC336"/>
    <mergeCell ref="P329:P337"/>
    <mergeCell ref="W329:W331"/>
    <mergeCell ref="X329:X331"/>
    <mergeCell ref="AN329:AN331"/>
    <mergeCell ref="AO329:AO33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9154-C5F0-4CA0-8BB8-ADC6D7396513}">
  <sheetPr>
    <tabColor theme="3"/>
  </sheetPr>
  <dimension ref="A2:AS345"/>
  <sheetViews>
    <sheetView topLeftCell="I1" zoomScale="80" zoomScaleNormal="80" workbookViewId="0">
      <selection activeCell="AC23" sqref="AC23"/>
    </sheetView>
  </sheetViews>
  <sheetFormatPr defaultColWidth="8.6640625" defaultRowHeight="14.4" outlineLevelRow="1"/>
  <cols>
    <col min="1" max="1" width="20.5546875" style="239"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Heat pump, up to 80 °C, Temp lift = 60 K</v>
      </c>
    </row>
    <row r="4" spans="1:45" ht="25.2" customHeight="1">
      <c r="E4" s="239" t="s">
        <v>358</v>
      </c>
      <c r="F4" s="419">
        <v>7.45</v>
      </c>
      <c r="G4" s="419" t="s">
        <v>328</v>
      </c>
      <c r="R4" s="239">
        <f>MATCH(W4,P7:AC7)</f>
        <v>9</v>
      </c>
      <c r="W4" s="239" t="s">
        <v>842</v>
      </c>
      <c r="X4" s="239" cm="1">
        <f t="array" ref="X4">INDEX(X6:Y19,MATCH(W4,X6:X19)-1,2)</f>
        <v>10</v>
      </c>
    </row>
    <row r="5" spans="1:45" ht="15" customHeight="1">
      <c r="A5" s="420" t="s">
        <v>991</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990</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3</v>
      </c>
      <c r="D10" s="432">
        <v>3</v>
      </c>
      <c r="E10" s="432">
        <v>3</v>
      </c>
      <c r="F10" s="432">
        <v>3</v>
      </c>
      <c r="G10" s="432">
        <v>0.5</v>
      </c>
      <c r="H10" s="432">
        <v>5</v>
      </c>
      <c r="I10" s="432">
        <v>0.5</v>
      </c>
      <c r="J10" s="432">
        <v>5</v>
      </c>
      <c r="K10" s="432" t="s">
        <v>6</v>
      </c>
      <c r="L10" s="433" t="s">
        <v>962</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699">
        <v>388</v>
      </c>
      <c r="D11" s="699">
        <v>399.64</v>
      </c>
      <c r="E11" s="700">
        <v>407.63279999999997</v>
      </c>
      <c r="F11" s="699">
        <v>411.70912799999996</v>
      </c>
      <c r="G11" s="437">
        <f>C11</f>
        <v>388</v>
      </c>
      <c r="H11" s="699">
        <f>C11*1.05</f>
        <v>407.40000000000003</v>
      </c>
      <c r="I11" s="699">
        <f>F11*0.97</f>
        <v>399.35785415999993</v>
      </c>
      <c r="J11" s="699">
        <f>F11*1.02</f>
        <v>419.94331055999999</v>
      </c>
      <c r="K11" s="439" t="s">
        <v>59</v>
      </c>
      <c r="L11" s="440" t="s">
        <v>962</v>
      </c>
      <c r="M11" s="430"/>
      <c r="N11" s="430"/>
      <c r="P11" s="1042" t="str">
        <f>C7</f>
        <v>Heat pump, up to 80 °C, Temp lift = 60 K</v>
      </c>
      <c r="Q11" s="1030" t="s">
        <v>855</v>
      </c>
      <c r="R11" s="441" t="s">
        <v>856</v>
      </c>
      <c r="S11" s="442"/>
      <c r="T11" s="1033">
        <v>0</v>
      </c>
      <c r="U11" s="1021">
        <v>0</v>
      </c>
      <c r="V11" s="1024">
        <v>0</v>
      </c>
      <c r="W11" s="1021">
        <v>0</v>
      </c>
      <c r="X11" s="1024">
        <v>0</v>
      </c>
      <c r="Y11" s="1021">
        <v>0</v>
      </c>
      <c r="Z11" s="1024">
        <v>0</v>
      </c>
      <c r="AA11" s="1021">
        <v>0</v>
      </c>
      <c r="AB11" s="1024">
        <v>0</v>
      </c>
      <c r="AC11" s="1021">
        <v>0</v>
      </c>
      <c r="AD11" s="1024">
        <f>AB11</f>
        <v>0</v>
      </c>
      <c r="AE11" s="1021">
        <f>AC11</f>
        <v>0</v>
      </c>
      <c r="AF11" s="1027" t="str">
        <f>P11</f>
        <v>Heat pump, up to 80 °C, Temp lift = 60 K</v>
      </c>
      <c r="AG11" s="1030" t="s">
        <v>855</v>
      </c>
      <c r="AH11" s="441" t="s">
        <v>856</v>
      </c>
      <c r="AI11" s="442"/>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637">
        <f>C11-5</f>
        <v>383</v>
      </c>
      <c r="D12" s="637">
        <f t="shared" ref="D12:J12" si="0">D11-5</f>
        <v>394.64</v>
      </c>
      <c r="E12" s="637">
        <f t="shared" si="0"/>
        <v>402.63279999999997</v>
      </c>
      <c r="F12" s="637">
        <f t="shared" si="0"/>
        <v>406.70912799999996</v>
      </c>
      <c r="G12" s="701">
        <f t="shared" si="0"/>
        <v>383</v>
      </c>
      <c r="H12" s="701">
        <f t="shared" si="0"/>
        <v>402.40000000000003</v>
      </c>
      <c r="I12" s="701">
        <f t="shared" si="0"/>
        <v>394.35785415999993</v>
      </c>
      <c r="J12" s="701">
        <f t="shared" si="0"/>
        <v>414.94331055999999</v>
      </c>
      <c r="K12" s="446" t="s">
        <v>963</v>
      </c>
      <c r="L12" s="447"/>
      <c r="M12" s="430"/>
      <c r="N12" s="430"/>
      <c r="O12" s="71"/>
      <c r="P12" s="1028"/>
      <c r="Q12" s="1031"/>
      <c r="R12" s="448" t="s">
        <v>858</v>
      </c>
      <c r="S12" s="449"/>
      <c r="T12" s="1034"/>
      <c r="U12" s="1022"/>
      <c r="V12" s="1025"/>
      <c r="W12" s="1022"/>
      <c r="X12" s="1025"/>
      <c r="Y12" s="1022"/>
      <c r="Z12" s="1025"/>
      <c r="AA12" s="1022"/>
      <c r="AB12" s="1025"/>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2</v>
      </c>
      <c r="D13" s="451">
        <v>2</v>
      </c>
      <c r="E13" s="451">
        <v>2</v>
      </c>
      <c r="F13" s="452">
        <v>2</v>
      </c>
      <c r="G13" s="451">
        <v>1</v>
      </c>
      <c r="H13" s="451">
        <v>4</v>
      </c>
      <c r="I13" s="451">
        <v>1</v>
      </c>
      <c r="J13" s="451">
        <v>4</v>
      </c>
      <c r="K13" s="439"/>
      <c r="L13" s="440">
        <v>1.4</v>
      </c>
      <c r="M13" s="430"/>
      <c r="N13" s="430"/>
      <c r="O13" s="71"/>
      <c r="P13" s="1028"/>
      <c r="Q13" s="1032"/>
      <c r="R13" s="453" t="s">
        <v>860</v>
      </c>
      <c r="S13" s="454"/>
      <c r="T13" s="1035"/>
      <c r="U13" s="1023"/>
      <c r="V13" s="1026"/>
      <c r="W13" s="1023"/>
      <c r="X13" s="1026"/>
      <c r="Y13" s="1023"/>
      <c r="Z13" s="1026"/>
      <c r="AA13" s="1023"/>
      <c r="AB13" s="1026"/>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450">
        <v>0</v>
      </c>
      <c r="D14" s="450">
        <v>0</v>
      </c>
      <c r="E14" s="450">
        <v>0</v>
      </c>
      <c r="F14" s="450">
        <v>0</v>
      </c>
      <c r="G14" s="450">
        <v>0</v>
      </c>
      <c r="H14" s="450">
        <v>1</v>
      </c>
      <c r="I14" s="450">
        <v>0</v>
      </c>
      <c r="J14" s="450">
        <v>1</v>
      </c>
      <c r="K14" s="439" t="s">
        <v>20</v>
      </c>
      <c r="L14" s="440"/>
      <c r="M14" s="430"/>
      <c r="N14" s="430"/>
      <c r="O14" s="71"/>
      <c r="P14" s="1028"/>
      <c r="Q14" s="1030" t="s">
        <v>861</v>
      </c>
      <c r="R14" s="455" t="s">
        <v>862</v>
      </c>
      <c r="S14" s="456" t="s">
        <v>863</v>
      </c>
      <c r="T14" s="1033">
        <v>0</v>
      </c>
      <c r="U14" s="1033">
        <f>21%</f>
        <v>0.21</v>
      </c>
      <c r="V14" s="1033">
        <v>0</v>
      </c>
      <c r="W14" s="1033">
        <f>22%</f>
        <v>0.22</v>
      </c>
      <c r="X14" s="1033">
        <v>0</v>
      </c>
      <c r="Y14" s="1033">
        <f>15%</f>
        <v>0.15</v>
      </c>
      <c r="Z14" s="1033">
        <v>0</v>
      </c>
      <c r="AA14" s="1033">
        <f>14%</f>
        <v>0.14000000000000001</v>
      </c>
      <c r="AB14" s="1033">
        <v>0</v>
      </c>
      <c r="AC14" s="1021">
        <f>14%</f>
        <v>0.14000000000000001</v>
      </c>
      <c r="AD14" s="1033">
        <f>AB14</f>
        <v>0</v>
      </c>
      <c r="AE14" s="1021">
        <v>0</v>
      </c>
      <c r="AF14" s="1028"/>
      <c r="AG14" s="1030" t="s">
        <v>861</v>
      </c>
      <c r="AH14" s="455" t="s">
        <v>862</v>
      </c>
      <c r="AI14" s="456" t="s">
        <v>863</v>
      </c>
      <c r="AJ14" s="1033">
        <v>0</v>
      </c>
      <c r="AK14" s="1033">
        <f>U14/4</f>
        <v>5.2499999999999998E-2</v>
      </c>
      <c r="AL14" s="1033">
        <v>0</v>
      </c>
      <c r="AM14" s="1033">
        <f>W14/4</f>
        <v>5.5E-2</v>
      </c>
      <c r="AN14" s="1033">
        <v>0</v>
      </c>
      <c r="AO14" s="1033">
        <f>Y14/4</f>
        <v>3.7499999999999999E-2</v>
      </c>
      <c r="AP14" s="1033">
        <v>0</v>
      </c>
      <c r="AQ14" s="1033">
        <f>AA14/4</f>
        <v>3.5000000000000003E-2</v>
      </c>
      <c r="AR14" s="1033">
        <v>0</v>
      </c>
      <c r="AS14" s="1021">
        <f>AC14/4</f>
        <v>3.5000000000000003E-2</v>
      </c>
    </row>
    <row r="15" spans="1:45" outlineLevel="1">
      <c r="B15" s="436" t="s">
        <v>703</v>
      </c>
      <c r="C15" s="450">
        <v>1</v>
      </c>
      <c r="D15" s="450">
        <v>1</v>
      </c>
      <c r="E15" s="450">
        <v>1</v>
      </c>
      <c r="F15" s="450">
        <v>1</v>
      </c>
      <c r="G15" s="450">
        <v>0.5</v>
      </c>
      <c r="H15" s="450">
        <v>2</v>
      </c>
      <c r="I15" s="450">
        <v>0.5</v>
      </c>
      <c r="J15" s="450">
        <v>2</v>
      </c>
      <c r="K15" s="439"/>
      <c r="L15" s="440">
        <v>1.4</v>
      </c>
      <c r="M15" s="427"/>
      <c r="N15" s="427"/>
      <c r="O15" s="71"/>
      <c r="P15" s="1028"/>
      <c r="Q15" s="1031"/>
      <c r="R15" s="455" t="s">
        <v>864</v>
      </c>
      <c r="S15" s="456" t="s">
        <v>863</v>
      </c>
      <c r="T15" s="1036"/>
      <c r="U15" s="1036"/>
      <c r="V15" s="1036"/>
      <c r="W15" s="1036"/>
      <c r="X15" s="1036"/>
      <c r="Y15" s="1036"/>
      <c r="Z15" s="1036"/>
      <c r="AA15" s="1036"/>
      <c r="AB15" s="1036"/>
      <c r="AC15" s="1038"/>
      <c r="AD15" s="1036"/>
      <c r="AE15" s="1038"/>
      <c r="AF15" s="1028"/>
      <c r="AG15" s="1031"/>
      <c r="AH15" s="455" t="s">
        <v>864</v>
      </c>
      <c r="AI15" s="456" t="s">
        <v>863</v>
      </c>
      <c r="AJ15" s="1036"/>
      <c r="AK15" s="1036"/>
      <c r="AL15" s="1036"/>
      <c r="AM15" s="1036"/>
      <c r="AN15" s="1036"/>
      <c r="AO15" s="1036"/>
      <c r="AP15" s="1036"/>
      <c r="AQ15" s="1036"/>
      <c r="AR15" s="1036"/>
      <c r="AS15" s="1038"/>
    </row>
    <row r="16" spans="1:45" outlineLevel="1">
      <c r="B16" s="443" t="s">
        <v>11</v>
      </c>
      <c r="C16" s="457">
        <v>20</v>
      </c>
      <c r="D16" s="457">
        <v>20</v>
      </c>
      <c r="E16" s="457">
        <v>20</v>
      </c>
      <c r="F16" s="457">
        <v>20</v>
      </c>
      <c r="G16" s="458">
        <v>15</v>
      </c>
      <c r="H16" s="458">
        <v>30</v>
      </c>
      <c r="I16" s="458">
        <v>15</v>
      </c>
      <c r="J16" s="458">
        <v>30</v>
      </c>
      <c r="K16" s="432"/>
      <c r="L16" s="433">
        <v>4</v>
      </c>
      <c r="M16" s="423"/>
      <c r="N16" s="423"/>
      <c r="P16" s="1028"/>
      <c r="Q16" s="1031"/>
      <c r="R16" s="455" t="s">
        <v>866</v>
      </c>
      <c r="S16" s="456"/>
      <c r="T16" s="1036"/>
      <c r="U16" s="1036"/>
      <c r="V16" s="1036"/>
      <c r="W16" s="1036"/>
      <c r="X16" s="1036"/>
      <c r="Y16" s="1036"/>
      <c r="Z16" s="1036"/>
      <c r="AA16" s="1036"/>
      <c r="AB16" s="1036"/>
      <c r="AC16" s="1038"/>
      <c r="AD16" s="1036"/>
      <c r="AE16" s="1038"/>
      <c r="AF16" s="1028"/>
      <c r="AG16" s="1031"/>
      <c r="AH16" s="455" t="s">
        <v>866</v>
      </c>
      <c r="AI16" s="689"/>
      <c r="AJ16" s="1036"/>
      <c r="AK16" s="1036"/>
      <c r="AL16" s="1036"/>
      <c r="AM16" s="1036"/>
      <c r="AN16" s="1036"/>
      <c r="AO16" s="1036"/>
      <c r="AP16" s="1036"/>
      <c r="AQ16" s="1036"/>
      <c r="AR16" s="1036"/>
      <c r="AS16" s="1038"/>
    </row>
    <row r="17" spans="1:45" ht="15" outlineLevel="1" thickBot="1">
      <c r="B17" s="436" t="s">
        <v>273</v>
      </c>
      <c r="C17" s="459">
        <v>0.5</v>
      </c>
      <c r="D17" s="459">
        <v>0.5</v>
      </c>
      <c r="E17" s="459">
        <v>0.5</v>
      </c>
      <c r="F17" s="459">
        <v>0.5</v>
      </c>
      <c r="G17" s="459">
        <v>0.3</v>
      </c>
      <c r="H17" s="459">
        <v>0.7</v>
      </c>
      <c r="I17" s="459">
        <v>0.3</v>
      </c>
      <c r="J17" s="459">
        <v>0.7</v>
      </c>
      <c r="K17" s="432"/>
      <c r="L17" s="460">
        <v>4</v>
      </c>
      <c r="M17" s="423"/>
      <c r="N17" s="423"/>
      <c r="P17" s="1028"/>
      <c r="Q17" s="1031"/>
      <c r="R17" s="455" t="s">
        <v>867</v>
      </c>
      <c r="S17" s="456" t="s">
        <v>863</v>
      </c>
      <c r="T17" s="1036"/>
      <c r="U17" s="1036"/>
      <c r="V17" s="1036"/>
      <c r="W17" s="1036"/>
      <c r="X17" s="1036"/>
      <c r="Y17" s="1036"/>
      <c r="Z17" s="1036"/>
      <c r="AA17" s="1036"/>
      <c r="AB17" s="1036"/>
      <c r="AC17" s="1038"/>
      <c r="AD17" s="1036"/>
      <c r="AE17" s="1038"/>
      <c r="AF17" s="1028"/>
      <c r="AG17" s="1031"/>
      <c r="AH17" s="455" t="s">
        <v>867</v>
      </c>
      <c r="AI17" s="456" t="s">
        <v>863</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37"/>
      <c r="U18" s="1037"/>
      <c r="V18" s="1037"/>
      <c r="W18" s="1037"/>
      <c r="X18" s="1037"/>
      <c r="Y18" s="1037"/>
      <c r="Z18" s="1037"/>
      <c r="AA18" s="1037"/>
      <c r="AB18" s="1037"/>
      <c r="AC18" s="1039"/>
      <c r="AD18" s="1037"/>
      <c r="AE18" s="1039"/>
      <c r="AF18" s="1028"/>
      <c r="AG18" s="1032"/>
      <c r="AH18" s="469" t="s">
        <v>988</v>
      </c>
      <c r="AI18" s="470" t="s">
        <v>863</v>
      </c>
      <c r="AJ18" s="1037"/>
      <c r="AK18" s="1037"/>
      <c r="AL18" s="1037"/>
      <c r="AM18" s="1037"/>
      <c r="AN18" s="1037"/>
      <c r="AO18" s="1037"/>
      <c r="AP18" s="1037"/>
      <c r="AQ18" s="1037"/>
      <c r="AR18" s="1037"/>
      <c r="AS18" s="1039"/>
    </row>
    <row r="19" spans="1:45" ht="29.4" outlineLevel="1" thickBot="1">
      <c r="B19" s="436" t="s">
        <v>708</v>
      </c>
      <c r="C19" s="450">
        <v>10</v>
      </c>
      <c r="D19" s="450">
        <v>10</v>
      </c>
      <c r="E19" s="450">
        <v>10</v>
      </c>
      <c r="F19" s="450">
        <v>10</v>
      </c>
      <c r="G19" s="451"/>
      <c r="H19" s="451"/>
      <c r="I19" s="451"/>
      <c r="J19" s="451"/>
      <c r="K19" s="439"/>
      <c r="L19" s="440">
        <v>4</v>
      </c>
      <c r="M19" s="423"/>
      <c r="N19" s="423"/>
      <c r="P19" s="1029"/>
      <c r="Q19" s="471" t="s">
        <v>870</v>
      </c>
      <c r="R19" s="472" t="s">
        <v>871</v>
      </c>
      <c r="S19" s="690" t="s">
        <v>863</v>
      </c>
      <c r="T19" s="476">
        <v>1</v>
      </c>
      <c r="U19" s="475">
        <v>1</v>
      </c>
      <c r="V19" s="476">
        <v>1</v>
      </c>
      <c r="W19" s="475">
        <v>1</v>
      </c>
      <c r="X19" s="476">
        <v>1</v>
      </c>
      <c r="Y19" s="475">
        <v>1</v>
      </c>
      <c r="Z19" s="476">
        <v>1</v>
      </c>
      <c r="AA19" s="475">
        <v>1</v>
      </c>
      <c r="AB19" s="476">
        <v>1</v>
      </c>
      <c r="AC19" s="477">
        <v>1</v>
      </c>
      <c r="AD19" s="476">
        <f>AB19</f>
        <v>1</v>
      </c>
      <c r="AE19" s="477">
        <f>AC19</f>
        <v>1</v>
      </c>
      <c r="AF19" s="1029"/>
      <c r="AG19" s="471" t="s">
        <v>870</v>
      </c>
      <c r="AH19" s="1108" t="s">
        <v>871</v>
      </c>
      <c r="AI19" s="1109" t="s">
        <v>863</v>
      </c>
      <c r="AJ19" s="476">
        <v>1</v>
      </c>
      <c r="AK19" s="475">
        <v>1</v>
      </c>
      <c r="AL19" s="476">
        <v>1</v>
      </c>
      <c r="AM19" s="475">
        <v>1</v>
      </c>
      <c r="AN19" s="476">
        <v>1</v>
      </c>
      <c r="AO19" s="475">
        <v>1</v>
      </c>
      <c r="AP19" s="476">
        <v>1</v>
      </c>
      <c r="AQ19" s="475">
        <v>1</v>
      </c>
      <c r="AR19" s="476">
        <v>1</v>
      </c>
      <c r="AS19" s="477">
        <v>1</v>
      </c>
    </row>
    <row r="20" spans="1:45" outlineLevel="1">
      <c r="B20" s="436" t="s">
        <v>709</v>
      </c>
      <c r="C20" s="450">
        <v>0.25</v>
      </c>
      <c r="D20" s="450">
        <v>0.25</v>
      </c>
      <c r="E20" s="450">
        <v>0.25</v>
      </c>
      <c r="F20" s="450">
        <v>0.25</v>
      </c>
      <c r="G20" s="478"/>
      <c r="H20" s="478"/>
      <c r="I20" s="478"/>
      <c r="J20" s="478"/>
      <c r="K20" s="479"/>
      <c r="L20" s="440">
        <v>4</v>
      </c>
      <c r="M20" s="423"/>
      <c r="N20" s="423"/>
    </row>
    <row r="21" spans="1:45" outlineLevel="1">
      <c r="B21" s="436" t="s">
        <v>711</v>
      </c>
      <c r="C21" s="450">
        <v>1</v>
      </c>
      <c r="D21" s="450">
        <v>1</v>
      </c>
      <c r="E21" s="450">
        <v>1</v>
      </c>
      <c r="F21" s="450">
        <v>1</v>
      </c>
      <c r="G21" s="478"/>
      <c r="H21" s="478"/>
      <c r="I21" s="478"/>
      <c r="J21" s="478"/>
      <c r="K21" s="479"/>
      <c r="L21" s="440">
        <v>1</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c r="AF28" s="751"/>
    </row>
    <row r="29" spans="1:45" ht="52.2" customHeight="1" outlineLevel="1">
      <c r="A29" s="495"/>
      <c r="B29" s="496" t="s">
        <v>876</v>
      </c>
      <c r="C29" s="571">
        <v>0.73</v>
      </c>
      <c r="D29" s="572">
        <v>0.65</v>
      </c>
      <c r="E29" s="572">
        <v>0.6</v>
      </c>
      <c r="F29" s="573">
        <v>0.57999999999999996</v>
      </c>
      <c r="G29" s="485"/>
      <c r="H29" s="485"/>
      <c r="I29" s="485"/>
      <c r="J29" s="485"/>
      <c r="K29" s="486"/>
      <c r="L29" s="500">
        <v>1</v>
      </c>
      <c r="M29" s="480"/>
      <c r="N29" s="480"/>
    </row>
    <row r="30" spans="1:45" outlineLevel="1">
      <c r="B30" s="501" t="s">
        <v>964</v>
      </c>
      <c r="C30" s="502">
        <v>60</v>
      </c>
      <c r="D30" s="502">
        <v>60</v>
      </c>
      <c r="E30" s="502">
        <v>60</v>
      </c>
      <c r="F30" s="502">
        <v>60</v>
      </c>
      <c r="G30" s="485"/>
      <c r="H30" s="485"/>
      <c r="I30" s="485"/>
      <c r="J30" s="485"/>
      <c r="K30" s="504" t="s">
        <v>76</v>
      </c>
      <c r="L30" s="433">
        <v>6</v>
      </c>
      <c r="M30" s="71"/>
      <c r="N30" s="480"/>
    </row>
    <row r="31" spans="1:45" outlineLevel="1">
      <c r="B31" s="501" t="s">
        <v>965</v>
      </c>
      <c r="C31" s="502">
        <v>40</v>
      </c>
      <c r="D31" s="502">
        <v>40</v>
      </c>
      <c r="E31" s="502">
        <v>40</v>
      </c>
      <c r="F31" s="502">
        <v>40</v>
      </c>
      <c r="G31" s="485"/>
      <c r="H31" s="485"/>
      <c r="I31" s="485"/>
      <c r="J31" s="485"/>
      <c r="K31" s="504" t="s">
        <v>25</v>
      </c>
      <c r="L31" s="433">
        <v>6</v>
      </c>
      <c r="M31" s="480"/>
      <c r="N31" s="480"/>
    </row>
    <row r="32" spans="1:45" outlineLevel="1">
      <c r="B32" s="443" t="s">
        <v>966</v>
      </c>
      <c r="C32" s="505">
        <v>2000</v>
      </c>
      <c r="D32" s="506">
        <v>2000</v>
      </c>
      <c r="E32" s="506">
        <v>2000</v>
      </c>
      <c r="F32" s="507">
        <v>2000</v>
      </c>
      <c r="G32" s="485"/>
      <c r="H32" s="485"/>
      <c r="I32" s="485"/>
      <c r="J32" s="485"/>
      <c r="K32" s="508"/>
      <c r="L32" s="433">
        <v>4.5</v>
      </c>
      <c r="M32" s="480"/>
      <c r="N32" s="480"/>
    </row>
    <row r="33" spans="2:30" ht="37.200000000000003" customHeight="1" outlineLevel="1" thickBot="1">
      <c r="B33" s="443" t="s">
        <v>724</v>
      </c>
      <c r="C33" s="509">
        <f>SUM(C34:C35)</f>
        <v>3.26</v>
      </c>
      <c r="D33" s="509">
        <f>SUM(D34:D35)</f>
        <v>3.2</v>
      </c>
      <c r="E33" s="509">
        <f>(D33+F33)/2</f>
        <v>3.16</v>
      </c>
      <c r="F33" s="509">
        <f>SUM(F34:F35)</f>
        <v>3.12</v>
      </c>
      <c r="G33" s="485"/>
      <c r="H33" s="485"/>
      <c r="I33" s="485"/>
      <c r="J33" s="485"/>
      <c r="K33" s="508"/>
      <c r="L33" s="433">
        <v>4</v>
      </c>
      <c r="M33" s="510"/>
      <c r="N33" s="421"/>
      <c r="P33" s="999">
        <f>C33</f>
        <v>3.26</v>
      </c>
      <c r="Q33" s="977"/>
      <c r="R33" s="977"/>
      <c r="S33" s="977"/>
      <c r="T33" s="977"/>
      <c r="U33" s="1000"/>
    </row>
    <row r="34" spans="2:30" ht="15.75" customHeight="1" outlineLevel="1" thickBot="1">
      <c r="B34" s="511" t="s">
        <v>883</v>
      </c>
      <c r="C34" s="512">
        <f>C13/100*73</f>
        <v>1.46</v>
      </c>
      <c r="D34" s="512">
        <f>D13/100*75</f>
        <v>1.5</v>
      </c>
      <c r="E34" s="512">
        <f>E13/100*76</f>
        <v>1.52</v>
      </c>
      <c r="F34" s="512">
        <f>F13/100*76</f>
        <v>1.52</v>
      </c>
      <c r="G34" s="513"/>
      <c r="H34" s="513"/>
      <c r="I34" s="513"/>
      <c r="J34" s="513"/>
      <c r="K34" s="439" t="s">
        <v>33</v>
      </c>
      <c r="L34" s="440">
        <v>4</v>
      </c>
      <c r="M34" s="510"/>
      <c r="N34" s="421"/>
      <c r="P34" s="1001">
        <f>C34</f>
        <v>1.46</v>
      </c>
      <c r="Q34" s="1002"/>
      <c r="R34" s="1002"/>
      <c r="S34" s="1002"/>
      <c r="T34" s="1002"/>
      <c r="U34" s="1003"/>
    </row>
    <row r="35" spans="2:30" outlineLevel="1">
      <c r="B35" s="511" t="s">
        <v>884</v>
      </c>
      <c r="C35" s="514">
        <v>1.8</v>
      </c>
      <c r="D35" s="514">
        <v>1.7</v>
      </c>
      <c r="E35" s="514">
        <f>(D35+F35)/2</f>
        <v>1.65</v>
      </c>
      <c r="F35" s="514">
        <v>1.6</v>
      </c>
      <c r="G35" s="513"/>
      <c r="H35" s="513"/>
      <c r="I35" s="513"/>
      <c r="J35" s="513"/>
      <c r="K35" s="515"/>
      <c r="L35" s="440">
        <v>4</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693">
        <f>C29*0.2</f>
        <v>0.14599999999999999</v>
      </c>
      <c r="D39" s="693">
        <f>D29*0.2</f>
        <v>0.13</v>
      </c>
      <c r="E39" s="693">
        <f>E29*0.2</f>
        <v>0.12</v>
      </c>
      <c r="F39" s="693">
        <f>F29*0.2</f>
        <v>0.11599999999999999</v>
      </c>
      <c r="G39" s="703"/>
      <c r="H39" s="703"/>
      <c r="I39" s="703"/>
      <c r="J39" s="703"/>
      <c r="K39" s="703" t="s">
        <v>51</v>
      </c>
      <c r="L39" s="524"/>
      <c r="M39" s="423"/>
      <c r="N39" s="423"/>
      <c r="O39" s="525">
        <f>($C$12*$Y$14+O111*Y$86+O183*$Y$158)/(SUM($Y$14,$Y$86,$Y$158))</f>
        <v>447.54761904761898</v>
      </c>
      <c r="P39" s="526">
        <f>C8</f>
        <v>2020</v>
      </c>
      <c r="Q39" s="58">
        <f>P39</f>
        <v>2020</v>
      </c>
      <c r="R39" s="526">
        <f>O39/100</f>
        <v>4.4754761904761899</v>
      </c>
      <c r="S39" s="58"/>
      <c r="T39" s="526">
        <f>C16</f>
        <v>20</v>
      </c>
      <c r="U39" s="527">
        <f>C46</f>
        <v>5438.5</v>
      </c>
      <c r="V39" s="527">
        <f>C48</f>
        <v>14.9</v>
      </c>
      <c r="W39" s="750">
        <f>C49</f>
        <v>6.7463888888888883</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c r="L40" s="524"/>
      <c r="M40" s="423"/>
      <c r="N40" s="423"/>
      <c r="O40" s="525">
        <f>($D$12*$U$14+O112*U$86+O184*$U$158)/(SUM($U$14,$U$86,$U$158))</f>
        <v>457.92982142857136</v>
      </c>
      <c r="P40" s="526">
        <f>D8</f>
        <v>2030</v>
      </c>
      <c r="Q40" s="58"/>
      <c r="R40" s="526">
        <f>O40/100</f>
        <v>4.5792982142857133</v>
      </c>
      <c r="S40" s="58"/>
      <c r="T40" s="526">
        <f>D16</f>
        <v>20</v>
      </c>
      <c r="U40" s="527">
        <f>D46</f>
        <v>4842.5</v>
      </c>
      <c r="V40" s="527">
        <f>D48</f>
        <v>14.9</v>
      </c>
      <c r="W40" s="750">
        <f>D49</f>
        <v>6.6222222222222227</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($E$12*$U$14+O113*U$86+O185*$U$158)/(SUM($U$14,$U$86,$U$158))</f>
        <v>467.18841785714284</v>
      </c>
      <c r="P41" s="526">
        <f>E8</f>
        <v>2040</v>
      </c>
      <c r="Q41" s="58"/>
      <c r="R41" s="526">
        <f>O41/100</f>
        <v>4.6718841785714282</v>
      </c>
      <c r="S41" s="58"/>
      <c r="T41" s="526">
        <f>E16</f>
        <v>20</v>
      </c>
      <c r="U41" s="527">
        <f>E46</f>
        <v>4470</v>
      </c>
      <c r="V41" s="527">
        <f>E48</f>
        <v>14.9</v>
      </c>
      <c r="W41" s="750">
        <f>E49</f>
        <v>6.5394444444444444</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($F$12*$U$14+O114*U$86+O186*$U$158)/(SUM($U$14,$U$86,$U$158))</f>
        <v>471.91030203571421</v>
      </c>
      <c r="P42" s="526">
        <f>F8</f>
        <v>2050</v>
      </c>
      <c r="Q42" s="58"/>
      <c r="R42" s="526">
        <f>O42/100</f>
        <v>4.7191030203571422</v>
      </c>
      <c r="S42" s="58"/>
      <c r="T42" s="526">
        <f>F16</f>
        <v>20</v>
      </c>
      <c r="U42" s="527">
        <f>F46</f>
        <v>4321</v>
      </c>
      <c r="V42" s="527">
        <f>F48</f>
        <v>14.9</v>
      </c>
      <c r="W42" s="750">
        <f>F49</f>
        <v>6.4566666666666661</v>
      </c>
      <c r="X42" s="58"/>
      <c r="Y42" s="58"/>
      <c r="Z42" s="526">
        <f>F23</f>
        <v>0</v>
      </c>
      <c r="AA42" s="528">
        <f>F25</f>
        <v>0</v>
      </c>
      <c r="AB42" s="528">
        <f>F26</f>
        <v>0</v>
      </c>
      <c r="AC42" s="528">
        <f>F27</f>
        <v>0</v>
      </c>
      <c r="AD42" s="528">
        <f>F24</f>
        <v>0</v>
      </c>
    </row>
    <row r="43" spans="2:30" outlineLevel="1">
      <c r="B43" s="535" t="s">
        <v>891</v>
      </c>
      <c r="C43" s="529">
        <v>30</v>
      </c>
      <c r="D43" s="530">
        <v>30</v>
      </c>
      <c r="E43" s="530">
        <v>30</v>
      </c>
      <c r="F43" s="531">
        <v>30</v>
      </c>
      <c r="G43" s="534"/>
      <c r="H43" s="534"/>
      <c r="I43" s="534"/>
      <c r="J43" s="534"/>
      <c r="K43" s="534" t="s">
        <v>52</v>
      </c>
      <c r="L43" s="536"/>
      <c r="M43" s="427"/>
      <c r="N43" s="427"/>
    </row>
    <row r="44" spans="2:30" outlineLevel="1">
      <c r="B44" s="535" t="s">
        <v>892</v>
      </c>
      <c r="C44" s="529">
        <v>20</v>
      </c>
      <c r="D44" s="530">
        <v>20</v>
      </c>
      <c r="E44" s="530">
        <v>20</v>
      </c>
      <c r="F44" s="531">
        <v>20</v>
      </c>
      <c r="G44" s="534"/>
      <c r="H44" s="534"/>
      <c r="I44" s="534"/>
      <c r="J44" s="534"/>
      <c r="K44" s="534" t="s">
        <v>52</v>
      </c>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5438.5</v>
      </c>
      <c r="D46" s="543">
        <f t="shared" ref="D46:F46" si="1">D29*$F$4*1000</f>
        <v>4842.5</v>
      </c>
      <c r="E46" s="543">
        <f t="shared" si="1"/>
        <v>4470</v>
      </c>
      <c r="F46" s="543">
        <f t="shared" si="1"/>
        <v>4321</v>
      </c>
      <c r="G46" s="543"/>
      <c r="H46" s="544"/>
      <c r="I46" s="480" t="s">
        <v>332</v>
      </c>
      <c r="J46" s="480"/>
      <c r="K46" s="544"/>
      <c r="L46" s="544"/>
      <c r="N46" s="480"/>
    </row>
    <row r="47" spans="2:30" outlineLevel="1">
      <c r="B47" s="545" t="s">
        <v>895</v>
      </c>
      <c r="C47" s="546">
        <f>C46*$I47</f>
        <v>2719250</v>
      </c>
      <c r="D47" s="546">
        <f>D46*$I47</f>
        <v>2421250</v>
      </c>
      <c r="E47" s="546">
        <f>E46*$I47</f>
        <v>2235000</v>
      </c>
      <c r="F47" s="546">
        <f>F46*$I47</f>
        <v>2160500</v>
      </c>
      <c r="G47" s="546"/>
      <c r="H47" s="544"/>
      <c r="I47" s="71">
        <v>500</v>
      </c>
      <c r="J47" s="480" t="s">
        <v>330</v>
      </c>
      <c r="K47" s="544"/>
      <c r="L47" s="544"/>
      <c r="N47" s="480"/>
    </row>
    <row r="48" spans="2:30" ht="43.2" outlineLevel="1">
      <c r="B48" s="521" t="s">
        <v>970</v>
      </c>
      <c r="C48" s="419">
        <f>C32*$F$4/1000</f>
        <v>14.9</v>
      </c>
      <c r="D48" s="419">
        <f t="shared" ref="D48:F48" si="2">D32*$F$4/1000</f>
        <v>14.9</v>
      </c>
      <c r="E48" s="419">
        <f t="shared" si="2"/>
        <v>14.9</v>
      </c>
      <c r="F48" s="419">
        <f t="shared" si="2"/>
        <v>14.9</v>
      </c>
      <c r="G48" s="419"/>
      <c r="I48" s="480" t="s">
        <v>333</v>
      </c>
      <c r="J48" s="480"/>
      <c r="N48" s="480"/>
    </row>
    <row r="49" spans="2:14" ht="43.2" outlineLevel="1">
      <c r="B49" s="521" t="s">
        <v>971</v>
      </c>
      <c r="C49" s="547">
        <f>C33*$F$4/3.6</f>
        <v>6.7463888888888883</v>
      </c>
      <c r="D49" s="547">
        <f t="shared" ref="D49:F49" si="3">D33*$F$4/3.6</f>
        <v>6.6222222222222227</v>
      </c>
      <c r="E49" s="547">
        <f t="shared" si="3"/>
        <v>6.5394444444444444</v>
      </c>
      <c r="F49" s="547">
        <f t="shared" si="3"/>
        <v>6.4566666666666661</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694" t="s">
        <v>898</v>
      </c>
      <c r="C55" s="550"/>
      <c r="D55" s="550"/>
      <c r="E55" s="417"/>
      <c r="F55" s="417"/>
      <c r="G55" s="417"/>
      <c r="H55" s="417"/>
      <c r="I55" s="417"/>
      <c r="J55" s="417"/>
      <c r="K55" s="417"/>
      <c r="L55" s="417"/>
    </row>
    <row r="56" spans="2:14" outlineLevel="1">
      <c r="B56" s="417">
        <v>1</v>
      </c>
      <c r="C56" s="695" t="s">
        <v>972</v>
      </c>
      <c r="D56" s="550"/>
      <c r="F56" s="417"/>
      <c r="G56" s="417"/>
      <c r="H56" s="417"/>
      <c r="I56" s="417"/>
      <c r="J56" s="417"/>
      <c r="K56" s="417"/>
      <c r="L56" s="417"/>
    </row>
    <row r="57" spans="2:14" outlineLevel="1">
      <c r="B57" s="417">
        <v>2</v>
      </c>
      <c r="C57" s="695" t="s">
        <v>973</v>
      </c>
      <c r="D57" s="550"/>
      <c r="F57" s="417"/>
      <c r="G57" s="417"/>
      <c r="H57" s="417"/>
      <c r="I57" s="417"/>
      <c r="J57" s="417"/>
      <c r="K57" s="417"/>
      <c r="L57" s="417"/>
    </row>
    <row r="58" spans="2:14" outlineLevel="1">
      <c r="B58" s="417">
        <v>3</v>
      </c>
      <c r="C58" s="550" t="s">
        <v>974</v>
      </c>
      <c r="D58" s="550"/>
      <c r="F58" s="417"/>
      <c r="G58" s="417"/>
      <c r="H58" s="417"/>
      <c r="I58" s="417"/>
      <c r="J58" s="417"/>
      <c r="K58" s="417"/>
      <c r="L58" s="417"/>
    </row>
    <row r="59" spans="2:14" outlineLevel="1">
      <c r="B59" s="417">
        <v>4</v>
      </c>
      <c r="C59" s="550" t="s">
        <v>975</v>
      </c>
      <c r="D59" s="550"/>
      <c r="F59" s="417"/>
      <c r="G59" s="417"/>
      <c r="H59" s="417"/>
      <c r="I59" s="417"/>
      <c r="J59" s="417"/>
      <c r="K59" s="417"/>
      <c r="L59" s="417"/>
    </row>
    <row r="60" spans="2:14" outlineLevel="1">
      <c r="B60" s="417">
        <v>5</v>
      </c>
      <c r="C60" s="696" t="s">
        <v>976</v>
      </c>
      <c r="D60" s="550"/>
      <c r="F60" s="417"/>
      <c r="G60" s="417"/>
      <c r="H60" s="417"/>
      <c r="I60" s="417"/>
      <c r="J60" s="417"/>
      <c r="K60" s="417"/>
      <c r="L60" s="417"/>
    </row>
    <row r="61" spans="2:14" outlineLevel="1">
      <c r="B61" s="417">
        <v>6</v>
      </c>
      <c r="C61" s="550" t="s">
        <v>977</v>
      </c>
      <c r="D61" s="550"/>
      <c r="F61" s="417"/>
      <c r="G61" s="417"/>
      <c r="H61" s="417"/>
      <c r="I61" s="417"/>
      <c r="J61" s="417"/>
      <c r="K61" s="417"/>
      <c r="L61" s="417"/>
    </row>
    <row r="62" spans="2:14" outlineLevel="1">
      <c r="B62" s="694" t="s">
        <v>908</v>
      </c>
      <c r="C62" s="417"/>
      <c r="D62" s="550"/>
      <c r="F62" s="417"/>
      <c r="G62" s="417"/>
      <c r="H62" s="417"/>
      <c r="I62" s="417"/>
      <c r="J62" s="417"/>
      <c r="K62" s="417"/>
      <c r="L62" s="417"/>
    </row>
    <row r="63" spans="2:14" outlineLevel="1">
      <c r="B63" s="697" t="s">
        <v>6</v>
      </c>
      <c r="C63" s="550" t="s">
        <v>978</v>
      </c>
      <c r="D63" s="550"/>
      <c r="F63" s="417"/>
      <c r="G63" s="417"/>
      <c r="H63" s="417"/>
      <c r="I63" s="417"/>
      <c r="J63" s="417"/>
      <c r="K63" s="417"/>
      <c r="L63" s="417"/>
    </row>
    <row r="64" spans="2:14" outlineLevel="1">
      <c r="B64" s="697" t="s">
        <v>59</v>
      </c>
      <c r="C64" s="550" t="s">
        <v>979</v>
      </c>
      <c r="D64" s="550"/>
      <c r="F64" s="417"/>
      <c r="G64" s="417"/>
      <c r="H64" s="417"/>
      <c r="I64" s="417"/>
      <c r="J64" s="417"/>
      <c r="K64" s="417"/>
      <c r="L64" s="417"/>
    </row>
    <row r="65" spans="1:44" outlineLevel="1">
      <c r="B65" s="697" t="s">
        <v>16</v>
      </c>
      <c r="C65" s="550" t="s">
        <v>980</v>
      </c>
      <c r="D65" s="550"/>
      <c r="F65" s="417"/>
      <c r="G65" s="417"/>
      <c r="H65" s="417"/>
      <c r="I65" s="417"/>
      <c r="J65" s="417"/>
      <c r="K65" s="417"/>
      <c r="L65" s="417"/>
    </row>
    <row r="66" spans="1:44" outlineLevel="1">
      <c r="B66" s="697" t="s">
        <v>20</v>
      </c>
      <c r="C66" s="550" t="s">
        <v>981</v>
      </c>
      <c r="D66" s="550"/>
      <c r="F66" s="417"/>
      <c r="G66" s="417"/>
      <c r="H66" s="417"/>
      <c r="I66" s="417"/>
      <c r="J66" s="417"/>
      <c r="K66" s="417"/>
      <c r="L66" s="417"/>
    </row>
    <row r="67" spans="1:44" outlineLevel="1">
      <c r="B67" s="697" t="s">
        <v>76</v>
      </c>
      <c r="C67" s="550" t="s">
        <v>982</v>
      </c>
      <c r="D67" s="550"/>
      <c r="F67" s="417"/>
      <c r="G67" s="417"/>
      <c r="H67" s="417"/>
      <c r="I67" s="417"/>
      <c r="J67" s="417"/>
      <c r="K67" s="417"/>
      <c r="L67" s="417"/>
    </row>
    <row r="68" spans="1:44" outlineLevel="1">
      <c r="B68" s="697" t="s">
        <v>25</v>
      </c>
      <c r="C68" s="550" t="s">
        <v>983</v>
      </c>
      <c r="D68" s="417"/>
      <c r="F68" s="417"/>
      <c r="G68" s="417"/>
      <c r="H68" s="417"/>
      <c r="I68" s="417"/>
      <c r="J68" s="417"/>
      <c r="K68" s="417"/>
      <c r="L68" s="417"/>
    </row>
    <row r="69" spans="1:44" outlineLevel="1">
      <c r="B69" s="697" t="s">
        <v>33</v>
      </c>
      <c r="C69" s="549" t="s">
        <v>913</v>
      </c>
      <c r="D69" s="417"/>
      <c r="F69" s="417"/>
      <c r="G69" s="417"/>
      <c r="H69" s="417"/>
      <c r="I69" s="417"/>
      <c r="J69" s="417"/>
      <c r="K69" s="417"/>
      <c r="L69" s="417"/>
    </row>
    <row r="70" spans="1:44" outlineLevel="1">
      <c r="B70" s="697" t="s">
        <v>51</v>
      </c>
      <c r="C70" s="550" t="s">
        <v>984</v>
      </c>
      <c r="D70" s="417"/>
      <c r="G70" s="417"/>
      <c r="H70" s="417"/>
      <c r="I70" s="417"/>
      <c r="J70" s="417"/>
      <c r="K70" s="417"/>
      <c r="L70" s="417"/>
    </row>
    <row r="71" spans="1:44" outlineLevel="1">
      <c r="B71" s="697" t="s">
        <v>52</v>
      </c>
      <c r="C71" s="550" t="s">
        <v>985</v>
      </c>
      <c r="E71" s="550"/>
      <c r="F71" s="550"/>
    </row>
    <row r="72" spans="1:44" outlineLevel="1"/>
    <row r="73" spans="1:44" outlineLevel="1"/>
    <row r="74" spans="1:44" outlineLevel="1"/>
    <row r="77" spans="1:44">
      <c r="A77" s="420" t="s">
        <v>989</v>
      </c>
      <c r="B77" s="976"/>
      <c r="C77" s="977"/>
      <c r="D77" s="977"/>
      <c r="E77" s="977"/>
      <c r="F77" s="977"/>
      <c r="G77" s="977"/>
      <c r="H77" s="977"/>
      <c r="I77" s="977"/>
      <c r="J77" s="977"/>
      <c r="K77" s="977"/>
      <c r="L77" s="977"/>
      <c r="M77" s="977"/>
      <c r="N77" s="749"/>
      <c r="P77" s="977"/>
      <c r="Q77" s="977"/>
      <c r="R77" s="977"/>
      <c r="S77" s="977"/>
      <c r="T77" s="977"/>
      <c r="U77" s="977"/>
    </row>
    <row r="78" spans="1:44" ht="15" outlineLevel="1" thickBot="1">
      <c r="B78" s="976"/>
      <c r="C78" s="977"/>
      <c r="D78" s="977"/>
      <c r="E78" s="977"/>
      <c r="F78" s="977"/>
      <c r="G78" s="977"/>
      <c r="H78" s="977"/>
      <c r="I78" s="977"/>
      <c r="J78" s="977"/>
      <c r="K78" s="977"/>
      <c r="L78" s="977"/>
      <c r="M78" s="977"/>
      <c r="N78" s="749"/>
      <c r="P78" s="977"/>
      <c r="Q78" s="977"/>
      <c r="R78" s="977"/>
      <c r="S78" s="977"/>
      <c r="T78" s="977"/>
      <c r="U78" s="977"/>
    </row>
    <row r="79" spans="1:44" ht="20.7" customHeight="1" outlineLevel="1" thickBot="1">
      <c r="B79" s="422" t="s">
        <v>0</v>
      </c>
      <c r="C79" s="1093" t="s">
        <v>987</v>
      </c>
      <c r="D79" s="1094"/>
      <c r="E79" s="1094"/>
      <c r="F79" s="1094"/>
      <c r="G79" s="1094"/>
      <c r="H79" s="1094"/>
      <c r="I79" s="1094"/>
      <c r="J79" s="1094"/>
      <c r="K79" s="1094"/>
      <c r="L79" s="1095"/>
      <c r="M79" s="423"/>
      <c r="N79" s="423"/>
      <c r="P79" s="424" t="s">
        <v>838</v>
      </c>
      <c r="Q79" s="425"/>
      <c r="R79" s="426"/>
      <c r="S79" s="985" t="s">
        <v>839</v>
      </c>
      <c r="T79" s="989" t="s">
        <v>840</v>
      </c>
      <c r="U79" s="990"/>
      <c r="V79" s="989" t="s">
        <v>841</v>
      </c>
      <c r="W79" s="990"/>
      <c r="X79" s="989" t="s">
        <v>842</v>
      </c>
      <c r="Y79" s="990"/>
      <c r="Z79" s="989" t="s">
        <v>843</v>
      </c>
      <c r="AA79" s="990"/>
      <c r="AB79" s="989" t="s">
        <v>844</v>
      </c>
      <c r="AC79" s="990"/>
      <c r="AE79" s="424" t="s">
        <v>845</v>
      </c>
      <c r="AF79" s="425"/>
      <c r="AG79" s="426"/>
      <c r="AH79" s="985" t="s">
        <v>839</v>
      </c>
      <c r="AI79" s="989" t="s">
        <v>840</v>
      </c>
      <c r="AJ79" s="990"/>
      <c r="AK79" s="989" t="s">
        <v>841</v>
      </c>
      <c r="AL79" s="990"/>
      <c r="AM79" s="989" t="s">
        <v>842</v>
      </c>
      <c r="AN79" s="990"/>
      <c r="AO79" s="989" t="s">
        <v>843</v>
      </c>
      <c r="AP79" s="990"/>
      <c r="AQ79" s="989" t="s">
        <v>844</v>
      </c>
      <c r="AR79" s="990"/>
    </row>
    <row r="80" spans="1:44" ht="15" customHeight="1" outlineLevel="1" thickBot="1">
      <c r="B80" s="1010" t="s">
        <v>4</v>
      </c>
      <c r="C80" s="1012">
        <v>2020</v>
      </c>
      <c r="D80" s="1012">
        <v>2030</v>
      </c>
      <c r="E80" s="1012">
        <v>2040</v>
      </c>
      <c r="F80" s="1012">
        <v>2050</v>
      </c>
      <c r="G80" s="1091" t="s">
        <v>846</v>
      </c>
      <c r="H80" s="1066"/>
      <c r="I80" s="1065" t="s">
        <v>693</v>
      </c>
      <c r="J80" s="1096"/>
      <c r="K80" s="1067" t="s">
        <v>2</v>
      </c>
      <c r="L80" s="1067" t="s">
        <v>3</v>
      </c>
      <c r="M80" s="427"/>
      <c r="N80" s="427"/>
      <c r="P80" s="993" t="s">
        <v>0</v>
      </c>
      <c r="Q80" s="428"/>
      <c r="R80" s="428"/>
      <c r="S80" s="986"/>
      <c r="T80" s="991"/>
      <c r="U80" s="992"/>
      <c r="V80" s="991"/>
      <c r="W80" s="992"/>
      <c r="X80" s="991"/>
      <c r="Y80" s="992"/>
      <c r="Z80" s="991"/>
      <c r="AA80" s="992"/>
      <c r="AB80" s="991"/>
      <c r="AC80" s="992"/>
      <c r="AE80" s="993" t="s">
        <v>0</v>
      </c>
      <c r="AF80" s="428"/>
      <c r="AG80" s="428"/>
      <c r="AH80" s="986"/>
      <c r="AI80" s="991"/>
      <c r="AJ80" s="992"/>
      <c r="AK80" s="991"/>
      <c r="AL80" s="992"/>
      <c r="AM80" s="991"/>
      <c r="AN80" s="992"/>
      <c r="AO80" s="991"/>
      <c r="AP80" s="992"/>
      <c r="AQ80" s="991"/>
      <c r="AR80" s="992"/>
    </row>
    <row r="81" spans="2:44" ht="15" customHeight="1" outlineLevel="1" thickBot="1">
      <c r="B81" s="1089"/>
      <c r="C81" s="1090"/>
      <c r="D81" s="1090"/>
      <c r="E81" s="1090"/>
      <c r="F81" s="1090"/>
      <c r="G81" s="429" t="s">
        <v>694</v>
      </c>
      <c r="H81" s="429" t="s">
        <v>695</v>
      </c>
      <c r="I81" s="429" t="s">
        <v>694</v>
      </c>
      <c r="J81" s="429" t="s">
        <v>695</v>
      </c>
      <c r="K81" s="1092"/>
      <c r="L81" s="1092"/>
      <c r="M81" s="430"/>
      <c r="N81" s="430"/>
      <c r="P81" s="994"/>
      <c r="Q81" s="996" t="s">
        <v>847</v>
      </c>
      <c r="R81" s="997" t="s">
        <v>848</v>
      </c>
      <c r="S81" s="987"/>
      <c r="T81" s="991"/>
      <c r="U81" s="992"/>
      <c r="V81" s="991"/>
      <c r="W81" s="992"/>
      <c r="X81" s="991"/>
      <c r="Y81" s="992"/>
      <c r="Z81" s="991"/>
      <c r="AA81" s="992"/>
      <c r="AB81" s="991"/>
      <c r="AC81" s="992"/>
      <c r="AE81" s="994"/>
      <c r="AF81" s="1040" t="s">
        <v>847</v>
      </c>
      <c r="AG81" s="997" t="s">
        <v>848</v>
      </c>
      <c r="AH81" s="987"/>
      <c r="AI81" s="991"/>
      <c r="AJ81" s="992"/>
      <c r="AK81" s="991"/>
      <c r="AL81" s="992"/>
      <c r="AM81" s="991"/>
      <c r="AN81" s="992"/>
      <c r="AO81" s="991"/>
      <c r="AP81" s="992"/>
      <c r="AQ81" s="991"/>
      <c r="AR81" s="992"/>
    </row>
    <row r="82" spans="2:44" ht="29.4" outlineLevel="1" thickBot="1">
      <c r="B82" s="431" t="s">
        <v>696</v>
      </c>
      <c r="C82" s="432">
        <v>3</v>
      </c>
      <c r="D82" s="432">
        <v>3</v>
      </c>
      <c r="E82" s="432">
        <v>3</v>
      </c>
      <c r="F82" s="432">
        <v>3</v>
      </c>
      <c r="G82" s="432">
        <v>0.5</v>
      </c>
      <c r="H82" s="432">
        <v>5</v>
      </c>
      <c r="I82" s="432">
        <v>0.5</v>
      </c>
      <c r="J82" s="432">
        <v>5</v>
      </c>
      <c r="K82" s="432" t="s">
        <v>6</v>
      </c>
      <c r="L82" s="433" t="s">
        <v>962</v>
      </c>
      <c r="M82" s="430"/>
      <c r="N82" s="430"/>
      <c r="O82" s="74"/>
      <c r="P82" s="995"/>
      <c r="Q82" s="988"/>
      <c r="R82" s="998"/>
      <c r="S82" s="988"/>
      <c r="T82" s="434" t="s">
        <v>851</v>
      </c>
      <c r="U82" s="435" t="s">
        <v>852</v>
      </c>
      <c r="V82" s="434" t="s">
        <v>851</v>
      </c>
      <c r="W82" s="435" t="s">
        <v>852</v>
      </c>
      <c r="X82" s="434" t="s">
        <v>851</v>
      </c>
      <c r="Y82" s="435" t="s">
        <v>852</v>
      </c>
      <c r="Z82" s="434" t="s">
        <v>851</v>
      </c>
      <c r="AA82" s="435" t="s">
        <v>852</v>
      </c>
      <c r="AB82" s="434" t="s">
        <v>851</v>
      </c>
      <c r="AC82" s="435" t="s">
        <v>852</v>
      </c>
      <c r="AE82" s="995"/>
      <c r="AF82" s="1041"/>
      <c r="AG82" s="998"/>
      <c r="AH82" s="988"/>
      <c r="AI82" s="434" t="s">
        <v>851</v>
      </c>
      <c r="AJ82" s="435" t="s">
        <v>852</v>
      </c>
      <c r="AK82" s="434" t="s">
        <v>851</v>
      </c>
      <c r="AL82" s="435" t="s">
        <v>852</v>
      </c>
      <c r="AM82" s="434" t="s">
        <v>851</v>
      </c>
      <c r="AN82" s="435" t="s">
        <v>852</v>
      </c>
      <c r="AO82" s="434" t="s">
        <v>851</v>
      </c>
      <c r="AP82" s="435" t="s">
        <v>852</v>
      </c>
      <c r="AQ82" s="434" t="s">
        <v>851</v>
      </c>
      <c r="AR82" s="435" t="s">
        <v>852</v>
      </c>
    </row>
    <row r="83" spans="2:44" ht="15" customHeight="1" outlineLevel="1">
      <c r="B83" s="436" t="s">
        <v>853</v>
      </c>
      <c r="C83" s="699">
        <v>447</v>
      </c>
      <c r="D83" s="699">
        <v>460.41</v>
      </c>
      <c r="E83" s="700">
        <v>469.61820000000006</v>
      </c>
      <c r="F83" s="699">
        <v>474.31438200000008</v>
      </c>
      <c r="G83" s="437">
        <f>C83</f>
        <v>447</v>
      </c>
      <c r="H83" s="699">
        <f>C83*1.05</f>
        <v>469.35</v>
      </c>
      <c r="I83" s="699">
        <f>F83*0.97</f>
        <v>460.08495054000008</v>
      </c>
      <c r="J83" s="699">
        <f>F83*1.02</f>
        <v>483.80066964000008</v>
      </c>
      <c r="K83" s="439" t="s">
        <v>59</v>
      </c>
      <c r="L83" s="440" t="s">
        <v>962</v>
      </c>
      <c r="M83" s="430"/>
      <c r="N83" s="430"/>
      <c r="P83" s="1042" t="str">
        <f>C79</f>
        <v>Heat pump, up to 70 °C, Temp lift = 50 K</v>
      </c>
      <c r="Q83" s="1030" t="s">
        <v>855</v>
      </c>
      <c r="R83" s="441" t="s">
        <v>856</v>
      </c>
      <c r="S83" s="442"/>
      <c r="T83" s="1033">
        <v>0</v>
      </c>
      <c r="U83" s="1021">
        <v>0</v>
      </c>
      <c r="V83" s="1024">
        <v>0</v>
      </c>
      <c r="W83" s="1021">
        <v>0</v>
      </c>
      <c r="X83" s="1024">
        <v>0</v>
      </c>
      <c r="Y83" s="1021">
        <v>0</v>
      </c>
      <c r="Z83" s="1024">
        <v>0</v>
      </c>
      <c r="AA83" s="1021">
        <v>0</v>
      </c>
      <c r="AB83" s="1024">
        <v>0</v>
      </c>
      <c r="AC83" s="1021">
        <v>0</v>
      </c>
      <c r="AE83" s="1027" t="str">
        <f>P83</f>
        <v>Heat pump, up to 70 °C, Temp lift = 50 K</v>
      </c>
      <c r="AF83" s="1030" t="s">
        <v>855</v>
      </c>
      <c r="AG83" s="441" t="s">
        <v>856</v>
      </c>
      <c r="AH83" s="442"/>
      <c r="AI83" s="1033">
        <v>0</v>
      </c>
      <c r="AJ83" s="1021">
        <v>0</v>
      </c>
      <c r="AK83" s="1024">
        <v>0</v>
      </c>
      <c r="AL83" s="1021">
        <v>0</v>
      </c>
      <c r="AM83" s="1024">
        <v>0</v>
      </c>
      <c r="AN83" s="1021">
        <v>0</v>
      </c>
      <c r="AO83" s="1024">
        <v>0</v>
      </c>
      <c r="AP83" s="1021">
        <v>0</v>
      </c>
      <c r="AQ83" s="1024">
        <v>0</v>
      </c>
      <c r="AR83" s="1021">
        <v>0</v>
      </c>
    </row>
    <row r="84" spans="2:44" outlineLevel="1">
      <c r="B84" s="443" t="s">
        <v>857</v>
      </c>
      <c r="C84" s="637">
        <f>C83-5</f>
        <v>442</v>
      </c>
      <c r="D84" s="637">
        <f t="shared" ref="D84:J84" si="4">D83-5</f>
        <v>455.41</v>
      </c>
      <c r="E84" s="637">
        <f t="shared" si="4"/>
        <v>464.61820000000006</v>
      </c>
      <c r="F84" s="637">
        <f t="shared" si="4"/>
        <v>469.31438200000008</v>
      </c>
      <c r="G84" s="701">
        <f t="shared" si="4"/>
        <v>442</v>
      </c>
      <c r="H84" s="701">
        <f t="shared" si="4"/>
        <v>464.35</v>
      </c>
      <c r="I84" s="701">
        <f t="shared" si="4"/>
        <v>455.08495054000008</v>
      </c>
      <c r="J84" s="701">
        <f t="shared" si="4"/>
        <v>478.80066964000008</v>
      </c>
      <c r="K84" s="446" t="s">
        <v>963</v>
      </c>
      <c r="L84" s="447"/>
      <c r="M84" s="430"/>
      <c r="N84" s="430"/>
      <c r="O84" s="71"/>
      <c r="P84" s="1028"/>
      <c r="Q84" s="1031"/>
      <c r="R84" s="448" t="s">
        <v>858</v>
      </c>
      <c r="S84" s="449"/>
      <c r="T84" s="1034"/>
      <c r="U84" s="1022"/>
      <c r="V84" s="1025"/>
      <c r="W84" s="1022"/>
      <c r="X84" s="1025"/>
      <c r="Y84" s="1022"/>
      <c r="Z84" s="1025"/>
      <c r="AA84" s="1022"/>
      <c r="AB84" s="1025"/>
      <c r="AC84" s="1022"/>
      <c r="AE84" s="1028"/>
      <c r="AF84" s="1031"/>
      <c r="AG84" s="448" t="s">
        <v>858</v>
      </c>
      <c r="AH84" s="449"/>
      <c r="AI84" s="1034"/>
      <c r="AJ84" s="1022"/>
      <c r="AK84" s="1025"/>
      <c r="AL84" s="1022"/>
      <c r="AM84" s="1025"/>
      <c r="AN84" s="1022"/>
      <c r="AO84" s="1025"/>
      <c r="AP84" s="1022"/>
      <c r="AQ84" s="1025"/>
      <c r="AR84" s="1022"/>
    </row>
    <row r="85" spans="2:44" ht="15" outlineLevel="1" thickBot="1">
      <c r="B85" s="436" t="s">
        <v>859</v>
      </c>
      <c r="C85" s="450">
        <v>2</v>
      </c>
      <c r="D85" s="451">
        <v>2</v>
      </c>
      <c r="E85" s="451">
        <v>2</v>
      </c>
      <c r="F85" s="452">
        <v>2</v>
      </c>
      <c r="G85" s="451">
        <v>1</v>
      </c>
      <c r="H85" s="451">
        <v>4</v>
      </c>
      <c r="I85" s="451">
        <v>1</v>
      </c>
      <c r="J85" s="451">
        <v>4</v>
      </c>
      <c r="K85" s="439"/>
      <c r="L85" s="440">
        <v>1.4</v>
      </c>
      <c r="M85" s="430"/>
      <c r="N85" s="430"/>
      <c r="O85" s="71"/>
      <c r="P85" s="1028"/>
      <c r="Q85" s="1032"/>
      <c r="R85" s="453" t="s">
        <v>860</v>
      </c>
      <c r="S85" s="454"/>
      <c r="T85" s="1035"/>
      <c r="U85" s="1023"/>
      <c r="V85" s="1026"/>
      <c r="W85" s="1023"/>
      <c r="X85" s="1026"/>
      <c r="Y85" s="1023"/>
      <c r="Z85" s="1026"/>
      <c r="AA85" s="1023"/>
      <c r="AB85" s="1026"/>
      <c r="AC85" s="1023"/>
      <c r="AE85" s="1028"/>
      <c r="AF85" s="1032"/>
      <c r="AG85" s="453" t="s">
        <v>860</v>
      </c>
      <c r="AH85" s="454"/>
      <c r="AI85" s="1035"/>
      <c r="AJ85" s="1023"/>
      <c r="AK85" s="1026"/>
      <c r="AL85" s="1023"/>
      <c r="AM85" s="1026"/>
      <c r="AN85" s="1023"/>
      <c r="AO85" s="1026"/>
      <c r="AP85" s="1023"/>
      <c r="AQ85" s="1026"/>
      <c r="AR85" s="1023"/>
    </row>
    <row r="86" spans="2:44" ht="15" customHeight="1" outlineLevel="1">
      <c r="B86" s="436" t="s">
        <v>702</v>
      </c>
      <c r="C86" s="450">
        <v>0</v>
      </c>
      <c r="D86" s="450">
        <v>0</v>
      </c>
      <c r="E86" s="450">
        <v>0</v>
      </c>
      <c r="F86" s="450">
        <v>0</v>
      </c>
      <c r="G86" s="450">
        <v>0</v>
      </c>
      <c r="H86" s="450">
        <v>1</v>
      </c>
      <c r="I86" s="450">
        <v>0</v>
      </c>
      <c r="J86" s="450">
        <v>1</v>
      </c>
      <c r="K86" s="439" t="s">
        <v>20</v>
      </c>
      <c r="L86" s="440"/>
      <c r="M86" s="430"/>
      <c r="N86" s="430"/>
      <c r="O86" s="71"/>
      <c r="P86" s="1028"/>
      <c r="Q86" s="1030" t="s">
        <v>861</v>
      </c>
      <c r="R86" s="455" t="s">
        <v>862</v>
      </c>
      <c r="S86" s="456" t="s">
        <v>863</v>
      </c>
      <c r="T86" s="1033">
        <v>0</v>
      </c>
      <c r="U86" s="1033">
        <f>19%</f>
        <v>0.19</v>
      </c>
      <c r="V86" s="1033">
        <v>0</v>
      </c>
      <c r="W86" s="1033">
        <f>19%</f>
        <v>0.19</v>
      </c>
      <c r="X86" s="1033">
        <v>0</v>
      </c>
      <c r="Y86" s="1033">
        <f>14%</f>
        <v>0.14000000000000001</v>
      </c>
      <c r="Z86" s="1033">
        <v>0</v>
      </c>
      <c r="AA86" s="1033">
        <f>11%</f>
        <v>0.11</v>
      </c>
      <c r="AB86" s="1033">
        <v>0</v>
      </c>
      <c r="AC86" s="1021">
        <f>12%</f>
        <v>0.12</v>
      </c>
      <c r="AE86" s="1028"/>
      <c r="AF86" s="1030" t="s">
        <v>861</v>
      </c>
      <c r="AG86" s="455" t="s">
        <v>862</v>
      </c>
      <c r="AH86" s="456" t="s">
        <v>863</v>
      </c>
      <c r="AI86" s="1033">
        <v>0</v>
      </c>
      <c r="AJ86" s="1033">
        <f>U86/4</f>
        <v>4.7500000000000001E-2</v>
      </c>
      <c r="AK86" s="1033">
        <v>0</v>
      </c>
      <c r="AL86" s="1033">
        <f>W86/4</f>
        <v>4.7500000000000001E-2</v>
      </c>
      <c r="AM86" s="1033">
        <v>0</v>
      </c>
      <c r="AN86" s="1033">
        <f>Y86/4</f>
        <v>3.5000000000000003E-2</v>
      </c>
      <c r="AO86" s="1033">
        <v>0</v>
      </c>
      <c r="AP86" s="1033">
        <f>AA86/4</f>
        <v>2.75E-2</v>
      </c>
      <c r="AQ86" s="1033">
        <v>0</v>
      </c>
      <c r="AR86" s="1021">
        <f>AC86/4</f>
        <v>0.03</v>
      </c>
    </row>
    <row r="87" spans="2:44" outlineLevel="1">
      <c r="B87" s="436" t="s">
        <v>703</v>
      </c>
      <c r="C87" s="450">
        <v>1</v>
      </c>
      <c r="D87" s="450">
        <v>1</v>
      </c>
      <c r="E87" s="450">
        <v>1</v>
      </c>
      <c r="F87" s="450">
        <v>1</v>
      </c>
      <c r="G87" s="450">
        <v>0.5</v>
      </c>
      <c r="H87" s="450">
        <v>2</v>
      </c>
      <c r="I87" s="450">
        <v>0.5</v>
      </c>
      <c r="J87" s="450">
        <v>2</v>
      </c>
      <c r="K87" s="439"/>
      <c r="L87" s="440">
        <v>1.4</v>
      </c>
      <c r="M87" s="427"/>
      <c r="N87" s="427"/>
      <c r="O87" s="71"/>
      <c r="P87" s="1028"/>
      <c r="Q87" s="1031"/>
      <c r="R87" s="455" t="s">
        <v>864</v>
      </c>
      <c r="S87" s="456" t="s">
        <v>863</v>
      </c>
      <c r="T87" s="1036"/>
      <c r="U87" s="1036"/>
      <c r="V87" s="1036"/>
      <c r="W87" s="1036"/>
      <c r="X87" s="1036"/>
      <c r="Y87" s="1036"/>
      <c r="Z87" s="1036"/>
      <c r="AA87" s="1036"/>
      <c r="AB87" s="1036"/>
      <c r="AC87" s="1038"/>
      <c r="AE87" s="1028"/>
      <c r="AF87" s="1031"/>
      <c r="AG87" s="455" t="s">
        <v>864</v>
      </c>
      <c r="AH87" s="456" t="s">
        <v>863</v>
      </c>
      <c r="AI87" s="1036"/>
      <c r="AJ87" s="1036"/>
      <c r="AK87" s="1036"/>
      <c r="AL87" s="1036"/>
      <c r="AM87" s="1036"/>
      <c r="AN87" s="1036"/>
      <c r="AO87" s="1036"/>
      <c r="AP87" s="1036"/>
      <c r="AQ87" s="1036"/>
      <c r="AR87" s="1038"/>
    </row>
    <row r="88" spans="2:44" outlineLevel="1">
      <c r="B88" s="443" t="s">
        <v>11</v>
      </c>
      <c r="C88" s="457">
        <v>20</v>
      </c>
      <c r="D88" s="457">
        <v>20</v>
      </c>
      <c r="E88" s="457">
        <v>20</v>
      </c>
      <c r="F88" s="457">
        <v>20</v>
      </c>
      <c r="G88" s="458">
        <v>15</v>
      </c>
      <c r="H88" s="458">
        <v>30</v>
      </c>
      <c r="I88" s="458">
        <v>15</v>
      </c>
      <c r="J88" s="458">
        <v>30</v>
      </c>
      <c r="K88" s="432"/>
      <c r="L88" s="433">
        <v>4</v>
      </c>
      <c r="M88" s="423"/>
      <c r="N88" s="423"/>
      <c r="P88" s="1028"/>
      <c r="Q88" s="1031"/>
      <c r="R88" s="455" t="s">
        <v>866</v>
      </c>
      <c r="S88" s="456"/>
      <c r="T88" s="1036"/>
      <c r="U88" s="1036"/>
      <c r="V88" s="1036"/>
      <c r="W88" s="1036"/>
      <c r="X88" s="1036"/>
      <c r="Y88" s="1036"/>
      <c r="Z88" s="1036"/>
      <c r="AA88" s="1036"/>
      <c r="AB88" s="1036"/>
      <c r="AC88" s="1038"/>
      <c r="AE88" s="1028"/>
      <c r="AF88" s="1031"/>
      <c r="AG88" s="455" t="s">
        <v>866</v>
      </c>
      <c r="AH88" s="689"/>
      <c r="AI88" s="1036"/>
      <c r="AJ88" s="1036"/>
      <c r="AK88" s="1036"/>
      <c r="AL88" s="1036"/>
      <c r="AM88" s="1036"/>
      <c r="AN88" s="1036"/>
      <c r="AO88" s="1036"/>
      <c r="AP88" s="1036"/>
      <c r="AQ88" s="1036"/>
      <c r="AR88" s="1038"/>
    </row>
    <row r="89" spans="2:44" ht="15" outlineLevel="1" thickBot="1">
      <c r="B89" s="436" t="s">
        <v>273</v>
      </c>
      <c r="C89" s="459">
        <v>0.5</v>
      </c>
      <c r="D89" s="459">
        <v>0.5</v>
      </c>
      <c r="E89" s="459">
        <v>0.5</v>
      </c>
      <c r="F89" s="459">
        <v>0.5</v>
      </c>
      <c r="G89" s="459">
        <v>0.3</v>
      </c>
      <c r="H89" s="459">
        <v>0.7</v>
      </c>
      <c r="I89" s="459">
        <v>0.3</v>
      </c>
      <c r="J89" s="459">
        <v>0.7</v>
      </c>
      <c r="K89" s="432"/>
      <c r="L89" s="460">
        <v>4</v>
      </c>
      <c r="M89" s="423"/>
      <c r="N89" s="423"/>
      <c r="P89" s="1028"/>
      <c r="Q89" s="1031"/>
      <c r="R89" s="455" t="s">
        <v>867</v>
      </c>
      <c r="S89" s="456" t="s">
        <v>863</v>
      </c>
      <c r="T89" s="1036"/>
      <c r="U89" s="1036"/>
      <c r="V89" s="1036"/>
      <c r="W89" s="1036"/>
      <c r="X89" s="1036"/>
      <c r="Y89" s="1036"/>
      <c r="Z89" s="1036"/>
      <c r="AA89" s="1036"/>
      <c r="AB89" s="1036"/>
      <c r="AC89" s="1038"/>
      <c r="AE89" s="1028"/>
      <c r="AF89" s="1031"/>
      <c r="AG89" s="455" t="s">
        <v>867</v>
      </c>
      <c r="AH89" s="456" t="s">
        <v>863</v>
      </c>
      <c r="AI89" s="1036"/>
      <c r="AJ89" s="1036"/>
      <c r="AK89" s="1036"/>
      <c r="AL89" s="1036"/>
      <c r="AM89" s="1036"/>
      <c r="AN89" s="1036"/>
      <c r="AO89" s="1036"/>
      <c r="AP89" s="1036"/>
      <c r="AQ89" s="1036"/>
      <c r="AR89" s="1038"/>
    </row>
    <row r="90" spans="2:44" ht="15" outlineLevel="1" thickBot="1">
      <c r="B90" s="461" t="s">
        <v>868</v>
      </c>
      <c r="C90" s="462"/>
      <c r="D90" s="463"/>
      <c r="E90" s="464"/>
      <c r="F90" s="465"/>
      <c r="G90" s="466"/>
      <c r="H90" s="466"/>
      <c r="I90" s="466"/>
      <c r="J90" s="466"/>
      <c r="K90" s="467"/>
      <c r="L90" s="468"/>
      <c r="M90" s="423"/>
      <c r="N90" s="423"/>
      <c r="P90" s="1028"/>
      <c r="Q90" s="1032"/>
      <c r="R90" s="469" t="s">
        <v>988</v>
      </c>
      <c r="S90" s="470" t="s">
        <v>863</v>
      </c>
      <c r="T90" s="1037"/>
      <c r="U90" s="1037"/>
      <c r="V90" s="1037"/>
      <c r="W90" s="1037"/>
      <c r="X90" s="1037"/>
      <c r="Y90" s="1037"/>
      <c r="Z90" s="1037"/>
      <c r="AA90" s="1037"/>
      <c r="AB90" s="1037"/>
      <c r="AC90" s="1039"/>
      <c r="AE90" s="1028"/>
      <c r="AF90" s="1032"/>
      <c r="AG90" s="469" t="s">
        <v>988</v>
      </c>
      <c r="AH90" s="470" t="s">
        <v>863</v>
      </c>
      <c r="AI90" s="1037"/>
      <c r="AJ90" s="1037"/>
      <c r="AK90" s="1037"/>
      <c r="AL90" s="1037"/>
      <c r="AM90" s="1037"/>
      <c r="AN90" s="1037"/>
      <c r="AO90" s="1037"/>
      <c r="AP90" s="1037"/>
      <c r="AQ90" s="1037"/>
      <c r="AR90" s="1039"/>
    </row>
    <row r="91" spans="2:44" ht="29.4" outlineLevel="1" thickBot="1">
      <c r="B91" s="436" t="s">
        <v>708</v>
      </c>
      <c r="C91" s="450">
        <v>10</v>
      </c>
      <c r="D91" s="450">
        <v>10</v>
      </c>
      <c r="E91" s="450">
        <v>10</v>
      </c>
      <c r="F91" s="450">
        <v>10</v>
      </c>
      <c r="G91" s="451"/>
      <c r="H91" s="451"/>
      <c r="I91" s="451"/>
      <c r="J91" s="451"/>
      <c r="K91" s="439"/>
      <c r="L91" s="440">
        <v>4</v>
      </c>
      <c r="M91" s="423"/>
      <c r="N91" s="423"/>
      <c r="P91" s="1029"/>
      <c r="Q91" s="471" t="s">
        <v>870</v>
      </c>
      <c r="R91" s="472" t="s">
        <v>871</v>
      </c>
      <c r="S91" s="690" t="s">
        <v>863</v>
      </c>
      <c r="T91" s="476">
        <v>0</v>
      </c>
      <c r="U91" s="475">
        <f>T91</f>
        <v>0</v>
      </c>
      <c r="V91" s="476">
        <v>0</v>
      </c>
      <c r="W91" s="475">
        <f>V91</f>
        <v>0</v>
      </c>
      <c r="X91" s="476">
        <v>0</v>
      </c>
      <c r="Y91" s="475">
        <f>X91</f>
        <v>0</v>
      </c>
      <c r="Z91" s="476">
        <v>0</v>
      </c>
      <c r="AA91" s="475">
        <f>Z91</f>
        <v>0</v>
      </c>
      <c r="AB91" s="476">
        <v>0</v>
      </c>
      <c r="AC91" s="477">
        <f>AB91</f>
        <v>0</v>
      </c>
      <c r="AE91" s="1029"/>
      <c r="AF91" s="471" t="s">
        <v>870</v>
      </c>
      <c r="AG91" s="1108" t="s">
        <v>871</v>
      </c>
      <c r="AH91" s="1109" t="s">
        <v>863</v>
      </c>
      <c r="AI91" s="476">
        <v>0</v>
      </c>
      <c r="AJ91" s="475">
        <f>AI91</f>
        <v>0</v>
      </c>
      <c r="AK91" s="476">
        <v>0</v>
      </c>
      <c r="AL91" s="475">
        <f>AK91</f>
        <v>0</v>
      </c>
      <c r="AM91" s="476">
        <v>0</v>
      </c>
      <c r="AN91" s="475">
        <f>AM91</f>
        <v>0</v>
      </c>
      <c r="AO91" s="476">
        <v>0</v>
      </c>
      <c r="AP91" s="475">
        <f>AO91</f>
        <v>0</v>
      </c>
      <c r="AQ91" s="476">
        <v>0</v>
      </c>
      <c r="AR91" s="477">
        <f>AQ91</f>
        <v>0</v>
      </c>
    </row>
    <row r="92" spans="2:44" outlineLevel="1">
      <c r="B92" s="436" t="s">
        <v>709</v>
      </c>
      <c r="C92" s="450">
        <v>0.25</v>
      </c>
      <c r="D92" s="450">
        <v>0.25</v>
      </c>
      <c r="E92" s="450">
        <v>0.25</v>
      </c>
      <c r="F92" s="450">
        <v>0.25</v>
      </c>
      <c r="G92" s="478"/>
      <c r="H92" s="478"/>
      <c r="I92" s="478"/>
      <c r="J92" s="478"/>
      <c r="K92" s="479"/>
      <c r="L92" s="440">
        <v>4</v>
      </c>
      <c r="M92" s="423"/>
      <c r="N92" s="423"/>
    </row>
    <row r="93" spans="2:44" outlineLevel="1">
      <c r="B93" s="436" t="s">
        <v>711</v>
      </c>
      <c r="C93" s="450">
        <v>1</v>
      </c>
      <c r="D93" s="450">
        <v>1</v>
      </c>
      <c r="E93" s="450">
        <v>1</v>
      </c>
      <c r="F93" s="450">
        <v>1</v>
      </c>
      <c r="G93" s="478"/>
      <c r="H93" s="478"/>
      <c r="I93" s="478"/>
      <c r="J93" s="478"/>
      <c r="K93" s="479"/>
      <c r="L93" s="440">
        <v>1</v>
      </c>
      <c r="M93" s="480"/>
      <c r="N93" s="423"/>
    </row>
    <row r="94" spans="2:44" outlineLevel="1">
      <c r="B94" s="481" t="s">
        <v>12</v>
      </c>
      <c r="C94" s="459"/>
      <c r="D94" s="459"/>
      <c r="E94" s="459"/>
      <c r="F94" s="459"/>
      <c r="G94" s="482"/>
      <c r="H94" s="482"/>
      <c r="I94" s="482"/>
      <c r="J94" s="482"/>
      <c r="K94" s="483"/>
      <c r="L94" s="484"/>
      <c r="M94" s="480"/>
      <c r="N94" s="480"/>
    </row>
    <row r="95" spans="2:44" outlineLevel="1">
      <c r="B95" s="443" t="s">
        <v>968</v>
      </c>
      <c r="C95" s="1077" t="s">
        <v>714</v>
      </c>
      <c r="D95" s="1078"/>
      <c r="E95" s="1078"/>
      <c r="F95" s="1079"/>
      <c r="G95" s="482"/>
      <c r="H95" s="485"/>
      <c r="I95" s="485"/>
      <c r="J95" s="485"/>
      <c r="K95" s="486"/>
      <c r="L95" s="487"/>
      <c r="M95" s="488"/>
      <c r="N95" s="488"/>
    </row>
    <row r="96" spans="2:44" outlineLevel="1">
      <c r="B96" s="443" t="s">
        <v>874</v>
      </c>
      <c r="C96" s="1080"/>
      <c r="D96" s="1081"/>
      <c r="E96" s="1081"/>
      <c r="F96" s="1082"/>
      <c r="G96" s="485"/>
      <c r="H96" s="485"/>
      <c r="I96" s="485"/>
      <c r="J96" s="485"/>
      <c r="K96" s="483"/>
      <c r="L96" s="487"/>
      <c r="M96" s="488"/>
      <c r="N96" s="488"/>
    </row>
    <row r="97" spans="1:30" outlineLevel="1">
      <c r="B97" s="443" t="s">
        <v>969</v>
      </c>
      <c r="C97" s="1080"/>
      <c r="D97" s="1081"/>
      <c r="E97" s="1081"/>
      <c r="F97" s="1082"/>
      <c r="G97" s="485"/>
      <c r="H97" s="485"/>
      <c r="I97" s="485"/>
      <c r="J97" s="485"/>
      <c r="K97" s="483"/>
      <c r="L97" s="487"/>
      <c r="M97" s="488"/>
      <c r="N97" s="488"/>
    </row>
    <row r="98" spans="1:30" outlineLevel="1">
      <c r="B98" s="443" t="s">
        <v>366</v>
      </c>
      <c r="C98" s="1080"/>
      <c r="D98" s="1081"/>
      <c r="E98" s="1081"/>
      <c r="F98" s="1082"/>
      <c r="G98" s="485"/>
      <c r="H98" s="485"/>
      <c r="I98" s="485"/>
      <c r="J98" s="485"/>
      <c r="K98" s="483"/>
      <c r="L98" s="487"/>
      <c r="M98" s="488"/>
      <c r="N98" s="488"/>
    </row>
    <row r="99" spans="1:30" ht="15" outlineLevel="1" thickBot="1">
      <c r="B99" s="489" t="s">
        <v>367</v>
      </c>
      <c r="C99" s="1083"/>
      <c r="D99" s="1084"/>
      <c r="E99" s="1084"/>
      <c r="F99" s="1085"/>
      <c r="G99" s="485"/>
      <c r="H99" s="485"/>
      <c r="I99" s="485"/>
      <c r="J99" s="485"/>
      <c r="K99" s="483"/>
      <c r="L99" s="487"/>
      <c r="M99" s="488"/>
      <c r="N99" s="488"/>
    </row>
    <row r="100" spans="1:30" ht="15" outlineLevel="1" thickBot="1">
      <c r="B100" s="491" t="s">
        <v>719</v>
      </c>
      <c r="C100" s="492"/>
      <c r="D100" s="463"/>
      <c r="E100" s="463"/>
      <c r="F100" s="493"/>
      <c r="G100" s="494"/>
      <c r="H100" s="466"/>
      <c r="I100" s="466"/>
      <c r="J100" s="466"/>
      <c r="K100" s="467"/>
      <c r="L100" s="468"/>
      <c r="M100" s="488"/>
      <c r="N100" s="488"/>
    </row>
    <row r="101" spans="1:30" ht="26.4" outlineLevel="1">
      <c r="A101" s="495"/>
      <c r="B101" s="496" t="s">
        <v>876</v>
      </c>
      <c r="C101" s="571">
        <v>0.73</v>
      </c>
      <c r="D101" s="572">
        <v>0.65</v>
      </c>
      <c r="E101" s="572">
        <v>0.6</v>
      </c>
      <c r="F101" s="573">
        <v>0.57999999999999996</v>
      </c>
      <c r="G101" s="485"/>
      <c r="H101" s="485"/>
      <c r="I101" s="485"/>
      <c r="J101" s="485"/>
      <c r="K101" s="486"/>
      <c r="L101" s="500">
        <v>1</v>
      </c>
      <c r="M101" s="480"/>
      <c r="N101" s="480"/>
    </row>
    <row r="102" spans="1:30" outlineLevel="1">
      <c r="B102" s="501" t="s">
        <v>964</v>
      </c>
      <c r="C102" s="502">
        <v>60</v>
      </c>
      <c r="D102" s="502">
        <v>60</v>
      </c>
      <c r="E102" s="502">
        <v>60</v>
      </c>
      <c r="F102" s="502">
        <v>60</v>
      </c>
      <c r="G102" s="485"/>
      <c r="H102" s="485"/>
      <c r="I102" s="485"/>
      <c r="J102" s="485"/>
      <c r="K102" s="504" t="s">
        <v>76</v>
      </c>
      <c r="L102" s="433">
        <v>6</v>
      </c>
      <c r="M102" s="71"/>
      <c r="N102" s="480"/>
    </row>
    <row r="103" spans="1:30" outlineLevel="1">
      <c r="B103" s="501" t="s">
        <v>965</v>
      </c>
      <c r="C103" s="502">
        <v>40</v>
      </c>
      <c r="D103" s="502">
        <v>40</v>
      </c>
      <c r="E103" s="502">
        <v>40</v>
      </c>
      <c r="F103" s="502">
        <v>40</v>
      </c>
      <c r="G103" s="485"/>
      <c r="H103" s="485"/>
      <c r="I103" s="485"/>
      <c r="J103" s="485"/>
      <c r="K103" s="504" t="s">
        <v>25</v>
      </c>
      <c r="L103" s="433">
        <v>6</v>
      </c>
      <c r="M103" s="480"/>
      <c r="N103" s="480"/>
    </row>
    <row r="104" spans="1:30" outlineLevel="1">
      <c r="B104" s="443" t="s">
        <v>966</v>
      </c>
      <c r="C104" s="505">
        <v>2000</v>
      </c>
      <c r="D104" s="506">
        <v>2000</v>
      </c>
      <c r="E104" s="506">
        <v>2000</v>
      </c>
      <c r="F104" s="507">
        <v>2000</v>
      </c>
      <c r="G104" s="485"/>
      <c r="H104" s="485"/>
      <c r="I104" s="485"/>
      <c r="J104" s="485"/>
      <c r="K104" s="508"/>
      <c r="L104" s="433">
        <v>4.5</v>
      </c>
      <c r="M104" s="480"/>
      <c r="N104" s="480"/>
    </row>
    <row r="105" spans="1:30" ht="15" outlineLevel="1" thickBot="1">
      <c r="B105" s="443" t="s">
        <v>724</v>
      </c>
      <c r="C105" s="509">
        <f>SUM(C106:C107)</f>
        <v>3.26</v>
      </c>
      <c r="D105" s="509">
        <f>SUM(D106:D107)</f>
        <v>3.2</v>
      </c>
      <c r="E105" s="509">
        <f>(D105+F105)/2</f>
        <v>3.16</v>
      </c>
      <c r="F105" s="509">
        <f>SUM(F106:F107)</f>
        <v>3.12</v>
      </c>
      <c r="G105" s="485"/>
      <c r="H105" s="485"/>
      <c r="I105" s="485"/>
      <c r="J105" s="485"/>
      <c r="K105" s="508"/>
      <c r="L105" s="433">
        <v>4</v>
      </c>
      <c r="M105" s="748"/>
      <c r="N105" s="749"/>
      <c r="P105" s="999">
        <f>C105</f>
        <v>3.26</v>
      </c>
      <c r="Q105" s="977"/>
      <c r="R105" s="977"/>
      <c r="S105" s="977"/>
      <c r="T105" s="977"/>
      <c r="U105" s="1000"/>
    </row>
    <row r="106" spans="1:30" ht="15" outlineLevel="1" thickBot="1">
      <c r="B106" s="511" t="s">
        <v>883</v>
      </c>
      <c r="C106" s="512">
        <f>C85/100*73</f>
        <v>1.46</v>
      </c>
      <c r="D106" s="512">
        <f>D85/100*75</f>
        <v>1.5</v>
      </c>
      <c r="E106" s="512">
        <f>E85/100*76</f>
        <v>1.52</v>
      </c>
      <c r="F106" s="512">
        <f>F85/100*76</f>
        <v>1.52</v>
      </c>
      <c r="G106" s="513"/>
      <c r="H106" s="513"/>
      <c r="I106" s="513"/>
      <c r="J106" s="513"/>
      <c r="K106" s="439" t="s">
        <v>33</v>
      </c>
      <c r="L106" s="440">
        <v>4</v>
      </c>
      <c r="M106" s="748"/>
      <c r="N106" s="749"/>
      <c r="P106" s="1001">
        <f>C106</f>
        <v>1.46</v>
      </c>
      <c r="Q106" s="1002"/>
      <c r="R106" s="1002"/>
      <c r="S106" s="1002"/>
      <c r="T106" s="1002"/>
      <c r="U106" s="1003"/>
    </row>
    <row r="107" spans="1:30" outlineLevel="1">
      <c r="B107" s="511" t="s">
        <v>884</v>
      </c>
      <c r="C107" s="514">
        <v>1.8</v>
      </c>
      <c r="D107" s="514">
        <v>1.7</v>
      </c>
      <c r="E107" s="514">
        <f>(D107+F107)/2</f>
        <v>1.65</v>
      </c>
      <c r="F107" s="514">
        <v>1.6</v>
      </c>
      <c r="G107" s="513"/>
      <c r="H107" s="513"/>
      <c r="I107" s="513"/>
      <c r="J107" s="513"/>
      <c r="K107" s="515"/>
      <c r="L107" s="440">
        <v>4</v>
      </c>
      <c r="M107" s="423"/>
      <c r="N107" s="423"/>
      <c r="P107" s="53" t="s">
        <v>357</v>
      </c>
    </row>
    <row r="108" spans="1:30" ht="27.6" outlineLevel="1">
      <c r="B108" s="501"/>
      <c r="C108" s="702"/>
      <c r="D108" s="702"/>
      <c r="E108" s="702"/>
      <c r="F108" s="702"/>
      <c r="G108" s="485"/>
      <c r="H108" s="485"/>
      <c r="I108" s="485"/>
      <c r="J108" s="485"/>
      <c r="K108" s="504"/>
      <c r="L108" s="484"/>
      <c r="M108" s="427"/>
      <c r="N108" s="42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4.6" outlineLevel="1" thickBot="1">
      <c r="B109" s="501"/>
      <c r="C109" s="502"/>
      <c r="D109" s="517"/>
      <c r="E109" s="517"/>
      <c r="F109" s="518"/>
      <c r="G109" s="485"/>
      <c r="H109" s="485"/>
      <c r="I109" s="485"/>
      <c r="J109" s="485"/>
      <c r="K109" s="508"/>
      <c r="L109" s="484"/>
      <c r="M109" s="423"/>
      <c r="N109" s="423"/>
      <c r="P109" s="50"/>
      <c r="Q109" s="50"/>
      <c r="R109" s="51"/>
      <c r="S109" s="51"/>
      <c r="T109" s="51"/>
      <c r="U109" s="51" t="s">
        <v>885</v>
      </c>
      <c r="V109" s="50" t="s">
        <v>886</v>
      </c>
      <c r="W109" s="50"/>
      <c r="X109" s="50"/>
      <c r="Y109" s="50"/>
      <c r="Z109" s="50"/>
      <c r="AA109" s="50"/>
      <c r="AB109" s="50"/>
      <c r="AC109" s="50"/>
      <c r="AD109" s="50"/>
    </row>
    <row r="110" spans="1:30" ht="43.8" outlineLevel="1" thickBot="1">
      <c r="B110" s="461" t="s">
        <v>727</v>
      </c>
      <c r="C110" s="462"/>
      <c r="D110" s="463"/>
      <c r="E110" s="464"/>
      <c r="F110" s="465"/>
      <c r="G110" s="466"/>
      <c r="H110" s="466"/>
      <c r="I110" s="466"/>
      <c r="J110" s="466"/>
      <c r="K110" s="519"/>
      <c r="L110" s="520"/>
      <c r="M110" s="423"/>
      <c r="N110" s="423"/>
      <c r="O110" s="521" t="s">
        <v>857</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11" t="s">
        <v>887</v>
      </c>
      <c r="C111" s="693">
        <f>C101*0.2</f>
        <v>0.14599999999999999</v>
      </c>
      <c r="D111" s="693">
        <f>D101*0.2</f>
        <v>0.13</v>
      </c>
      <c r="E111" s="693">
        <f>E101*0.2</f>
        <v>0.12</v>
      </c>
      <c r="F111" s="693">
        <f>F101*0.2</f>
        <v>0.11599999999999999</v>
      </c>
      <c r="G111" s="703"/>
      <c r="H111" s="703"/>
      <c r="I111" s="703"/>
      <c r="J111" s="703"/>
      <c r="K111" s="703" t="s">
        <v>51</v>
      </c>
      <c r="L111" s="524"/>
      <c r="M111" s="423"/>
      <c r="N111" s="423"/>
      <c r="O111" s="525">
        <f>C84</f>
        <v>442</v>
      </c>
      <c r="P111" s="526">
        <f>C80</f>
        <v>2020</v>
      </c>
      <c r="Q111" s="58">
        <f>P111</f>
        <v>2020</v>
      </c>
      <c r="R111" s="526">
        <f>O111/100</f>
        <v>4.42</v>
      </c>
      <c r="S111" s="58"/>
      <c r="T111" s="526">
        <f>C88</f>
        <v>20</v>
      </c>
      <c r="U111" s="527">
        <f>C118</f>
        <v>5438.5</v>
      </c>
      <c r="V111" s="527">
        <f>C120</f>
        <v>14.9</v>
      </c>
      <c r="W111" s="527">
        <f>C121</f>
        <v>6.7463888888888883</v>
      </c>
      <c r="X111" s="58"/>
      <c r="Y111" s="58"/>
      <c r="Z111" s="526" t="str">
        <f>C95</f>
        <v>Cf. the utilized electricity</v>
      </c>
      <c r="AA111" s="528">
        <f>C97</f>
        <v>0</v>
      </c>
      <c r="AB111" s="528">
        <f>C98</f>
        <v>0</v>
      </c>
      <c r="AC111" s="528">
        <f>C99</f>
        <v>0</v>
      </c>
      <c r="AD111" s="528">
        <f>C96</f>
        <v>0</v>
      </c>
    </row>
    <row r="112" spans="1:30" outlineLevel="1">
      <c r="B112" s="436" t="s">
        <v>888</v>
      </c>
      <c r="C112" s="529" t="s">
        <v>36</v>
      </c>
      <c r="D112" s="530" t="s">
        <v>36</v>
      </c>
      <c r="E112" s="530" t="s">
        <v>36</v>
      </c>
      <c r="F112" s="531" t="s">
        <v>36</v>
      </c>
      <c r="G112" s="531"/>
      <c r="H112" s="531"/>
      <c r="I112" s="531"/>
      <c r="J112" s="531"/>
      <c r="K112" s="532"/>
      <c r="L112" s="524"/>
      <c r="M112" s="423"/>
      <c r="N112" s="423"/>
      <c r="O112" s="525">
        <f>D84</f>
        <v>455.41</v>
      </c>
      <c r="P112" s="526">
        <f>D80</f>
        <v>2030</v>
      </c>
      <c r="Q112" s="58"/>
      <c r="R112" s="526">
        <f>O112/100</f>
        <v>4.5541</v>
      </c>
      <c r="S112" s="58"/>
      <c r="T112" s="526">
        <f>D88</f>
        <v>20</v>
      </c>
      <c r="U112" s="527">
        <f>D118</f>
        <v>4842.5</v>
      </c>
      <c r="V112" s="527">
        <f>D120</f>
        <v>14.9</v>
      </c>
      <c r="W112" s="527">
        <f>D121</f>
        <v>6.6222222222222227</v>
      </c>
      <c r="X112" s="58"/>
      <c r="Y112" s="58"/>
      <c r="Z112" s="526">
        <f>D95</f>
        <v>0</v>
      </c>
      <c r="AA112" s="528">
        <f>D97</f>
        <v>0</v>
      </c>
      <c r="AB112" s="528">
        <f>D98</f>
        <v>0</v>
      </c>
      <c r="AC112" s="528">
        <f>D99</f>
        <v>0</v>
      </c>
      <c r="AD112" s="528">
        <f>D96</f>
        <v>0</v>
      </c>
    </row>
    <row r="113" spans="2:30" outlineLevel="1">
      <c r="B113" s="436" t="s">
        <v>889</v>
      </c>
      <c r="C113" s="529" t="s">
        <v>36</v>
      </c>
      <c r="D113" s="530" t="s">
        <v>36</v>
      </c>
      <c r="E113" s="530" t="s">
        <v>36</v>
      </c>
      <c r="F113" s="531" t="s">
        <v>36</v>
      </c>
      <c r="G113" s="513"/>
      <c r="H113" s="513"/>
      <c r="I113" s="513"/>
      <c r="J113" s="513"/>
      <c r="K113" s="513"/>
      <c r="L113" s="440"/>
      <c r="M113" s="423"/>
      <c r="N113" s="423"/>
      <c r="O113" s="525">
        <f>E84</f>
        <v>464.61820000000006</v>
      </c>
      <c r="P113" s="526">
        <f>E80</f>
        <v>2040</v>
      </c>
      <c r="Q113" s="58"/>
      <c r="R113" s="526">
        <f>O113/100</f>
        <v>4.6461820000000005</v>
      </c>
      <c r="S113" s="58"/>
      <c r="T113" s="526">
        <f>E88</f>
        <v>20</v>
      </c>
      <c r="U113" s="527">
        <f>E118</f>
        <v>4470</v>
      </c>
      <c r="V113" s="527">
        <f>E120</f>
        <v>14.9</v>
      </c>
      <c r="W113" s="527">
        <f>E121</f>
        <v>6.5394444444444444</v>
      </c>
      <c r="X113" s="58"/>
      <c r="Y113" s="58"/>
      <c r="Z113" s="526">
        <f>E95</f>
        <v>0</v>
      </c>
      <c r="AA113" s="528">
        <f>E97</f>
        <v>0</v>
      </c>
      <c r="AB113" s="528">
        <f>E98</f>
        <v>0</v>
      </c>
      <c r="AC113" s="528">
        <f>E99</f>
        <v>0</v>
      </c>
      <c r="AD113" s="528">
        <f>E96</f>
        <v>0</v>
      </c>
    </row>
    <row r="114" spans="2:30" outlineLevel="1">
      <c r="B114" s="436" t="s">
        <v>890</v>
      </c>
      <c r="C114" s="1086" t="s">
        <v>714</v>
      </c>
      <c r="D114" s="1087"/>
      <c r="E114" s="1087"/>
      <c r="F114" s="1088"/>
      <c r="G114" s="534"/>
      <c r="H114" s="534"/>
      <c r="I114" s="534"/>
      <c r="J114" s="534"/>
      <c r="K114" s="534"/>
      <c r="L114" s="440"/>
      <c r="M114" s="423"/>
      <c r="N114" s="423"/>
      <c r="O114" s="525">
        <f>F84</f>
        <v>469.31438200000008</v>
      </c>
      <c r="P114" s="526">
        <f>F80</f>
        <v>2050</v>
      </c>
      <c r="Q114" s="58"/>
      <c r="R114" s="526">
        <f>O114/100</f>
        <v>4.6931438200000004</v>
      </c>
      <c r="S114" s="58"/>
      <c r="T114" s="526">
        <f>F88</f>
        <v>20</v>
      </c>
      <c r="U114" s="527">
        <f>F118</f>
        <v>4321</v>
      </c>
      <c r="V114" s="527">
        <f>F120</f>
        <v>14.9</v>
      </c>
      <c r="W114" s="527">
        <f>F121</f>
        <v>6.4566666666666661</v>
      </c>
      <c r="X114" s="58"/>
      <c r="Y114" s="58"/>
      <c r="Z114" s="526">
        <f>F95</f>
        <v>0</v>
      </c>
      <c r="AA114" s="528">
        <f>F97</f>
        <v>0</v>
      </c>
      <c r="AB114" s="528">
        <f>F98</f>
        <v>0</v>
      </c>
      <c r="AC114" s="528">
        <f>F99</f>
        <v>0</v>
      </c>
      <c r="AD114" s="528">
        <f>F96</f>
        <v>0</v>
      </c>
    </row>
    <row r="115" spans="2:30" outlineLevel="1">
      <c r="B115" s="535" t="s">
        <v>891</v>
      </c>
      <c r="C115" s="529">
        <v>30</v>
      </c>
      <c r="D115" s="530">
        <v>30</v>
      </c>
      <c r="E115" s="530">
        <v>30</v>
      </c>
      <c r="F115" s="531">
        <v>30</v>
      </c>
      <c r="G115" s="534"/>
      <c r="H115" s="534"/>
      <c r="I115" s="534"/>
      <c r="J115" s="534"/>
      <c r="K115" s="534" t="s">
        <v>52</v>
      </c>
      <c r="L115" s="536"/>
      <c r="M115" s="427"/>
      <c r="N115" s="427"/>
    </row>
    <row r="116" spans="2:30" outlineLevel="1">
      <c r="B116" s="535" t="s">
        <v>892</v>
      </c>
      <c r="C116" s="529">
        <v>20</v>
      </c>
      <c r="D116" s="530">
        <v>20</v>
      </c>
      <c r="E116" s="530">
        <v>20</v>
      </c>
      <c r="F116" s="531">
        <v>20</v>
      </c>
      <c r="G116" s="534"/>
      <c r="H116" s="534"/>
      <c r="I116" s="534"/>
      <c r="J116" s="534"/>
      <c r="K116" s="534" t="s">
        <v>52</v>
      </c>
      <c r="L116" s="536"/>
      <c r="M116" s="423"/>
      <c r="N116" s="423"/>
    </row>
    <row r="117" spans="2:30" ht="15" outlineLevel="1" thickBot="1">
      <c r="B117" s="537" t="s">
        <v>893</v>
      </c>
      <c r="C117" s="538" t="s">
        <v>36</v>
      </c>
      <c r="D117" s="539" t="s">
        <v>36</v>
      </c>
      <c r="E117" s="539" t="s">
        <v>36</v>
      </c>
      <c r="F117" s="540" t="s">
        <v>36</v>
      </c>
      <c r="G117" s="541"/>
      <c r="H117" s="541"/>
      <c r="I117" s="541"/>
      <c r="J117" s="541"/>
      <c r="K117" s="541"/>
      <c r="L117" s="542"/>
      <c r="M117" s="423"/>
      <c r="N117" s="423"/>
    </row>
    <row r="118" spans="2:30" ht="57.6" outlineLevel="1">
      <c r="B118" s="521" t="s">
        <v>894</v>
      </c>
      <c r="C118" s="543">
        <f>C101*$F$4*1000</f>
        <v>5438.5</v>
      </c>
      <c r="D118" s="543">
        <f t="shared" ref="D118:F118" si="5">D101*$F$4*1000</f>
        <v>4842.5</v>
      </c>
      <c r="E118" s="543">
        <f t="shared" si="5"/>
        <v>4470</v>
      </c>
      <c r="F118" s="543">
        <f t="shared" si="5"/>
        <v>4321</v>
      </c>
      <c r="G118" s="543"/>
      <c r="H118" s="544"/>
      <c r="I118" s="480" t="s">
        <v>332</v>
      </c>
      <c r="J118" s="480"/>
      <c r="K118" s="544"/>
      <c r="L118" s="544"/>
      <c r="N118" s="480"/>
    </row>
    <row r="119" spans="2:30" outlineLevel="1">
      <c r="B119" s="545" t="s">
        <v>895</v>
      </c>
      <c r="C119" s="546">
        <f>C118*$I119</f>
        <v>2719250</v>
      </c>
      <c r="D119" s="546">
        <f>D118*$I119</f>
        <v>2421250</v>
      </c>
      <c r="E119" s="546">
        <f>E118*$I119</f>
        <v>2235000</v>
      </c>
      <c r="F119" s="546">
        <f>F118*$I119</f>
        <v>2160500</v>
      </c>
      <c r="G119" s="546"/>
      <c r="H119" s="544"/>
      <c r="I119" s="71">
        <v>500</v>
      </c>
      <c r="J119" s="480" t="s">
        <v>330</v>
      </c>
      <c r="K119" s="544"/>
      <c r="L119" s="544"/>
      <c r="N119" s="480"/>
    </row>
    <row r="120" spans="2:30" ht="43.2" outlineLevel="1">
      <c r="B120" s="521" t="s">
        <v>970</v>
      </c>
      <c r="C120" s="419">
        <f>C104*$F$4/1000</f>
        <v>14.9</v>
      </c>
      <c r="D120" s="419">
        <f t="shared" ref="D120:F120" si="6">D104*$F$4/1000</f>
        <v>14.9</v>
      </c>
      <c r="E120" s="419">
        <f t="shared" si="6"/>
        <v>14.9</v>
      </c>
      <c r="F120" s="419">
        <f t="shared" si="6"/>
        <v>14.9</v>
      </c>
      <c r="G120" s="419"/>
      <c r="I120" s="480" t="s">
        <v>333</v>
      </c>
      <c r="J120" s="480"/>
      <c r="N120" s="480"/>
    </row>
    <row r="121" spans="2:30" ht="43.2" outlineLevel="1">
      <c r="B121" s="521" t="s">
        <v>971</v>
      </c>
      <c r="C121" s="547">
        <f>C105*$F$4/3.6</f>
        <v>6.7463888888888883</v>
      </c>
      <c r="D121" s="547">
        <f t="shared" ref="D121:F121" si="7">D105*$F$4/3.6</f>
        <v>6.6222222222222227</v>
      </c>
      <c r="E121" s="547">
        <f t="shared" si="7"/>
        <v>6.5394444444444444</v>
      </c>
      <c r="F121" s="547">
        <f t="shared" si="7"/>
        <v>6.4566666666666661</v>
      </c>
      <c r="G121" s="419"/>
      <c r="M121" s="480"/>
      <c r="N121" s="480"/>
    </row>
    <row r="122" spans="2:30" outlineLevel="1"/>
    <row r="123" spans="2:30" outlineLevel="1"/>
    <row r="124" spans="2:30" outlineLevel="1"/>
    <row r="125" spans="2:30" outlineLevel="1"/>
    <row r="126" spans="2:30" outlineLevel="1">
      <c r="E126" s="417"/>
      <c r="F126" s="417"/>
      <c r="G126" s="417"/>
      <c r="H126" s="417"/>
      <c r="I126" s="417"/>
      <c r="J126" s="417"/>
      <c r="K126" s="417"/>
      <c r="L126" s="417"/>
    </row>
    <row r="127" spans="2:30" outlineLevel="1">
      <c r="B127" s="694" t="s">
        <v>898</v>
      </c>
      <c r="C127" s="550"/>
      <c r="D127" s="550"/>
      <c r="E127" s="417"/>
      <c r="F127" s="417"/>
      <c r="G127" s="417"/>
      <c r="H127" s="417"/>
      <c r="I127" s="417"/>
      <c r="J127" s="417"/>
      <c r="K127" s="417"/>
      <c r="L127" s="417"/>
    </row>
    <row r="128" spans="2:30" outlineLevel="1">
      <c r="B128" s="417">
        <v>1</v>
      </c>
      <c r="C128" s="695" t="s">
        <v>972</v>
      </c>
      <c r="D128" s="550"/>
      <c r="F128" s="417"/>
      <c r="G128" s="417"/>
      <c r="H128" s="417"/>
      <c r="I128" s="417"/>
      <c r="J128" s="417"/>
      <c r="K128" s="417"/>
      <c r="L128" s="417"/>
    </row>
    <row r="129" spans="2:12" outlineLevel="1">
      <c r="B129" s="417">
        <v>2</v>
      </c>
      <c r="C129" s="695" t="s">
        <v>973</v>
      </c>
      <c r="D129" s="550"/>
      <c r="F129" s="417"/>
      <c r="G129" s="417"/>
      <c r="H129" s="417"/>
      <c r="I129" s="417"/>
      <c r="J129" s="417"/>
      <c r="K129" s="417"/>
      <c r="L129" s="417"/>
    </row>
    <row r="130" spans="2:12" outlineLevel="1">
      <c r="B130" s="417">
        <v>3</v>
      </c>
      <c r="C130" s="550" t="s">
        <v>974</v>
      </c>
      <c r="D130" s="550"/>
      <c r="F130" s="417"/>
      <c r="G130" s="417"/>
      <c r="H130" s="417"/>
      <c r="I130" s="417"/>
      <c r="J130" s="417"/>
      <c r="K130" s="417"/>
      <c r="L130" s="417"/>
    </row>
    <row r="131" spans="2:12" outlineLevel="1">
      <c r="B131" s="417">
        <v>4</v>
      </c>
      <c r="C131" s="550" t="s">
        <v>975</v>
      </c>
      <c r="D131" s="550"/>
      <c r="F131" s="417"/>
      <c r="G131" s="417"/>
      <c r="H131" s="417"/>
      <c r="I131" s="417"/>
      <c r="J131" s="417"/>
      <c r="K131" s="417"/>
      <c r="L131" s="417"/>
    </row>
    <row r="132" spans="2:12" outlineLevel="1">
      <c r="B132" s="417">
        <v>5</v>
      </c>
      <c r="C132" s="696" t="s">
        <v>976</v>
      </c>
      <c r="D132" s="550"/>
      <c r="F132" s="417"/>
      <c r="G132" s="417"/>
      <c r="H132" s="417"/>
      <c r="I132" s="417"/>
      <c r="J132" s="417"/>
      <c r="K132" s="417"/>
      <c r="L132" s="417"/>
    </row>
    <row r="133" spans="2:12" outlineLevel="1">
      <c r="B133" s="417">
        <v>6</v>
      </c>
      <c r="C133" s="550" t="s">
        <v>977</v>
      </c>
      <c r="D133" s="550"/>
      <c r="F133" s="417"/>
      <c r="G133" s="417"/>
      <c r="H133" s="417"/>
      <c r="I133" s="417"/>
      <c r="J133" s="417"/>
      <c r="K133" s="417"/>
      <c r="L133" s="417"/>
    </row>
    <row r="134" spans="2:12" outlineLevel="1">
      <c r="B134" s="694" t="s">
        <v>908</v>
      </c>
      <c r="C134" s="417"/>
      <c r="D134" s="550"/>
      <c r="F134" s="417"/>
      <c r="G134" s="417"/>
      <c r="H134" s="417"/>
      <c r="I134" s="417"/>
      <c r="J134" s="417"/>
      <c r="K134" s="417"/>
      <c r="L134" s="417"/>
    </row>
    <row r="135" spans="2:12" outlineLevel="1">
      <c r="B135" s="697" t="s">
        <v>6</v>
      </c>
      <c r="C135" s="550" t="s">
        <v>978</v>
      </c>
      <c r="D135" s="550"/>
      <c r="F135" s="417"/>
      <c r="G135" s="417"/>
      <c r="H135" s="417"/>
      <c r="I135" s="417"/>
      <c r="J135" s="417"/>
      <c r="K135" s="417"/>
      <c r="L135" s="417"/>
    </row>
    <row r="136" spans="2:12" outlineLevel="1">
      <c r="B136" s="697" t="s">
        <v>59</v>
      </c>
      <c r="C136" s="550" t="s">
        <v>979</v>
      </c>
      <c r="D136" s="550"/>
      <c r="F136" s="417"/>
      <c r="G136" s="417"/>
      <c r="H136" s="417"/>
      <c r="I136" s="417"/>
      <c r="J136" s="417"/>
      <c r="K136" s="417"/>
      <c r="L136" s="417"/>
    </row>
    <row r="137" spans="2:12" outlineLevel="1">
      <c r="B137" s="697" t="s">
        <v>16</v>
      </c>
      <c r="C137" s="550" t="s">
        <v>980</v>
      </c>
      <c r="D137" s="550"/>
      <c r="F137" s="417"/>
      <c r="G137" s="417"/>
      <c r="H137" s="417"/>
      <c r="I137" s="417"/>
      <c r="J137" s="417"/>
      <c r="K137" s="417"/>
      <c r="L137" s="417"/>
    </row>
    <row r="138" spans="2:12" outlineLevel="1">
      <c r="B138" s="697" t="s">
        <v>20</v>
      </c>
      <c r="C138" s="550" t="s">
        <v>981</v>
      </c>
      <c r="D138" s="550"/>
      <c r="F138" s="417"/>
      <c r="G138" s="417"/>
      <c r="H138" s="417"/>
      <c r="I138" s="417"/>
      <c r="J138" s="417"/>
      <c r="K138" s="417"/>
      <c r="L138" s="417"/>
    </row>
    <row r="139" spans="2:12" outlineLevel="1">
      <c r="B139" s="697" t="s">
        <v>76</v>
      </c>
      <c r="C139" s="550" t="s">
        <v>982</v>
      </c>
      <c r="D139" s="550"/>
      <c r="F139" s="417"/>
      <c r="G139" s="417"/>
      <c r="H139" s="417"/>
      <c r="I139" s="417"/>
      <c r="J139" s="417"/>
      <c r="K139" s="417"/>
      <c r="L139" s="417"/>
    </row>
    <row r="140" spans="2:12" outlineLevel="1">
      <c r="B140" s="697" t="s">
        <v>25</v>
      </c>
      <c r="C140" s="550" t="s">
        <v>983</v>
      </c>
      <c r="D140" s="417"/>
      <c r="F140" s="417"/>
      <c r="G140" s="417"/>
      <c r="H140" s="417"/>
      <c r="I140" s="417"/>
      <c r="J140" s="417"/>
      <c r="K140" s="417"/>
      <c r="L140" s="417"/>
    </row>
    <row r="141" spans="2:12" outlineLevel="1">
      <c r="B141" s="697" t="s">
        <v>33</v>
      </c>
      <c r="C141" s="549" t="s">
        <v>913</v>
      </c>
      <c r="D141" s="417"/>
      <c r="F141" s="417"/>
      <c r="G141" s="417"/>
      <c r="H141" s="417"/>
      <c r="I141" s="417"/>
      <c r="J141" s="417"/>
      <c r="K141" s="417"/>
      <c r="L141" s="417"/>
    </row>
    <row r="142" spans="2:12" outlineLevel="1">
      <c r="B142" s="697" t="s">
        <v>51</v>
      </c>
      <c r="C142" s="550" t="s">
        <v>984</v>
      </c>
      <c r="D142" s="417"/>
      <c r="G142" s="417"/>
      <c r="H142" s="417"/>
      <c r="I142" s="417"/>
      <c r="J142" s="417"/>
      <c r="K142" s="417"/>
      <c r="L142" s="417"/>
    </row>
    <row r="143" spans="2:12" outlineLevel="1">
      <c r="B143" s="697" t="s">
        <v>52</v>
      </c>
      <c r="C143" s="550" t="s">
        <v>985</v>
      </c>
      <c r="E143" s="550"/>
      <c r="F143" s="550"/>
    </row>
    <row r="144" spans="2:12" outlineLevel="1"/>
    <row r="145" spans="1:44" outlineLevel="1">
      <c r="M145" s="226"/>
    </row>
    <row r="146" spans="1:44" outlineLevel="1"/>
    <row r="149" spans="1:44">
      <c r="A149" s="420" t="s">
        <v>986</v>
      </c>
      <c r="B149" s="976"/>
      <c r="C149" s="977"/>
      <c r="D149" s="977"/>
      <c r="E149" s="977"/>
      <c r="F149" s="977"/>
      <c r="G149" s="977"/>
      <c r="H149" s="977"/>
      <c r="I149" s="977"/>
      <c r="J149" s="977"/>
      <c r="K149" s="977"/>
      <c r="L149" s="977"/>
      <c r="M149" s="977"/>
      <c r="N149" s="749"/>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749"/>
      <c r="P150" s="977"/>
      <c r="Q150" s="977"/>
      <c r="R150" s="977"/>
      <c r="S150" s="977"/>
      <c r="T150" s="977"/>
      <c r="U150" s="977"/>
    </row>
    <row r="151" spans="1:44" ht="20.7" customHeight="1" outlineLevel="1" thickBot="1">
      <c r="B151" s="422" t="s">
        <v>0</v>
      </c>
      <c r="C151" s="1105" t="s">
        <v>961</v>
      </c>
      <c r="D151" s="1106"/>
      <c r="E151" s="1106"/>
      <c r="F151" s="1106"/>
      <c r="G151" s="1106"/>
      <c r="H151" s="1106"/>
      <c r="I151" s="1106"/>
      <c r="J151" s="1106"/>
      <c r="K151" s="1106"/>
      <c r="L151" s="1107"/>
      <c r="M151" s="423"/>
      <c r="N151" s="423"/>
      <c r="P151" s="424" t="s">
        <v>838</v>
      </c>
      <c r="Q151" s="425"/>
      <c r="R151" s="426"/>
      <c r="S151" s="985" t="s">
        <v>839</v>
      </c>
      <c r="T151" s="989" t="s">
        <v>840</v>
      </c>
      <c r="U151" s="990"/>
      <c r="V151" s="989" t="s">
        <v>841</v>
      </c>
      <c r="W151" s="990"/>
      <c r="X151" s="989" t="s">
        <v>842</v>
      </c>
      <c r="Y151" s="990"/>
      <c r="Z151" s="989" t="s">
        <v>843</v>
      </c>
      <c r="AA151" s="990"/>
      <c r="AB151" s="989" t="s">
        <v>844</v>
      </c>
      <c r="AC151" s="990"/>
      <c r="AE151" s="424" t="s">
        <v>845</v>
      </c>
      <c r="AF151" s="425"/>
      <c r="AG151" s="426"/>
      <c r="AH151" s="985" t="s">
        <v>839</v>
      </c>
      <c r="AI151" s="989" t="s">
        <v>840</v>
      </c>
      <c r="AJ151" s="990"/>
      <c r="AK151" s="989" t="s">
        <v>841</v>
      </c>
      <c r="AL151" s="990"/>
      <c r="AM151" s="989" t="s">
        <v>842</v>
      </c>
      <c r="AN151" s="990"/>
      <c r="AO151" s="989" t="s">
        <v>843</v>
      </c>
      <c r="AP151" s="990"/>
      <c r="AQ151" s="989" t="s">
        <v>844</v>
      </c>
      <c r="AR151" s="990"/>
    </row>
    <row r="152" spans="1:44" ht="15" customHeight="1" outlineLevel="1" thickBot="1">
      <c r="B152" s="1010" t="s">
        <v>4</v>
      </c>
      <c r="C152" s="1012">
        <v>2020</v>
      </c>
      <c r="D152" s="1012">
        <v>2030</v>
      </c>
      <c r="E152" s="1012">
        <v>2040</v>
      </c>
      <c r="F152" s="1012">
        <v>2050</v>
      </c>
      <c r="G152" s="1091" t="s">
        <v>846</v>
      </c>
      <c r="H152" s="1066"/>
      <c r="I152" s="1065" t="s">
        <v>693</v>
      </c>
      <c r="J152" s="1096"/>
      <c r="K152" s="1067" t="s">
        <v>2</v>
      </c>
      <c r="L152" s="1067" t="s">
        <v>3</v>
      </c>
      <c r="M152" s="427"/>
      <c r="N152" s="427"/>
      <c r="P152" s="993" t="s">
        <v>0</v>
      </c>
      <c r="Q152" s="428"/>
      <c r="R152" s="428"/>
      <c r="S152" s="986"/>
      <c r="T152" s="991"/>
      <c r="U152" s="992"/>
      <c r="V152" s="991"/>
      <c r="W152" s="992"/>
      <c r="X152" s="991"/>
      <c r="Y152" s="992"/>
      <c r="Z152" s="991"/>
      <c r="AA152" s="992"/>
      <c r="AB152" s="991"/>
      <c r="AC152" s="992"/>
      <c r="AE152" s="993" t="s">
        <v>0</v>
      </c>
      <c r="AF152" s="428"/>
      <c r="AG152" s="428"/>
      <c r="AH152" s="986"/>
      <c r="AI152" s="991"/>
      <c r="AJ152" s="992"/>
      <c r="AK152" s="991"/>
      <c r="AL152" s="992"/>
      <c r="AM152" s="991"/>
      <c r="AN152" s="992"/>
      <c r="AO152" s="991"/>
      <c r="AP152" s="992"/>
      <c r="AQ152" s="991"/>
      <c r="AR152" s="992"/>
    </row>
    <row r="153" spans="1:44" ht="15" customHeight="1" outlineLevel="1" thickBot="1">
      <c r="B153" s="1089"/>
      <c r="C153" s="1090"/>
      <c r="D153" s="1090"/>
      <c r="E153" s="1090"/>
      <c r="F153" s="1090"/>
      <c r="G153" s="429" t="s">
        <v>694</v>
      </c>
      <c r="H153" s="429" t="s">
        <v>695</v>
      </c>
      <c r="I153" s="429" t="s">
        <v>694</v>
      </c>
      <c r="J153" s="429" t="s">
        <v>695</v>
      </c>
      <c r="K153" s="1092"/>
      <c r="L153" s="1092"/>
      <c r="M153" s="430"/>
      <c r="N153" s="430"/>
      <c r="P153" s="994"/>
      <c r="Q153" s="996" t="s">
        <v>847</v>
      </c>
      <c r="R153" s="997" t="s">
        <v>848</v>
      </c>
      <c r="S153" s="987"/>
      <c r="T153" s="991"/>
      <c r="U153" s="992"/>
      <c r="V153" s="991"/>
      <c r="W153" s="992"/>
      <c r="X153" s="991"/>
      <c r="Y153" s="992"/>
      <c r="Z153" s="991"/>
      <c r="AA153" s="992"/>
      <c r="AB153" s="991"/>
      <c r="AC153" s="992"/>
      <c r="AE153" s="994"/>
      <c r="AF153" s="1040" t="s">
        <v>847</v>
      </c>
      <c r="AG153" s="997" t="s">
        <v>848</v>
      </c>
      <c r="AH153" s="987"/>
      <c r="AI153" s="991"/>
      <c r="AJ153" s="992"/>
      <c r="AK153" s="991"/>
      <c r="AL153" s="992"/>
      <c r="AM153" s="991"/>
      <c r="AN153" s="992"/>
      <c r="AO153" s="991"/>
      <c r="AP153" s="992"/>
      <c r="AQ153" s="991"/>
      <c r="AR153" s="992"/>
    </row>
    <row r="154" spans="1:44" ht="29.4" outlineLevel="1" thickBot="1">
      <c r="B154" s="431" t="s">
        <v>696</v>
      </c>
      <c r="C154" s="432">
        <v>3</v>
      </c>
      <c r="D154" s="432">
        <v>3</v>
      </c>
      <c r="E154" s="432">
        <v>3</v>
      </c>
      <c r="F154" s="432">
        <v>3</v>
      </c>
      <c r="G154" s="432">
        <v>0.5</v>
      </c>
      <c r="H154" s="432">
        <v>5</v>
      </c>
      <c r="I154" s="432">
        <v>0.5</v>
      </c>
      <c r="J154" s="432">
        <v>5</v>
      </c>
      <c r="K154" s="432" t="s">
        <v>6</v>
      </c>
      <c r="L154" s="433" t="s">
        <v>962</v>
      </c>
      <c r="M154" s="430"/>
      <c r="N154" s="430"/>
      <c r="O154" s="74"/>
      <c r="P154" s="995"/>
      <c r="Q154" s="988"/>
      <c r="R154" s="998"/>
      <c r="S154" s="988"/>
      <c r="T154" s="434" t="s">
        <v>851</v>
      </c>
      <c r="U154" s="435" t="s">
        <v>852</v>
      </c>
      <c r="V154" s="434" t="s">
        <v>851</v>
      </c>
      <c r="W154" s="435" t="s">
        <v>852</v>
      </c>
      <c r="X154" s="434" t="s">
        <v>851</v>
      </c>
      <c r="Y154" s="435" t="s">
        <v>852</v>
      </c>
      <c r="Z154" s="434" t="s">
        <v>851</v>
      </c>
      <c r="AA154" s="435" t="s">
        <v>852</v>
      </c>
      <c r="AB154" s="434" t="s">
        <v>851</v>
      </c>
      <c r="AC154" s="435" t="s">
        <v>852</v>
      </c>
      <c r="AE154" s="995"/>
      <c r="AF154" s="1041"/>
      <c r="AG154" s="998"/>
      <c r="AH154" s="988"/>
      <c r="AI154" s="434" t="s">
        <v>851</v>
      </c>
      <c r="AJ154" s="435" t="s">
        <v>852</v>
      </c>
      <c r="AK154" s="434" t="s">
        <v>851</v>
      </c>
      <c r="AL154" s="435" t="s">
        <v>852</v>
      </c>
      <c r="AM154" s="434" t="s">
        <v>851</v>
      </c>
      <c r="AN154" s="435" t="s">
        <v>852</v>
      </c>
      <c r="AO154" s="434" t="s">
        <v>851</v>
      </c>
      <c r="AP154" s="435" t="s">
        <v>852</v>
      </c>
      <c r="AQ154" s="434" t="s">
        <v>851</v>
      </c>
      <c r="AR154" s="435" t="s">
        <v>852</v>
      </c>
    </row>
    <row r="155" spans="1:44" ht="14.7" customHeight="1" outlineLevel="1">
      <c r="B155" s="436" t="s">
        <v>853</v>
      </c>
      <c r="C155" s="437">
        <v>533</v>
      </c>
      <c r="D155" s="437">
        <f>C155*1.03</f>
        <v>548.99</v>
      </c>
      <c r="E155" s="438">
        <f>D155*1.02</f>
        <v>559.96979999999996</v>
      </c>
      <c r="F155" s="437">
        <f>E155*1.01</f>
        <v>565.56949799999995</v>
      </c>
      <c r="G155" s="437">
        <f>C155</f>
        <v>533</v>
      </c>
      <c r="H155" s="437">
        <f>C155*1.05</f>
        <v>559.65</v>
      </c>
      <c r="I155" s="437">
        <f>F155*0.97</f>
        <v>548.60241305999989</v>
      </c>
      <c r="J155" s="437">
        <f>F155*1.02</f>
        <v>576.88088796</v>
      </c>
      <c r="K155" s="439" t="s">
        <v>59</v>
      </c>
      <c r="L155" s="440" t="s">
        <v>962</v>
      </c>
      <c r="M155" s="430"/>
      <c r="N155" s="430"/>
      <c r="P155" s="1042" t="str">
        <f>C151</f>
        <v>Heat pump, up to 60 °C, Temp lift = 40 K</v>
      </c>
      <c r="Q155" s="1030" t="s">
        <v>855</v>
      </c>
      <c r="R155" s="441" t="s">
        <v>856</v>
      </c>
      <c r="S155" s="442"/>
      <c r="T155" s="1033">
        <v>0</v>
      </c>
      <c r="U155" s="1021">
        <v>0</v>
      </c>
      <c r="V155" s="1033">
        <v>0</v>
      </c>
      <c r="W155" s="1021">
        <v>0</v>
      </c>
      <c r="X155" s="1033">
        <v>0</v>
      </c>
      <c r="Y155" s="1021">
        <v>0</v>
      </c>
      <c r="Z155" s="1033">
        <v>0</v>
      </c>
      <c r="AA155" s="1021">
        <v>0</v>
      </c>
      <c r="AB155" s="1033">
        <v>0</v>
      </c>
      <c r="AC155" s="1021">
        <v>0</v>
      </c>
      <c r="AE155" s="1027" t="str">
        <f>P155</f>
        <v>Heat pump, up to 60 °C, Temp lift = 40 K</v>
      </c>
      <c r="AF155" s="1030" t="s">
        <v>855</v>
      </c>
      <c r="AG155" s="441" t="s">
        <v>856</v>
      </c>
      <c r="AH155" s="442"/>
      <c r="AI155" s="1033">
        <v>0</v>
      </c>
      <c r="AJ155" s="1021">
        <v>0</v>
      </c>
      <c r="AK155" s="1033">
        <v>0</v>
      </c>
      <c r="AL155" s="1021">
        <v>0</v>
      </c>
      <c r="AM155" s="1033">
        <v>0</v>
      </c>
      <c r="AN155" s="1021">
        <v>0</v>
      </c>
      <c r="AO155" s="1033">
        <v>0</v>
      </c>
      <c r="AP155" s="1021">
        <v>0</v>
      </c>
      <c r="AQ155" s="1033">
        <v>0</v>
      </c>
      <c r="AR155" s="1021">
        <v>0</v>
      </c>
    </row>
    <row r="156" spans="1:44" outlineLevel="1">
      <c r="B156" s="443" t="s">
        <v>857</v>
      </c>
      <c r="C156" s="444">
        <f>C155-5</f>
        <v>528</v>
      </c>
      <c r="D156" s="444">
        <f t="shared" ref="D156:J156" si="8">D155-5</f>
        <v>543.99</v>
      </c>
      <c r="E156" s="444">
        <f t="shared" si="8"/>
        <v>554.96979999999996</v>
      </c>
      <c r="F156" s="444">
        <f t="shared" si="8"/>
        <v>560.56949799999995</v>
      </c>
      <c r="G156" s="445">
        <f t="shared" si="8"/>
        <v>528</v>
      </c>
      <c r="H156" s="445">
        <f t="shared" si="8"/>
        <v>554.65</v>
      </c>
      <c r="I156" s="445">
        <f t="shared" si="8"/>
        <v>543.60241305999989</v>
      </c>
      <c r="J156" s="445">
        <f t="shared" si="8"/>
        <v>571.88088796</v>
      </c>
      <c r="K156" s="446" t="s">
        <v>963</v>
      </c>
      <c r="L156" s="447"/>
      <c r="M156" s="430"/>
      <c r="N156" s="430"/>
      <c r="O156" s="71"/>
      <c r="P156" s="1028"/>
      <c r="Q156" s="1031"/>
      <c r="R156" s="448" t="s">
        <v>858</v>
      </c>
      <c r="S156" s="449"/>
      <c r="T156" s="1034"/>
      <c r="U156" s="1022"/>
      <c r="V156" s="1034"/>
      <c r="W156" s="1022"/>
      <c r="X156" s="1034"/>
      <c r="Y156" s="1022"/>
      <c r="Z156" s="1034"/>
      <c r="AA156" s="1022"/>
      <c r="AB156" s="1034"/>
      <c r="AC156" s="1022"/>
      <c r="AE156" s="1028"/>
      <c r="AF156" s="1031"/>
      <c r="AG156" s="448" t="s">
        <v>858</v>
      </c>
      <c r="AH156" s="449"/>
      <c r="AI156" s="1034"/>
      <c r="AJ156" s="1022"/>
      <c r="AK156" s="1034"/>
      <c r="AL156" s="1022"/>
      <c r="AM156" s="1034"/>
      <c r="AN156" s="1022"/>
      <c r="AO156" s="1034"/>
      <c r="AP156" s="1022"/>
      <c r="AQ156" s="1034"/>
      <c r="AR156" s="1022"/>
    </row>
    <row r="157" spans="1:44" ht="15" outlineLevel="1" thickBot="1">
      <c r="B157" s="436" t="s">
        <v>859</v>
      </c>
      <c r="C157" s="450">
        <v>2</v>
      </c>
      <c r="D157" s="451">
        <v>2</v>
      </c>
      <c r="E157" s="451">
        <v>2</v>
      </c>
      <c r="F157" s="452">
        <v>2</v>
      </c>
      <c r="G157" s="451">
        <v>1</v>
      </c>
      <c r="H157" s="451">
        <v>4</v>
      </c>
      <c r="I157" s="451">
        <v>1</v>
      </c>
      <c r="J157" s="451">
        <v>4</v>
      </c>
      <c r="K157" s="439"/>
      <c r="L157" s="440">
        <v>1.4</v>
      </c>
      <c r="M157" s="430"/>
      <c r="N157" s="430"/>
      <c r="O157" s="71"/>
      <c r="P157" s="1028"/>
      <c r="Q157" s="1032"/>
      <c r="R157" s="453" t="s">
        <v>860</v>
      </c>
      <c r="S157" s="454"/>
      <c r="T157" s="1035"/>
      <c r="U157" s="1023"/>
      <c r="V157" s="1035"/>
      <c r="W157" s="1023"/>
      <c r="X157" s="1035"/>
      <c r="Y157" s="1023"/>
      <c r="Z157" s="1035"/>
      <c r="AA157" s="1023"/>
      <c r="AB157" s="1035"/>
      <c r="AC157" s="1023"/>
      <c r="AE157" s="1028"/>
      <c r="AF157" s="1032"/>
      <c r="AG157" s="453" t="s">
        <v>860</v>
      </c>
      <c r="AH157" s="454"/>
      <c r="AI157" s="1035"/>
      <c r="AJ157" s="1023"/>
      <c r="AK157" s="1035"/>
      <c r="AL157" s="1023"/>
      <c r="AM157" s="1035"/>
      <c r="AN157" s="1023"/>
      <c r="AO157" s="1035"/>
      <c r="AP157" s="1023"/>
      <c r="AQ157" s="1035"/>
      <c r="AR157" s="1023"/>
    </row>
    <row r="158" spans="1:44" ht="14.7" customHeight="1" outlineLevel="1">
      <c r="B158" s="436" t="s">
        <v>702</v>
      </c>
      <c r="C158" s="450">
        <v>0</v>
      </c>
      <c r="D158" s="450">
        <v>0</v>
      </c>
      <c r="E158" s="450">
        <v>0</v>
      </c>
      <c r="F158" s="450">
        <v>0</v>
      </c>
      <c r="G158" s="450">
        <v>0</v>
      </c>
      <c r="H158" s="450">
        <v>1</v>
      </c>
      <c r="I158" s="450">
        <v>0</v>
      </c>
      <c r="J158" s="450">
        <v>1</v>
      </c>
      <c r="K158" s="439" t="s">
        <v>20</v>
      </c>
      <c r="L158" s="440"/>
      <c r="M158" s="430"/>
      <c r="N158" s="430"/>
      <c r="O158" s="71"/>
      <c r="P158" s="1028"/>
      <c r="Q158" s="1030" t="s">
        <v>861</v>
      </c>
      <c r="R158" s="455" t="s">
        <v>862</v>
      </c>
      <c r="S158" s="456" t="s">
        <v>863</v>
      </c>
      <c r="T158" s="1033">
        <v>0</v>
      </c>
      <c r="U158" s="1033">
        <v>0.16</v>
      </c>
      <c r="V158" s="1033">
        <v>0</v>
      </c>
      <c r="W158" s="1033">
        <v>0.16</v>
      </c>
      <c r="X158" s="1033">
        <v>0</v>
      </c>
      <c r="Y158" s="1033">
        <v>0.13</v>
      </c>
      <c r="Z158" s="1033">
        <v>0</v>
      </c>
      <c r="AA158" s="1033">
        <v>7.0000000000000007E-2</v>
      </c>
      <c r="AB158" s="1033">
        <v>0</v>
      </c>
      <c r="AC158" s="1021">
        <v>0.11</v>
      </c>
      <c r="AE158" s="1028"/>
      <c r="AF158" s="1030" t="s">
        <v>861</v>
      </c>
      <c r="AG158" s="455" t="s">
        <v>862</v>
      </c>
      <c r="AH158" s="456" t="s">
        <v>863</v>
      </c>
      <c r="AI158" s="1033">
        <v>0</v>
      </c>
      <c r="AJ158" s="1033">
        <f>U158/4</f>
        <v>0.04</v>
      </c>
      <c r="AK158" s="1033">
        <v>0</v>
      </c>
      <c r="AL158" s="1033">
        <f>W158/4</f>
        <v>0.04</v>
      </c>
      <c r="AM158" s="1033">
        <v>0</v>
      </c>
      <c r="AN158" s="1033">
        <f>Y158/4</f>
        <v>3.2500000000000001E-2</v>
      </c>
      <c r="AO158" s="1033">
        <v>0</v>
      </c>
      <c r="AP158" s="1033">
        <f>AA158/4</f>
        <v>1.7500000000000002E-2</v>
      </c>
      <c r="AQ158" s="1033">
        <v>0</v>
      </c>
      <c r="AR158" s="1021">
        <f>AC158/4</f>
        <v>2.75E-2</v>
      </c>
    </row>
    <row r="159" spans="1:44" outlineLevel="1">
      <c r="B159" s="436" t="s">
        <v>703</v>
      </c>
      <c r="C159" s="450">
        <v>1</v>
      </c>
      <c r="D159" s="450">
        <v>1</v>
      </c>
      <c r="E159" s="450">
        <v>1</v>
      </c>
      <c r="F159" s="450">
        <v>1</v>
      </c>
      <c r="G159" s="450">
        <v>0.5</v>
      </c>
      <c r="H159" s="450">
        <v>2</v>
      </c>
      <c r="I159" s="450">
        <v>0.5</v>
      </c>
      <c r="J159" s="450">
        <v>2</v>
      </c>
      <c r="K159" s="439"/>
      <c r="L159" s="440">
        <v>1.4</v>
      </c>
      <c r="M159" s="427"/>
      <c r="N159" s="427"/>
      <c r="O159" s="71"/>
      <c r="P159" s="1028"/>
      <c r="Q159" s="1031"/>
      <c r="R159" s="455" t="s">
        <v>864</v>
      </c>
      <c r="S159" s="456" t="s">
        <v>863</v>
      </c>
      <c r="T159" s="1050"/>
      <c r="U159" s="1050"/>
      <c r="V159" s="1050"/>
      <c r="W159" s="1050"/>
      <c r="X159" s="1050"/>
      <c r="Y159" s="1050"/>
      <c r="Z159" s="1050"/>
      <c r="AA159" s="1050"/>
      <c r="AB159" s="1050"/>
      <c r="AC159" s="1103"/>
      <c r="AE159" s="1028"/>
      <c r="AF159" s="1031"/>
      <c r="AG159" s="455" t="s">
        <v>864</v>
      </c>
      <c r="AH159" s="456" t="s">
        <v>863</v>
      </c>
      <c r="AI159" s="1050"/>
      <c r="AJ159" s="1050"/>
      <c r="AK159" s="1050"/>
      <c r="AL159" s="1050"/>
      <c r="AM159" s="1050"/>
      <c r="AN159" s="1050"/>
      <c r="AO159" s="1050"/>
      <c r="AP159" s="1050"/>
      <c r="AQ159" s="1050"/>
      <c r="AR159" s="1103"/>
    </row>
    <row r="160" spans="1:44" outlineLevel="1">
      <c r="B160" s="443" t="s">
        <v>11</v>
      </c>
      <c r="C160" s="457">
        <v>20</v>
      </c>
      <c r="D160" s="457">
        <v>20</v>
      </c>
      <c r="E160" s="457">
        <v>20</v>
      </c>
      <c r="F160" s="457">
        <v>20</v>
      </c>
      <c r="G160" s="458">
        <v>15</v>
      </c>
      <c r="H160" s="458">
        <v>30</v>
      </c>
      <c r="I160" s="458">
        <v>15</v>
      </c>
      <c r="J160" s="458">
        <v>30</v>
      </c>
      <c r="K160" s="432"/>
      <c r="L160" s="433">
        <v>4</v>
      </c>
      <c r="M160" s="423"/>
      <c r="N160" s="423"/>
      <c r="P160" s="1028"/>
      <c r="Q160" s="1031"/>
      <c r="R160" s="455" t="s">
        <v>866</v>
      </c>
      <c r="S160" s="456"/>
      <c r="T160" s="1050"/>
      <c r="U160" s="1050"/>
      <c r="V160" s="1050"/>
      <c r="W160" s="1050"/>
      <c r="X160" s="1050"/>
      <c r="Y160" s="1050"/>
      <c r="Z160" s="1050"/>
      <c r="AA160" s="1050"/>
      <c r="AB160" s="1050"/>
      <c r="AC160" s="1103"/>
      <c r="AE160" s="1028"/>
      <c r="AF160" s="1031"/>
      <c r="AG160" s="455" t="s">
        <v>866</v>
      </c>
      <c r="AH160" s="689" t="s">
        <v>967</v>
      </c>
      <c r="AI160" s="1050"/>
      <c r="AJ160" s="1050"/>
      <c r="AK160" s="1050"/>
      <c r="AL160" s="1050"/>
      <c r="AM160" s="1050"/>
      <c r="AN160" s="1050"/>
      <c r="AO160" s="1050"/>
      <c r="AP160" s="1050"/>
      <c r="AQ160" s="1050"/>
      <c r="AR160" s="1103"/>
    </row>
    <row r="161" spans="1:44" ht="15" outlineLevel="1" thickBot="1">
      <c r="B161" s="436" t="s">
        <v>273</v>
      </c>
      <c r="C161" s="459">
        <v>0.5</v>
      </c>
      <c r="D161" s="459">
        <v>0.5</v>
      </c>
      <c r="E161" s="459">
        <v>0.5</v>
      </c>
      <c r="F161" s="459">
        <v>0.5</v>
      </c>
      <c r="G161" s="459">
        <v>0.3</v>
      </c>
      <c r="H161" s="459">
        <v>0.7</v>
      </c>
      <c r="I161" s="459">
        <v>0.3</v>
      </c>
      <c r="J161" s="459">
        <v>0.7</v>
      </c>
      <c r="K161" s="432"/>
      <c r="L161" s="460">
        <v>4</v>
      </c>
      <c r="M161" s="423"/>
      <c r="N161" s="423"/>
      <c r="P161" s="1028"/>
      <c r="Q161" s="1031"/>
      <c r="R161" s="455" t="s">
        <v>867</v>
      </c>
      <c r="S161" s="456"/>
      <c r="T161" s="1050"/>
      <c r="U161" s="1050"/>
      <c r="V161" s="1050"/>
      <c r="W161" s="1050"/>
      <c r="X161" s="1050"/>
      <c r="Y161" s="1050"/>
      <c r="Z161" s="1050"/>
      <c r="AA161" s="1050"/>
      <c r="AB161" s="1050"/>
      <c r="AC161" s="1103"/>
      <c r="AE161" s="1028"/>
      <c r="AF161" s="1031"/>
      <c r="AG161" s="455" t="s">
        <v>867</v>
      </c>
      <c r="AH161" s="456" t="s">
        <v>863</v>
      </c>
      <c r="AI161" s="1050"/>
      <c r="AJ161" s="1050"/>
      <c r="AK161" s="1050"/>
      <c r="AL161" s="1050"/>
      <c r="AM161" s="1050"/>
      <c r="AN161" s="1050"/>
      <c r="AO161" s="1050"/>
      <c r="AP161" s="1050"/>
      <c r="AQ161" s="1050"/>
      <c r="AR161" s="1103"/>
    </row>
    <row r="162" spans="1:44" ht="15" outlineLevel="1" thickBot="1">
      <c r="B162" s="461" t="s">
        <v>868</v>
      </c>
      <c r="C162" s="462"/>
      <c r="D162" s="463"/>
      <c r="E162" s="464"/>
      <c r="F162" s="465"/>
      <c r="G162" s="466"/>
      <c r="H162" s="466"/>
      <c r="I162" s="466"/>
      <c r="J162" s="466"/>
      <c r="K162" s="467"/>
      <c r="L162" s="468"/>
      <c r="M162" s="423"/>
      <c r="N162" s="423"/>
      <c r="P162" s="1028"/>
      <c r="Q162" s="1031"/>
      <c r="R162" s="469" t="s">
        <v>869</v>
      </c>
      <c r="S162" s="470" t="s">
        <v>863</v>
      </c>
      <c r="T162" s="1051"/>
      <c r="U162" s="1051"/>
      <c r="V162" s="1051"/>
      <c r="W162" s="1051"/>
      <c r="X162" s="1051"/>
      <c r="Y162" s="1051"/>
      <c r="Z162" s="1051"/>
      <c r="AA162" s="1051"/>
      <c r="AB162" s="1051"/>
      <c r="AC162" s="1104"/>
      <c r="AE162" s="1028"/>
      <c r="AF162" s="1031"/>
      <c r="AG162" s="469" t="s">
        <v>869</v>
      </c>
      <c r="AH162" s="470" t="s">
        <v>863</v>
      </c>
      <c r="AI162" s="1051"/>
      <c r="AJ162" s="1051"/>
      <c r="AK162" s="1051"/>
      <c r="AL162" s="1051"/>
      <c r="AM162" s="1051"/>
      <c r="AN162" s="1051"/>
      <c r="AO162" s="1051"/>
      <c r="AP162" s="1051"/>
      <c r="AQ162" s="1051"/>
      <c r="AR162" s="1104"/>
    </row>
    <row r="163" spans="1:44" ht="29.4" outlineLevel="1" thickBot="1">
      <c r="B163" s="436" t="s">
        <v>708</v>
      </c>
      <c r="C163" s="450">
        <v>10</v>
      </c>
      <c r="D163" s="450">
        <v>10</v>
      </c>
      <c r="E163" s="450">
        <v>10</v>
      </c>
      <c r="F163" s="450">
        <v>10</v>
      </c>
      <c r="G163" s="451"/>
      <c r="H163" s="451"/>
      <c r="I163" s="451"/>
      <c r="J163" s="451"/>
      <c r="K163" s="439"/>
      <c r="L163" s="440">
        <v>4</v>
      </c>
      <c r="M163" s="423"/>
      <c r="N163" s="423"/>
      <c r="P163" s="1029"/>
      <c r="Q163" s="471" t="s">
        <v>870</v>
      </c>
      <c r="R163" s="472" t="s">
        <v>871</v>
      </c>
      <c r="S163" s="690" t="s">
        <v>863</v>
      </c>
      <c r="T163" s="476">
        <v>0</v>
      </c>
      <c r="U163" s="475">
        <f>T163</f>
        <v>0</v>
      </c>
      <c r="V163" s="476">
        <v>0</v>
      </c>
      <c r="W163" s="475">
        <f>V163</f>
        <v>0</v>
      </c>
      <c r="X163" s="476">
        <v>0</v>
      </c>
      <c r="Y163" s="475">
        <f>X163</f>
        <v>0</v>
      </c>
      <c r="Z163" s="476">
        <v>0</v>
      </c>
      <c r="AA163" s="475">
        <f>Z163</f>
        <v>0</v>
      </c>
      <c r="AB163" s="476">
        <v>0</v>
      </c>
      <c r="AC163" s="477">
        <f>AB163</f>
        <v>0</v>
      </c>
      <c r="AE163" s="1029"/>
      <c r="AF163" s="471" t="s">
        <v>870</v>
      </c>
      <c r="AG163" s="1108" t="s">
        <v>871</v>
      </c>
      <c r="AH163" s="1109"/>
      <c r="AI163" s="476">
        <v>0</v>
      </c>
      <c r="AJ163" s="475">
        <f>AI163</f>
        <v>0</v>
      </c>
      <c r="AK163" s="476">
        <v>0</v>
      </c>
      <c r="AL163" s="475">
        <f>AK163</f>
        <v>0</v>
      </c>
      <c r="AM163" s="476">
        <v>0</v>
      </c>
      <c r="AN163" s="475">
        <f>AM163</f>
        <v>0</v>
      </c>
      <c r="AO163" s="476">
        <v>0</v>
      </c>
      <c r="AP163" s="475">
        <f>AO163</f>
        <v>0</v>
      </c>
      <c r="AQ163" s="476">
        <v>0</v>
      </c>
      <c r="AR163" s="477">
        <f>AQ163</f>
        <v>0</v>
      </c>
    </row>
    <row r="164" spans="1:44" outlineLevel="1">
      <c r="B164" s="436" t="s">
        <v>709</v>
      </c>
      <c r="C164" s="450">
        <v>0.25</v>
      </c>
      <c r="D164" s="450">
        <v>0.25</v>
      </c>
      <c r="E164" s="450">
        <v>0.25</v>
      </c>
      <c r="F164" s="450">
        <v>0.25</v>
      </c>
      <c r="G164" s="478"/>
      <c r="H164" s="478"/>
      <c r="I164" s="478"/>
      <c r="J164" s="478"/>
      <c r="K164" s="479"/>
      <c r="L164" s="440">
        <v>4</v>
      </c>
      <c r="M164" s="423"/>
      <c r="N164" s="423"/>
    </row>
    <row r="165" spans="1:44" outlineLevel="1">
      <c r="B165" s="436" t="s">
        <v>711</v>
      </c>
      <c r="C165" s="450">
        <v>1</v>
      </c>
      <c r="D165" s="450">
        <v>1</v>
      </c>
      <c r="E165" s="450">
        <v>1</v>
      </c>
      <c r="F165" s="450">
        <v>1</v>
      </c>
      <c r="G165" s="478"/>
      <c r="H165" s="478"/>
      <c r="I165" s="478"/>
      <c r="J165" s="478"/>
      <c r="K165" s="479"/>
      <c r="L165" s="440">
        <v>1</v>
      </c>
      <c r="M165" s="480"/>
      <c r="N165" s="423"/>
    </row>
    <row r="166" spans="1:44" outlineLevel="1">
      <c r="B166" s="481" t="s">
        <v>12</v>
      </c>
      <c r="C166" s="459"/>
      <c r="D166" s="459"/>
      <c r="E166" s="459"/>
      <c r="F166" s="459"/>
      <c r="G166" s="482"/>
      <c r="H166" s="482"/>
      <c r="I166" s="482"/>
      <c r="J166" s="482"/>
      <c r="K166" s="483"/>
      <c r="L166" s="484"/>
      <c r="M166" s="480"/>
      <c r="N166" s="480"/>
    </row>
    <row r="167" spans="1:44" outlineLevel="1">
      <c r="B167" s="443" t="s">
        <v>968</v>
      </c>
      <c r="C167" s="1077" t="s">
        <v>714</v>
      </c>
      <c r="D167" s="1078"/>
      <c r="E167" s="1078"/>
      <c r="F167" s="1079"/>
      <c r="G167" s="482"/>
      <c r="H167" s="485"/>
      <c r="I167" s="485"/>
      <c r="J167" s="485"/>
      <c r="K167" s="486"/>
      <c r="L167" s="487"/>
      <c r="M167" s="488"/>
      <c r="N167" s="488"/>
    </row>
    <row r="168" spans="1:44" outlineLevel="1">
      <c r="B168" s="443" t="s">
        <v>874</v>
      </c>
      <c r="C168" s="1080"/>
      <c r="D168" s="1110"/>
      <c r="E168" s="1110"/>
      <c r="F168" s="1082"/>
      <c r="G168" s="485"/>
      <c r="H168" s="485"/>
      <c r="I168" s="485"/>
      <c r="J168" s="485"/>
      <c r="K168" s="483"/>
      <c r="L168" s="487"/>
      <c r="M168" s="488"/>
      <c r="N168" s="488"/>
    </row>
    <row r="169" spans="1:44" outlineLevel="1">
      <c r="B169" s="443" t="s">
        <v>969</v>
      </c>
      <c r="C169" s="1080"/>
      <c r="D169" s="1110"/>
      <c r="E169" s="1110"/>
      <c r="F169" s="1082"/>
      <c r="G169" s="485"/>
      <c r="H169" s="485"/>
      <c r="I169" s="485"/>
      <c r="J169" s="485"/>
      <c r="K169" s="483"/>
      <c r="L169" s="487"/>
      <c r="M169" s="488"/>
      <c r="N169" s="488"/>
    </row>
    <row r="170" spans="1:44" outlineLevel="1">
      <c r="B170" s="443" t="s">
        <v>366</v>
      </c>
      <c r="C170" s="1080"/>
      <c r="D170" s="1110"/>
      <c r="E170" s="1110"/>
      <c r="F170" s="1082"/>
      <c r="G170" s="485"/>
      <c r="H170" s="485"/>
      <c r="I170" s="485"/>
      <c r="J170" s="485"/>
      <c r="K170" s="483"/>
      <c r="L170" s="487"/>
      <c r="M170" s="488"/>
      <c r="N170" s="488"/>
    </row>
    <row r="171" spans="1:44" ht="15" outlineLevel="1" thickBot="1">
      <c r="B171" s="489" t="s">
        <v>367</v>
      </c>
      <c r="C171" s="1083"/>
      <c r="D171" s="1084"/>
      <c r="E171" s="1084"/>
      <c r="F171" s="1085"/>
      <c r="G171" s="485"/>
      <c r="H171" s="485"/>
      <c r="I171" s="485"/>
      <c r="J171" s="485"/>
      <c r="K171" s="483"/>
      <c r="L171" s="487"/>
      <c r="M171" s="488"/>
      <c r="N171" s="488"/>
    </row>
    <row r="172" spans="1:44" ht="15" outlineLevel="1" thickBot="1">
      <c r="B172" s="491" t="s">
        <v>719</v>
      </c>
      <c r="C172" s="492"/>
      <c r="D172" s="463"/>
      <c r="E172" s="463"/>
      <c r="F172" s="493"/>
      <c r="G172" s="494"/>
      <c r="H172" s="466"/>
      <c r="I172" s="466"/>
      <c r="J172" s="466"/>
      <c r="K172" s="467"/>
      <c r="L172" s="468"/>
      <c r="M172" s="488"/>
      <c r="N172" s="488"/>
    </row>
    <row r="173" spans="1:44" ht="26.4" outlineLevel="1">
      <c r="A173" s="495"/>
      <c r="B173" s="496" t="s">
        <v>876</v>
      </c>
      <c r="C173" s="497">
        <v>0.73</v>
      </c>
      <c r="D173" s="498">
        <v>0.65</v>
      </c>
      <c r="E173" s="498">
        <v>0.6</v>
      </c>
      <c r="F173" s="499">
        <v>0.57999999999999996</v>
      </c>
      <c r="G173" s="485"/>
      <c r="H173" s="485"/>
      <c r="I173" s="485"/>
      <c r="J173" s="485"/>
      <c r="K173" s="486"/>
      <c r="L173" s="500">
        <v>1</v>
      </c>
      <c r="M173" s="480"/>
      <c r="N173" s="480"/>
    </row>
    <row r="174" spans="1:44" outlineLevel="1">
      <c r="B174" s="501" t="s">
        <v>964</v>
      </c>
      <c r="C174" s="687">
        <v>60</v>
      </c>
      <c r="D174" s="503">
        <v>60</v>
      </c>
      <c r="E174" s="503">
        <v>60</v>
      </c>
      <c r="F174" s="503">
        <v>60</v>
      </c>
      <c r="G174" s="485"/>
      <c r="H174" s="485"/>
      <c r="I174" s="485"/>
      <c r="J174" s="485"/>
      <c r="K174" s="504" t="s">
        <v>76</v>
      </c>
      <c r="L174" s="433">
        <v>6</v>
      </c>
      <c r="M174" s="71"/>
      <c r="N174" s="480"/>
    </row>
    <row r="175" spans="1:44" outlineLevel="1">
      <c r="B175" s="501" t="s">
        <v>965</v>
      </c>
      <c r="C175" s="687">
        <v>40</v>
      </c>
      <c r="D175" s="687">
        <v>40</v>
      </c>
      <c r="E175" s="687">
        <v>40</v>
      </c>
      <c r="F175" s="687">
        <v>40</v>
      </c>
      <c r="G175" s="485"/>
      <c r="H175" s="485"/>
      <c r="I175" s="485"/>
      <c r="J175" s="485"/>
      <c r="K175" s="504" t="s">
        <v>25</v>
      </c>
      <c r="L175" s="433">
        <v>6</v>
      </c>
      <c r="M175" s="480"/>
      <c r="N175" s="480"/>
    </row>
    <row r="176" spans="1:44" outlineLevel="1">
      <c r="B176" s="443" t="s">
        <v>966</v>
      </c>
      <c r="C176" s="505">
        <v>2000</v>
      </c>
      <c r="D176" s="506">
        <v>2000</v>
      </c>
      <c r="E176" s="506">
        <v>2000</v>
      </c>
      <c r="F176" s="507">
        <v>2000</v>
      </c>
      <c r="G176" s="485"/>
      <c r="H176" s="485"/>
      <c r="I176" s="485"/>
      <c r="J176" s="485"/>
      <c r="K176" s="508"/>
      <c r="L176" s="433">
        <v>4.5</v>
      </c>
      <c r="M176" s="480"/>
      <c r="N176" s="480"/>
    </row>
    <row r="177" spans="2:30" ht="15" outlineLevel="1" thickBot="1">
      <c r="B177" s="443" t="s">
        <v>724</v>
      </c>
      <c r="C177" s="509">
        <f>SUM(C178:C179)</f>
        <v>3.26</v>
      </c>
      <c r="D177" s="509">
        <f>SUM(D178:D179)</f>
        <v>3.2</v>
      </c>
      <c r="E177" s="509">
        <f>(D177+F177)/2</f>
        <v>3.16</v>
      </c>
      <c r="F177" s="509">
        <f>SUM(F178:F179)</f>
        <v>3.12</v>
      </c>
      <c r="G177" s="485"/>
      <c r="H177" s="485"/>
      <c r="I177" s="485"/>
      <c r="J177" s="485"/>
      <c r="K177" s="508"/>
      <c r="L177" s="433">
        <v>4</v>
      </c>
      <c r="M177" s="748"/>
      <c r="N177" s="749"/>
      <c r="P177" s="999">
        <f>C177</f>
        <v>3.26</v>
      </c>
      <c r="Q177" s="977"/>
      <c r="R177" s="977"/>
      <c r="S177" s="977"/>
      <c r="T177" s="977"/>
      <c r="U177" s="1000"/>
    </row>
    <row r="178" spans="2:30" ht="15" outlineLevel="1" thickBot="1">
      <c r="B178" s="511" t="s">
        <v>883</v>
      </c>
      <c r="C178" s="512">
        <f>C157/100*73</f>
        <v>1.46</v>
      </c>
      <c r="D178" s="512">
        <f>D157/100*75</f>
        <v>1.5</v>
      </c>
      <c r="E178" s="512">
        <f>E157/100*76</f>
        <v>1.52</v>
      </c>
      <c r="F178" s="512">
        <f>F157/100*76</f>
        <v>1.52</v>
      </c>
      <c r="G178" s="513"/>
      <c r="H178" s="513"/>
      <c r="I178" s="513"/>
      <c r="J178" s="513"/>
      <c r="K178" s="439" t="s">
        <v>33</v>
      </c>
      <c r="L178" s="440">
        <v>4</v>
      </c>
      <c r="M178" s="748"/>
      <c r="N178" s="749"/>
      <c r="P178" s="1001">
        <f>C178</f>
        <v>1.46</v>
      </c>
      <c r="Q178" s="1002"/>
      <c r="R178" s="1002"/>
      <c r="S178" s="1002"/>
      <c r="T178" s="1002"/>
      <c r="U178" s="1003"/>
    </row>
    <row r="179" spans="2:30" outlineLevel="1">
      <c r="B179" s="511" t="s">
        <v>884</v>
      </c>
      <c r="C179" s="514">
        <v>1.8</v>
      </c>
      <c r="D179" s="514">
        <v>1.7</v>
      </c>
      <c r="E179" s="514">
        <f>(D179+F179)/2</f>
        <v>1.65</v>
      </c>
      <c r="F179" s="514">
        <v>1.6</v>
      </c>
      <c r="G179" s="513"/>
      <c r="H179" s="513"/>
      <c r="I179" s="513"/>
      <c r="J179" s="513"/>
      <c r="K179" s="515"/>
      <c r="L179" s="440">
        <v>4</v>
      </c>
      <c r="M179" s="423"/>
      <c r="N179" s="423"/>
      <c r="P179" s="53" t="s">
        <v>357</v>
      </c>
    </row>
    <row r="180" spans="2:30" ht="27.6" outlineLevel="1">
      <c r="B180" s="501"/>
      <c r="C180" s="516"/>
      <c r="D180" s="516"/>
      <c r="E180" s="516"/>
      <c r="F180" s="516"/>
      <c r="G180" s="485"/>
      <c r="H180" s="485"/>
      <c r="I180" s="485"/>
      <c r="J180" s="485"/>
      <c r="K180" s="504"/>
      <c r="L180" s="484"/>
      <c r="M180" s="427"/>
      <c r="N180" s="427"/>
      <c r="P180" s="46" t="s">
        <v>335</v>
      </c>
      <c r="Q180" s="46" t="s">
        <v>336</v>
      </c>
      <c r="R180" s="47" t="s">
        <v>337</v>
      </c>
      <c r="S180" s="47" t="s">
        <v>338</v>
      </c>
      <c r="T180" s="47" t="s">
        <v>339</v>
      </c>
      <c r="U180" s="48" t="s">
        <v>340</v>
      </c>
      <c r="V180" s="49" t="s">
        <v>341</v>
      </c>
      <c r="W180" s="49" t="s">
        <v>342</v>
      </c>
      <c r="X180" s="49" t="s">
        <v>343</v>
      </c>
      <c r="Y180" s="49" t="s">
        <v>344</v>
      </c>
      <c r="Z180" s="49" t="s">
        <v>345</v>
      </c>
      <c r="AA180" s="49" t="s">
        <v>346</v>
      </c>
      <c r="AB180" s="49" t="s">
        <v>347</v>
      </c>
      <c r="AC180" s="49" t="s">
        <v>348</v>
      </c>
      <c r="AD180" s="49" t="s">
        <v>349</v>
      </c>
    </row>
    <row r="181" spans="2:30" ht="24.6" outlineLevel="1" thickBot="1">
      <c r="B181" s="501"/>
      <c r="C181" s="502"/>
      <c r="D181" s="517"/>
      <c r="E181" s="517"/>
      <c r="F181" s="518"/>
      <c r="G181" s="485"/>
      <c r="H181" s="485"/>
      <c r="I181" s="485"/>
      <c r="J181" s="485"/>
      <c r="K181" s="508"/>
      <c r="L181" s="484"/>
      <c r="M181" s="423"/>
      <c r="N181" s="423"/>
      <c r="P181" s="50"/>
      <c r="Q181" s="50"/>
      <c r="R181" s="51"/>
      <c r="S181" s="51"/>
      <c r="T181" s="51"/>
      <c r="U181" s="51" t="s">
        <v>885</v>
      </c>
      <c r="V181" s="50" t="s">
        <v>886</v>
      </c>
      <c r="W181" s="50"/>
      <c r="X181" s="50"/>
      <c r="Y181" s="50"/>
      <c r="Z181" s="50"/>
      <c r="AA181" s="50"/>
      <c r="AB181" s="50"/>
      <c r="AC181" s="50"/>
      <c r="AD181" s="50"/>
    </row>
    <row r="182" spans="2:30" ht="43.8" outlineLevel="1" thickBot="1">
      <c r="B182" s="461" t="s">
        <v>727</v>
      </c>
      <c r="C182" s="462"/>
      <c r="D182" s="463"/>
      <c r="E182" s="464"/>
      <c r="F182" s="465"/>
      <c r="G182" s="466"/>
      <c r="H182" s="466"/>
      <c r="I182" s="466"/>
      <c r="J182" s="466"/>
      <c r="K182" s="519"/>
      <c r="L182" s="520"/>
      <c r="M182" s="423"/>
      <c r="N182" s="423"/>
      <c r="O182" s="521" t="s">
        <v>857</v>
      </c>
      <c r="P182" s="56"/>
      <c r="Q182" s="56"/>
      <c r="R182" s="57"/>
      <c r="S182" s="57"/>
      <c r="T182" s="57"/>
      <c r="U182" s="56" t="s">
        <v>350</v>
      </c>
      <c r="V182" s="56" t="s">
        <v>326</v>
      </c>
      <c r="W182" s="56" t="s">
        <v>327</v>
      </c>
      <c r="X182" s="56" t="s">
        <v>351</v>
      </c>
      <c r="Y182" s="56" t="s">
        <v>351</v>
      </c>
      <c r="Z182" s="56" t="s">
        <v>352</v>
      </c>
      <c r="AA182" s="56" t="s">
        <v>352</v>
      </c>
      <c r="AB182" s="56" t="s">
        <v>352</v>
      </c>
      <c r="AC182" s="56" t="s">
        <v>352</v>
      </c>
      <c r="AD182" s="56" t="s">
        <v>352</v>
      </c>
    </row>
    <row r="183" spans="2:30" outlineLevel="1">
      <c r="B183" s="511" t="s">
        <v>887</v>
      </c>
      <c r="C183" s="693">
        <f>C173*0.2</f>
        <v>0.14599999999999999</v>
      </c>
      <c r="D183" s="693">
        <f>D173*0.2</f>
        <v>0.13</v>
      </c>
      <c r="E183" s="693">
        <f>E173*0.2</f>
        <v>0.12</v>
      </c>
      <c r="F183" s="693">
        <f>F173*0.2</f>
        <v>0.11599999999999999</v>
      </c>
      <c r="G183" s="523"/>
      <c r="H183" s="523"/>
      <c r="I183" s="523"/>
      <c r="J183" s="523"/>
      <c r="K183" s="523" t="s">
        <v>51</v>
      </c>
      <c r="L183" s="524"/>
      <c r="M183" s="423"/>
      <c r="N183" s="423"/>
      <c r="O183" s="525">
        <f>C156</f>
        <v>528</v>
      </c>
      <c r="P183" s="526">
        <f>C152</f>
        <v>2020</v>
      </c>
      <c r="Q183" s="58">
        <f>P183</f>
        <v>2020</v>
      </c>
      <c r="R183" s="526">
        <f>O183/100</f>
        <v>5.28</v>
      </c>
      <c r="S183" s="58"/>
      <c r="T183" s="526">
        <f>C160</f>
        <v>20</v>
      </c>
      <c r="U183" s="527">
        <f>C190</f>
        <v>5438.5</v>
      </c>
      <c r="V183" s="527">
        <f>C192</f>
        <v>14.9</v>
      </c>
      <c r="W183" s="527">
        <f>C193</f>
        <v>6.7463888888888883</v>
      </c>
      <c r="X183" s="58"/>
      <c r="Y183" s="58"/>
      <c r="Z183" s="526" t="str">
        <f>C167</f>
        <v>Cf. the utilized electricity</v>
      </c>
      <c r="AA183" s="528">
        <f>C169</f>
        <v>0</v>
      </c>
      <c r="AB183" s="528">
        <f>C170</f>
        <v>0</v>
      </c>
      <c r="AC183" s="528">
        <f>C171</f>
        <v>0</v>
      </c>
      <c r="AD183" s="528">
        <f>C168</f>
        <v>0</v>
      </c>
    </row>
    <row r="184" spans="2:30" outlineLevel="1">
      <c r="B184" s="436" t="s">
        <v>888</v>
      </c>
      <c r="C184" s="529" t="s">
        <v>36</v>
      </c>
      <c r="D184" s="530" t="s">
        <v>36</v>
      </c>
      <c r="E184" s="530" t="s">
        <v>36</v>
      </c>
      <c r="F184" s="531" t="s">
        <v>36</v>
      </c>
      <c r="G184" s="531"/>
      <c r="H184" s="531"/>
      <c r="I184" s="531"/>
      <c r="J184" s="531"/>
      <c r="K184" s="532"/>
      <c r="L184" s="524"/>
      <c r="M184" s="423"/>
      <c r="N184" s="423"/>
      <c r="O184" s="525">
        <f>D156</f>
        <v>543.99</v>
      </c>
      <c r="P184" s="526">
        <f>D152</f>
        <v>2030</v>
      </c>
      <c r="Q184" s="58"/>
      <c r="R184" s="526">
        <f>O184/100</f>
        <v>5.4398999999999997</v>
      </c>
      <c r="S184" s="58"/>
      <c r="T184" s="526">
        <f>D160</f>
        <v>20</v>
      </c>
      <c r="U184" s="527">
        <f>D190</f>
        <v>4842.5</v>
      </c>
      <c r="V184" s="527">
        <f>D192</f>
        <v>14.9</v>
      </c>
      <c r="W184" s="527">
        <f>D193</f>
        <v>6.6222222222222227</v>
      </c>
      <c r="X184" s="58"/>
      <c r="Y184" s="58"/>
      <c r="Z184" s="526">
        <f>D167</f>
        <v>0</v>
      </c>
      <c r="AA184" s="528">
        <f>D169</f>
        <v>0</v>
      </c>
      <c r="AB184" s="528">
        <f>D170</f>
        <v>0</v>
      </c>
      <c r="AC184" s="528">
        <f>D171</f>
        <v>0</v>
      </c>
      <c r="AD184" s="528">
        <f>D168</f>
        <v>0</v>
      </c>
    </row>
    <row r="185" spans="2:30" outlineLevel="1">
      <c r="B185" s="436" t="s">
        <v>889</v>
      </c>
      <c r="C185" s="529" t="s">
        <v>36</v>
      </c>
      <c r="D185" s="530" t="s">
        <v>36</v>
      </c>
      <c r="E185" s="530" t="s">
        <v>36</v>
      </c>
      <c r="F185" s="531" t="s">
        <v>36</v>
      </c>
      <c r="G185" s="513"/>
      <c r="H185" s="513"/>
      <c r="I185" s="513"/>
      <c r="J185" s="513"/>
      <c r="K185" s="513"/>
      <c r="L185" s="440"/>
      <c r="M185" s="423"/>
      <c r="N185" s="423"/>
      <c r="O185" s="525">
        <f>E156</f>
        <v>554.96979999999996</v>
      </c>
      <c r="P185" s="526">
        <f>E152</f>
        <v>2040</v>
      </c>
      <c r="Q185" s="58"/>
      <c r="R185" s="526">
        <f>O185/100</f>
        <v>5.5496979999999994</v>
      </c>
      <c r="S185" s="58"/>
      <c r="T185" s="526">
        <f>E160</f>
        <v>20</v>
      </c>
      <c r="U185" s="527">
        <f>E190</f>
        <v>4470</v>
      </c>
      <c r="V185" s="527">
        <f>E192</f>
        <v>14.9</v>
      </c>
      <c r="W185" s="527">
        <f>E193</f>
        <v>6.5394444444444444</v>
      </c>
      <c r="X185" s="58"/>
      <c r="Y185" s="58"/>
      <c r="Z185" s="526">
        <f>E167</f>
        <v>0</v>
      </c>
      <c r="AA185" s="528">
        <f>E169</f>
        <v>0</v>
      </c>
      <c r="AB185" s="528">
        <f>E170</f>
        <v>0</v>
      </c>
      <c r="AC185" s="528">
        <f>E171</f>
        <v>0</v>
      </c>
      <c r="AD185" s="528">
        <f>E168</f>
        <v>0</v>
      </c>
    </row>
    <row r="186" spans="2:30" outlineLevel="1">
      <c r="B186" s="436" t="s">
        <v>890</v>
      </c>
      <c r="C186" s="1086" t="s">
        <v>714</v>
      </c>
      <c r="D186" s="1087"/>
      <c r="E186" s="1087"/>
      <c r="F186" s="1088"/>
      <c r="G186" s="534"/>
      <c r="H186" s="534"/>
      <c r="I186" s="534"/>
      <c r="J186" s="534"/>
      <c r="K186" s="534"/>
      <c r="L186" s="440"/>
      <c r="M186" s="423"/>
      <c r="N186" s="423"/>
      <c r="O186" s="525">
        <f>F156</f>
        <v>560.56949799999995</v>
      </c>
      <c r="P186" s="526">
        <f>F152</f>
        <v>2050</v>
      </c>
      <c r="Q186" s="58"/>
      <c r="R186" s="526">
        <f>O186/100</f>
        <v>5.6056949799999991</v>
      </c>
      <c r="S186" s="58"/>
      <c r="T186" s="526">
        <f>F160</f>
        <v>20</v>
      </c>
      <c r="U186" s="527">
        <f>F190</f>
        <v>4321</v>
      </c>
      <c r="V186" s="527">
        <f>F192</f>
        <v>14.9</v>
      </c>
      <c r="W186" s="527">
        <f>F193</f>
        <v>6.4566666666666661</v>
      </c>
      <c r="X186" s="58"/>
      <c r="Y186" s="58"/>
      <c r="Z186" s="526">
        <f>F167</f>
        <v>0</v>
      </c>
      <c r="AA186" s="528">
        <f>F169</f>
        <v>0</v>
      </c>
      <c r="AB186" s="528">
        <f>F170</f>
        <v>0</v>
      </c>
      <c r="AC186" s="528">
        <f>F171</f>
        <v>0</v>
      </c>
      <c r="AD186" s="528">
        <f>F168</f>
        <v>0</v>
      </c>
    </row>
    <row r="187" spans="2:30" outlineLevel="1">
      <c r="B187" s="535" t="s">
        <v>891</v>
      </c>
      <c r="C187" s="529">
        <v>30</v>
      </c>
      <c r="D187" s="530">
        <v>30</v>
      </c>
      <c r="E187" s="530">
        <v>30</v>
      </c>
      <c r="F187" s="531">
        <v>30</v>
      </c>
      <c r="G187" s="534"/>
      <c r="H187" s="534"/>
      <c r="I187" s="534"/>
      <c r="J187" s="534"/>
      <c r="K187" s="534" t="s">
        <v>52</v>
      </c>
      <c r="L187" s="536"/>
      <c r="M187" s="427"/>
      <c r="N187" s="427"/>
    </row>
    <row r="188" spans="2:30" outlineLevel="1">
      <c r="B188" s="535" t="s">
        <v>892</v>
      </c>
      <c r="C188" s="529">
        <v>20</v>
      </c>
      <c r="D188" s="530">
        <v>20</v>
      </c>
      <c r="E188" s="530">
        <v>20</v>
      </c>
      <c r="F188" s="531">
        <v>20</v>
      </c>
      <c r="G188" s="534"/>
      <c r="H188" s="534"/>
      <c r="I188" s="534"/>
      <c r="J188" s="534"/>
      <c r="K188" s="534" t="s">
        <v>52</v>
      </c>
      <c r="L188" s="536"/>
      <c r="M188" s="423"/>
      <c r="N188" s="423"/>
    </row>
    <row r="189" spans="2:30" ht="15" outlineLevel="1" thickBot="1">
      <c r="B189" s="537" t="s">
        <v>893</v>
      </c>
      <c r="C189" s="538" t="s">
        <v>36</v>
      </c>
      <c r="D189" s="539" t="s">
        <v>36</v>
      </c>
      <c r="E189" s="539" t="s">
        <v>36</v>
      </c>
      <c r="F189" s="540" t="s">
        <v>36</v>
      </c>
      <c r="G189" s="541"/>
      <c r="H189" s="541"/>
      <c r="I189" s="541"/>
      <c r="J189" s="541"/>
      <c r="K189" s="541"/>
      <c r="L189" s="542"/>
      <c r="M189" s="423"/>
      <c r="N189" s="423"/>
    </row>
    <row r="190" spans="2:30" ht="57.6" outlineLevel="1">
      <c r="B190" s="521" t="s">
        <v>894</v>
      </c>
      <c r="C190" s="543">
        <f>C173*$F$4*1000</f>
        <v>5438.5</v>
      </c>
      <c r="D190" s="543">
        <f t="shared" ref="D190:F190" si="9">D173*$F$4*1000</f>
        <v>4842.5</v>
      </c>
      <c r="E190" s="543">
        <f t="shared" si="9"/>
        <v>4470</v>
      </c>
      <c r="F190" s="543">
        <f t="shared" si="9"/>
        <v>4321</v>
      </c>
      <c r="G190" s="543"/>
      <c r="H190" s="544"/>
      <c r="I190" s="480" t="s">
        <v>332</v>
      </c>
      <c r="J190" s="480"/>
      <c r="K190" s="544"/>
      <c r="L190" s="544"/>
      <c r="N190" s="480"/>
    </row>
    <row r="191" spans="2:30" outlineLevel="1">
      <c r="B191" s="545" t="s">
        <v>895</v>
      </c>
      <c r="C191" s="546">
        <f>C190*$I191</f>
        <v>2719250</v>
      </c>
      <c r="D191" s="546">
        <f>D190*$I191</f>
        <v>2421250</v>
      </c>
      <c r="E191" s="546">
        <f>E190*$I191</f>
        <v>2235000</v>
      </c>
      <c r="F191" s="546">
        <f>F190*$I191</f>
        <v>2160500</v>
      </c>
      <c r="G191" s="546"/>
      <c r="H191" s="544"/>
      <c r="I191" s="71">
        <v>500</v>
      </c>
      <c r="J191" s="480" t="s">
        <v>330</v>
      </c>
      <c r="K191" s="544"/>
      <c r="L191" s="544"/>
      <c r="N191" s="480"/>
    </row>
    <row r="192" spans="2:30" ht="43.2" outlineLevel="1">
      <c r="B192" s="521" t="s">
        <v>970</v>
      </c>
      <c r="C192" s="419">
        <f>C176*$F$4/1000</f>
        <v>14.9</v>
      </c>
      <c r="D192" s="419">
        <f t="shared" ref="D192:F192" si="10">D176*$F$4/1000</f>
        <v>14.9</v>
      </c>
      <c r="E192" s="419">
        <f t="shared" si="10"/>
        <v>14.9</v>
      </c>
      <c r="F192" s="419">
        <f t="shared" si="10"/>
        <v>14.9</v>
      </c>
      <c r="G192" s="419"/>
      <c r="I192" s="480" t="s">
        <v>333</v>
      </c>
      <c r="J192" s="480"/>
      <c r="N192" s="480"/>
    </row>
    <row r="193" spans="2:14" ht="43.2" outlineLevel="1">
      <c r="B193" s="521" t="s">
        <v>971</v>
      </c>
      <c r="C193" s="547">
        <f>C177*$F$4/3.6</f>
        <v>6.7463888888888883</v>
      </c>
      <c r="D193" s="547">
        <f t="shared" ref="D193:F193" si="11">D177*$F$4/3.6</f>
        <v>6.6222222222222227</v>
      </c>
      <c r="E193" s="547">
        <f t="shared" si="11"/>
        <v>6.5394444444444444</v>
      </c>
      <c r="F193" s="547">
        <f t="shared" si="11"/>
        <v>6.4566666666666661</v>
      </c>
      <c r="G193" s="419"/>
      <c r="M193" s="480"/>
      <c r="N193" s="480"/>
    </row>
    <row r="194" spans="2:14" outlineLevel="1"/>
    <row r="195" spans="2:14" outlineLevel="1"/>
    <row r="196" spans="2:14" outlineLevel="1"/>
    <row r="197" spans="2:14" outlineLevel="1"/>
    <row r="198" spans="2:14" outlineLevel="1">
      <c r="E198" s="417"/>
      <c r="F198" s="417"/>
      <c r="G198" s="417"/>
      <c r="H198" s="417"/>
      <c r="I198" s="417"/>
      <c r="J198" s="417"/>
      <c r="K198" s="417"/>
      <c r="L198" s="417"/>
    </row>
    <row r="199" spans="2:14" outlineLevel="1">
      <c r="B199" s="694" t="s">
        <v>898</v>
      </c>
      <c r="C199" s="550"/>
      <c r="D199" s="550"/>
      <c r="E199" s="417"/>
      <c r="F199" s="417"/>
      <c r="G199" s="417"/>
      <c r="H199" s="417"/>
      <c r="I199" s="417"/>
      <c r="J199" s="417"/>
      <c r="K199" s="417"/>
      <c r="L199" s="417"/>
    </row>
    <row r="200" spans="2:14" outlineLevel="1">
      <c r="B200" s="417">
        <v>1</v>
      </c>
      <c r="C200" s="695" t="s">
        <v>972</v>
      </c>
      <c r="D200" s="550"/>
      <c r="F200" s="417"/>
      <c r="G200" s="417"/>
      <c r="H200" s="417"/>
      <c r="I200" s="417"/>
      <c r="J200" s="417"/>
      <c r="K200" s="417"/>
      <c r="L200" s="417"/>
    </row>
    <row r="201" spans="2:14" outlineLevel="1">
      <c r="B201" s="417">
        <v>2</v>
      </c>
      <c r="C201" s="695" t="s">
        <v>973</v>
      </c>
      <c r="D201" s="550"/>
      <c r="F201" s="417"/>
      <c r="G201" s="417"/>
      <c r="H201" s="417"/>
      <c r="I201" s="417"/>
      <c r="J201" s="417"/>
      <c r="K201" s="417"/>
      <c r="L201" s="417"/>
    </row>
    <row r="202" spans="2:14" outlineLevel="1">
      <c r="B202" s="417">
        <v>3</v>
      </c>
      <c r="C202" s="550" t="s">
        <v>974</v>
      </c>
      <c r="D202" s="550"/>
      <c r="F202" s="417"/>
      <c r="G202" s="417"/>
      <c r="H202" s="417"/>
      <c r="I202" s="417"/>
      <c r="J202" s="417"/>
      <c r="K202" s="417"/>
      <c r="L202" s="417"/>
    </row>
    <row r="203" spans="2:14" outlineLevel="1">
      <c r="B203" s="417">
        <v>4</v>
      </c>
      <c r="C203" s="550" t="s">
        <v>975</v>
      </c>
      <c r="D203" s="550"/>
      <c r="F203" s="417"/>
      <c r="G203" s="417"/>
      <c r="H203" s="417"/>
      <c r="I203" s="417"/>
      <c r="J203" s="417"/>
      <c r="K203" s="417"/>
      <c r="L203" s="417"/>
    </row>
    <row r="204" spans="2:14" outlineLevel="1">
      <c r="B204" s="417">
        <v>5</v>
      </c>
      <c r="C204" s="696" t="s">
        <v>976</v>
      </c>
      <c r="D204" s="550"/>
      <c r="F204" s="417"/>
      <c r="G204" s="417"/>
      <c r="H204" s="417"/>
      <c r="I204" s="417"/>
      <c r="J204" s="417"/>
      <c r="K204" s="417"/>
      <c r="L204" s="417"/>
    </row>
    <row r="205" spans="2:14" outlineLevel="1">
      <c r="B205" s="417">
        <v>6</v>
      </c>
      <c r="C205" s="550" t="s">
        <v>977</v>
      </c>
      <c r="D205" s="550"/>
      <c r="F205" s="417"/>
      <c r="G205" s="417"/>
      <c r="H205" s="417"/>
      <c r="I205" s="417"/>
      <c r="J205" s="417"/>
      <c r="K205" s="417"/>
      <c r="L205" s="417"/>
    </row>
    <row r="206" spans="2:14" outlineLevel="1">
      <c r="B206" s="694" t="s">
        <v>908</v>
      </c>
      <c r="C206" s="417"/>
      <c r="D206" s="550"/>
      <c r="F206" s="417"/>
      <c r="G206" s="417"/>
      <c r="H206" s="417"/>
      <c r="I206" s="417"/>
      <c r="J206" s="417"/>
      <c r="K206" s="417"/>
      <c r="L206" s="417"/>
    </row>
    <row r="207" spans="2:14" outlineLevel="1">
      <c r="B207" s="697" t="s">
        <v>6</v>
      </c>
      <c r="C207" s="550" t="s">
        <v>978</v>
      </c>
      <c r="D207" s="550"/>
      <c r="F207" s="417"/>
      <c r="G207" s="417"/>
      <c r="H207" s="417"/>
      <c r="I207" s="417"/>
      <c r="J207" s="417"/>
      <c r="K207" s="417"/>
      <c r="L207" s="417"/>
    </row>
    <row r="208" spans="2:14" outlineLevel="1">
      <c r="B208" s="697" t="s">
        <v>59</v>
      </c>
      <c r="C208" s="550" t="s">
        <v>979</v>
      </c>
      <c r="D208" s="550"/>
      <c r="F208" s="417"/>
      <c r="G208" s="417"/>
      <c r="H208" s="417"/>
      <c r="I208" s="417"/>
      <c r="J208" s="417"/>
      <c r="K208" s="417"/>
      <c r="L208" s="417"/>
    </row>
    <row r="209" spans="1:44" outlineLevel="1">
      <c r="B209" s="697" t="s">
        <v>16</v>
      </c>
      <c r="C209" s="550" t="s">
        <v>980</v>
      </c>
      <c r="D209" s="550"/>
      <c r="F209" s="417"/>
      <c r="G209" s="417"/>
      <c r="H209" s="417"/>
      <c r="I209" s="417"/>
      <c r="J209" s="417"/>
      <c r="K209" s="417"/>
      <c r="L209" s="417"/>
    </row>
    <row r="210" spans="1:44" outlineLevel="1">
      <c r="B210" s="697" t="s">
        <v>20</v>
      </c>
      <c r="C210" s="550" t="s">
        <v>981</v>
      </c>
      <c r="D210" s="550"/>
      <c r="F210" s="417"/>
      <c r="G210" s="417"/>
      <c r="H210" s="417"/>
      <c r="I210" s="417"/>
      <c r="J210" s="417"/>
      <c r="K210" s="417"/>
      <c r="L210" s="417"/>
    </row>
    <row r="211" spans="1:44" outlineLevel="1">
      <c r="B211" s="697" t="s">
        <v>76</v>
      </c>
      <c r="C211" s="550" t="s">
        <v>982</v>
      </c>
      <c r="D211" s="550"/>
      <c r="F211" s="417"/>
      <c r="G211" s="417"/>
      <c r="H211" s="417"/>
      <c r="I211" s="417"/>
      <c r="J211" s="417"/>
      <c r="K211" s="417"/>
      <c r="L211" s="417"/>
    </row>
    <row r="212" spans="1:44" outlineLevel="1">
      <c r="B212" s="697" t="s">
        <v>25</v>
      </c>
      <c r="C212" s="550" t="s">
        <v>983</v>
      </c>
      <c r="D212" s="417"/>
      <c r="F212" s="417"/>
      <c r="G212" s="417"/>
      <c r="H212" s="417"/>
      <c r="I212" s="417"/>
      <c r="J212" s="417"/>
      <c r="K212" s="417"/>
      <c r="L212" s="417"/>
    </row>
    <row r="213" spans="1:44" outlineLevel="1">
      <c r="B213" s="697" t="s">
        <v>33</v>
      </c>
      <c r="C213" s="549" t="s">
        <v>913</v>
      </c>
      <c r="D213" s="417"/>
      <c r="F213" s="417"/>
      <c r="G213" s="417"/>
      <c r="H213" s="417"/>
      <c r="I213" s="417"/>
      <c r="J213" s="417"/>
      <c r="K213" s="417"/>
      <c r="L213" s="417"/>
    </row>
    <row r="214" spans="1:44" outlineLevel="1">
      <c r="B214" s="697" t="s">
        <v>51</v>
      </c>
      <c r="C214" s="550" t="s">
        <v>984</v>
      </c>
      <c r="D214" s="417"/>
      <c r="G214" s="417"/>
      <c r="H214" s="417"/>
      <c r="I214" s="417"/>
      <c r="J214" s="417"/>
      <c r="K214" s="417"/>
      <c r="L214" s="417"/>
    </row>
    <row r="215" spans="1:44" outlineLevel="1">
      <c r="B215" s="697" t="s">
        <v>52</v>
      </c>
      <c r="C215" s="550" t="s">
        <v>985</v>
      </c>
      <c r="E215" s="550"/>
      <c r="F215" s="550"/>
    </row>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8">
    <mergeCell ref="C95:F99"/>
    <mergeCell ref="C114:F114"/>
    <mergeCell ref="AG163:AH163"/>
    <mergeCell ref="C167:F171"/>
    <mergeCell ref="C186:F186"/>
    <mergeCell ref="B5:B6"/>
    <mergeCell ref="C5:M5"/>
    <mergeCell ref="P5:U5"/>
    <mergeCell ref="C6:M6"/>
    <mergeCell ref="C7:L7"/>
    <mergeCell ref="S7:S10"/>
    <mergeCell ref="T7:U9"/>
    <mergeCell ref="I8:J8"/>
    <mergeCell ref="K8:K9"/>
    <mergeCell ref="P11:P19"/>
    <mergeCell ref="Q11:Q13"/>
    <mergeCell ref="T11:T13"/>
    <mergeCell ref="U11:U13"/>
    <mergeCell ref="V11:V13"/>
    <mergeCell ref="W11:W13"/>
    <mergeCell ref="Q14:Q18"/>
    <mergeCell ref="T14:T18"/>
    <mergeCell ref="U14:U18"/>
    <mergeCell ref="V14:V18"/>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W14:W18"/>
    <mergeCell ref="AQ11:AQ13"/>
    <mergeCell ref="AR11:AR13"/>
    <mergeCell ref="AS11:AS13"/>
    <mergeCell ref="AF11:AF19"/>
    <mergeCell ref="AG11:AG13"/>
    <mergeCell ref="AJ11:AJ13"/>
    <mergeCell ref="AK11:AK13"/>
    <mergeCell ref="AL11:AL13"/>
    <mergeCell ref="AM11:AM13"/>
    <mergeCell ref="AH19:AI19"/>
    <mergeCell ref="AQ14:AQ18"/>
    <mergeCell ref="AR14:AR18"/>
    <mergeCell ref="AS14:AS18"/>
    <mergeCell ref="X14:X18"/>
    <mergeCell ref="Y14:Y18"/>
    <mergeCell ref="Z14:Z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AG91:AH91"/>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60" r:id="rId1" xr:uid="{9F7F7D6F-2CA3-45AD-A17D-6BC563E353BB}"/>
    <hyperlink ref="C132" r:id="rId2" xr:uid="{E4D2F3F2-D72A-4768-9CD4-19F4905131F2}"/>
    <hyperlink ref="C204" r:id="rId3" xr:uid="{9EE015A7-4873-406D-ADC3-627D0656199F}"/>
  </hyperlinks>
  <pageMargins left="0.7" right="0.7" top="0.75" bottom="0.75" header="0.3" footer="0.3"/>
  <pageSetup paperSize="9" orientation="portrait" r:id="rId4"/>
  <legacyDrawing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14348-B4C9-470E-A329-9CECAE0E402C}">
  <sheetPr>
    <tabColor theme="3"/>
  </sheetPr>
  <dimension ref="A2:AS345"/>
  <sheetViews>
    <sheetView topLeftCell="Q1" zoomScale="80" zoomScaleNormal="80" workbookViewId="0">
      <selection activeCell="Y23" sqref="Y23"/>
    </sheetView>
  </sheetViews>
  <sheetFormatPr defaultColWidth="8.6640625" defaultRowHeight="14.4" outlineLevelRow="1"/>
  <cols>
    <col min="1" max="1" width="29.664062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Heat driven heat pumps, up to 80 °C</v>
      </c>
    </row>
    <row r="4" spans="1:45" ht="25.2" customHeight="1">
      <c r="E4" s="239" t="s">
        <v>358</v>
      </c>
      <c r="F4" s="419">
        <v>7.45</v>
      </c>
      <c r="G4" s="419" t="s">
        <v>328</v>
      </c>
    </row>
    <row r="5" spans="1:45" ht="15" customHeight="1">
      <c r="A5" s="420" t="s">
        <v>1009</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999</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12</v>
      </c>
      <c r="D10" s="432">
        <v>12</v>
      </c>
      <c r="E10" s="432">
        <v>12</v>
      </c>
      <c r="F10" s="432">
        <v>12</v>
      </c>
      <c r="G10" s="432">
        <v>1</v>
      </c>
      <c r="H10" s="432">
        <v>20</v>
      </c>
      <c r="I10" s="432">
        <v>1</v>
      </c>
      <c r="J10" s="432">
        <v>30</v>
      </c>
      <c r="K10" s="432" t="s">
        <v>102</v>
      </c>
      <c r="L10" s="433">
        <v>1</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170</v>
      </c>
      <c r="D11" s="437">
        <v>171</v>
      </c>
      <c r="E11" s="438">
        <v>172</v>
      </c>
      <c r="F11" s="437">
        <v>173</v>
      </c>
      <c r="G11" s="437">
        <v>170</v>
      </c>
      <c r="H11" s="699">
        <v>180</v>
      </c>
      <c r="I11" s="437">
        <v>170</v>
      </c>
      <c r="J11" s="699">
        <v>180</v>
      </c>
      <c r="K11" s="439"/>
      <c r="L11" s="440">
        <v>1</v>
      </c>
      <c r="M11" s="430"/>
      <c r="N11" s="430"/>
      <c r="P11" s="1042" t="str">
        <f>C7</f>
        <v>Heat driven heat pumps, up to 80 °C</v>
      </c>
      <c r="Q11" s="1030" t="s">
        <v>855</v>
      </c>
      <c r="R11" s="441" t="s">
        <v>856</v>
      </c>
      <c r="S11" s="442" t="s">
        <v>967</v>
      </c>
      <c r="T11" s="1033">
        <v>0</v>
      </c>
      <c r="U11" s="1021">
        <v>0</v>
      </c>
      <c r="V11" s="1024">
        <v>0</v>
      </c>
      <c r="W11" s="1021">
        <v>0</v>
      </c>
      <c r="X11" s="1024">
        <v>0</v>
      </c>
      <c r="Y11" s="1021">
        <v>0</v>
      </c>
      <c r="Z11" s="1024">
        <v>0</v>
      </c>
      <c r="AA11" s="1021">
        <v>0</v>
      </c>
      <c r="AB11" s="1024">
        <v>0</v>
      </c>
      <c r="AC11" s="1021">
        <v>0</v>
      </c>
      <c r="AD11" s="1024">
        <f>AB11</f>
        <v>0</v>
      </c>
      <c r="AE11" s="1021">
        <f>AC11</f>
        <v>0</v>
      </c>
      <c r="AF11" s="1027" t="str">
        <f>P11</f>
        <v>Heat driven heat pumps, up to 80 °C</v>
      </c>
      <c r="AG11" s="1030" t="s">
        <v>855</v>
      </c>
      <c r="AH11" s="441" t="s">
        <v>856</v>
      </c>
      <c r="AI11" s="442" t="str">
        <f t="shared" ref="AI11:AI13" si="0">S11</f>
        <v/>
      </c>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637">
        <v>168</v>
      </c>
      <c r="D12" s="637">
        <v>169</v>
      </c>
      <c r="E12" s="637">
        <v>170</v>
      </c>
      <c r="F12" s="637">
        <v>171</v>
      </c>
      <c r="G12" s="701">
        <v>168</v>
      </c>
      <c r="H12" s="701">
        <v>178</v>
      </c>
      <c r="I12" s="701">
        <v>168</v>
      </c>
      <c r="J12" s="701">
        <v>178</v>
      </c>
      <c r="K12" s="446" t="s">
        <v>16</v>
      </c>
      <c r="L12" s="447"/>
      <c r="M12" s="430"/>
      <c r="N12" s="430"/>
      <c r="O12" s="71"/>
      <c r="P12" s="1028"/>
      <c r="Q12" s="1031"/>
      <c r="R12" s="448" t="s">
        <v>858</v>
      </c>
      <c r="S12" s="449" t="s">
        <v>967</v>
      </c>
      <c r="T12" s="1034"/>
      <c r="U12" s="1022"/>
      <c r="V12" s="1025"/>
      <c r="W12" s="1022"/>
      <c r="X12" s="1025"/>
      <c r="Y12" s="1022"/>
      <c r="Z12" s="1025"/>
      <c r="AA12" s="1022"/>
      <c r="AB12" s="1025"/>
      <c r="AC12" s="1022"/>
      <c r="AD12" s="1025"/>
      <c r="AE12" s="1022"/>
      <c r="AF12" s="1028"/>
      <c r="AG12" s="1031"/>
      <c r="AH12" s="448" t="s">
        <v>858</v>
      </c>
      <c r="AI12" s="449" t="str">
        <f t="shared" si="0"/>
        <v/>
      </c>
      <c r="AJ12" s="1034"/>
      <c r="AK12" s="1022"/>
      <c r="AL12" s="1025"/>
      <c r="AM12" s="1022"/>
      <c r="AN12" s="1025"/>
      <c r="AO12" s="1022"/>
      <c r="AP12" s="1025"/>
      <c r="AQ12" s="1022"/>
      <c r="AR12" s="1025"/>
      <c r="AS12" s="1022"/>
    </row>
    <row r="13" spans="1:45" ht="15" outlineLevel="1" thickBot="1">
      <c r="B13" s="436" t="s">
        <v>859</v>
      </c>
      <c r="C13" s="450">
        <v>1</v>
      </c>
      <c r="D13" s="451">
        <v>1</v>
      </c>
      <c r="E13" s="451">
        <v>1</v>
      </c>
      <c r="F13" s="452">
        <v>1</v>
      </c>
      <c r="G13" s="451">
        <v>1</v>
      </c>
      <c r="H13" s="451">
        <v>3</v>
      </c>
      <c r="I13" s="451">
        <v>1</v>
      </c>
      <c r="J13" s="451">
        <v>3</v>
      </c>
      <c r="K13" s="439"/>
      <c r="L13" s="440">
        <v>1</v>
      </c>
      <c r="M13" s="430"/>
      <c r="N13" s="430"/>
      <c r="O13" s="71"/>
      <c r="P13" s="1028"/>
      <c r="Q13" s="1032"/>
      <c r="R13" s="453" t="s">
        <v>860</v>
      </c>
      <c r="S13" s="454" t="s">
        <v>967</v>
      </c>
      <c r="T13" s="1035"/>
      <c r="U13" s="1023"/>
      <c r="V13" s="1026"/>
      <c r="W13" s="1023"/>
      <c r="X13" s="1026"/>
      <c r="Y13" s="1023"/>
      <c r="Z13" s="1026"/>
      <c r="AA13" s="1023"/>
      <c r="AB13" s="1026"/>
      <c r="AC13" s="1023"/>
      <c r="AD13" s="1026"/>
      <c r="AE13" s="1023"/>
      <c r="AF13" s="1028"/>
      <c r="AG13" s="1032"/>
      <c r="AH13" s="453" t="s">
        <v>860</v>
      </c>
      <c r="AI13" s="454" t="str">
        <f t="shared" si="0"/>
        <v/>
      </c>
      <c r="AJ13" s="1035"/>
      <c r="AK13" s="1023"/>
      <c r="AL13" s="1026"/>
      <c r="AM13" s="1023"/>
      <c r="AN13" s="1026"/>
      <c r="AO13" s="1023"/>
      <c r="AP13" s="1026"/>
      <c r="AQ13" s="1023"/>
      <c r="AR13" s="1026"/>
      <c r="AS13" s="1023"/>
    </row>
    <row r="14" spans="1:45" ht="15" customHeight="1" outlineLevel="1">
      <c r="B14" s="436" t="s">
        <v>702</v>
      </c>
      <c r="C14" s="450">
        <v>0</v>
      </c>
      <c r="D14" s="450">
        <v>0</v>
      </c>
      <c r="E14" s="450">
        <v>0</v>
      </c>
      <c r="F14" s="450">
        <v>0</v>
      </c>
      <c r="G14" s="450">
        <v>0</v>
      </c>
      <c r="H14" s="450">
        <v>1</v>
      </c>
      <c r="I14" s="450">
        <v>0</v>
      </c>
      <c r="J14" s="450">
        <v>1</v>
      </c>
      <c r="K14" s="439"/>
      <c r="L14" s="440">
        <v>1</v>
      </c>
      <c r="M14" s="430"/>
      <c r="N14" s="430"/>
      <c r="O14" s="71"/>
      <c r="P14" s="1028"/>
      <c r="Q14" s="1030" t="s">
        <v>861</v>
      </c>
      <c r="R14" s="455" t="s">
        <v>862</v>
      </c>
      <c r="S14" s="456" t="s">
        <v>863</v>
      </c>
      <c r="T14" s="1033">
        <v>0</v>
      </c>
      <c r="U14" s="1033">
        <v>0.02</v>
      </c>
      <c r="V14" s="1033">
        <v>0</v>
      </c>
      <c r="W14" s="1033">
        <v>0.02</v>
      </c>
      <c r="X14" s="1033">
        <v>0</v>
      </c>
      <c r="Y14" s="1033">
        <v>0.01</v>
      </c>
      <c r="Z14" s="1033">
        <v>0</v>
      </c>
      <c r="AA14" s="1033">
        <v>0.01</v>
      </c>
      <c r="AB14" s="1033">
        <v>0</v>
      </c>
      <c r="AC14" s="1021">
        <v>0.01</v>
      </c>
      <c r="AD14" s="1033">
        <f>AB14</f>
        <v>0</v>
      </c>
      <c r="AE14" s="1021">
        <v>0</v>
      </c>
      <c r="AF14" s="1028"/>
      <c r="AG14" s="1030" t="s">
        <v>861</v>
      </c>
      <c r="AH14" s="455" t="s">
        <v>862</v>
      </c>
      <c r="AI14" s="456" t="str">
        <f>S14</f>
        <v>x</v>
      </c>
      <c r="AJ14" s="1033">
        <v>0</v>
      </c>
      <c r="AK14" s="1033">
        <f>U14</f>
        <v>0.02</v>
      </c>
      <c r="AL14" s="1033">
        <v>0</v>
      </c>
      <c r="AM14" s="1033">
        <f>W14</f>
        <v>0.02</v>
      </c>
      <c r="AN14" s="1033">
        <v>0</v>
      </c>
      <c r="AO14" s="1033">
        <f>Y14</f>
        <v>0.01</v>
      </c>
      <c r="AP14" s="1033">
        <v>0</v>
      </c>
      <c r="AQ14" s="1033">
        <f>AA14</f>
        <v>0.01</v>
      </c>
      <c r="AR14" s="1033">
        <v>0</v>
      </c>
      <c r="AS14" s="1021">
        <f>AC14</f>
        <v>0.01</v>
      </c>
    </row>
    <row r="15" spans="1:45" outlineLevel="1">
      <c r="B15" s="436" t="s">
        <v>703</v>
      </c>
      <c r="C15" s="450">
        <v>0</v>
      </c>
      <c r="D15" s="450">
        <v>0</v>
      </c>
      <c r="E15" s="450">
        <v>0</v>
      </c>
      <c r="F15" s="450">
        <v>0</v>
      </c>
      <c r="G15" s="450">
        <v>0</v>
      </c>
      <c r="H15" s="450">
        <v>1</v>
      </c>
      <c r="I15" s="450">
        <v>0</v>
      </c>
      <c r="J15" s="450">
        <v>1</v>
      </c>
      <c r="K15" s="439"/>
      <c r="L15" s="440">
        <v>1</v>
      </c>
      <c r="M15" s="427"/>
      <c r="N15" s="427"/>
      <c r="O15" s="71"/>
      <c r="P15" s="1028"/>
      <c r="Q15" s="1031"/>
      <c r="R15" s="455" t="s">
        <v>864</v>
      </c>
      <c r="S15" s="456" t="s">
        <v>863</v>
      </c>
      <c r="T15" s="1036"/>
      <c r="U15" s="1036"/>
      <c r="V15" s="1036"/>
      <c r="W15" s="1036"/>
      <c r="X15" s="1036"/>
      <c r="Y15" s="1036"/>
      <c r="Z15" s="1036"/>
      <c r="AA15" s="1036"/>
      <c r="AB15" s="1036"/>
      <c r="AC15" s="1038"/>
      <c r="AD15" s="1036"/>
      <c r="AE15" s="1038"/>
      <c r="AF15" s="1028"/>
      <c r="AG15" s="1031"/>
      <c r="AH15" s="455" t="s">
        <v>864</v>
      </c>
      <c r="AI15" s="456" t="str">
        <f>S15</f>
        <v>x</v>
      </c>
      <c r="AJ15" s="1036"/>
      <c r="AK15" s="1036"/>
      <c r="AL15" s="1036"/>
      <c r="AM15" s="1036"/>
      <c r="AN15" s="1036"/>
      <c r="AO15" s="1036"/>
      <c r="AP15" s="1036"/>
      <c r="AQ15" s="1036"/>
      <c r="AR15" s="1036"/>
      <c r="AS15" s="1038"/>
    </row>
    <row r="16" spans="1:45" outlineLevel="1">
      <c r="B16" s="443" t="s">
        <v>11</v>
      </c>
      <c r="C16" s="457">
        <v>20</v>
      </c>
      <c r="D16" s="457">
        <v>20</v>
      </c>
      <c r="E16" s="457">
        <v>20</v>
      </c>
      <c r="F16" s="457">
        <v>20</v>
      </c>
      <c r="G16" s="458">
        <v>20</v>
      </c>
      <c r="H16" s="458">
        <v>30</v>
      </c>
      <c r="I16" s="458">
        <v>20</v>
      </c>
      <c r="J16" s="458">
        <v>30</v>
      </c>
      <c r="K16" s="432"/>
      <c r="L16" s="433">
        <v>2</v>
      </c>
      <c r="M16" s="423"/>
      <c r="N16" s="423"/>
      <c r="P16" s="1028"/>
      <c r="Q16" s="1031"/>
      <c r="R16" s="455" t="s">
        <v>866</v>
      </c>
      <c r="S16" s="456" t="s">
        <v>967</v>
      </c>
      <c r="T16" s="1036"/>
      <c r="U16" s="1036"/>
      <c r="V16" s="1036"/>
      <c r="W16" s="1036"/>
      <c r="X16" s="1036"/>
      <c r="Y16" s="1036"/>
      <c r="Z16" s="1036"/>
      <c r="AA16" s="1036"/>
      <c r="AB16" s="1036"/>
      <c r="AC16" s="1038"/>
      <c r="AD16" s="1036"/>
      <c r="AE16" s="1038"/>
      <c r="AF16" s="1028"/>
      <c r="AG16" s="1031"/>
      <c r="AH16" s="455" t="s">
        <v>866</v>
      </c>
      <c r="AI16" s="689" t="str">
        <f>S16</f>
        <v/>
      </c>
      <c r="AJ16" s="1036"/>
      <c r="AK16" s="1036"/>
      <c r="AL16" s="1036"/>
      <c r="AM16" s="1036"/>
      <c r="AN16" s="1036"/>
      <c r="AO16" s="1036"/>
      <c r="AP16" s="1036"/>
      <c r="AQ16" s="1036"/>
      <c r="AR16" s="1036"/>
      <c r="AS16" s="1038"/>
    </row>
    <row r="17" spans="1:45" ht="15" outlineLevel="1" thickBot="1">
      <c r="B17" s="436" t="s">
        <v>273</v>
      </c>
      <c r="C17" s="459">
        <v>0.5</v>
      </c>
      <c r="D17" s="459">
        <v>0.5</v>
      </c>
      <c r="E17" s="459">
        <v>0.5</v>
      </c>
      <c r="F17" s="459">
        <v>0.5</v>
      </c>
      <c r="G17" s="459">
        <v>0.3</v>
      </c>
      <c r="H17" s="459">
        <v>0.7</v>
      </c>
      <c r="I17" s="459">
        <v>0.3</v>
      </c>
      <c r="J17" s="459">
        <v>0.7</v>
      </c>
      <c r="K17" s="432"/>
      <c r="L17" s="460">
        <v>1</v>
      </c>
      <c r="M17" s="423"/>
      <c r="N17" s="423"/>
      <c r="P17" s="1028"/>
      <c r="Q17" s="1031"/>
      <c r="R17" s="455" t="s">
        <v>867</v>
      </c>
      <c r="S17" s="456" t="s">
        <v>863</v>
      </c>
      <c r="T17" s="1036"/>
      <c r="U17" s="1036"/>
      <c r="V17" s="1036"/>
      <c r="W17" s="1036"/>
      <c r="X17" s="1036"/>
      <c r="Y17" s="1036"/>
      <c r="Z17" s="1036"/>
      <c r="AA17" s="1036"/>
      <c r="AB17" s="1036"/>
      <c r="AC17" s="1038"/>
      <c r="AD17" s="1036"/>
      <c r="AE17" s="1038"/>
      <c r="AF17" s="1028"/>
      <c r="AG17" s="1031"/>
      <c r="AH17" s="455" t="s">
        <v>867</v>
      </c>
      <c r="AI17" s="456" t="str">
        <f>S17</f>
        <v>x</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37"/>
      <c r="U18" s="1037"/>
      <c r="V18" s="1037"/>
      <c r="W18" s="1037"/>
      <c r="X18" s="1037"/>
      <c r="Y18" s="1037"/>
      <c r="Z18" s="1037"/>
      <c r="AA18" s="1037"/>
      <c r="AB18" s="1037"/>
      <c r="AC18" s="1039"/>
      <c r="AD18" s="1037"/>
      <c r="AE18" s="1039"/>
      <c r="AF18" s="1028"/>
      <c r="AG18" s="1032"/>
      <c r="AH18" s="469" t="s">
        <v>988</v>
      </c>
      <c r="AI18" s="470" t="str">
        <f>S18</f>
        <v>x</v>
      </c>
      <c r="AJ18" s="1037"/>
      <c r="AK18" s="1037"/>
      <c r="AL18" s="1037"/>
      <c r="AM18" s="1037"/>
      <c r="AN18" s="1037"/>
      <c r="AO18" s="1037"/>
      <c r="AP18" s="1037"/>
      <c r="AQ18" s="1037"/>
      <c r="AR18" s="1037"/>
      <c r="AS18" s="1039"/>
    </row>
    <row r="19" spans="1:45" ht="29.4" outlineLevel="1" thickBot="1">
      <c r="B19" s="436" t="s">
        <v>708</v>
      </c>
      <c r="C19" s="450"/>
      <c r="D19" s="450"/>
      <c r="E19" s="450"/>
      <c r="F19" s="450"/>
      <c r="G19" s="451"/>
      <c r="H19" s="451"/>
      <c r="I19" s="451"/>
      <c r="J19" s="451"/>
      <c r="K19" s="439"/>
      <c r="L19" s="440">
        <v>1</v>
      </c>
      <c r="M19" s="423"/>
      <c r="N19" s="423"/>
      <c r="P19" s="1029"/>
      <c r="Q19" s="471" t="s">
        <v>870</v>
      </c>
      <c r="R19" s="472" t="s">
        <v>871</v>
      </c>
      <c r="S19" s="690" t="s">
        <v>863</v>
      </c>
      <c r="T19" s="476">
        <v>1</v>
      </c>
      <c r="U19" s="475">
        <v>1</v>
      </c>
      <c r="V19" s="476">
        <v>1</v>
      </c>
      <c r="W19" s="475">
        <v>1</v>
      </c>
      <c r="X19" s="476">
        <v>1</v>
      </c>
      <c r="Y19" s="475">
        <v>1</v>
      </c>
      <c r="Z19" s="476">
        <v>1</v>
      </c>
      <c r="AA19" s="475">
        <v>1</v>
      </c>
      <c r="AB19" s="476">
        <v>1</v>
      </c>
      <c r="AC19" s="477">
        <v>1</v>
      </c>
      <c r="AD19" s="476">
        <f>AB19</f>
        <v>1</v>
      </c>
      <c r="AE19" s="477">
        <f>AC19</f>
        <v>1</v>
      </c>
      <c r="AF19" s="1029"/>
      <c r="AG19" s="471" t="s">
        <v>870</v>
      </c>
      <c r="AH19" s="1108" t="s">
        <v>871</v>
      </c>
      <c r="AI19" s="1109" t="s">
        <v>863</v>
      </c>
      <c r="AJ19" s="476">
        <v>1</v>
      </c>
      <c r="AK19" s="475">
        <v>1</v>
      </c>
      <c r="AL19" s="476">
        <v>1</v>
      </c>
      <c r="AM19" s="475">
        <v>1</v>
      </c>
      <c r="AN19" s="476">
        <v>1</v>
      </c>
      <c r="AO19" s="475">
        <v>1</v>
      </c>
      <c r="AP19" s="476">
        <v>1</v>
      </c>
      <c r="AQ19" s="475">
        <v>1</v>
      </c>
      <c r="AR19" s="476">
        <v>1</v>
      </c>
      <c r="AS19" s="477">
        <v>1</v>
      </c>
    </row>
    <row r="20" spans="1:45" outlineLevel="1">
      <c r="B20" s="436" t="s">
        <v>709</v>
      </c>
      <c r="C20" s="450">
        <v>0</v>
      </c>
      <c r="D20" s="450">
        <v>0</v>
      </c>
      <c r="E20" s="450">
        <v>0</v>
      </c>
      <c r="F20" s="450">
        <v>0</v>
      </c>
      <c r="G20" s="478"/>
      <c r="H20" s="478"/>
      <c r="I20" s="478"/>
      <c r="J20" s="478"/>
      <c r="K20" s="479"/>
      <c r="L20" s="440">
        <v>1</v>
      </c>
      <c r="M20" s="423"/>
      <c r="N20" s="423"/>
    </row>
    <row r="21" spans="1:45" outlineLevel="1">
      <c r="B21" s="436" t="s">
        <v>711</v>
      </c>
      <c r="C21" s="450">
        <v>0.5</v>
      </c>
      <c r="D21" s="450">
        <v>0.5</v>
      </c>
      <c r="E21" s="450">
        <v>0.5</v>
      </c>
      <c r="F21" s="450">
        <v>0.5</v>
      </c>
      <c r="G21" s="478"/>
      <c r="H21" s="478"/>
      <c r="I21" s="478"/>
      <c r="J21" s="478"/>
      <c r="K21" s="479"/>
      <c r="L21" s="440">
        <v>1</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1000</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571">
        <v>0.56000000000000005</v>
      </c>
      <c r="D29" s="572">
        <v>0.51</v>
      </c>
      <c r="E29" s="572">
        <v>0.48</v>
      </c>
      <c r="F29" s="573">
        <v>0.46</v>
      </c>
      <c r="G29" s="485"/>
      <c r="H29" s="485"/>
      <c r="I29" s="485"/>
      <c r="J29" s="485"/>
      <c r="K29" s="486"/>
      <c r="L29" s="500">
        <v>1</v>
      </c>
      <c r="M29" s="480"/>
      <c r="N29" s="480"/>
    </row>
    <row r="30" spans="1:45" outlineLevel="1">
      <c r="B30" s="501" t="s">
        <v>964</v>
      </c>
      <c r="C30" s="502">
        <v>50</v>
      </c>
      <c r="D30" s="502">
        <v>50</v>
      </c>
      <c r="E30" s="502">
        <v>50</v>
      </c>
      <c r="F30" s="502">
        <v>50</v>
      </c>
      <c r="G30" s="485"/>
      <c r="H30" s="485"/>
      <c r="I30" s="485"/>
      <c r="J30" s="485"/>
      <c r="K30" s="504"/>
      <c r="L30" s="433">
        <v>2</v>
      </c>
      <c r="M30" s="71"/>
      <c r="N30" s="480"/>
    </row>
    <row r="31" spans="1:45" outlineLevel="1">
      <c r="B31" s="501" t="s">
        <v>965</v>
      </c>
      <c r="C31" s="502">
        <v>50</v>
      </c>
      <c r="D31" s="502">
        <v>50</v>
      </c>
      <c r="E31" s="502">
        <v>50</v>
      </c>
      <c r="F31" s="502">
        <v>50</v>
      </c>
      <c r="G31" s="485"/>
      <c r="H31" s="485"/>
      <c r="I31" s="485"/>
      <c r="J31" s="485"/>
      <c r="K31" s="504"/>
      <c r="L31" s="433">
        <v>2</v>
      </c>
      <c r="M31" s="480"/>
      <c r="N31" s="480"/>
    </row>
    <row r="32" spans="1:45" outlineLevel="1">
      <c r="B32" s="443" t="s">
        <v>966</v>
      </c>
      <c r="C32" s="505">
        <v>2000</v>
      </c>
      <c r="D32" s="506">
        <v>2000</v>
      </c>
      <c r="E32" s="506">
        <v>2000</v>
      </c>
      <c r="F32" s="507">
        <v>2000</v>
      </c>
      <c r="G32" s="485"/>
      <c r="H32" s="485"/>
      <c r="I32" s="485"/>
      <c r="J32" s="485"/>
      <c r="K32" s="508"/>
      <c r="L32" s="433">
        <v>1</v>
      </c>
      <c r="M32" s="480"/>
      <c r="N32" s="480"/>
    </row>
    <row r="33" spans="2:30" ht="37.200000000000003" customHeight="1" outlineLevel="1" thickBot="1">
      <c r="B33" s="443" t="s">
        <v>724</v>
      </c>
      <c r="C33" s="509">
        <f>C34+C35</f>
        <v>1.01</v>
      </c>
      <c r="D33" s="509">
        <f t="shared" ref="D33:F33" si="1">D34+D35</f>
        <v>1</v>
      </c>
      <c r="E33" s="509">
        <f t="shared" si="1"/>
        <v>1</v>
      </c>
      <c r="F33" s="509">
        <f t="shared" si="1"/>
        <v>0.99</v>
      </c>
      <c r="G33" s="485"/>
      <c r="H33" s="485"/>
      <c r="I33" s="485"/>
      <c r="J33" s="485"/>
      <c r="K33" s="508"/>
      <c r="L33" s="433">
        <v>1</v>
      </c>
      <c r="M33" s="510"/>
      <c r="N33" s="421"/>
      <c r="P33" s="999">
        <f>C33</f>
        <v>1.01</v>
      </c>
      <c r="Q33" s="977"/>
      <c r="R33" s="977"/>
      <c r="S33" s="977"/>
      <c r="T33" s="977"/>
      <c r="U33" s="1000"/>
    </row>
    <row r="34" spans="2:30" ht="15.75" customHeight="1" outlineLevel="1" thickBot="1">
      <c r="B34" s="511" t="s">
        <v>883</v>
      </c>
      <c r="C34" s="512">
        <f>C13/100*73</f>
        <v>0.73</v>
      </c>
      <c r="D34" s="512">
        <f>D13/100*75</f>
        <v>0.75</v>
      </c>
      <c r="E34" s="512">
        <f>E13/100*76</f>
        <v>0.76</v>
      </c>
      <c r="F34" s="512">
        <f>F13/100*76</f>
        <v>0.76</v>
      </c>
      <c r="G34" s="513"/>
      <c r="H34" s="513"/>
      <c r="I34" s="513"/>
      <c r="J34" s="513"/>
      <c r="K34" s="439" t="s">
        <v>20</v>
      </c>
      <c r="L34" s="440"/>
      <c r="M34" s="510"/>
      <c r="N34" s="421"/>
      <c r="P34" s="1001">
        <f>C34</f>
        <v>0.73</v>
      </c>
      <c r="Q34" s="1002"/>
      <c r="R34" s="1002"/>
      <c r="S34" s="1002"/>
      <c r="T34" s="1002"/>
      <c r="U34" s="1003"/>
    </row>
    <row r="35" spans="2:30" outlineLevel="1">
      <c r="B35" s="511" t="s">
        <v>884</v>
      </c>
      <c r="C35" s="715">
        <v>0.28000000000000003</v>
      </c>
      <c r="D35" s="715">
        <v>0.25</v>
      </c>
      <c r="E35" s="715">
        <v>0.24</v>
      </c>
      <c r="F35" s="715">
        <v>0.23</v>
      </c>
      <c r="G35" s="513"/>
      <c r="H35" s="513"/>
      <c r="I35" s="513"/>
      <c r="J35" s="513"/>
      <c r="K35" s="515"/>
      <c r="L35" s="440">
        <v>1</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703" t="s">
        <v>36</v>
      </c>
      <c r="D39" s="703" t="s">
        <v>36</v>
      </c>
      <c r="E39" s="703" t="s">
        <v>36</v>
      </c>
      <c r="F39" s="703" t="s">
        <v>36</v>
      </c>
      <c r="G39" s="703"/>
      <c r="H39" s="703"/>
      <c r="I39" s="703"/>
      <c r="J39" s="703"/>
      <c r="K39" s="703" t="s">
        <v>76</v>
      </c>
      <c r="L39" s="524"/>
      <c r="M39" s="423"/>
      <c r="N39" s="423"/>
      <c r="O39" s="525">
        <f>C12</f>
        <v>168</v>
      </c>
      <c r="P39" s="526">
        <f>C8</f>
        <v>2020</v>
      </c>
      <c r="Q39" s="58">
        <f>P39</f>
        <v>2020</v>
      </c>
      <c r="R39" s="526">
        <f>O39/100</f>
        <v>1.68</v>
      </c>
      <c r="S39" s="58"/>
      <c r="T39" s="526">
        <f>C16</f>
        <v>20</v>
      </c>
      <c r="U39" s="527">
        <f>C46</f>
        <v>4172.0000000000009</v>
      </c>
      <c r="V39" s="527">
        <f>C48</f>
        <v>14.9</v>
      </c>
      <c r="W39" s="527">
        <f>C49</f>
        <v>2.0901388888888892</v>
      </c>
      <c r="X39" s="58"/>
      <c r="Y39" s="58"/>
      <c r="Z39" s="526">
        <v>0</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t="s">
        <v>76</v>
      </c>
      <c r="L40" s="524"/>
      <c r="M40" s="423"/>
      <c r="N40" s="423"/>
      <c r="O40" s="525">
        <f>D12</f>
        <v>169</v>
      </c>
      <c r="P40" s="526">
        <f>D8</f>
        <v>2030</v>
      </c>
      <c r="Q40" s="58"/>
      <c r="R40" s="526">
        <f>O40/100</f>
        <v>1.69</v>
      </c>
      <c r="S40" s="58"/>
      <c r="T40" s="526">
        <f>D16</f>
        <v>20</v>
      </c>
      <c r="U40" s="527">
        <f>D46</f>
        <v>3799.5</v>
      </c>
      <c r="V40" s="527">
        <f>D48</f>
        <v>14.9</v>
      </c>
      <c r="W40" s="527">
        <f>D49</f>
        <v>2.0694444444444446</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170</v>
      </c>
      <c r="P41" s="526">
        <f>E8</f>
        <v>2040</v>
      </c>
      <c r="Q41" s="58"/>
      <c r="R41" s="526">
        <f>O41/100</f>
        <v>1.7</v>
      </c>
      <c r="S41" s="58"/>
      <c r="T41" s="526">
        <f>E16</f>
        <v>20</v>
      </c>
      <c r="U41" s="527">
        <f>E46</f>
        <v>3576</v>
      </c>
      <c r="V41" s="527">
        <f>E48</f>
        <v>14.9</v>
      </c>
      <c r="W41" s="527">
        <f>E49</f>
        <v>2.0694444444444446</v>
      </c>
      <c r="X41" s="58"/>
      <c r="Y41" s="58"/>
      <c r="Z41" s="526">
        <f>E23</f>
        <v>0</v>
      </c>
      <c r="AA41" s="528">
        <f>E25</f>
        <v>0</v>
      </c>
      <c r="AB41" s="528">
        <f>E26</f>
        <v>0</v>
      </c>
      <c r="AC41" s="528">
        <f>E27</f>
        <v>0</v>
      </c>
      <c r="AD41" s="528">
        <f>E24</f>
        <v>0</v>
      </c>
    </row>
    <row r="42" spans="2:30" ht="14.7" customHeight="1" outlineLevel="1">
      <c r="B42" s="436" t="s">
        <v>890</v>
      </c>
      <c r="C42" s="1086" t="s">
        <v>1000</v>
      </c>
      <c r="D42" s="1087"/>
      <c r="E42" s="1087"/>
      <c r="F42" s="1088"/>
      <c r="G42" s="534"/>
      <c r="H42" s="534"/>
      <c r="I42" s="534"/>
      <c r="J42" s="534"/>
      <c r="K42" s="534"/>
      <c r="L42" s="440"/>
      <c r="M42" s="423"/>
      <c r="N42" s="423"/>
      <c r="O42" s="525">
        <f>F12</f>
        <v>171</v>
      </c>
      <c r="P42" s="526">
        <f>F8</f>
        <v>2050</v>
      </c>
      <c r="Q42" s="58"/>
      <c r="R42" s="526">
        <f>O42/100</f>
        <v>1.71</v>
      </c>
      <c r="S42" s="58"/>
      <c r="T42" s="526">
        <f>F16</f>
        <v>20</v>
      </c>
      <c r="U42" s="527">
        <f>F46</f>
        <v>3427</v>
      </c>
      <c r="V42" s="527">
        <f>F48</f>
        <v>14.9</v>
      </c>
      <c r="W42" s="527">
        <f>F49</f>
        <v>2.0487500000000001</v>
      </c>
      <c r="X42" s="58"/>
      <c r="Y42" s="58"/>
      <c r="Z42" s="526">
        <f>F23</f>
        <v>0</v>
      </c>
      <c r="AA42" s="528">
        <f>F25</f>
        <v>0</v>
      </c>
      <c r="AB42" s="528">
        <f>F26</f>
        <v>0</v>
      </c>
      <c r="AC42" s="528">
        <f>F27</f>
        <v>0</v>
      </c>
      <c r="AD42" s="528">
        <f>F24</f>
        <v>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704">
        <f>C10-C10/C11*100</f>
        <v>4.9411764705882355</v>
      </c>
      <c r="D45" s="705">
        <f t="shared" ref="D45:F45" si="2">D10-D10/D11*100</f>
        <v>4.9824561403508776</v>
      </c>
      <c r="E45" s="705">
        <f t="shared" si="2"/>
        <v>5.0232558139534884</v>
      </c>
      <c r="F45" s="706">
        <f t="shared" si="2"/>
        <v>5.0635838150289025</v>
      </c>
      <c r="G45" s="541"/>
      <c r="H45" s="541"/>
      <c r="I45" s="541"/>
      <c r="J45" s="541"/>
      <c r="K45" s="541" t="s">
        <v>25</v>
      </c>
      <c r="L45" s="542"/>
      <c r="M45" s="423"/>
      <c r="N45" s="423"/>
    </row>
    <row r="46" spans="2:30" ht="57.6" outlineLevel="1">
      <c r="B46" s="521" t="s">
        <v>894</v>
      </c>
      <c r="C46" s="543">
        <f>C29*$F$4*1000</f>
        <v>4172.0000000000009</v>
      </c>
      <c r="D46" s="543">
        <f t="shared" ref="D46:F46" si="3">D29*$F$4*1000</f>
        <v>3799.5</v>
      </c>
      <c r="E46" s="543">
        <f t="shared" si="3"/>
        <v>3576</v>
      </c>
      <c r="F46" s="543">
        <f t="shared" si="3"/>
        <v>3427</v>
      </c>
      <c r="G46" s="543"/>
      <c r="H46" s="544"/>
      <c r="I46" s="480" t="s">
        <v>332</v>
      </c>
      <c r="J46" s="480"/>
      <c r="K46" s="544"/>
      <c r="L46" s="544"/>
      <c r="N46" s="480"/>
    </row>
    <row r="47" spans="2:30" outlineLevel="1">
      <c r="B47" s="545" t="s">
        <v>895</v>
      </c>
      <c r="C47" s="546">
        <f>C46*$I47</f>
        <v>2086000.0000000005</v>
      </c>
      <c r="D47" s="546">
        <f>D46*$I47</f>
        <v>1899750</v>
      </c>
      <c r="E47" s="546">
        <f>E46*$I47</f>
        <v>1788000</v>
      </c>
      <c r="F47" s="546">
        <f>F46*$I47</f>
        <v>1713500</v>
      </c>
      <c r="G47" s="546"/>
      <c r="H47" s="544"/>
      <c r="I47" s="71">
        <v>500</v>
      </c>
      <c r="J47" s="480" t="s">
        <v>330</v>
      </c>
      <c r="K47" s="544"/>
      <c r="L47" s="544"/>
      <c r="N47" s="480"/>
    </row>
    <row r="48" spans="2:30" ht="43.2" outlineLevel="1">
      <c r="B48" s="521" t="s">
        <v>970</v>
      </c>
      <c r="C48" s="419">
        <f>C32*$F$4/1000</f>
        <v>14.9</v>
      </c>
      <c r="D48" s="419">
        <f t="shared" ref="D48:F48" si="4">D32*$F$4/1000</f>
        <v>14.9</v>
      </c>
      <c r="E48" s="419">
        <f t="shared" si="4"/>
        <v>14.9</v>
      </c>
      <c r="F48" s="419">
        <f t="shared" si="4"/>
        <v>14.9</v>
      </c>
      <c r="G48" s="419"/>
      <c r="I48" s="480" t="s">
        <v>333</v>
      </c>
      <c r="J48" s="480"/>
      <c r="N48" s="480"/>
    </row>
    <row r="49" spans="2:14" ht="43.2" outlineLevel="1">
      <c r="B49" s="521" t="s">
        <v>971</v>
      </c>
      <c r="C49" s="547">
        <f>C33*$F$4/3.6</f>
        <v>2.0901388888888892</v>
      </c>
      <c r="D49" s="547">
        <f t="shared" ref="D49:F49" si="5">D33*$F$4/3.6</f>
        <v>2.0694444444444446</v>
      </c>
      <c r="E49" s="547">
        <f t="shared" si="5"/>
        <v>2.0694444444444446</v>
      </c>
      <c r="F49" s="547">
        <f t="shared" si="5"/>
        <v>2.0487500000000001</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709" t="s">
        <v>898</v>
      </c>
      <c r="C55" s="417"/>
      <c r="D55" s="550"/>
      <c r="E55" s="417"/>
      <c r="F55" s="417"/>
      <c r="G55" s="417"/>
      <c r="H55" s="417"/>
      <c r="I55" s="417"/>
      <c r="J55" s="417"/>
      <c r="K55" s="417"/>
      <c r="L55" s="417"/>
    </row>
    <row r="56" spans="2:14" outlineLevel="1">
      <c r="B56" s="710">
        <v>1</v>
      </c>
      <c r="C56" s="711" t="s">
        <v>975</v>
      </c>
      <c r="D56" s="550"/>
      <c r="F56" s="417"/>
      <c r="G56" s="417"/>
      <c r="H56" s="417"/>
      <c r="I56" s="417"/>
      <c r="J56" s="417"/>
      <c r="K56" s="417"/>
      <c r="L56" s="417"/>
    </row>
    <row r="57" spans="2:14" outlineLevel="1">
      <c r="B57" s="710">
        <v>2</v>
      </c>
      <c r="C57" s="712" t="s">
        <v>972</v>
      </c>
      <c r="D57" s="550"/>
      <c r="F57" s="417"/>
      <c r="G57" s="417"/>
      <c r="H57" s="417"/>
      <c r="I57" s="417"/>
      <c r="J57" s="417"/>
      <c r="K57" s="417"/>
      <c r="L57" s="417"/>
    </row>
    <row r="58" spans="2:14" outlineLevel="1">
      <c r="B58" s="417" t="s">
        <v>908</v>
      </c>
      <c r="C58" s="417"/>
      <c r="D58" s="550"/>
      <c r="F58" s="417"/>
      <c r="G58" s="417"/>
      <c r="H58" s="417"/>
      <c r="I58" s="417"/>
      <c r="J58" s="417"/>
      <c r="K58" s="417"/>
      <c r="L58" s="417"/>
    </row>
    <row r="59" spans="2:14" outlineLevel="1">
      <c r="B59" s="713" t="s">
        <v>6</v>
      </c>
      <c r="C59" s="711" t="s">
        <v>995</v>
      </c>
      <c r="D59" s="550"/>
      <c r="F59" s="417"/>
      <c r="G59" s="417"/>
      <c r="H59" s="417"/>
      <c r="I59" s="417"/>
      <c r="J59" s="417"/>
      <c r="K59" s="417"/>
      <c r="L59" s="417"/>
    </row>
    <row r="60" spans="2:14" outlineLevel="1">
      <c r="B60" s="713" t="s">
        <v>59</v>
      </c>
      <c r="C60" s="712" t="s">
        <v>996</v>
      </c>
      <c r="D60" s="550"/>
      <c r="F60" s="417"/>
      <c r="G60" s="417"/>
      <c r="H60" s="417"/>
      <c r="I60" s="417"/>
      <c r="J60" s="417"/>
      <c r="K60" s="417"/>
      <c r="L60" s="417"/>
    </row>
    <row r="61" spans="2:14" outlineLevel="1">
      <c r="B61" s="713" t="s">
        <v>16</v>
      </c>
      <c r="C61" s="711" t="s">
        <v>997</v>
      </c>
      <c r="D61" s="550"/>
      <c r="F61" s="417"/>
      <c r="G61" s="417"/>
      <c r="H61" s="417"/>
      <c r="I61" s="417"/>
      <c r="J61" s="417"/>
      <c r="K61" s="417"/>
      <c r="L61" s="417"/>
    </row>
    <row r="62" spans="2:14" outlineLevel="1">
      <c r="B62" s="714" t="s">
        <v>20</v>
      </c>
      <c r="C62" s="549" t="s">
        <v>913</v>
      </c>
      <c r="D62" s="550"/>
      <c r="F62" s="417"/>
      <c r="G62" s="417"/>
      <c r="H62" s="417"/>
      <c r="I62" s="417"/>
      <c r="J62" s="417"/>
      <c r="K62" s="417"/>
      <c r="L62" s="417"/>
    </row>
    <row r="63" spans="2:14" outlineLevel="1">
      <c r="B63" s="713" t="s">
        <v>76</v>
      </c>
      <c r="C63" s="711" t="s">
        <v>914</v>
      </c>
      <c r="D63" s="550"/>
      <c r="F63" s="417"/>
      <c r="G63" s="417"/>
      <c r="H63" s="417"/>
      <c r="I63" s="417"/>
      <c r="J63" s="417"/>
      <c r="K63" s="417"/>
      <c r="L63" s="417"/>
    </row>
    <row r="64" spans="2:14" outlineLevel="1">
      <c r="B64" s="697" t="s">
        <v>25</v>
      </c>
      <c r="C64" s="417" t="s">
        <v>998</v>
      </c>
      <c r="D64" s="550"/>
      <c r="F64" s="417"/>
      <c r="G64" s="417"/>
      <c r="H64" s="417"/>
      <c r="I64" s="417"/>
      <c r="J64" s="417"/>
      <c r="K64" s="417"/>
      <c r="L64" s="417"/>
    </row>
    <row r="65" spans="1:44" outlineLevel="1">
      <c r="B65" s="716"/>
      <c r="C65" s="550"/>
      <c r="D65" s="550"/>
      <c r="F65" s="417"/>
      <c r="G65" s="417"/>
      <c r="H65" s="417"/>
      <c r="I65" s="417"/>
      <c r="J65" s="417"/>
      <c r="K65" s="417"/>
      <c r="L65" s="417"/>
    </row>
    <row r="66" spans="1:44" outlineLevel="1">
      <c r="B66" s="697"/>
      <c r="C66" s="550"/>
      <c r="D66" s="550"/>
      <c r="F66" s="417"/>
      <c r="G66" s="417"/>
      <c r="H66" s="417"/>
      <c r="I66" s="417"/>
      <c r="J66" s="417"/>
      <c r="K66" s="417"/>
      <c r="L66" s="417"/>
    </row>
    <row r="67" spans="1:44" outlineLevel="1">
      <c r="B67" s="697"/>
      <c r="C67" s="550"/>
      <c r="D67" s="550"/>
      <c r="F67" s="417"/>
      <c r="G67" s="417"/>
      <c r="H67" s="417"/>
      <c r="I67" s="417"/>
      <c r="J67" s="417"/>
      <c r="K67" s="417"/>
      <c r="L67" s="417"/>
    </row>
    <row r="68" spans="1:44" outlineLevel="1">
      <c r="B68" s="697"/>
      <c r="C68" s="550"/>
      <c r="D68" s="417"/>
      <c r="F68" s="417"/>
      <c r="G68" s="417"/>
      <c r="H68" s="417"/>
      <c r="I68" s="417"/>
      <c r="J68" s="417"/>
      <c r="K68" s="417"/>
      <c r="L68" s="417"/>
    </row>
    <row r="69" spans="1:44" outlineLevel="1">
      <c r="B69" s="697"/>
      <c r="C69" s="549"/>
      <c r="D69" s="417"/>
      <c r="F69" s="417"/>
      <c r="G69" s="417"/>
      <c r="H69" s="417"/>
      <c r="I69" s="417"/>
      <c r="J69" s="417"/>
      <c r="K69" s="417"/>
      <c r="L69" s="417"/>
    </row>
    <row r="70" spans="1:44" outlineLevel="1">
      <c r="B70" s="697"/>
      <c r="C70" s="550"/>
      <c r="D70" s="417"/>
      <c r="G70" s="417"/>
      <c r="H70" s="417"/>
      <c r="I70" s="417"/>
      <c r="J70" s="417"/>
      <c r="K70" s="417"/>
      <c r="L70" s="417"/>
    </row>
    <row r="71" spans="1:44" outlineLevel="1">
      <c r="B71" s="697"/>
      <c r="C71" s="550"/>
      <c r="E71" s="550"/>
      <c r="F71" s="550"/>
    </row>
    <row r="72" spans="1:44" outlineLevel="1"/>
    <row r="73" spans="1:44" outlineLevel="1"/>
    <row r="74" spans="1:44" outlineLevel="1"/>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2">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H19:AI19"/>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1C0-8B9A-4246-ABA2-97498C1EE0BA}">
  <sheetPr>
    <tabColor theme="3"/>
  </sheetPr>
  <dimension ref="A1:AS345"/>
  <sheetViews>
    <sheetView topLeftCell="M1" zoomScale="80" zoomScaleNormal="80" workbookViewId="0">
      <selection activeCell="AE26" sqref="AE26"/>
    </sheetView>
  </sheetViews>
  <sheetFormatPr defaultColWidth="8.6640625" defaultRowHeight="14.4" outlineLevelRow="1"/>
  <cols>
    <col min="1" max="1" width="35.3320312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1" spans="1:45" ht="18.600000000000001" thickBot="1">
      <c r="A1" s="732" t="s">
        <v>1043</v>
      </c>
      <c r="B1" s="733"/>
    </row>
    <row r="2" spans="1:45">
      <c r="B2" s="698" t="str">
        <f>C7</f>
        <v>High temperature heat pumps, up to 125 °C</v>
      </c>
    </row>
    <row r="4" spans="1:45" ht="25.2" customHeight="1">
      <c r="E4" s="239" t="s">
        <v>358</v>
      </c>
      <c r="F4" s="419">
        <v>7.45</v>
      </c>
      <c r="G4" s="419" t="s">
        <v>328</v>
      </c>
    </row>
    <row r="5" spans="1:45" ht="15" customHeight="1">
      <c r="A5" s="420" t="s">
        <v>1034</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1025</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1.5</v>
      </c>
      <c r="D10" s="432">
        <v>1.5</v>
      </c>
      <c r="E10" s="432">
        <v>1.5</v>
      </c>
      <c r="F10" s="432">
        <v>1.5</v>
      </c>
      <c r="G10" s="432">
        <v>0.5</v>
      </c>
      <c r="H10" s="432">
        <v>5</v>
      </c>
      <c r="I10" s="432">
        <v>0.5</v>
      </c>
      <c r="J10" s="432">
        <v>5</v>
      </c>
      <c r="K10" s="432" t="s">
        <v>6</v>
      </c>
      <c r="L10" s="433"/>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699">
        <v>260</v>
      </c>
      <c r="D11" s="699">
        <f>415-140</f>
        <v>275</v>
      </c>
      <c r="E11" s="700">
        <f>425-140</f>
        <v>285</v>
      </c>
      <c r="F11" s="699">
        <f>430-140</f>
        <v>290</v>
      </c>
      <c r="G11" s="699">
        <f>C11</f>
        <v>260</v>
      </c>
      <c r="H11" s="699">
        <f>D11*1.1</f>
        <v>302.5</v>
      </c>
      <c r="I11" s="699">
        <f>C11</f>
        <v>260</v>
      </c>
      <c r="J11" s="699">
        <f>F11*1.1</f>
        <v>319</v>
      </c>
      <c r="K11" s="439"/>
      <c r="L11" s="440">
        <v>1.5</v>
      </c>
      <c r="M11" s="430"/>
      <c r="N11" s="430"/>
      <c r="P11" s="1042" t="str">
        <f>C7</f>
        <v>High temperature heat pumps, up to 125 °C</v>
      </c>
      <c r="Q11" s="1030" t="s">
        <v>855</v>
      </c>
      <c r="R11" s="441" t="s">
        <v>856</v>
      </c>
      <c r="S11" s="442"/>
      <c r="T11" s="1033">
        <v>0</v>
      </c>
      <c r="U11" s="1021">
        <v>0</v>
      </c>
      <c r="V11" s="1024">
        <v>0</v>
      </c>
      <c r="W11" s="1021">
        <v>0</v>
      </c>
      <c r="X11" s="1024">
        <v>0</v>
      </c>
      <c r="Y11" s="1021">
        <v>0</v>
      </c>
      <c r="Z11" s="1024">
        <v>0</v>
      </c>
      <c r="AA11" s="1021">
        <v>0</v>
      </c>
      <c r="AB11" s="1024">
        <v>0</v>
      </c>
      <c r="AC11" s="1021">
        <v>0</v>
      </c>
      <c r="AD11" s="1024">
        <f>AB11</f>
        <v>0</v>
      </c>
      <c r="AE11" s="1021">
        <f>AC11</f>
        <v>0</v>
      </c>
      <c r="AF11" s="1027" t="str">
        <f>P11</f>
        <v>High temperature heat pumps, up to 125 °C</v>
      </c>
      <c r="AG11" s="1030" t="s">
        <v>855</v>
      </c>
      <c r="AH11" s="441" t="s">
        <v>856</v>
      </c>
      <c r="AI11" s="442"/>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637">
        <f>C11-5</f>
        <v>255</v>
      </c>
      <c r="D12" s="637">
        <f t="shared" ref="D12:J12" si="0">D11-5</f>
        <v>270</v>
      </c>
      <c r="E12" s="637">
        <f t="shared" si="0"/>
        <v>280</v>
      </c>
      <c r="F12" s="637">
        <f t="shared" si="0"/>
        <v>285</v>
      </c>
      <c r="G12" s="701">
        <f t="shared" si="0"/>
        <v>255</v>
      </c>
      <c r="H12" s="701">
        <f t="shared" si="0"/>
        <v>297.5</v>
      </c>
      <c r="I12" s="701">
        <f t="shared" si="0"/>
        <v>255</v>
      </c>
      <c r="J12" s="701">
        <f t="shared" si="0"/>
        <v>314</v>
      </c>
      <c r="K12" s="446" t="s">
        <v>59</v>
      </c>
      <c r="L12" s="447"/>
      <c r="M12" s="430"/>
      <c r="N12" s="430"/>
      <c r="O12" s="71"/>
      <c r="P12" s="1028"/>
      <c r="Q12" s="1031"/>
      <c r="R12" s="448" t="s">
        <v>858</v>
      </c>
      <c r="S12" s="449"/>
      <c r="T12" s="1034"/>
      <c r="U12" s="1022"/>
      <c r="V12" s="1025"/>
      <c r="W12" s="1022"/>
      <c r="X12" s="1025"/>
      <c r="Y12" s="1022"/>
      <c r="Z12" s="1025"/>
      <c r="AA12" s="1022"/>
      <c r="AB12" s="1025"/>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2</v>
      </c>
      <c r="D13" s="451">
        <v>2</v>
      </c>
      <c r="E13" s="451">
        <v>2</v>
      </c>
      <c r="F13" s="452">
        <v>2</v>
      </c>
      <c r="G13" s="451">
        <v>1</v>
      </c>
      <c r="H13" s="451">
        <v>7</v>
      </c>
      <c r="I13" s="451">
        <v>1</v>
      </c>
      <c r="J13" s="451">
        <v>7</v>
      </c>
      <c r="K13" s="439"/>
      <c r="L13" s="440">
        <v>2</v>
      </c>
      <c r="M13" s="430"/>
      <c r="N13" s="430"/>
      <c r="O13" s="71"/>
      <c r="P13" s="1028"/>
      <c r="Q13" s="1032"/>
      <c r="R13" s="453" t="s">
        <v>860</v>
      </c>
      <c r="S13" s="454"/>
      <c r="T13" s="1035"/>
      <c r="U13" s="1023"/>
      <c r="V13" s="1026"/>
      <c r="W13" s="1023"/>
      <c r="X13" s="1026"/>
      <c r="Y13" s="1023"/>
      <c r="Z13" s="1026"/>
      <c r="AA13" s="1023"/>
      <c r="AB13" s="1026"/>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450">
        <v>0</v>
      </c>
      <c r="D14" s="450">
        <v>0</v>
      </c>
      <c r="E14" s="450">
        <v>0</v>
      </c>
      <c r="F14" s="450">
        <v>0</v>
      </c>
      <c r="G14" s="450">
        <v>0</v>
      </c>
      <c r="H14" s="450">
        <v>0.01</v>
      </c>
      <c r="I14" s="450">
        <v>0</v>
      </c>
      <c r="J14" s="450">
        <v>0.01</v>
      </c>
      <c r="K14" s="439" t="s">
        <v>16</v>
      </c>
      <c r="L14" s="440">
        <v>2</v>
      </c>
      <c r="M14" s="430"/>
      <c r="N14" s="430"/>
      <c r="O14" s="71"/>
      <c r="P14" s="1028"/>
      <c r="Q14" s="1030" t="s">
        <v>861</v>
      </c>
      <c r="R14" s="455" t="s">
        <v>862</v>
      </c>
      <c r="S14" s="456" t="s">
        <v>863</v>
      </c>
      <c r="T14" s="1033">
        <v>0</v>
      </c>
      <c r="U14" s="1033">
        <f>0.23</f>
        <v>0.23</v>
      </c>
      <c r="V14" s="1033">
        <v>0</v>
      </c>
      <c r="W14" s="1033">
        <f>0.26</f>
        <v>0.26</v>
      </c>
      <c r="X14" s="1033">
        <v>0</v>
      </c>
      <c r="Y14" s="1033">
        <f>0.16</f>
        <v>0.16</v>
      </c>
      <c r="Z14" s="1033">
        <v>0</v>
      </c>
      <c r="AA14" s="1033">
        <v>0.17</v>
      </c>
      <c r="AB14" s="1033">
        <v>0</v>
      </c>
      <c r="AC14" s="1021">
        <f>0.16</f>
        <v>0.16</v>
      </c>
      <c r="AD14" s="1033">
        <f>AB14</f>
        <v>0</v>
      </c>
      <c r="AE14" s="1021">
        <v>0</v>
      </c>
      <c r="AF14" s="1028"/>
      <c r="AG14" s="1030" t="s">
        <v>861</v>
      </c>
      <c r="AH14" s="455" t="s">
        <v>862</v>
      </c>
      <c r="AI14" s="456" t="s">
        <v>863</v>
      </c>
      <c r="AJ14" s="1033">
        <v>0</v>
      </c>
      <c r="AK14" s="1033">
        <f>U14/4</f>
        <v>5.7500000000000002E-2</v>
      </c>
      <c r="AL14" s="1033">
        <v>0</v>
      </c>
      <c r="AM14" s="1033">
        <f>W14/4</f>
        <v>6.5000000000000002E-2</v>
      </c>
      <c r="AN14" s="1033">
        <v>0</v>
      </c>
      <c r="AO14" s="1033">
        <f>Y14/4</f>
        <v>0.04</v>
      </c>
      <c r="AP14" s="1033">
        <v>0</v>
      </c>
      <c r="AQ14" s="1033">
        <f>AA14/4</f>
        <v>4.2500000000000003E-2</v>
      </c>
      <c r="AR14" s="1033">
        <v>0</v>
      </c>
      <c r="AS14" s="1021">
        <f>AC14/4</f>
        <v>0.04</v>
      </c>
    </row>
    <row r="15" spans="1:45" outlineLevel="1">
      <c r="B15" s="436" t="s">
        <v>703</v>
      </c>
      <c r="C15" s="450">
        <v>0.5</v>
      </c>
      <c r="D15" s="450">
        <v>0.5</v>
      </c>
      <c r="E15" s="450">
        <v>0.5</v>
      </c>
      <c r="F15" s="450">
        <v>0.5</v>
      </c>
      <c r="G15" s="450">
        <v>0</v>
      </c>
      <c r="H15" s="450">
        <v>1</v>
      </c>
      <c r="I15" s="450">
        <v>0</v>
      </c>
      <c r="J15" s="450">
        <v>1</v>
      </c>
      <c r="K15" s="439"/>
      <c r="L15" s="440">
        <v>2</v>
      </c>
      <c r="M15" s="427"/>
      <c r="N15" s="427"/>
      <c r="O15" s="71"/>
      <c r="P15" s="1028"/>
      <c r="Q15" s="1031"/>
      <c r="R15" s="455" t="s">
        <v>864</v>
      </c>
      <c r="S15" s="456" t="s">
        <v>863</v>
      </c>
      <c r="T15" s="1036"/>
      <c r="U15" s="1036"/>
      <c r="V15" s="1036"/>
      <c r="W15" s="1036"/>
      <c r="X15" s="1036"/>
      <c r="Y15" s="1036"/>
      <c r="Z15" s="1036"/>
      <c r="AA15" s="1036"/>
      <c r="AB15" s="1036"/>
      <c r="AC15" s="1038"/>
      <c r="AD15" s="1036"/>
      <c r="AE15" s="1038"/>
      <c r="AF15" s="1028"/>
      <c r="AG15" s="1031"/>
      <c r="AH15" s="455" t="s">
        <v>864</v>
      </c>
      <c r="AI15" s="456" t="s">
        <v>863</v>
      </c>
      <c r="AJ15" s="1036"/>
      <c r="AK15" s="1036"/>
      <c r="AL15" s="1036"/>
      <c r="AM15" s="1036"/>
      <c r="AN15" s="1036"/>
      <c r="AO15" s="1036"/>
      <c r="AP15" s="1036"/>
      <c r="AQ15" s="1036"/>
      <c r="AR15" s="1036"/>
      <c r="AS15" s="1038"/>
    </row>
    <row r="16" spans="1:45" outlineLevel="1">
      <c r="B16" s="443" t="s">
        <v>11</v>
      </c>
      <c r="C16" s="457">
        <v>20</v>
      </c>
      <c r="D16" s="457">
        <v>20</v>
      </c>
      <c r="E16" s="457">
        <v>20</v>
      </c>
      <c r="F16" s="457">
        <v>20</v>
      </c>
      <c r="G16" s="458">
        <v>15</v>
      </c>
      <c r="H16" s="458">
        <v>30</v>
      </c>
      <c r="I16" s="458">
        <v>15</v>
      </c>
      <c r="J16" s="458">
        <v>30</v>
      </c>
      <c r="K16" s="432"/>
      <c r="L16" s="433">
        <v>2</v>
      </c>
      <c r="M16" s="423"/>
      <c r="N16" s="423"/>
      <c r="P16" s="1028"/>
      <c r="Q16" s="1031"/>
      <c r="R16" s="455" t="s">
        <v>866</v>
      </c>
      <c r="S16" s="456"/>
      <c r="T16" s="1036"/>
      <c r="U16" s="1036"/>
      <c r="V16" s="1036"/>
      <c r="W16" s="1036"/>
      <c r="X16" s="1036"/>
      <c r="Y16" s="1036"/>
      <c r="Z16" s="1036"/>
      <c r="AA16" s="1036"/>
      <c r="AB16" s="1036"/>
      <c r="AC16" s="1038"/>
      <c r="AD16" s="1036"/>
      <c r="AE16" s="1038"/>
      <c r="AF16" s="1028"/>
      <c r="AG16" s="1031"/>
      <c r="AH16" s="455" t="s">
        <v>866</v>
      </c>
      <c r="AI16" s="689"/>
      <c r="AJ16" s="1036"/>
      <c r="AK16" s="1036"/>
      <c r="AL16" s="1036"/>
      <c r="AM16" s="1036"/>
      <c r="AN16" s="1036"/>
      <c r="AO16" s="1036"/>
      <c r="AP16" s="1036"/>
      <c r="AQ16" s="1036"/>
      <c r="AR16" s="1036"/>
      <c r="AS16" s="1038"/>
    </row>
    <row r="17" spans="1:45" ht="15" outlineLevel="1" thickBot="1">
      <c r="B17" s="436" t="s">
        <v>273</v>
      </c>
      <c r="C17" s="459">
        <v>0.6</v>
      </c>
      <c r="D17" s="459">
        <v>0.6</v>
      </c>
      <c r="E17" s="459">
        <v>0.6</v>
      </c>
      <c r="F17" s="459">
        <v>0.6</v>
      </c>
      <c r="G17" s="459">
        <v>0.4</v>
      </c>
      <c r="H17" s="459">
        <v>0.8</v>
      </c>
      <c r="I17" s="459">
        <v>0.4</v>
      </c>
      <c r="J17" s="459">
        <v>0.8</v>
      </c>
      <c r="K17" s="432" t="s">
        <v>20</v>
      </c>
      <c r="L17" s="460">
        <v>2</v>
      </c>
      <c r="M17" s="423"/>
      <c r="N17" s="423"/>
      <c r="P17" s="1028"/>
      <c r="Q17" s="1031"/>
      <c r="R17" s="455" t="s">
        <v>867</v>
      </c>
      <c r="S17" s="456" t="s">
        <v>863</v>
      </c>
      <c r="T17" s="1036"/>
      <c r="U17" s="1036"/>
      <c r="V17" s="1036"/>
      <c r="W17" s="1036"/>
      <c r="X17" s="1036"/>
      <c r="Y17" s="1036"/>
      <c r="Z17" s="1036"/>
      <c r="AA17" s="1036"/>
      <c r="AB17" s="1036"/>
      <c r="AC17" s="1038"/>
      <c r="AD17" s="1036"/>
      <c r="AE17" s="1038"/>
      <c r="AF17" s="1028"/>
      <c r="AG17" s="1031"/>
      <c r="AH17" s="455" t="s">
        <v>867</v>
      </c>
      <c r="AI17" s="456" t="s">
        <v>863</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37"/>
      <c r="U18" s="1037"/>
      <c r="V18" s="1037"/>
      <c r="W18" s="1037"/>
      <c r="X18" s="1037"/>
      <c r="Y18" s="1037"/>
      <c r="Z18" s="1037"/>
      <c r="AA18" s="1037"/>
      <c r="AB18" s="1037"/>
      <c r="AC18" s="1039"/>
      <c r="AD18" s="1037"/>
      <c r="AE18" s="1039"/>
      <c r="AF18" s="1028"/>
      <c r="AG18" s="1032"/>
      <c r="AH18" s="469" t="s">
        <v>988</v>
      </c>
      <c r="AI18" s="470" t="s">
        <v>863</v>
      </c>
      <c r="AJ18" s="1037"/>
      <c r="AK18" s="1037"/>
      <c r="AL18" s="1037"/>
      <c r="AM18" s="1037"/>
      <c r="AN18" s="1037"/>
      <c r="AO18" s="1037"/>
      <c r="AP18" s="1037"/>
      <c r="AQ18" s="1037"/>
      <c r="AR18" s="1037"/>
      <c r="AS18" s="1039"/>
    </row>
    <row r="19" spans="1:45" ht="29.4" outlineLevel="1" thickBot="1">
      <c r="B19" s="436" t="s">
        <v>708</v>
      </c>
      <c r="C19" s="450">
        <v>25</v>
      </c>
      <c r="D19" s="450">
        <v>25</v>
      </c>
      <c r="E19" s="450">
        <v>25</v>
      </c>
      <c r="F19" s="450">
        <v>25</v>
      </c>
      <c r="G19" s="451"/>
      <c r="H19" s="451"/>
      <c r="I19" s="451"/>
      <c r="J19" s="451"/>
      <c r="K19" s="439" t="s">
        <v>76</v>
      </c>
      <c r="L19" s="440">
        <v>4</v>
      </c>
      <c r="M19" s="423"/>
      <c r="N19" s="423"/>
      <c r="P19" s="1029"/>
      <c r="Q19" s="471" t="s">
        <v>870</v>
      </c>
      <c r="R19" s="472" t="s">
        <v>871</v>
      </c>
      <c r="S19" s="690" t="s">
        <v>863</v>
      </c>
      <c r="T19" s="476">
        <v>1</v>
      </c>
      <c r="U19" s="475">
        <v>1</v>
      </c>
      <c r="V19" s="476">
        <v>1</v>
      </c>
      <c r="W19" s="475">
        <v>1</v>
      </c>
      <c r="X19" s="476">
        <v>1</v>
      </c>
      <c r="Y19" s="475">
        <v>1</v>
      </c>
      <c r="Z19" s="476">
        <v>1</v>
      </c>
      <c r="AA19" s="475">
        <v>1</v>
      </c>
      <c r="AB19" s="476">
        <v>1</v>
      </c>
      <c r="AC19" s="477">
        <v>1</v>
      </c>
      <c r="AD19" s="476">
        <f>AB19</f>
        <v>1</v>
      </c>
      <c r="AE19" s="477">
        <f>AC19</f>
        <v>1</v>
      </c>
      <c r="AF19" s="1029"/>
      <c r="AG19" s="471" t="s">
        <v>870</v>
      </c>
      <c r="AH19" s="1108" t="s">
        <v>871</v>
      </c>
      <c r="AI19" s="1109" t="s">
        <v>863</v>
      </c>
      <c r="AJ19" s="476">
        <v>1</v>
      </c>
      <c r="AK19" s="475">
        <v>1</v>
      </c>
      <c r="AL19" s="476">
        <v>1</v>
      </c>
      <c r="AM19" s="475">
        <v>1</v>
      </c>
      <c r="AN19" s="476">
        <v>1</v>
      </c>
      <c r="AO19" s="475">
        <v>1</v>
      </c>
      <c r="AP19" s="476">
        <v>1</v>
      </c>
      <c r="AQ19" s="475">
        <v>1</v>
      </c>
      <c r="AR19" s="476">
        <v>1</v>
      </c>
      <c r="AS19" s="477">
        <v>1</v>
      </c>
    </row>
    <row r="20" spans="1:45" outlineLevel="1">
      <c r="B20" s="436" t="s">
        <v>709</v>
      </c>
      <c r="C20" s="450">
        <v>0.25</v>
      </c>
      <c r="D20" s="450">
        <v>0.25</v>
      </c>
      <c r="E20" s="450">
        <v>0.25</v>
      </c>
      <c r="F20" s="450">
        <v>0.25</v>
      </c>
      <c r="G20" s="478"/>
      <c r="H20" s="478"/>
      <c r="I20" s="478"/>
      <c r="J20" s="478"/>
      <c r="K20" s="479"/>
      <c r="L20" s="440">
        <v>9</v>
      </c>
      <c r="M20" s="423"/>
      <c r="N20" s="423"/>
    </row>
    <row r="21" spans="1:45" outlineLevel="1">
      <c r="B21" s="436" t="s">
        <v>711</v>
      </c>
      <c r="C21" s="450">
        <v>1</v>
      </c>
      <c r="D21" s="450">
        <v>1</v>
      </c>
      <c r="E21" s="450">
        <v>1</v>
      </c>
      <c r="F21" s="450">
        <v>1</v>
      </c>
      <c r="G21" s="478"/>
      <c r="H21" s="478"/>
      <c r="I21" s="478"/>
      <c r="J21" s="478"/>
      <c r="K21" s="479"/>
      <c r="L21" s="440">
        <v>9</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0.87120000000000009</v>
      </c>
      <c r="D29" s="707">
        <v>0.77880000000000005</v>
      </c>
      <c r="E29" s="707">
        <v>0.73</v>
      </c>
      <c r="F29" s="573">
        <v>0.7</v>
      </c>
      <c r="G29" s="485"/>
      <c r="H29" s="485"/>
      <c r="I29" s="485"/>
      <c r="J29" s="485"/>
      <c r="K29" s="486"/>
      <c r="L29" s="500" t="s">
        <v>1026</v>
      </c>
      <c r="M29" s="480"/>
      <c r="N29" s="480"/>
    </row>
    <row r="30" spans="1:45" outlineLevel="1">
      <c r="B30" s="501" t="s">
        <v>964</v>
      </c>
      <c r="C30" s="502">
        <v>40</v>
      </c>
      <c r="D30" s="502">
        <v>40</v>
      </c>
      <c r="E30" s="502">
        <v>40</v>
      </c>
      <c r="F30" s="502">
        <v>40</v>
      </c>
      <c r="G30" s="485"/>
      <c r="H30" s="485"/>
      <c r="I30" s="485"/>
      <c r="J30" s="485"/>
      <c r="K30" s="504"/>
      <c r="L30" s="433">
        <v>4</v>
      </c>
      <c r="M30" s="71"/>
      <c r="N30" s="480"/>
    </row>
    <row r="31" spans="1:45" outlineLevel="1">
      <c r="B31" s="501" t="s">
        <v>965</v>
      </c>
      <c r="C31" s="502">
        <v>60</v>
      </c>
      <c r="D31" s="502">
        <v>60</v>
      </c>
      <c r="E31" s="502">
        <v>60</v>
      </c>
      <c r="F31" s="502">
        <v>60</v>
      </c>
      <c r="G31" s="485"/>
      <c r="H31" s="485"/>
      <c r="I31" s="485"/>
      <c r="J31" s="485"/>
      <c r="K31" s="504"/>
      <c r="L31" s="433">
        <v>4</v>
      </c>
      <c r="M31" s="480"/>
      <c r="N31" s="480"/>
    </row>
    <row r="32" spans="1:45" outlineLevel="1">
      <c r="B32" s="443" t="s">
        <v>966</v>
      </c>
      <c r="C32" s="505">
        <v>970</v>
      </c>
      <c r="D32" s="506">
        <v>870</v>
      </c>
      <c r="E32" s="506">
        <v>800</v>
      </c>
      <c r="F32" s="507">
        <v>720</v>
      </c>
      <c r="G32" s="485"/>
      <c r="H32" s="485"/>
      <c r="I32" s="485"/>
      <c r="J32" s="485"/>
      <c r="K32" s="508"/>
      <c r="L32" s="433">
        <v>5</v>
      </c>
      <c r="M32" s="480"/>
      <c r="N32" s="480"/>
    </row>
    <row r="33" spans="2:30" ht="37.200000000000003" customHeight="1" outlineLevel="1" thickBot="1">
      <c r="B33" s="443" t="s">
        <v>724</v>
      </c>
      <c r="C33" s="509">
        <f>SUM(C34:C35)</f>
        <v>3.26</v>
      </c>
      <c r="D33" s="509">
        <f>SUM(D34:D35)</f>
        <v>3.2</v>
      </c>
      <c r="E33" s="509">
        <f>SUM(E34:E35)</f>
        <v>3.2199999999999998</v>
      </c>
      <c r="F33" s="509">
        <f>SUM(F34:F35)</f>
        <v>3.12</v>
      </c>
      <c r="G33" s="485"/>
      <c r="H33" s="485"/>
      <c r="I33" s="485"/>
      <c r="J33" s="485"/>
      <c r="K33" s="508"/>
      <c r="L33" s="433"/>
      <c r="M33" s="510"/>
      <c r="N33" s="421"/>
      <c r="P33" s="999">
        <f>C33</f>
        <v>3.26</v>
      </c>
      <c r="Q33" s="977"/>
      <c r="R33" s="977"/>
      <c r="S33" s="977"/>
      <c r="T33" s="977"/>
      <c r="U33" s="1000"/>
    </row>
    <row r="34" spans="2:30" ht="15.75" customHeight="1" outlineLevel="1" thickBot="1">
      <c r="B34" s="511" t="s">
        <v>883</v>
      </c>
      <c r="C34" s="512">
        <f>C13/100*73</f>
        <v>1.46</v>
      </c>
      <c r="D34" s="512">
        <f>D13/100*75</f>
        <v>1.5</v>
      </c>
      <c r="E34" s="512">
        <f>E13/100*76</f>
        <v>1.52</v>
      </c>
      <c r="F34" s="512">
        <f>F13/100*76</f>
        <v>1.52</v>
      </c>
      <c r="G34" s="513"/>
      <c r="H34" s="513"/>
      <c r="I34" s="513"/>
      <c r="J34" s="513"/>
      <c r="K34" s="439" t="s">
        <v>25</v>
      </c>
      <c r="L34" s="440">
        <v>3</v>
      </c>
      <c r="M34" s="510"/>
      <c r="N34" s="421"/>
      <c r="P34" s="1001">
        <f>C34</f>
        <v>1.46</v>
      </c>
      <c r="Q34" s="1002"/>
      <c r="R34" s="1002"/>
      <c r="S34" s="1002"/>
      <c r="T34" s="1002"/>
      <c r="U34" s="1003"/>
    </row>
    <row r="35" spans="2:30" outlineLevel="1">
      <c r="B35" s="511" t="s">
        <v>884</v>
      </c>
      <c r="C35" s="514">
        <v>1.8</v>
      </c>
      <c r="D35" s="514">
        <v>1.7</v>
      </c>
      <c r="E35" s="514">
        <v>1.7</v>
      </c>
      <c r="F35" s="514">
        <v>1.6</v>
      </c>
      <c r="G35" s="513"/>
      <c r="H35" s="513"/>
      <c r="I35" s="513"/>
      <c r="J35" s="513"/>
      <c r="K35" s="515"/>
      <c r="L35" s="440">
        <v>2</v>
      </c>
      <c r="M35" s="423"/>
      <c r="N35" s="423"/>
      <c r="P35" s="53" t="s">
        <v>357</v>
      </c>
    </row>
    <row r="36" spans="2:30" ht="27.6" outlineLevel="1">
      <c r="B36" s="501"/>
      <c r="C36" s="516"/>
      <c r="D36" s="516"/>
      <c r="E36" s="516"/>
      <c r="F36" s="516"/>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693">
        <f>C29*0.2</f>
        <v>0.17424000000000003</v>
      </c>
      <c r="D39" s="693">
        <f>D29*0.2</f>
        <v>0.15576000000000001</v>
      </c>
      <c r="E39" s="693">
        <f>E29*0.2</f>
        <v>0.14599999999999999</v>
      </c>
      <c r="F39" s="693">
        <f>F29*0.2</f>
        <v>0.13999999999999999</v>
      </c>
      <c r="G39" s="703"/>
      <c r="H39" s="703"/>
      <c r="I39" s="703"/>
      <c r="J39" s="703"/>
      <c r="K39" s="703" t="s">
        <v>33</v>
      </c>
      <c r="L39" s="524"/>
      <c r="M39" s="423"/>
      <c r="N39" s="423"/>
      <c r="O39" s="525">
        <f>(C12+C84)/2</f>
        <v>275</v>
      </c>
      <c r="P39" s="526">
        <f>C8</f>
        <v>2020</v>
      </c>
      <c r="Q39" s="58">
        <f>P39</f>
        <v>2020</v>
      </c>
      <c r="R39" s="526">
        <f>O39/100</f>
        <v>2.75</v>
      </c>
      <c r="S39" s="58"/>
      <c r="T39" s="526">
        <f>C16</f>
        <v>20</v>
      </c>
      <c r="U39" s="527">
        <f>(C46+C118)/2</f>
        <v>7139.4840000000004</v>
      </c>
      <c r="V39" s="527">
        <f>C48</f>
        <v>7.2264999999999997</v>
      </c>
      <c r="W39" s="527">
        <f>C49</f>
        <v>6.7463888888888883</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c r="L40" s="524"/>
      <c r="M40" s="423"/>
      <c r="N40" s="423"/>
      <c r="O40" s="525">
        <f>(D12+D84)/2</f>
        <v>287.5</v>
      </c>
      <c r="P40" s="526">
        <f>D8</f>
        <v>2030</v>
      </c>
      <c r="Q40" s="58"/>
      <c r="R40" s="526">
        <f>O40/100</f>
        <v>2.875</v>
      </c>
      <c r="S40" s="58"/>
      <c r="T40" s="526">
        <f>D16</f>
        <v>20</v>
      </c>
      <c r="U40" s="527">
        <f>(D46+D118)/2</f>
        <v>6382.2660000000014</v>
      </c>
      <c r="V40" s="527">
        <f>D48</f>
        <v>6.4814999999999996</v>
      </c>
      <c r="W40" s="527">
        <f>D49</f>
        <v>6.6222222222222227</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(E12+E84)/2</f>
        <v>297.5</v>
      </c>
      <c r="P41" s="526">
        <f>E8</f>
        <v>2040</v>
      </c>
      <c r="Q41" s="58"/>
      <c r="R41" s="526">
        <f>O41/100</f>
        <v>2.9750000000000001</v>
      </c>
      <c r="S41" s="58"/>
      <c r="T41" s="526">
        <f>E16</f>
        <v>20</v>
      </c>
      <c r="U41" s="527">
        <f>(E46+E118)/2</f>
        <v>5982.35</v>
      </c>
      <c r="V41" s="527">
        <f>E48</f>
        <v>5.96</v>
      </c>
      <c r="W41" s="527">
        <f>E49</f>
        <v>6.66361111111111</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(F12+F84)/2</f>
        <v>302.5</v>
      </c>
      <c r="P42" s="526">
        <f>F8</f>
        <v>2050</v>
      </c>
      <c r="Q42" s="58"/>
      <c r="R42" s="526">
        <f>O42/100</f>
        <v>3.0249999999999999</v>
      </c>
      <c r="S42" s="58"/>
      <c r="T42" s="526">
        <f>F16</f>
        <v>20</v>
      </c>
      <c r="U42" s="527">
        <f>(F46+F118)/2</f>
        <v>5736.5</v>
      </c>
      <c r="V42" s="527">
        <f>F48</f>
        <v>5.3639999999999999</v>
      </c>
      <c r="W42" s="527">
        <f>F49</f>
        <v>6.4566666666666661</v>
      </c>
      <c r="X42" s="58"/>
      <c r="Y42" s="58"/>
      <c r="Z42" s="526">
        <f>F23</f>
        <v>0</v>
      </c>
      <c r="AA42" s="528">
        <f>F25</f>
        <v>0</v>
      </c>
      <c r="AB42" s="528">
        <f>F26</f>
        <v>0</v>
      </c>
      <c r="AC42" s="528">
        <f>F27</f>
        <v>0</v>
      </c>
      <c r="AD42" s="528">
        <f>F24</f>
        <v>0</v>
      </c>
    </row>
    <row r="43" spans="2:30" outlineLevel="1">
      <c r="B43" s="535" t="s">
        <v>891</v>
      </c>
      <c r="C43" s="529">
        <v>40</v>
      </c>
      <c r="D43" s="530">
        <v>40</v>
      </c>
      <c r="E43" s="530">
        <v>40</v>
      </c>
      <c r="F43" s="531">
        <v>40</v>
      </c>
      <c r="G43" s="534"/>
      <c r="H43" s="534"/>
      <c r="I43" s="534"/>
      <c r="J43" s="534"/>
      <c r="K43" s="534" t="s">
        <v>51</v>
      </c>
      <c r="L43" s="536"/>
      <c r="M43" s="427"/>
      <c r="N43" s="427"/>
    </row>
    <row r="44" spans="2:30" outlineLevel="1">
      <c r="B44" s="535" t="s">
        <v>892</v>
      </c>
      <c r="C44" s="529">
        <v>10</v>
      </c>
      <c r="D44" s="530">
        <v>10</v>
      </c>
      <c r="E44" s="530">
        <v>10</v>
      </c>
      <c r="F44" s="531">
        <v>10</v>
      </c>
      <c r="G44" s="534"/>
      <c r="H44" s="534"/>
      <c r="I44" s="534"/>
      <c r="J44" s="534"/>
      <c r="K44" s="534" t="s">
        <v>51</v>
      </c>
      <c r="L44" s="536"/>
      <c r="M44" s="423"/>
      <c r="N44" s="423"/>
      <c r="O44" s="8" t="s">
        <v>1044</v>
      </c>
    </row>
    <row r="45" spans="2:30" ht="15" outlineLevel="1" thickBot="1">
      <c r="B45" s="537" t="s">
        <v>893</v>
      </c>
      <c r="C45" s="538"/>
      <c r="D45" s="539"/>
      <c r="E45" s="539"/>
      <c r="F45" s="540"/>
      <c r="G45" s="541"/>
      <c r="H45" s="541"/>
      <c r="I45" s="541"/>
      <c r="J45" s="541"/>
      <c r="K45" s="541"/>
      <c r="L45" s="542"/>
      <c r="M45" s="423"/>
      <c r="N45" s="423"/>
    </row>
    <row r="46" spans="2:30" ht="57.6" outlineLevel="1">
      <c r="B46" s="521" t="s">
        <v>894</v>
      </c>
      <c r="C46" s="543">
        <f>C29*$F$4*1000</f>
        <v>6490.4400000000005</v>
      </c>
      <c r="D46" s="543">
        <f t="shared" ref="D46:F46" si="1">D29*$F$4*1000</f>
        <v>5802.0600000000013</v>
      </c>
      <c r="E46" s="543">
        <f t="shared" si="1"/>
        <v>5438.5</v>
      </c>
      <c r="F46" s="543">
        <f t="shared" si="1"/>
        <v>5215</v>
      </c>
      <c r="G46" s="543"/>
      <c r="H46" s="544"/>
      <c r="I46" s="480" t="s">
        <v>332</v>
      </c>
      <c r="J46" s="480"/>
      <c r="K46" s="544"/>
      <c r="L46" s="544"/>
      <c r="N46" s="480"/>
    </row>
    <row r="47" spans="2:30" outlineLevel="1">
      <c r="B47" s="545" t="s">
        <v>895</v>
      </c>
      <c r="C47" s="546">
        <f>C46*$I47</f>
        <v>3245220.0000000005</v>
      </c>
      <c r="D47" s="546">
        <f>D46*$I47</f>
        <v>2901030.0000000005</v>
      </c>
      <c r="E47" s="546">
        <f>E46*$I47</f>
        <v>2719250</v>
      </c>
      <c r="F47" s="546">
        <f>F46*$I47</f>
        <v>2607500</v>
      </c>
      <c r="G47" s="546"/>
      <c r="H47" s="544"/>
      <c r="I47" s="71">
        <v>500</v>
      </c>
      <c r="J47" s="480" t="s">
        <v>330</v>
      </c>
      <c r="K47" s="544"/>
      <c r="L47" s="544"/>
      <c r="N47" s="480"/>
    </row>
    <row r="48" spans="2:30" ht="43.2" outlineLevel="1">
      <c r="B48" s="521" t="s">
        <v>970</v>
      </c>
      <c r="C48" s="419">
        <f>C32*$F$4/1000</f>
        <v>7.2264999999999997</v>
      </c>
      <c r="D48" s="419">
        <f t="shared" ref="D48:F48" si="2">D32*$F$4/1000</f>
        <v>6.4814999999999996</v>
      </c>
      <c r="E48" s="419">
        <f t="shared" si="2"/>
        <v>5.96</v>
      </c>
      <c r="F48" s="419">
        <f t="shared" si="2"/>
        <v>5.3639999999999999</v>
      </c>
      <c r="G48" s="419"/>
      <c r="I48" s="480" t="s">
        <v>333</v>
      </c>
      <c r="J48" s="480"/>
      <c r="N48" s="480"/>
    </row>
    <row r="49" spans="2:14" ht="43.2" outlineLevel="1">
      <c r="B49" s="521" t="s">
        <v>971</v>
      </c>
      <c r="C49" s="547">
        <f>C33*$F$4/3.6</f>
        <v>6.7463888888888883</v>
      </c>
      <c r="D49" s="547">
        <f t="shared" ref="D49:F49" si="3">D33*$F$4/3.6</f>
        <v>6.6222222222222227</v>
      </c>
      <c r="E49" s="547">
        <f t="shared" si="3"/>
        <v>6.66361111111111</v>
      </c>
      <c r="F49" s="547">
        <f t="shared" si="3"/>
        <v>6.4566666666666661</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8" t="s">
        <v>898</v>
      </c>
      <c r="F55" s="417"/>
      <c r="G55" s="417"/>
      <c r="H55" s="417"/>
      <c r="I55" s="417"/>
      <c r="J55" s="417"/>
      <c r="K55" s="417"/>
      <c r="L55" s="417"/>
    </row>
    <row r="56" spans="2:14" outlineLevel="1">
      <c r="B56" s="417">
        <v>1</v>
      </c>
      <c r="C56" s="550" t="s">
        <v>1003</v>
      </c>
      <c r="D56" s="417"/>
      <c r="E56" s="550"/>
      <c r="F56" s="417"/>
      <c r="G56" s="417"/>
      <c r="H56" s="417"/>
      <c r="I56" s="417"/>
      <c r="J56" s="417"/>
      <c r="K56" s="417"/>
      <c r="L56" s="417"/>
    </row>
    <row r="57" spans="2:14" outlineLevel="1">
      <c r="B57" s="417">
        <v>2</v>
      </c>
      <c r="C57" s="696" t="s">
        <v>1027</v>
      </c>
      <c r="D57" s="417"/>
      <c r="E57" s="550"/>
      <c r="F57" s="417"/>
      <c r="G57" s="417"/>
      <c r="H57" s="417"/>
      <c r="I57" s="417"/>
      <c r="J57" s="417"/>
      <c r="K57" s="417"/>
      <c r="L57" s="417"/>
    </row>
    <row r="58" spans="2:14" outlineLevel="1">
      <c r="B58" s="726">
        <v>3</v>
      </c>
      <c r="C58" s="727" t="s">
        <v>1028</v>
      </c>
      <c r="D58" s="417"/>
      <c r="E58" s="550"/>
      <c r="F58" s="417"/>
      <c r="G58" s="417"/>
      <c r="H58" s="417"/>
      <c r="I58" s="417"/>
      <c r="J58" s="417"/>
      <c r="K58" s="417"/>
      <c r="L58" s="417"/>
    </row>
    <row r="59" spans="2:14" outlineLevel="1">
      <c r="B59" s="550">
        <v>4</v>
      </c>
      <c r="C59" s="727" t="s">
        <v>1029</v>
      </c>
      <c r="D59" s="417"/>
      <c r="E59" s="550"/>
      <c r="F59" s="417"/>
      <c r="G59" s="417"/>
      <c r="H59" s="417"/>
      <c r="I59" s="417"/>
      <c r="J59" s="417"/>
      <c r="K59" s="417"/>
      <c r="L59" s="417"/>
    </row>
    <row r="60" spans="2:14" outlineLevel="1">
      <c r="B60" s="550">
        <v>5</v>
      </c>
      <c r="C60" s="553" t="s">
        <v>1030</v>
      </c>
      <c r="D60" s="417"/>
      <c r="E60" s="550"/>
      <c r="F60" s="417"/>
      <c r="G60" s="417"/>
      <c r="H60" s="417"/>
      <c r="I60" s="417"/>
      <c r="J60" s="417"/>
      <c r="K60" s="417"/>
      <c r="L60" s="417"/>
    </row>
    <row r="61" spans="2:14" outlineLevel="1">
      <c r="B61" s="8" t="s">
        <v>908</v>
      </c>
      <c r="D61" s="417"/>
      <c r="E61" s="550"/>
      <c r="F61" s="417"/>
      <c r="G61" s="417"/>
      <c r="H61" s="417"/>
      <c r="I61" s="417"/>
      <c r="J61" s="417"/>
      <c r="K61" s="417"/>
      <c r="L61" s="417"/>
    </row>
    <row r="62" spans="2:14" outlineLevel="1">
      <c r="B62" s="697" t="s">
        <v>6</v>
      </c>
      <c r="C62" s="417" t="s">
        <v>978</v>
      </c>
      <c r="D62" s="417"/>
      <c r="E62" s="550"/>
      <c r="F62" s="417"/>
      <c r="G62" s="417"/>
      <c r="H62" s="417"/>
      <c r="I62" s="417"/>
      <c r="J62" s="417"/>
      <c r="K62" s="417"/>
      <c r="L62" s="417"/>
    </row>
    <row r="63" spans="2:14" outlineLevel="1">
      <c r="B63" s="697" t="s">
        <v>59</v>
      </c>
      <c r="C63" s="417" t="s">
        <v>1031</v>
      </c>
      <c r="D63" s="417"/>
      <c r="E63" s="550"/>
      <c r="F63" s="417"/>
      <c r="G63" s="417"/>
      <c r="H63" s="417"/>
      <c r="I63" s="417"/>
      <c r="J63" s="417"/>
      <c r="K63" s="417"/>
      <c r="L63" s="417"/>
    </row>
    <row r="64" spans="2:14" outlineLevel="1">
      <c r="B64" s="697" t="s">
        <v>16</v>
      </c>
      <c r="C64" s="417" t="s">
        <v>981</v>
      </c>
      <c r="D64" s="417"/>
      <c r="E64" s="550"/>
      <c r="F64" s="417"/>
      <c r="G64" s="417"/>
      <c r="H64" s="417"/>
      <c r="I64" s="417"/>
      <c r="J64" s="417"/>
      <c r="K64" s="417"/>
      <c r="L64" s="417"/>
    </row>
    <row r="65" spans="1:44" outlineLevel="1">
      <c r="B65" s="697" t="s">
        <v>20</v>
      </c>
      <c r="C65" s="417" t="s">
        <v>1032</v>
      </c>
      <c r="F65" s="417"/>
      <c r="G65" s="417"/>
      <c r="H65" s="417"/>
      <c r="I65" s="417"/>
      <c r="J65" s="417"/>
      <c r="K65" s="417"/>
      <c r="L65" s="417"/>
    </row>
    <row r="66" spans="1:44" outlineLevel="1">
      <c r="B66" s="726" t="s">
        <v>76</v>
      </c>
      <c r="C66" s="417" t="s">
        <v>1033</v>
      </c>
      <c r="D66" s="417"/>
      <c r="E66" s="550"/>
      <c r="F66" s="417"/>
      <c r="G66" s="417"/>
      <c r="H66" s="417"/>
      <c r="I66" s="417"/>
      <c r="J66" s="417"/>
      <c r="K66" s="417"/>
      <c r="L66" s="417"/>
    </row>
    <row r="67" spans="1:44" outlineLevel="1">
      <c r="B67" s="697" t="s">
        <v>25</v>
      </c>
      <c r="C67" s="558" t="s">
        <v>913</v>
      </c>
      <c r="D67" s="558"/>
      <c r="E67" s="550"/>
      <c r="F67" s="417"/>
      <c r="G67" s="417"/>
      <c r="H67" s="417"/>
      <c r="I67" s="417"/>
      <c r="J67" s="417"/>
      <c r="K67" s="417"/>
      <c r="L67" s="417"/>
    </row>
    <row r="68" spans="1:44" outlineLevel="1">
      <c r="B68" s="716" t="s">
        <v>33</v>
      </c>
      <c r="C68" s="550" t="s">
        <v>984</v>
      </c>
      <c r="E68" s="550"/>
      <c r="F68" s="417"/>
      <c r="G68" s="417"/>
      <c r="H68" s="417"/>
      <c r="I68" s="417"/>
      <c r="J68" s="417"/>
      <c r="K68" s="417"/>
      <c r="L68" s="417"/>
    </row>
    <row r="69" spans="1:44" outlineLevel="1">
      <c r="B69" s="697" t="s">
        <v>51</v>
      </c>
      <c r="C69" s="550" t="s">
        <v>985</v>
      </c>
      <c r="E69" s="550"/>
      <c r="F69" s="417"/>
      <c r="G69" s="417"/>
      <c r="H69" s="417"/>
      <c r="I69" s="417"/>
      <c r="J69" s="417"/>
      <c r="K69" s="417"/>
      <c r="L69" s="417"/>
    </row>
    <row r="70" spans="1:44" outlineLevel="1">
      <c r="E70" s="550"/>
      <c r="G70" s="417"/>
      <c r="H70" s="417"/>
      <c r="I70" s="417"/>
      <c r="J70" s="417"/>
      <c r="K70" s="417"/>
      <c r="L70" s="417"/>
    </row>
    <row r="71" spans="1:44" outlineLevel="1">
      <c r="B71" s="697"/>
      <c r="C71" s="550"/>
      <c r="E71" s="550"/>
      <c r="F71" s="550"/>
    </row>
    <row r="72" spans="1:44" outlineLevel="1"/>
    <row r="73" spans="1:44" outlineLevel="1"/>
    <row r="74" spans="1:44" outlineLevel="1"/>
    <row r="77" spans="1:44">
      <c r="A77" s="420" t="s">
        <v>1041</v>
      </c>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752">
        <v>1</v>
      </c>
      <c r="Q78" s="752">
        <v>2</v>
      </c>
      <c r="R78" s="752">
        <v>3</v>
      </c>
      <c r="S78" s="752">
        <v>4</v>
      </c>
      <c r="T78" s="752">
        <v>5</v>
      </c>
      <c r="U78" s="752">
        <v>6</v>
      </c>
      <c r="V78" s="752">
        <v>7</v>
      </c>
      <c r="W78" s="752">
        <v>8</v>
      </c>
      <c r="X78" s="752">
        <v>9</v>
      </c>
      <c r="Y78" s="752">
        <v>10</v>
      </c>
      <c r="Z78" s="752">
        <v>11</v>
      </c>
      <c r="AA78" s="752">
        <v>12</v>
      </c>
      <c r="AB78" s="752">
        <v>13</v>
      </c>
      <c r="AC78" s="752">
        <v>14</v>
      </c>
    </row>
    <row r="79" spans="1:44" ht="20.7" customHeight="1" outlineLevel="1" thickBot="1">
      <c r="B79" s="422" t="s">
        <v>0</v>
      </c>
      <c r="C79" s="1018" t="s">
        <v>1040</v>
      </c>
      <c r="D79" s="1019"/>
      <c r="E79" s="1019"/>
      <c r="F79" s="1019"/>
      <c r="G79" s="1019"/>
      <c r="H79" s="1019"/>
      <c r="I79" s="1019"/>
      <c r="J79" s="1019"/>
      <c r="K79" s="1019"/>
      <c r="L79" s="1020"/>
      <c r="M79" s="423"/>
      <c r="N79" s="423"/>
      <c r="P79" s="424" t="s">
        <v>838</v>
      </c>
      <c r="Q79" s="425"/>
      <c r="R79" s="426"/>
      <c r="S79" s="985" t="s">
        <v>839</v>
      </c>
      <c r="T79" s="989" t="s">
        <v>840</v>
      </c>
      <c r="U79" s="990"/>
      <c r="V79" s="989" t="s">
        <v>841</v>
      </c>
      <c r="W79" s="990"/>
      <c r="X79" s="989" t="s">
        <v>842</v>
      </c>
      <c r="Y79" s="990"/>
      <c r="Z79" s="989" t="s">
        <v>843</v>
      </c>
      <c r="AA79" s="990"/>
      <c r="AB79" s="989" t="s">
        <v>844</v>
      </c>
      <c r="AC79" s="990"/>
      <c r="AE79" s="424" t="s">
        <v>845</v>
      </c>
      <c r="AF79" s="425"/>
      <c r="AG79" s="426"/>
      <c r="AH79" s="985" t="s">
        <v>839</v>
      </c>
      <c r="AI79" s="989" t="s">
        <v>840</v>
      </c>
      <c r="AJ79" s="990"/>
      <c r="AK79" s="989" t="s">
        <v>841</v>
      </c>
      <c r="AL79" s="990"/>
      <c r="AM79" s="989" t="s">
        <v>842</v>
      </c>
      <c r="AN79" s="990"/>
      <c r="AO79" s="989" t="s">
        <v>843</v>
      </c>
      <c r="AP79" s="990"/>
      <c r="AQ79" s="989" t="s">
        <v>844</v>
      </c>
      <c r="AR79" s="990"/>
    </row>
    <row r="80" spans="1:44" ht="15" customHeight="1" outlineLevel="1" thickBot="1">
      <c r="B80" s="1010" t="s">
        <v>4</v>
      </c>
      <c r="C80" s="1012">
        <v>2020</v>
      </c>
      <c r="D80" s="1012">
        <v>2030</v>
      </c>
      <c r="E80" s="1012">
        <v>2040</v>
      </c>
      <c r="F80" s="1012">
        <v>2050</v>
      </c>
      <c r="G80" s="1014" t="s">
        <v>846</v>
      </c>
      <c r="H80" s="1015"/>
      <c r="I80" s="1014" t="s">
        <v>693</v>
      </c>
      <c r="J80" s="1015"/>
      <c r="K80" s="1016" t="s">
        <v>2</v>
      </c>
      <c r="L80" s="1016" t="s">
        <v>3</v>
      </c>
      <c r="M80" s="427"/>
      <c r="N80" s="427"/>
      <c r="P80" s="993" t="s">
        <v>0</v>
      </c>
      <c r="Q80" s="428"/>
      <c r="R80" s="428"/>
      <c r="S80" s="986"/>
      <c r="T80" s="991"/>
      <c r="U80" s="992"/>
      <c r="V80" s="991"/>
      <c r="W80" s="992"/>
      <c r="X80" s="991"/>
      <c r="Y80" s="992"/>
      <c r="Z80" s="991"/>
      <c r="AA80" s="992"/>
      <c r="AB80" s="991"/>
      <c r="AC80" s="992"/>
      <c r="AE80" s="993" t="s">
        <v>0</v>
      </c>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t="s">
        <v>694</v>
      </c>
      <c r="H81" s="559" t="s">
        <v>695</v>
      </c>
      <c r="I81" s="559" t="s">
        <v>694</v>
      </c>
      <c r="J81" s="559" t="s">
        <v>695</v>
      </c>
      <c r="K81" s="1017"/>
      <c r="L81" s="1017"/>
      <c r="M81" s="430"/>
      <c r="N81" s="430"/>
      <c r="P81" s="994"/>
      <c r="Q81" s="996" t="s">
        <v>847</v>
      </c>
      <c r="R81" s="997" t="s">
        <v>848</v>
      </c>
      <c r="S81" s="987"/>
      <c r="T81" s="991"/>
      <c r="U81" s="992"/>
      <c r="V81" s="991"/>
      <c r="W81" s="992"/>
      <c r="X81" s="991"/>
      <c r="Y81" s="992"/>
      <c r="Z81" s="991"/>
      <c r="AA81" s="992"/>
      <c r="AB81" s="991"/>
      <c r="AC81" s="992"/>
      <c r="AE81" s="994"/>
      <c r="AF81" s="1040" t="s">
        <v>847</v>
      </c>
      <c r="AG81" s="997" t="s">
        <v>848</v>
      </c>
      <c r="AH81" s="987"/>
      <c r="AI81" s="991"/>
      <c r="AJ81" s="992"/>
      <c r="AK81" s="991"/>
      <c r="AL81" s="992"/>
      <c r="AM81" s="991"/>
      <c r="AN81" s="992"/>
      <c r="AO81" s="991"/>
      <c r="AP81" s="992"/>
      <c r="AQ81" s="991"/>
      <c r="AR81" s="992"/>
    </row>
    <row r="82" spans="2:44" ht="29.4" outlineLevel="1" thickBot="1">
      <c r="B82" s="431" t="s">
        <v>696</v>
      </c>
      <c r="C82" s="432">
        <v>1.5</v>
      </c>
      <c r="D82" s="432">
        <v>1.5</v>
      </c>
      <c r="E82" s="432">
        <v>1.5</v>
      </c>
      <c r="F82" s="432">
        <v>1.5</v>
      </c>
      <c r="G82" s="432">
        <v>0.5</v>
      </c>
      <c r="H82" s="432">
        <v>5</v>
      </c>
      <c r="I82" s="432">
        <v>0.5</v>
      </c>
      <c r="J82" s="432">
        <v>5</v>
      </c>
      <c r="K82" s="432" t="s">
        <v>6</v>
      </c>
      <c r="L82" s="433"/>
      <c r="M82" s="430"/>
      <c r="N82" s="430"/>
      <c r="O82" s="74"/>
      <c r="P82" s="995"/>
      <c r="Q82" s="988"/>
      <c r="R82" s="998"/>
      <c r="S82" s="988"/>
      <c r="T82" s="434" t="s">
        <v>851</v>
      </c>
      <c r="U82" s="435" t="s">
        <v>852</v>
      </c>
      <c r="V82" s="434" t="s">
        <v>851</v>
      </c>
      <c r="W82" s="435" t="s">
        <v>852</v>
      </c>
      <c r="X82" s="434" t="s">
        <v>851</v>
      </c>
      <c r="Y82" s="435" t="s">
        <v>852</v>
      </c>
      <c r="Z82" s="434" t="s">
        <v>851</v>
      </c>
      <c r="AA82" s="435" t="s">
        <v>852</v>
      </c>
      <c r="AB82" s="434" t="s">
        <v>851</v>
      </c>
      <c r="AC82" s="435" t="s">
        <v>852</v>
      </c>
      <c r="AE82" s="995"/>
      <c r="AF82" s="1041"/>
      <c r="AG82" s="998"/>
      <c r="AH82" s="988"/>
      <c r="AI82" s="434" t="s">
        <v>851</v>
      </c>
      <c r="AJ82" s="435" t="s">
        <v>852</v>
      </c>
      <c r="AK82" s="434" t="s">
        <v>851</v>
      </c>
      <c r="AL82" s="435" t="s">
        <v>852</v>
      </c>
      <c r="AM82" s="434" t="s">
        <v>851</v>
      </c>
      <c r="AN82" s="435" t="s">
        <v>852</v>
      </c>
      <c r="AO82" s="434" t="s">
        <v>851</v>
      </c>
      <c r="AP82" s="435" t="s">
        <v>852</v>
      </c>
      <c r="AQ82" s="434" t="s">
        <v>851</v>
      </c>
      <c r="AR82" s="435" t="s">
        <v>852</v>
      </c>
    </row>
    <row r="83" spans="2:44" ht="15" customHeight="1" outlineLevel="1">
      <c r="B83" s="560" t="s">
        <v>853</v>
      </c>
      <c r="C83" s="728">
        <v>300</v>
      </c>
      <c r="D83" s="728">
        <v>310</v>
      </c>
      <c r="E83" s="729">
        <v>320</v>
      </c>
      <c r="F83" s="728">
        <v>325</v>
      </c>
      <c r="G83" s="728">
        <f>D83</f>
        <v>310</v>
      </c>
      <c r="H83" s="728">
        <f>D83*1.1</f>
        <v>341</v>
      </c>
      <c r="I83" s="728">
        <f>D83</f>
        <v>310</v>
      </c>
      <c r="J83" s="728">
        <f>F83*1.1</f>
        <v>357.50000000000006</v>
      </c>
      <c r="K83" s="563"/>
      <c r="L83" s="564">
        <v>1.5</v>
      </c>
      <c r="M83" s="430"/>
      <c r="N83" s="430"/>
      <c r="P83" s="1027" t="str">
        <f>C79</f>
        <v>High temperature heat pumps, up to 150 °C</v>
      </c>
      <c r="Q83" s="1030" t="s">
        <v>855</v>
      </c>
      <c r="R83" s="441" t="s">
        <v>856</v>
      </c>
      <c r="S83" s="442"/>
      <c r="T83" s="1033">
        <v>0</v>
      </c>
      <c r="U83" s="1021">
        <v>0</v>
      </c>
      <c r="V83" s="1033">
        <v>0</v>
      </c>
      <c r="W83" s="1021">
        <v>0</v>
      </c>
      <c r="X83" s="1033">
        <v>0</v>
      </c>
      <c r="Y83" s="1021">
        <v>0</v>
      </c>
      <c r="Z83" s="1033">
        <v>0</v>
      </c>
      <c r="AA83" s="1021">
        <v>0</v>
      </c>
      <c r="AB83" s="1033">
        <v>0</v>
      </c>
      <c r="AC83" s="1021">
        <v>0</v>
      </c>
      <c r="AE83" s="1027" t="str">
        <f>P83</f>
        <v>High temperature heat pumps, up to 150 °C</v>
      </c>
      <c r="AF83" s="1030" t="s">
        <v>855</v>
      </c>
      <c r="AG83" s="441" t="s">
        <v>856</v>
      </c>
      <c r="AH83" s="442"/>
      <c r="AI83" s="1033">
        <v>0</v>
      </c>
      <c r="AJ83" s="1021">
        <v>0</v>
      </c>
      <c r="AK83" s="1033">
        <v>0</v>
      </c>
      <c r="AL83" s="1021">
        <v>0</v>
      </c>
      <c r="AM83" s="1033">
        <v>0</v>
      </c>
      <c r="AN83" s="1021">
        <v>0</v>
      </c>
      <c r="AO83" s="1033">
        <v>0</v>
      </c>
      <c r="AP83" s="1021">
        <v>0</v>
      </c>
      <c r="AQ83" s="1033">
        <v>0</v>
      </c>
      <c r="AR83" s="1021">
        <v>0</v>
      </c>
    </row>
    <row r="84" spans="2:44" outlineLevel="1">
      <c r="B84" s="443" t="s">
        <v>857</v>
      </c>
      <c r="C84" s="637">
        <f>C83-5</f>
        <v>295</v>
      </c>
      <c r="D84" s="637">
        <f t="shared" ref="D84:J84" si="4">D83-5</f>
        <v>305</v>
      </c>
      <c r="E84" s="637">
        <f t="shared" si="4"/>
        <v>315</v>
      </c>
      <c r="F84" s="637">
        <f t="shared" si="4"/>
        <v>320</v>
      </c>
      <c r="G84" s="636">
        <f t="shared" si="4"/>
        <v>305</v>
      </c>
      <c r="H84" s="636">
        <f t="shared" si="4"/>
        <v>336</v>
      </c>
      <c r="I84" s="636">
        <f t="shared" si="4"/>
        <v>305</v>
      </c>
      <c r="J84" s="636">
        <f t="shared" si="4"/>
        <v>352.50000000000006</v>
      </c>
      <c r="K84" s="432" t="s">
        <v>59</v>
      </c>
      <c r="L84" s="433"/>
      <c r="M84" s="430"/>
      <c r="N84" s="430"/>
      <c r="O84" s="71"/>
      <c r="P84" s="1028"/>
      <c r="Q84" s="1031"/>
      <c r="R84" s="448" t="s">
        <v>858</v>
      </c>
      <c r="S84" s="449"/>
      <c r="T84" s="1034"/>
      <c r="U84" s="1022"/>
      <c r="V84" s="1034"/>
      <c r="W84" s="1022"/>
      <c r="X84" s="1034"/>
      <c r="Y84" s="1022"/>
      <c r="Z84" s="1034"/>
      <c r="AA84" s="1022"/>
      <c r="AB84" s="1034"/>
      <c r="AC84" s="1022"/>
      <c r="AE84" s="1028"/>
      <c r="AF84" s="1031"/>
      <c r="AG84" s="448" t="s">
        <v>858</v>
      </c>
      <c r="AH84" s="449"/>
      <c r="AI84" s="1034"/>
      <c r="AJ84" s="1022"/>
      <c r="AK84" s="1034"/>
      <c r="AL84" s="1022"/>
      <c r="AM84" s="1034"/>
      <c r="AN84" s="1022"/>
      <c r="AO84" s="1034"/>
      <c r="AP84" s="1022"/>
      <c r="AQ84" s="1034"/>
      <c r="AR84" s="1022"/>
    </row>
    <row r="85" spans="2:44" ht="15" outlineLevel="1" thickBot="1">
      <c r="B85" s="560" t="s">
        <v>859</v>
      </c>
      <c r="C85" s="566">
        <v>2</v>
      </c>
      <c r="D85" s="567">
        <v>2</v>
      </c>
      <c r="E85" s="567">
        <v>2</v>
      </c>
      <c r="F85" s="568">
        <v>2</v>
      </c>
      <c r="G85" s="567">
        <v>1</v>
      </c>
      <c r="H85" s="567">
        <v>7</v>
      </c>
      <c r="I85" s="567">
        <v>1</v>
      </c>
      <c r="J85" s="567">
        <v>7</v>
      </c>
      <c r="K85" s="563"/>
      <c r="L85" s="564">
        <v>2</v>
      </c>
      <c r="M85" s="430"/>
      <c r="N85" s="430"/>
      <c r="O85" s="71"/>
      <c r="P85" s="1028"/>
      <c r="Q85" s="1032"/>
      <c r="R85" s="453" t="s">
        <v>860</v>
      </c>
      <c r="S85" s="454"/>
      <c r="T85" s="1035"/>
      <c r="U85" s="1023"/>
      <c r="V85" s="1035"/>
      <c r="W85" s="1023"/>
      <c r="X85" s="1035"/>
      <c r="Y85" s="1023"/>
      <c r="Z85" s="1035"/>
      <c r="AA85" s="1023"/>
      <c r="AB85" s="1035"/>
      <c r="AC85" s="1023"/>
      <c r="AE85" s="1028"/>
      <c r="AF85" s="1032"/>
      <c r="AG85" s="453" t="s">
        <v>860</v>
      </c>
      <c r="AH85" s="454"/>
      <c r="AI85" s="1035"/>
      <c r="AJ85" s="1023"/>
      <c r="AK85" s="1035"/>
      <c r="AL85" s="1023"/>
      <c r="AM85" s="1035"/>
      <c r="AN85" s="1023"/>
      <c r="AO85" s="1035"/>
      <c r="AP85" s="1023"/>
      <c r="AQ85" s="1035"/>
      <c r="AR85" s="1023"/>
    </row>
    <row r="86" spans="2:44" ht="15" customHeight="1" outlineLevel="1">
      <c r="B86" s="560" t="s">
        <v>702</v>
      </c>
      <c r="C86" s="566">
        <v>0</v>
      </c>
      <c r="D86" s="566">
        <v>0</v>
      </c>
      <c r="E86" s="566">
        <v>0</v>
      </c>
      <c r="F86" s="566">
        <v>0</v>
      </c>
      <c r="G86" s="566">
        <v>0</v>
      </c>
      <c r="H86" s="566">
        <v>1</v>
      </c>
      <c r="I86" s="566">
        <v>0</v>
      </c>
      <c r="J86" s="566">
        <v>1</v>
      </c>
      <c r="K86" s="563" t="s">
        <v>16</v>
      </c>
      <c r="L86" s="564">
        <v>2</v>
      </c>
      <c r="M86" s="430"/>
      <c r="N86" s="430"/>
      <c r="O86" s="71"/>
      <c r="P86" s="1028"/>
      <c r="Q86" s="1030" t="s">
        <v>861</v>
      </c>
      <c r="R86" s="455" t="s">
        <v>862</v>
      </c>
      <c r="S86" s="456" t="s">
        <v>863</v>
      </c>
      <c r="T86" s="1033">
        <v>0</v>
      </c>
      <c r="U86" s="1033">
        <v>0.09</v>
      </c>
      <c r="V86" s="1033">
        <v>0</v>
      </c>
      <c r="W86" s="1033">
        <v>0.1</v>
      </c>
      <c r="X86" s="1033">
        <v>0</v>
      </c>
      <c r="Y86" s="1033">
        <v>0.03</v>
      </c>
      <c r="Z86" s="1033">
        <v>0</v>
      </c>
      <c r="AA86" s="1033">
        <v>0.05</v>
      </c>
      <c r="AB86" s="1033">
        <v>0</v>
      </c>
      <c r="AC86" s="1033">
        <v>7.0000000000000007E-2</v>
      </c>
      <c r="AE86" s="1028"/>
      <c r="AF86" s="1030" t="s">
        <v>861</v>
      </c>
      <c r="AG86" s="455" t="s">
        <v>862</v>
      </c>
      <c r="AH86" s="456" t="s">
        <v>863</v>
      </c>
      <c r="AI86" s="1033">
        <v>0</v>
      </c>
      <c r="AJ86" s="1033">
        <f>U86/4</f>
        <v>2.2499999999999999E-2</v>
      </c>
      <c r="AK86" s="1033">
        <v>0</v>
      </c>
      <c r="AL86" s="1033">
        <f>W86/4</f>
        <v>2.5000000000000001E-2</v>
      </c>
      <c r="AM86" s="1033">
        <v>0</v>
      </c>
      <c r="AN86" s="1033">
        <f>Y86/4</f>
        <v>7.4999999999999997E-3</v>
      </c>
      <c r="AO86" s="1033">
        <v>0</v>
      </c>
      <c r="AP86" s="1033">
        <f>AA86/4</f>
        <v>1.2500000000000001E-2</v>
      </c>
      <c r="AQ86" s="1033">
        <v>0</v>
      </c>
      <c r="AR86" s="1033">
        <f>AC86/4</f>
        <v>1.7500000000000002E-2</v>
      </c>
    </row>
    <row r="87" spans="2:44" outlineLevel="1">
      <c r="B87" s="560" t="s">
        <v>703</v>
      </c>
      <c r="C87" s="566">
        <v>0.5</v>
      </c>
      <c r="D87" s="566">
        <v>0.5</v>
      </c>
      <c r="E87" s="566">
        <v>0.5</v>
      </c>
      <c r="F87" s="566">
        <v>0.5</v>
      </c>
      <c r="G87" s="566">
        <v>0</v>
      </c>
      <c r="H87" s="566">
        <v>1</v>
      </c>
      <c r="I87" s="566">
        <v>0</v>
      </c>
      <c r="J87" s="566">
        <v>1</v>
      </c>
      <c r="K87" s="563"/>
      <c r="L87" s="564">
        <v>2</v>
      </c>
      <c r="M87" s="427"/>
      <c r="N87" s="427"/>
      <c r="O87" s="71"/>
      <c r="P87" s="1028"/>
      <c r="Q87" s="1031"/>
      <c r="R87" s="455" t="s">
        <v>864</v>
      </c>
      <c r="S87" s="456" t="s">
        <v>863</v>
      </c>
      <c r="T87" s="1050"/>
      <c r="U87" s="1050"/>
      <c r="V87" s="1050"/>
      <c r="W87" s="1050"/>
      <c r="X87" s="1050"/>
      <c r="Y87" s="1050"/>
      <c r="Z87" s="1050"/>
      <c r="AA87" s="1050"/>
      <c r="AB87" s="1050"/>
      <c r="AC87" s="1050"/>
      <c r="AE87" s="1028"/>
      <c r="AF87" s="1031"/>
      <c r="AG87" s="455" t="s">
        <v>864</v>
      </c>
      <c r="AH87" s="456" t="s">
        <v>863</v>
      </c>
      <c r="AI87" s="1050"/>
      <c r="AJ87" s="1050"/>
      <c r="AK87" s="1050"/>
      <c r="AL87" s="1050"/>
      <c r="AM87" s="1050"/>
      <c r="AN87" s="1050"/>
      <c r="AO87" s="1050"/>
      <c r="AP87" s="1050"/>
      <c r="AQ87" s="1050"/>
      <c r="AR87" s="1050"/>
    </row>
    <row r="88" spans="2:44" outlineLevel="1">
      <c r="B88" s="443" t="s">
        <v>11</v>
      </c>
      <c r="C88" s="457">
        <v>20</v>
      </c>
      <c r="D88" s="457">
        <v>20</v>
      </c>
      <c r="E88" s="457">
        <v>20</v>
      </c>
      <c r="F88" s="457">
        <v>20</v>
      </c>
      <c r="G88" s="459">
        <v>15</v>
      </c>
      <c r="H88" s="459">
        <v>30</v>
      </c>
      <c r="I88" s="459">
        <v>15</v>
      </c>
      <c r="J88" s="459">
        <v>30</v>
      </c>
      <c r="K88" s="432"/>
      <c r="L88" s="433">
        <v>2</v>
      </c>
      <c r="M88" s="423"/>
      <c r="N88" s="423"/>
      <c r="P88" s="1028"/>
      <c r="Q88" s="1031"/>
      <c r="R88" s="455" t="s">
        <v>866</v>
      </c>
      <c r="S88" s="456"/>
      <c r="T88" s="1050"/>
      <c r="U88" s="1050"/>
      <c r="V88" s="1050"/>
      <c r="W88" s="1050"/>
      <c r="X88" s="1050"/>
      <c r="Y88" s="1050"/>
      <c r="Z88" s="1050"/>
      <c r="AA88" s="1050"/>
      <c r="AB88" s="1050"/>
      <c r="AC88" s="1050"/>
      <c r="AE88" s="1028"/>
      <c r="AF88" s="1031"/>
      <c r="AG88" s="455" t="s">
        <v>866</v>
      </c>
      <c r="AH88" s="456"/>
      <c r="AI88" s="1050"/>
      <c r="AJ88" s="1050"/>
      <c r="AK88" s="1050"/>
      <c r="AL88" s="1050"/>
      <c r="AM88" s="1050"/>
      <c r="AN88" s="1050"/>
      <c r="AO88" s="1050"/>
      <c r="AP88" s="1050"/>
      <c r="AQ88" s="1050"/>
      <c r="AR88" s="1050"/>
    </row>
    <row r="89" spans="2:44" ht="15" outlineLevel="1" thickBot="1">
      <c r="B89" s="560" t="s">
        <v>273</v>
      </c>
      <c r="C89" s="566">
        <v>0.6</v>
      </c>
      <c r="D89" s="566">
        <v>0.6</v>
      </c>
      <c r="E89" s="566">
        <v>0.6</v>
      </c>
      <c r="F89" s="566">
        <v>0.6</v>
      </c>
      <c r="G89" s="566">
        <v>0.4</v>
      </c>
      <c r="H89" s="566">
        <v>0.8</v>
      </c>
      <c r="I89" s="566">
        <v>0.4</v>
      </c>
      <c r="J89" s="566">
        <v>0.8</v>
      </c>
      <c r="K89" s="432" t="s">
        <v>20</v>
      </c>
      <c r="L89" s="460">
        <v>2</v>
      </c>
      <c r="M89" s="423"/>
      <c r="N89" s="423"/>
      <c r="P89" s="1028"/>
      <c r="Q89" s="1031"/>
      <c r="R89" s="455" t="s">
        <v>867</v>
      </c>
      <c r="S89" s="456" t="s">
        <v>863</v>
      </c>
      <c r="T89" s="1050"/>
      <c r="U89" s="1050"/>
      <c r="V89" s="1050"/>
      <c r="W89" s="1050"/>
      <c r="X89" s="1050"/>
      <c r="Y89" s="1050"/>
      <c r="Z89" s="1050"/>
      <c r="AA89" s="1050"/>
      <c r="AB89" s="1050"/>
      <c r="AC89" s="1050"/>
      <c r="AE89" s="1028"/>
      <c r="AF89" s="1031"/>
      <c r="AG89" s="455" t="s">
        <v>867</v>
      </c>
      <c r="AH89" s="456" t="s">
        <v>863</v>
      </c>
      <c r="AI89" s="1050"/>
      <c r="AJ89" s="1050"/>
      <c r="AK89" s="1050"/>
      <c r="AL89" s="1050"/>
      <c r="AM89" s="1050"/>
      <c r="AN89" s="1050"/>
      <c r="AO89" s="1050"/>
      <c r="AP89" s="1050"/>
      <c r="AQ89" s="1050"/>
      <c r="AR89" s="1050"/>
    </row>
    <row r="90" spans="2:44" ht="15" outlineLevel="1" thickBot="1">
      <c r="B90" s="461" t="s">
        <v>868</v>
      </c>
      <c r="C90" s="462"/>
      <c r="D90" s="463"/>
      <c r="E90" s="464"/>
      <c r="F90" s="465"/>
      <c r="G90" s="466"/>
      <c r="H90" s="466"/>
      <c r="I90" s="466"/>
      <c r="J90" s="466"/>
      <c r="K90" s="467"/>
      <c r="L90" s="468"/>
      <c r="M90" s="423"/>
      <c r="N90" s="423"/>
      <c r="P90" s="1028"/>
      <c r="Q90" s="1031"/>
      <c r="R90" s="469" t="s">
        <v>988</v>
      </c>
      <c r="S90" s="470" t="s">
        <v>863</v>
      </c>
      <c r="T90" s="1051"/>
      <c r="U90" s="1051"/>
      <c r="V90" s="1051"/>
      <c r="W90" s="1051"/>
      <c r="X90" s="1051"/>
      <c r="Y90" s="1051"/>
      <c r="Z90" s="1051"/>
      <c r="AA90" s="1051"/>
      <c r="AB90" s="1051"/>
      <c r="AC90" s="1051"/>
      <c r="AE90" s="1028"/>
      <c r="AF90" s="1031"/>
      <c r="AG90" s="469" t="s">
        <v>988</v>
      </c>
      <c r="AH90" s="470" t="s">
        <v>863</v>
      </c>
      <c r="AI90" s="1051"/>
      <c r="AJ90" s="1051"/>
      <c r="AK90" s="1051"/>
      <c r="AL90" s="1051"/>
      <c r="AM90" s="1051"/>
      <c r="AN90" s="1051"/>
      <c r="AO90" s="1051"/>
      <c r="AP90" s="1051"/>
      <c r="AQ90" s="1051"/>
      <c r="AR90" s="1051"/>
    </row>
    <row r="91" spans="2:44" ht="29.4" outlineLevel="1" thickBot="1">
      <c r="B91" s="560" t="s">
        <v>708</v>
      </c>
      <c r="C91" s="566">
        <v>25</v>
      </c>
      <c r="D91" s="566">
        <v>25</v>
      </c>
      <c r="E91" s="566">
        <v>25</v>
      </c>
      <c r="F91" s="566">
        <v>25</v>
      </c>
      <c r="G91" s="567"/>
      <c r="H91" s="567"/>
      <c r="I91" s="567"/>
      <c r="J91" s="567"/>
      <c r="K91" s="563" t="s">
        <v>76</v>
      </c>
      <c r="L91" s="564">
        <v>4</v>
      </c>
      <c r="M91" s="423"/>
      <c r="N91" s="423"/>
      <c r="P91" s="1029"/>
      <c r="Q91" s="471" t="s">
        <v>870</v>
      </c>
      <c r="R91" s="472" t="s">
        <v>871</v>
      </c>
      <c r="S91" s="473" t="s">
        <v>863</v>
      </c>
      <c r="T91" s="474">
        <v>1</v>
      </c>
      <c r="U91" s="475">
        <v>1</v>
      </c>
      <c r="V91" s="476">
        <v>1</v>
      </c>
      <c r="W91" s="475">
        <v>1</v>
      </c>
      <c r="X91" s="476">
        <v>1</v>
      </c>
      <c r="Y91" s="475">
        <v>1</v>
      </c>
      <c r="Z91" s="476">
        <v>1</v>
      </c>
      <c r="AA91" s="475">
        <v>1</v>
      </c>
      <c r="AB91" s="476">
        <v>1</v>
      </c>
      <c r="AC91" s="477">
        <v>1</v>
      </c>
      <c r="AE91" s="1029"/>
      <c r="AF91" s="471" t="s">
        <v>870</v>
      </c>
      <c r="AG91" s="472" t="s">
        <v>871</v>
      </c>
      <c r="AH91" s="473" t="s">
        <v>863</v>
      </c>
      <c r="AI91" s="474">
        <v>1</v>
      </c>
      <c r="AJ91" s="475">
        <v>1</v>
      </c>
      <c r="AK91" s="474">
        <v>1</v>
      </c>
      <c r="AL91" s="475">
        <v>1</v>
      </c>
      <c r="AM91" s="474">
        <v>1</v>
      </c>
      <c r="AN91" s="475">
        <v>1</v>
      </c>
      <c r="AO91" s="474">
        <v>1</v>
      </c>
      <c r="AP91" s="475">
        <v>1</v>
      </c>
      <c r="AQ91" s="474">
        <v>1</v>
      </c>
      <c r="AR91" s="477">
        <v>1</v>
      </c>
    </row>
    <row r="92" spans="2:44" outlineLevel="1">
      <c r="B92" s="560" t="s">
        <v>709</v>
      </c>
      <c r="C92" s="566">
        <v>0.25</v>
      </c>
      <c r="D92" s="566">
        <v>0.25</v>
      </c>
      <c r="E92" s="566">
        <v>0.25</v>
      </c>
      <c r="F92" s="566">
        <v>0.25</v>
      </c>
      <c r="G92" s="569"/>
      <c r="H92" s="569"/>
      <c r="I92" s="569"/>
      <c r="J92" s="569"/>
      <c r="K92" s="570"/>
      <c r="L92" s="564">
        <v>9</v>
      </c>
      <c r="M92" s="423"/>
      <c r="N92" s="423"/>
    </row>
    <row r="93" spans="2:44" outlineLevel="1">
      <c r="B93" s="560" t="s">
        <v>711</v>
      </c>
      <c r="C93" s="566">
        <v>1</v>
      </c>
      <c r="D93" s="566">
        <v>1</v>
      </c>
      <c r="E93" s="566">
        <v>1</v>
      </c>
      <c r="F93" s="566">
        <v>1</v>
      </c>
      <c r="G93" s="569"/>
      <c r="H93" s="569"/>
      <c r="I93" s="569"/>
      <c r="J93" s="569"/>
      <c r="K93" s="570"/>
      <c r="L93" s="564">
        <v>9</v>
      </c>
      <c r="M93" s="480"/>
      <c r="N93" s="423"/>
    </row>
    <row r="94" spans="2:44" outlineLevel="1">
      <c r="B94" s="481" t="s">
        <v>12</v>
      </c>
      <c r="C94" s="459"/>
      <c r="D94" s="459"/>
      <c r="E94" s="459"/>
      <c r="F94" s="459"/>
      <c r="G94" s="482"/>
      <c r="H94" s="482"/>
      <c r="I94" s="482"/>
      <c r="J94" s="482"/>
      <c r="K94" s="483"/>
      <c r="L94" s="484"/>
      <c r="M94" s="480"/>
      <c r="N94" s="480"/>
    </row>
    <row r="95" spans="2:44" ht="39.6" outlineLevel="1">
      <c r="B95" s="443" t="s">
        <v>968</v>
      </c>
      <c r="C95" s="457" t="s">
        <v>714</v>
      </c>
      <c r="D95" s="457"/>
      <c r="E95" s="457"/>
      <c r="F95" s="457"/>
      <c r="G95" s="482"/>
      <c r="H95" s="485"/>
      <c r="I95" s="485"/>
      <c r="J95" s="485"/>
      <c r="K95" s="486"/>
      <c r="L95" s="487"/>
      <c r="M95" s="488"/>
      <c r="N95" s="488"/>
    </row>
    <row r="96" spans="2:44" outlineLevel="1">
      <c r="B96" s="443" t="s">
        <v>874</v>
      </c>
      <c r="C96" s="457"/>
      <c r="D96" s="457"/>
      <c r="E96" s="457"/>
      <c r="F96" s="457"/>
      <c r="G96" s="485"/>
      <c r="H96" s="485"/>
      <c r="I96" s="485"/>
      <c r="J96" s="485"/>
      <c r="K96" s="483"/>
      <c r="L96" s="487"/>
      <c r="M96" s="488"/>
      <c r="N96" s="488"/>
    </row>
    <row r="97" spans="1:30" outlineLevel="1">
      <c r="B97" s="443" t="s">
        <v>969</v>
      </c>
      <c r="C97" s="457"/>
      <c r="D97" s="457"/>
      <c r="E97" s="457"/>
      <c r="F97" s="457"/>
      <c r="G97" s="485"/>
      <c r="H97" s="485"/>
      <c r="I97" s="485"/>
      <c r="J97" s="485"/>
      <c r="K97" s="483"/>
      <c r="L97" s="487"/>
      <c r="M97" s="488"/>
      <c r="N97" s="488"/>
    </row>
    <row r="98" spans="1:30" outlineLevel="1">
      <c r="B98" s="443" t="s">
        <v>366</v>
      </c>
      <c r="C98" s="457"/>
      <c r="D98" s="457"/>
      <c r="E98" s="457"/>
      <c r="F98" s="457"/>
      <c r="G98" s="485"/>
      <c r="H98" s="485"/>
      <c r="I98" s="485"/>
      <c r="J98" s="485"/>
      <c r="K98" s="483"/>
      <c r="L98" s="487"/>
      <c r="M98" s="488"/>
      <c r="N98" s="488"/>
    </row>
    <row r="99" spans="1:30" ht="15" outlineLevel="1" thickBot="1">
      <c r="B99" s="489" t="s">
        <v>367</v>
      </c>
      <c r="C99" s="490"/>
      <c r="D99" s="490"/>
      <c r="E99" s="490"/>
      <c r="F99" s="490"/>
      <c r="G99" s="485"/>
      <c r="H99" s="485"/>
      <c r="I99" s="485"/>
      <c r="J99" s="485"/>
      <c r="K99" s="483"/>
      <c r="L99" s="487"/>
      <c r="M99" s="488"/>
      <c r="N99" s="488"/>
    </row>
    <row r="100" spans="1:30" ht="15" outlineLevel="1" thickBot="1">
      <c r="B100" s="491" t="s">
        <v>719</v>
      </c>
      <c r="C100" s="492"/>
      <c r="D100" s="463"/>
      <c r="E100" s="463"/>
      <c r="F100" s="493"/>
      <c r="G100" s="494"/>
      <c r="H100" s="466"/>
      <c r="I100" s="466"/>
      <c r="J100" s="466"/>
      <c r="K100" s="467"/>
      <c r="L100" s="468"/>
      <c r="M100" s="488"/>
      <c r="N100" s="488"/>
    </row>
    <row r="101" spans="1:30" ht="26.4" outlineLevel="1">
      <c r="A101" s="495"/>
      <c r="B101" s="496" t="s">
        <v>1035</v>
      </c>
      <c r="C101" s="611">
        <f>0.8712*(1+0.1+0.1)</f>
        <v>1.0454400000000001</v>
      </c>
      <c r="D101" s="707">
        <f>0.7788*(1+0.1+0.1)</f>
        <v>0.93456000000000017</v>
      </c>
      <c r="E101" s="707">
        <f>0.73*(1+0.1+0.1)</f>
        <v>0.87600000000000011</v>
      </c>
      <c r="F101" s="573">
        <f>0.7*(1+0.1+0.1)</f>
        <v>0.84000000000000008</v>
      </c>
      <c r="G101" s="485"/>
      <c r="H101" s="485"/>
      <c r="I101" s="485"/>
      <c r="J101" s="485"/>
      <c r="K101" s="486" t="s">
        <v>25</v>
      </c>
      <c r="L101" s="500" t="s">
        <v>1026</v>
      </c>
      <c r="M101" s="480"/>
      <c r="N101" s="480"/>
    </row>
    <row r="102" spans="1:30" outlineLevel="1">
      <c r="B102" s="501" t="s">
        <v>964</v>
      </c>
      <c r="C102" s="502">
        <v>40</v>
      </c>
      <c r="D102" s="502">
        <v>40</v>
      </c>
      <c r="E102" s="502">
        <v>40</v>
      </c>
      <c r="F102" s="502">
        <v>40</v>
      </c>
      <c r="G102" s="485"/>
      <c r="H102" s="485"/>
      <c r="I102" s="485"/>
      <c r="J102" s="485"/>
      <c r="K102" s="504"/>
      <c r="L102" s="433">
        <v>4</v>
      </c>
      <c r="M102" s="71"/>
      <c r="N102" s="480"/>
    </row>
    <row r="103" spans="1:30" outlineLevel="1">
      <c r="B103" s="501" t="s">
        <v>965</v>
      </c>
      <c r="C103" s="502">
        <v>60</v>
      </c>
      <c r="D103" s="502">
        <v>60</v>
      </c>
      <c r="E103" s="502">
        <v>60</v>
      </c>
      <c r="F103" s="502">
        <v>60</v>
      </c>
      <c r="G103" s="485"/>
      <c r="H103" s="485"/>
      <c r="I103" s="485"/>
      <c r="J103" s="485"/>
      <c r="K103" s="504"/>
      <c r="L103" s="433">
        <v>4</v>
      </c>
      <c r="M103" s="480"/>
      <c r="N103" s="480"/>
    </row>
    <row r="104" spans="1:30" outlineLevel="1">
      <c r="B104" s="443" t="s">
        <v>966</v>
      </c>
      <c r="C104" s="505">
        <v>970</v>
      </c>
      <c r="D104" s="506">
        <v>870</v>
      </c>
      <c r="E104" s="506">
        <v>800</v>
      </c>
      <c r="F104" s="507">
        <v>720</v>
      </c>
      <c r="G104" s="485"/>
      <c r="H104" s="485"/>
      <c r="I104" s="485"/>
      <c r="J104" s="485"/>
      <c r="K104" s="508"/>
      <c r="L104" s="433">
        <v>5</v>
      </c>
      <c r="M104" s="480"/>
      <c r="N104" s="480"/>
    </row>
    <row r="105" spans="1:30" outlineLevel="1">
      <c r="B105" s="443" t="s">
        <v>724</v>
      </c>
      <c r="C105" s="509">
        <f>SUM(C106:C107)</f>
        <v>3.26</v>
      </c>
      <c r="D105" s="509">
        <f>SUM(D106:D107)</f>
        <v>3.2</v>
      </c>
      <c r="E105" s="509">
        <f>SUM(E106:E107)</f>
        <v>3.2199999999999998</v>
      </c>
      <c r="F105" s="509">
        <f>SUM(F106:F107)</f>
        <v>3.12</v>
      </c>
      <c r="G105" s="485"/>
      <c r="H105" s="485"/>
      <c r="I105" s="485"/>
      <c r="J105" s="485"/>
      <c r="K105" s="508"/>
      <c r="L105" s="433"/>
      <c r="M105" s="510"/>
      <c r="N105" s="421"/>
      <c r="P105" s="999">
        <f>C105</f>
        <v>3.26</v>
      </c>
      <c r="Q105" s="977"/>
      <c r="R105" s="977"/>
      <c r="S105" s="977"/>
      <c r="T105" s="977"/>
      <c r="U105" s="1000"/>
    </row>
    <row r="106" spans="1:30" ht="15" outlineLevel="1" thickBot="1">
      <c r="B106" s="560" t="s">
        <v>883</v>
      </c>
      <c r="C106" s="574">
        <f>C85/100*73</f>
        <v>1.46</v>
      </c>
      <c r="D106" s="574">
        <f>D85/100*75</f>
        <v>1.5</v>
      </c>
      <c r="E106" s="574">
        <f>E85/100*76</f>
        <v>1.52</v>
      </c>
      <c r="F106" s="574">
        <f>F85/100*76</f>
        <v>1.52</v>
      </c>
      <c r="G106" s="575"/>
      <c r="H106" s="575"/>
      <c r="I106" s="575"/>
      <c r="J106" s="575"/>
      <c r="K106" s="563" t="s">
        <v>33</v>
      </c>
      <c r="L106" s="564">
        <v>3</v>
      </c>
      <c r="M106" s="510"/>
      <c r="N106" s="421"/>
      <c r="P106" s="1001">
        <f>C106</f>
        <v>1.46</v>
      </c>
      <c r="Q106" s="1002"/>
      <c r="R106" s="1002"/>
      <c r="S106" s="1002"/>
      <c r="T106" s="1002"/>
      <c r="U106" s="1003"/>
    </row>
    <row r="107" spans="1:30" outlineLevel="1">
      <c r="B107" s="560" t="s">
        <v>884</v>
      </c>
      <c r="C107" s="576">
        <v>1.8</v>
      </c>
      <c r="D107" s="576">
        <v>1.7</v>
      </c>
      <c r="E107" s="576">
        <v>1.7</v>
      </c>
      <c r="F107" s="576">
        <v>1.6</v>
      </c>
      <c r="G107" s="575"/>
      <c r="H107" s="575"/>
      <c r="I107" s="575"/>
      <c r="J107" s="575"/>
      <c r="K107" s="577"/>
      <c r="L107" s="564">
        <v>2</v>
      </c>
      <c r="M107" s="423"/>
      <c r="N107" s="423"/>
      <c r="P107" s="53" t="s">
        <v>357</v>
      </c>
    </row>
    <row r="108" spans="1:30" ht="27.6" outlineLevel="1">
      <c r="B108" s="501"/>
      <c r="C108" s="578"/>
      <c r="D108" s="578"/>
      <c r="E108" s="578"/>
      <c r="F108" s="578"/>
      <c r="G108" s="485"/>
      <c r="H108" s="485"/>
      <c r="I108" s="485"/>
      <c r="J108" s="485"/>
      <c r="K108" s="504"/>
      <c r="L108" s="484"/>
      <c r="M108" s="427"/>
      <c r="N108" s="42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4.6" outlineLevel="1" thickBot="1">
      <c r="B109" s="579"/>
      <c r="C109" s="502"/>
      <c r="D109" s="580"/>
      <c r="E109" s="580"/>
      <c r="F109" s="581"/>
      <c r="G109" s="485"/>
      <c r="H109" s="485"/>
      <c r="I109" s="485"/>
      <c r="J109" s="485"/>
      <c r="K109" s="508"/>
      <c r="L109" s="484"/>
      <c r="M109" s="423"/>
      <c r="N109" s="423"/>
      <c r="P109" s="50"/>
      <c r="Q109" s="50"/>
      <c r="R109" s="51"/>
      <c r="S109" s="51"/>
      <c r="T109" s="51"/>
      <c r="U109" s="51" t="s">
        <v>885</v>
      </c>
      <c r="V109" s="50" t="s">
        <v>886</v>
      </c>
      <c r="W109" s="50"/>
      <c r="X109" s="50"/>
      <c r="Y109" s="50"/>
      <c r="Z109" s="50"/>
      <c r="AA109" s="50"/>
      <c r="AB109" s="50"/>
      <c r="AC109" s="50"/>
      <c r="AD109" s="50"/>
    </row>
    <row r="110" spans="1:30" ht="43.8" outlineLevel="1" thickBot="1">
      <c r="B110" s="461" t="s">
        <v>727</v>
      </c>
      <c r="C110" s="462"/>
      <c r="D110" s="463"/>
      <c r="E110" s="464"/>
      <c r="F110" s="465"/>
      <c r="G110" s="466"/>
      <c r="H110" s="466"/>
      <c r="I110" s="466"/>
      <c r="J110" s="466"/>
      <c r="K110" s="519"/>
      <c r="L110" s="520"/>
      <c r="M110" s="423"/>
      <c r="N110" s="423"/>
      <c r="O110" s="521" t="s">
        <v>857</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82" t="s">
        <v>887</v>
      </c>
      <c r="C111" s="730">
        <f>C101*0.2</f>
        <v>0.20908800000000005</v>
      </c>
      <c r="D111" s="730">
        <f>D101*0.2</f>
        <v>0.18691200000000005</v>
      </c>
      <c r="E111" s="730">
        <f>E101*0.2</f>
        <v>0.17520000000000002</v>
      </c>
      <c r="F111" s="730">
        <f>F101*0.2</f>
        <v>0.16800000000000004</v>
      </c>
      <c r="G111" s="731"/>
      <c r="H111" s="731"/>
      <c r="I111" s="731"/>
      <c r="J111" s="731"/>
      <c r="K111" s="731" t="s">
        <v>51</v>
      </c>
      <c r="L111" s="585"/>
      <c r="M111" s="423"/>
      <c r="N111" s="423"/>
      <c r="O111" s="525">
        <f>C84</f>
        <v>295</v>
      </c>
      <c r="P111" s="526">
        <f>C80</f>
        <v>2020</v>
      </c>
      <c r="Q111" s="58">
        <f>P111</f>
        <v>2020</v>
      </c>
      <c r="R111" s="526">
        <f>O111/100</f>
        <v>2.95</v>
      </c>
      <c r="S111" s="58"/>
      <c r="T111" s="526">
        <f>C88</f>
        <v>20</v>
      </c>
      <c r="U111" s="527">
        <f>C118</f>
        <v>7788.5280000000012</v>
      </c>
      <c r="V111" s="527">
        <f>C120</f>
        <v>7.2264999999999997</v>
      </c>
      <c r="W111" s="527">
        <f>C121</f>
        <v>6.7463888888888883</v>
      </c>
      <c r="X111" s="58"/>
      <c r="Y111" s="58"/>
      <c r="Z111" s="526" t="str">
        <f>C95</f>
        <v>Cf. the utilized electricity</v>
      </c>
      <c r="AA111" s="528">
        <f>C97</f>
        <v>0</v>
      </c>
      <c r="AB111" s="528">
        <f>C98</f>
        <v>0</v>
      </c>
      <c r="AC111" s="528">
        <f>C99</f>
        <v>0</v>
      </c>
      <c r="AD111" s="528">
        <f>C96</f>
        <v>0</v>
      </c>
    </row>
    <row r="112" spans="1:30" outlineLevel="1">
      <c r="B112" s="560" t="s">
        <v>888</v>
      </c>
      <c r="C112" s="586" t="s">
        <v>36</v>
      </c>
      <c r="D112" s="587" t="s">
        <v>36</v>
      </c>
      <c r="E112" s="587" t="s">
        <v>36</v>
      </c>
      <c r="F112" s="588" t="s">
        <v>36</v>
      </c>
      <c r="G112" s="588"/>
      <c r="H112" s="588"/>
      <c r="I112" s="588"/>
      <c r="J112" s="588"/>
      <c r="K112" s="589"/>
      <c r="L112" s="585"/>
      <c r="M112" s="423"/>
      <c r="N112" s="423"/>
      <c r="O112" s="525">
        <f>D84</f>
        <v>305</v>
      </c>
      <c r="P112" s="526">
        <f>D80</f>
        <v>2030</v>
      </c>
      <c r="Q112" s="58"/>
      <c r="R112" s="526">
        <f>O112/100</f>
        <v>3.05</v>
      </c>
      <c r="S112" s="58"/>
      <c r="T112" s="526">
        <f>D88</f>
        <v>20</v>
      </c>
      <c r="U112" s="527">
        <f>D118</f>
        <v>6962.4720000000016</v>
      </c>
      <c r="V112" s="527">
        <f>D120</f>
        <v>6.4814999999999996</v>
      </c>
      <c r="W112" s="527">
        <f>D121</f>
        <v>6.6222222222222227</v>
      </c>
      <c r="X112" s="58"/>
      <c r="Y112" s="58"/>
      <c r="Z112" s="526">
        <f>D95</f>
        <v>0</v>
      </c>
      <c r="AA112" s="528">
        <f>D97</f>
        <v>0</v>
      </c>
      <c r="AB112" s="528">
        <f>D98</f>
        <v>0</v>
      </c>
      <c r="AC112" s="528">
        <f>D99</f>
        <v>0</v>
      </c>
      <c r="AD112" s="528">
        <f>D96</f>
        <v>0</v>
      </c>
    </row>
    <row r="113" spans="2:30" outlineLevel="1">
      <c r="B113" s="560" t="s">
        <v>889</v>
      </c>
      <c r="C113" s="586" t="s">
        <v>36</v>
      </c>
      <c r="D113" s="587" t="s">
        <v>36</v>
      </c>
      <c r="E113" s="587" t="s">
        <v>36</v>
      </c>
      <c r="F113" s="588" t="s">
        <v>36</v>
      </c>
      <c r="G113" s="575"/>
      <c r="H113" s="575"/>
      <c r="I113" s="575"/>
      <c r="J113" s="575"/>
      <c r="K113" s="575"/>
      <c r="L113" s="564"/>
      <c r="M113" s="423"/>
      <c r="N113" s="423"/>
      <c r="O113" s="525">
        <f>E84</f>
        <v>315</v>
      </c>
      <c r="P113" s="526">
        <f>E80</f>
        <v>2040</v>
      </c>
      <c r="Q113" s="58"/>
      <c r="R113" s="526">
        <f>O113/100</f>
        <v>3.15</v>
      </c>
      <c r="S113" s="58"/>
      <c r="T113" s="526">
        <f>E88</f>
        <v>20</v>
      </c>
      <c r="U113" s="527">
        <f>E118</f>
        <v>6526.2000000000007</v>
      </c>
      <c r="V113" s="527">
        <f>E120</f>
        <v>5.96</v>
      </c>
      <c r="W113" s="527">
        <f>E121</f>
        <v>6.66361111111111</v>
      </c>
      <c r="X113" s="58"/>
      <c r="Y113" s="58"/>
      <c r="Z113" s="526">
        <f>E95</f>
        <v>0</v>
      </c>
      <c r="AA113" s="528">
        <f>E97</f>
        <v>0</v>
      </c>
      <c r="AB113" s="528">
        <f>E98</f>
        <v>0</v>
      </c>
      <c r="AC113" s="528">
        <f>E99</f>
        <v>0</v>
      </c>
      <c r="AD113" s="528">
        <f>E96</f>
        <v>0</v>
      </c>
    </row>
    <row r="114" spans="2:30" outlineLevel="1">
      <c r="B114" s="560" t="s">
        <v>890</v>
      </c>
      <c r="C114" s="590" t="s">
        <v>714</v>
      </c>
      <c r="D114" s="590"/>
      <c r="E114" s="590"/>
      <c r="F114" s="590"/>
      <c r="G114" s="591"/>
      <c r="H114" s="591"/>
      <c r="I114" s="591"/>
      <c r="J114" s="591"/>
      <c r="K114" s="591"/>
      <c r="L114" s="564"/>
      <c r="M114" s="423"/>
      <c r="N114" s="423"/>
      <c r="O114" s="525">
        <f>F84</f>
        <v>320</v>
      </c>
      <c r="P114" s="526">
        <f>F80</f>
        <v>2050</v>
      </c>
      <c r="Q114" s="58"/>
      <c r="R114" s="526">
        <f>O114/100</f>
        <v>3.2</v>
      </c>
      <c r="S114" s="58"/>
      <c r="T114" s="526">
        <f>F88</f>
        <v>20</v>
      </c>
      <c r="U114" s="527">
        <f>F118</f>
        <v>6258.0000000000009</v>
      </c>
      <c r="V114" s="527">
        <f>F120</f>
        <v>5.3639999999999999</v>
      </c>
      <c r="W114" s="527">
        <f>F121</f>
        <v>6.4566666666666661</v>
      </c>
      <c r="X114" s="58"/>
      <c r="Y114" s="58"/>
      <c r="Z114" s="526">
        <f>F95</f>
        <v>0</v>
      </c>
      <c r="AA114" s="528">
        <f>F97</f>
        <v>0</v>
      </c>
      <c r="AB114" s="528">
        <f>F98</f>
        <v>0</v>
      </c>
      <c r="AC114" s="528">
        <f>F99</f>
        <v>0</v>
      </c>
      <c r="AD114" s="528">
        <f>F96</f>
        <v>0</v>
      </c>
    </row>
    <row r="115" spans="2:30" outlineLevel="1">
      <c r="B115" s="592" t="s">
        <v>891</v>
      </c>
      <c r="C115" s="586">
        <v>80</v>
      </c>
      <c r="D115" s="587">
        <v>80</v>
      </c>
      <c r="E115" s="587">
        <v>80</v>
      </c>
      <c r="F115" s="588">
        <v>80</v>
      </c>
      <c r="G115" s="591"/>
      <c r="H115" s="591"/>
      <c r="I115" s="591"/>
      <c r="J115" s="591"/>
      <c r="K115" s="591" t="s">
        <v>52</v>
      </c>
      <c r="L115" s="593"/>
      <c r="M115" s="427"/>
      <c r="N115" s="427"/>
    </row>
    <row r="116" spans="2:30" outlineLevel="1">
      <c r="B116" s="592" t="s">
        <v>892</v>
      </c>
      <c r="C116" s="586">
        <v>50</v>
      </c>
      <c r="D116" s="587">
        <v>50</v>
      </c>
      <c r="E116" s="587">
        <v>50</v>
      </c>
      <c r="F116" s="588">
        <v>50</v>
      </c>
      <c r="G116" s="591"/>
      <c r="H116" s="591"/>
      <c r="I116" s="591"/>
      <c r="J116" s="591"/>
      <c r="K116" s="591" t="s">
        <v>52</v>
      </c>
      <c r="L116" s="593"/>
      <c r="M116" s="423"/>
      <c r="N116" s="423"/>
    </row>
    <row r="117" spans="2:30" ht="15" outlineLevel="1" thickBot="1">
      <c r="B117" s="594" t="s">
        <v>893</v>
      </c>
      <c r="C117" s="595" t="s">
        <v>36</v>
      </c>
      <c r="D117" s="596" t="s">
        <v>36</v>
      </c>
      <c r="E117" s="596" t="s">
        <v>36</v>
      </c>
      <c r="F117" s="597" t="s">
        <v>36</v>
      </c>
      <c r="G117" s="598"/>
      <c r="H117" s="598"/>
      <c r="I117" s="598"/>
      <c r="J117" s="598"/>
      <c r="K117" s="598"/>
      <c r="L117" s="599"/>
      <c r="M117" s="423"/>
      <c r="N117" s="423"/>
    </row>
    <row r="118" spans="2:30" ht="57.6" outlineLevel="1">
      <c r="B118" s="521" t="s">
        <v>1036</v>
      </c>
      <c r="C118" s="543">
        <f>C101*$F$4*1000</f>
        <v>7788.5280000000012</v>
      </c>
      <c r="D118" s="543">
        <f t="shared" ref="D118:F118" si="5">D101*$F$4*1000</f>
        <v>6962.4720000000016</v>
      </c>
      <c r="E118" s="543">
        <f t="shared" si="5"/>
        <v>6526.2000000000007</v>
      </c>
      <c r="F118" s="543">
        <f t="shared" si="5"/>
        <v>6258.0000000000009</v>
      </c>
      <c r="G118" s="543"/>
      <c r="H118" s="544"/>
      <c r="I118" s="480" t="s">
        <v>332</v>
      </c>
      <c r="J118" s="480"/>
      <c r="K118" s="544"/>
      <c r="L118" s="544"/>
      <c r="N118" s="480"/>
    </row>
    <row r="119" spans="2:30" outlineLevel="1">
      <c r="B119" s="545" t="s">
        <v>1037</v>
      </c>
      <c r="C119" s="546">
        <f>C118*$I119</f>
        <v>3894264.0000000005</v>
      </c>
      <c r="D119" s="546">
        <f>D118*$I119</f>
        <v>3481236.0000000009</v>
      </c>
      <c r="E119" s="546">
        <f>E118*$I119</f>
        <v>3263100.0000000005</v>
      </c>
      <c r="F119" s="546">
        <f>F118*$I119</f>
        <v>3129000.0000000005</v>
      </c>
      <c r="G119" s="546"/>
      <c r="H119" s="544"/>
      <c r="I119" s="71">
        <v>500</v>
      </c>
      <c r="J119" s="480" t="s">
        <v>330</v>
      </c>
      <c r="K119" s="544"/>
      <c r="L119" s="544"/>
      <c r="N119" s="480"/>
    </row>
    <row r="120" spans="2:30" ht="43.2" outlineLevel="1">
      <c r="B120" s="521" t="s">
        <v>1038</v>
      </c>
      <c r="C120" s="419">
        <f>C104*$F$4/1000</f>
        <v>7.2264999999999997</v>
      </c>
      <c r="D120" s="419">
        <f t="shared" ref="D120:F120" si="6">D104*$F$4/1000</f>
        <v>6.4814999999999996</v>
      </c>
      <c r="E120" s="419">
        <f t="shared" si="6"/>
        <v>5.96</v>
      </c>
      <c r="F120" s="419">
        <f t="shared" si="6"/>
        <v>5.3639999999999999</v>
      </c>
      <c r="G120" s="419"/>
      <c r="I120" s="480" t="s">
        <v>333</v>
      </c>
      <c r="J120" s="480"/>
      <c r="N120" s="480"/>
    </row>
    <row r="121" spans="2:30" ht="43.2" outlineLevel="1">
      <c r="B121" s="521" t="s">
        <v>1039</v>
      </c>
      <c r="C121" s="547">
        <f>C105*$F$4/3.6</f>
        <v>6.7463888888888883</v>
      </c>
      <c r="D121" s="547">
        <f t="shared" ref="D121:F121" si="7">D105*$F$4/3.6</f>
        <v>6.6222222222222227</v>
      </c>
      <c r="E121" s="547">
        <f t="shared" si="7"/>
        <v>6.66361111111111</v>
      </c>
      <c r="F121" s="547">
        <f t="shared" si="7"/>
        <v>6.4566666666666661</v>
      </c>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96" t="s">
        <v>898</v>
      </c>
      <c r="H127" s="550"/>
    </row>
    <row r="128" spans="2:30" outlineLevel="1">
      <c r="B128" s="417">
        <v>1</v>
      </c>
      <c r="C128" s="550" t="s">
        <v>1003</v>
      </c>
      <c r="D128" s="417"/>
      <c r="E128" s="550"/>
      <c r="H128" s="550"/>
    </row>
    <row r="129" spans="2:8" outlineLevel="1">
      <c r="B129" s="417">
        <v>2</v>
      </c>
      <c r="C129" s="696" t="s">
        <v>1027</v>
      </c>
      <c r="D129" s="417"/>
      <c r="E129" s="550"/>
      <c r="F129" s="550"/>
      <c r="G129" s="550"/>
      <c r="H129" s="550"/>
    </row>
    <row r="130" spans="2:8" outlineLevel="1">
      <c r="B130" s="726">
        <v>3</v>
      </c>
      <c r="C130" s="727" t="s">
        <v>1028</v>
      </c>
      <c r="D130" s="417"/>
      <c r="E130" s="550"/>
      <c r="F130" s="550"/>
      <c r="G130" s="550"/>
      <c r="H130" s="550"/>
    </row>
    <row r="131" spans="2:8" outlineLevel="1">
      <c r="B131" s="550">
        <v>4</v>
      </c>
      <c r="C131" s="727" t="s">
        <v>1029</v>
      </c>
      <c r="D131" s="417"/>
      <c r="E131" s="550"/>
      <c r="F131" s="550"/>
      <c r="G131" s="550"/>
      <c r="H131" s="550"/>
    </row>
    <row r="132" spans="2:8" outlineLevel="1">
      <c r="B132" s="550">
        <v>5</v>
      </c>
      <c r="C132" s="553" t="s">
        <v>1030</v>
      </c>
      <c r="D132" s="417"/>
      <c r="E132" s="550"/>
      <c r="F132" s="550"/>
      <c r="G132" s="550"/>
      <c r="H132" s="550"/>
    </row>
    <row r="133" spans="2:8" outlineLevel="1">
      <c r="B133" s="96" t="s">
        <v>908</v>
      </c>
      <c r="D133" s="417"/>
      <c r="E133" s="550"/>
      <c r="F133" s="550"/>
      <c r="G133" s="550"/>
      <c r="H133" s="550"/>
    </row>
    <row r="134" spans="2:8" outlineLevel="1">
      <c r="B134" s="697" t="s">
        <v>6</v>
      </c>
      <c r="C134" s="417" t="s">
        <v>978</v>
      </c>
      <c r="D134" s="417"/>
      <c r="E134" s="550"/>
      <c r="F134" s="550"/>
      <c r="G134" s="550"/>
      <c r="H134" s="550"/>
    </row>
    <row r="135" spans="2:8" outlineLevel="1">
      <c r="B135" s="697" t="s">
        <v>59</v>
      </c>
      <c r="C135" s="417" t="s">
        <v>1031</v>
      </c>
      <c r="D135" s="417"/>
      <c r="E135" s="550"/>
      <c r="F135" s="550"/>
      <c r="G135" s="550"/>
      <c r="H135" s="550"/>
    </row>
    <row r="136" spans="2:8" outlineLevel="1">
      <c r="B136" s="697" t="s">
        <v>16</v>
      </c>
      <c r="C136" s="417" t="s">
        <v>981</v>
      </c>
      <c r="D136" s="417"/>
      <c r="E136" s="550"/>
      <c r="F136" s="550"/>
      <c r="G136" s="550"/>
      <c r="H136" s="550"/>
    </row>
    <row r="137" spans="2:8" outlineLevel="1">
      <c r="B137" s="697" t="s">
        <v>20</v>
      </c>
      <c r="C137" s="417" t="s">
        <v>1032</v>
      </c>
      <c r="F137" s="550"/>
      <c r="G137" s="550"/>
      <c r="H137" s="550"/>
    </row>
    <row r="138" spans="2:8" outlineLevel="1">
      <c r="B138" s="726" t="s">
        <v>76</v>
      </c>
      <c r="C138" s="417" t="s">
        <v>1033</v>
      </c>
      <c r="D138" s="417"/>
      <c r="E138" s="550"/>
      <c r="F138" s="550"/>
      <c r="G138" s="550"/>
      <c r="H138" s="550"/>
    </row>
    <row r="139" spans="2:8" outlineLevel="1">
      <c r="B139" s="726" t="s">
        <v>25</v>
      </c>
      <c r="C139" s="417" t="s">
        <v>1042</v>
      </c>
      <c r="D139" s="417"/>
      <c r="E139" s="550"/>
      <c r="F139" s="550"/>
      <c r="G139" s="550"/>
      <c r="H139" s="550"/>
    </row>
    <row r="140" spans="2:8" outlineLevel="1">
      <c r="B140" s="697" t="s">
        <v>33</v>
      </c>
      <c r="C140" s="417" t="s">
        <v>913</v>
      </c>
      <c r="E140" s="550"/>
      <c r="F140" s="550"/>
      <c r="G140" s="550"/>
      <c r="H140" s="550"/>
    </row>
    <row r="141" spans="2:8" outlineLevel="1">
      <c r="B141" s="716" t="s">
        <v>51</v>
      </c>
      <c r="C141" s="550" t="s">
        <v>984</v>
      </c>
      <c r="E141" s="550"/>
      <c r="F141" s="550"/>
      <c r="G141" s="550"/>
      <c r="H141" s="550"/>
    </row>
    <row r="142" spans="2:8" outlineLevel="1">
      <c r="B142" s="697" t="s">
        <v>52</v>
      </c>
      <c r="C142" s="550" t="s">
        <v>985</v>
      </c>
      <c r="E142" s="550"/>
      <c r="F142" s="550"/>
      <c r="G142" s="550"/>
      <c r="H142" s="550"/>
    </row>
    <row r="143" spans="2:8" outlineLevel="1">
      <c r="E143" s="550"/>
      <c r="F143" s="550"/>
      <c r="G143" s="550"/>
      <c r="H143" s="550"/>
    </row>
    <row r="144" spans="2:8"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1">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H19:AI19"/>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57" r:id="rId1" xr:uid="{FCFA3928-FFA5-43A1-AE5D-5AB0F2CA2750}"/>
    <hyperlink ref="C129" r:id="rId2" xr:uid="{332C3EDC-FB5B-481E-8917-7720FAD39F1B}"/>
  </hyperlinks>
  <pageMargins left="0.7" right="0.7" top="0.75" bottom="0.75" header="0.3" footer="0.3"/>
  <pageSetup paperSize="9" orientation="portrait"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339-46CF-4919-A2AD-EFD5CDD24628}">
  <sheetPr>
    <tabColor theme="3"/>
  </sheetPr>
  <dimension ref="A2:AS345"/>
  <sheetViews>
    <sheetView topLeftCell="M1" zoomScale="80" zoomScaleNormal="80" workbookViewId="0">
      <selection activeCell="Y25" sqref="Y25"/>
    </sheetView>
  </sheetViews>
  <sheetFormatPr defaultColWidth="8.6640625" defaultRowHeight="14.4" outlineLevelRow="1"/>
  <cols>
    <col min="1" max="1" width="27.3320312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Booster heat pump, up to 150 °C, Temp lift = 130 K, steam</v>
      </c>
    </row>
    <row r="4" spans="1:45" ht="25.2" customHeight="1">
      <c r="E4" s="239" t="s">
        <v>358</v>
      </c>
      <c r="F4" s="419">
        <v>7.45</v>
      </c>
      <c r="G4" s="419" t="s">
        <v>328</v>
      </c>
    </row>
    <row r="5" spans="1:45" ht="15" customHeight="1">
      <c r="A5" s="420" t="s">
        <v>1024</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1010</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4</v>
      </c>
      <c r="D10" s="432">
        <v>4</v>
      </c>
      <c r="E10" s="432">
        <v>4</v>
      </c>
      <c r="F10" s="432">
        <v>4</v>
      </c>
      <c r="G10" s="432">
        <v>1</v>
      </c>
      <c r="H10" s="432">
        <v>10</v>
      </c>
      <c r="I10" s="432">
        <v>1</v>
      </c>
      <c r="J10" s="432">
        <v>15</v>
      </c>
      <c r="K10" s="432" t="s">
        <v>6</v>
      </c>
      <c r="L10" s="433"/>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198</v>
      </c>
      <c r="D11" s="699">
        <v>203.94</v>
      </c>
      <c r="E11" s="700">
        <v>208.0188</v>
      </c>
      <c r="F11" s="699">
        <v>210.09898799999999</v>
      </c>
      <c r="G11" s="437">
        <v>198</v>
      </c>
      <c r="H11" s="699">
        <v>207.9</v>
      </c>
      <c r="I11" s="699">
        <v>203.79601835999998</v>
      </c>
      <c r="J11" s="699">
        <v>214.30096775999999</v>
      </c>
      <c r="K11" s="439" t="s">
        <v>963</v>
      </c>
      <c r="L11" s="440"/>
      <c r="M11" s="430"/>
      <c r="N11" s="430"/>
      <c r="P11" s="1042" t="str">
        <f>C7</f>
        <v>Booster heat pump, up to 150 °C, Temp lift = 130 K, steam</v>
      </c>
      <c r="Q11" s="1030" t="s">
        <v>855</v>
      </c>
      <c r="R11" s="441" t="s">
        <v>856</v>
      </c>
      <c r="S11" s="442" t="s">
        <v>967</v>
      </c>
      <c r="T11" s="1033">
        <v>0</v>
      </c>
      <c r="U11" s="1021">
        <v>0</v>
      </c>
      <c r="V11" s="1024">
        <v>0</v>
      </c>
      <c r="W11" s="1021">
        <v>0</v>
      </c>
      <c r="X11" s="1024">
        <v>0</v>
      </c>
      <c r="Y11" s="1021">
        <v>0</v>
      </c>
      <c r="Z11" s="1024">
        <v>0</v>
      </c>
      <c r="AA11" s="1021">
        <v>0</v>
      </c>
      <c r="AB11" s="1024">
        <v>0</v>
      </c>
      <c r="AC11" s="1021">
        <v>0</v>
      </c>
      <c r="AD11" s="1024">
        <f>AB11</f>
        <v>0</v>
      </c>
      <c r="AE11" s="1021">
        <f>AC11</f>
        <v>0</v>
      </c>
      <c r="AF11" s="1027" t="str">
        <f>P11</f>
        <v>Booster heat pump, up to 150 °C, Temp lift = 130 K, steam</v>
      </c>
      <c r="AG11" s="1030" t="s">
        <v>855</v>
      </c>
      <c r="AH11" s="441" t="s">
        <v>856</v>
      </c>
      <c r="AI11" s="442" t="str">
        <f t="shared" ref="AI11:AI13" si="0">S11</f>
        <v/>
      </c>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637">
        <v>193</v>
      </c>
      <c r="D12" s="637">
        <v>198.94</v>
      </c>
      <c r="E12" s="637">
        <v>203.0188</v>
      </c>
      <c r="F12" s="637">
        <v>205.09898799999999</v>
      </c>
      <c r="G12" s="701">
        <v>193</v>
      </c>
      <c r="H12" s="701">
        <v>202.9</v>
      </c>
      <c r="I12" s="701">
        <v>198.79601835999998</v>
      </c>
      <c r="J12" s="701">
        <v>209.30096775999999</v>
      </c>
      <c r="K12" s="446" t="s">
        <v>20</v>
      </c>
      <c r="L12" s="447"/>
      <c r="M12" s="430"/>
      <c r="N12" s="430"/>
      <c r="O12" s="71"/>
      <c r="P12" s="1028"/>
      <c r="Q12" s="1031"/>
      <c r="R12" s="448" t="s">
        <v>858</v>
      </c>
      <c r="S12" s="449" t="s">
        <v>967</v>
      </c>
      <c r="T12" s="1034"/>
      <c r="U12" s="1022"/>
      <c r="V12" s="1025"/>
      <c r="W12" s="1022"/>
      <c r="X12" s="1025"/>
      <c r="Y12" s="1022"/>
      <c r="Z12" s="1025"/>
      <c r="AA12" s="1022"/>
      <c r="AB12" s="1025"/>
      <c r="AC12" s="1022"/>
      <c r="AD12" s="1025"/>
      <c r="AE12" s="1022"/>
      <c r="AF12" s="1028"/>
      <c r="AG12" s="1031"/>
      <c r="AH12" s="448" t="s">
        <v>858</v>
      </c>
      <c r="AI12" s="449" t="str">
        <f t="shared" si="0"/>
        <v/>
      </c>
      <c r="AJ12" s="1034"/>
      <c r="AK12" s="1022"/>
      <c r="AL12" s="1025"/>
      <c r="AM12" s="1022"/>
      <c r="AN12" s="1025"/>
      <c r="AO12" s="1022"/>
      <c r="AP12" s="1025"/>
      <c r="AQ12" s="1022"/>
      <c r="AR12" s="1025"/>
      <c r="AS12" s="1022"/>
    </row>
    <row r="13" spans="1:45" ht="15" outlineLevel="1" thickBot="1">
      <c r="B13" s="436" t="s">
        <v>859</v>
      </c>
      <c r="C13" s="450">
        <v>2</v>
      </c>
      <c r="D13" s="451">
        <v>2</v>
      </c>
      <c r="E13" s="451">
        <v>2</v>
      </c>
      <c r="F13" s="452">
        <v>2</v>
      </c>
      <c r="G13" s="451">
        <v>1</v>
      </c>
      <c r="H13" s="451">
        <v>4</v>
      </c>
      <c r="I13" s="451">
        <v>1</v>
      </c>
      <c r="J13" s="451">
        <v>4</v>
      </c>
      <c r="K13" s="439" t="s">
        <v>76</v>
      </c>
      <c r="L13" s="440"/>
      <c r="M13" s="430"/>
      <c r="N13" s="430"/>
      <c r="O13" s="71"/>
      <c r="P13" s="1028"/>
      <c r="Q13" s="1032"/>
      <c r="R13" s="453" t="s">
        <v>860</v>
      </c>
      <c r="S13" s="454" t="s">
        <v>967</v>
      </c>
      <c r="T13" s="1035"/>
      <c r="U13" s="1023"/>
      <c r="V13" s="1026"/>
      <c r="W13" s="1023"/>
      <c r="X13" s="1026"/>
      <c r="Y13" s="1023"/>
      <c r="Z13" s="1026"/>
      <c r="AA13" s="1023"/>
      <c r="AB13" s="1026"/>
      <c r="AC13" s="1023"/>
      <c r="AD13" s="1026"/>
      <c r="AE13" s="1023"/>
      <c r="AF13" s="1028"/>
      <c r="AG13" s="1032"/>
      <c r="AH13" s="453" t="s">
        <v>860</v>
      </c>
      <c r="AI13" s="454" t="str">
        <f t="shared" si="0"/>
        <v/>
      </c>
      <c r="AJ13" s="1035"/>
      <c r="AK13" s="1023"/>
      <c r="AL13" s="1026"/>
      <c r="AM13" s="1023"/>
      <c r="AN13" s="1026"/>
      <c r="AO13" s="1023"/>
      <c r="AP13" s="1026"/>
      <c r="AQ13" s="1023"/>
      <c r="AR13" s="1026"/>
      <c r="AS13" s="1023"/>
    </row>
    <row r="14" spans="1:45" ht="15" customHeight="1" outlineLevel="1">
      <c r="B14" s="436" t="s">
        <v>702</v>
      </c>
      <c r="C14" s="450">
        <v>0</v>
      </c>
      <c r="D14" s="450">
        <v>0</v>
      </c>
      <c r="E14" s="450">
        <v>0</v>
      </c>
      <c r="F14" s="450">
        <v>0</v>
      </c>
      <c r="G14" s="450">
        <v>0</v>
      </c>
      <c r="H14" s="450">
        <v>1</v>
      </c>
      <c r="I14" s="450">
        <v>0</v>
      </c>
      <c r="J14" s="450">
        <v>1</v>
      </c>
      <c r="K14" s="439" t="s">
        <v>76</v>
      </c>
      <c r="L14" s="440"/>
      <c r="M14" s="430"/>
      <c r="N14" s="430"/>
      <c r="O14" s="71"/>
      <c r="P14" s="1028"/>
      <c r="Q14" s="1030" t="s">
        <v>861</v>
      </c>
      <c r="R14" s="455" t="s">
        <v>862</v>
      </c>
      <c r="S14" s="456" t="s">
        <v>863</v>
      </c>
      <c r="T14" s="1033">
        <v>0</v>
      </c>
      <c r="U14" s="1033">
        <v>0.63</v>
      </c>
      <c r="V14" s="1033">
        <v>0</v>
      </c>
      <c r="W14" s="1033">
        <v>0.36</v>
      </c>
      <c r="X14" s="1033">
        <v>0</v>
      </c>
      <c r="Y14" s="1033">
        <v>0.23</v>
      </c>
      <c r="Z14" s="1033">
        <v>0</v>
      </c>
      <c r="AA14" s="1033">
        <v>0.66</v>
      </c>
      <c r="AB14" s="1033">
        <v>0</v>
      </c>
      <c r="AC14" s="1021">
        <v>0.47</v>
      </c>
      <c r="AD14" s="1033">
        <f>AB14</f>
        <v>0</v>
      </c>
      <c r="AE14" s="1021">
        <v>0</v>
      </c>
      <c r="AF14" s="1028"/>
      <c r="AG14" s="1030" t="s">
        <v>861</v>
      </c>
      <c r="AH14" s="455" t="s">
        <v>862</v>
      </c>
      <c r="AI14" s="456" t="str">
        <f>S14</f>
        <v>x</v>
      </c>
      <c r="AJ14" s="1033">
        <v>0</v>
      </c>
      <c r="AK14" s="1033">
        <f>U14/4</f>
        <v>0.1575</v>
      </c>
      <c r="AL14" s="1033">
        <v>0</v>
      </c>
      <c r="AM14" s="1033">
        <f>W14/4</f>
        <v>0.09</v>
      </c>
      <c r="AN14" s="1033">
        <v>0</v>
      </c>
      <c r="AO14" s="1033">
        <f>Y14/4</f>
        <v>5.7500000000000002E-2</v>
      </c>
      <c r="AP14" s="1033">
        <v>0</v>
      </c>
      <c r="AQ14" s="1033">
        <f>AA14/4</f>
        <v>0.16500000000000001</v>
      </c>
      <c r="AR14" s="1033">
        <v>0</v>
      </c>
      <c r="AS14" s="1021">
        <f>AC14/4</f>
        <v>0.11749999999999999</v>
      </c>
    </row>
    <row r="15" spans="1:45" outlineLevel="1">
      <c r="B15" s="436" t="s">
        <v>703</v>
      </c>
      <c r="C15" s="450">
        <v>1</v>
      </c>
      <c r="D15" s="450">
        <v>1</v>
      </c>
      <c r="E15" s="450">
        <v>1</v>
      </c>
      <c r="F15" s="450">
        <v>1</v>
      </c>
      <c r="G15" s="450">
        <v>0.5</v>
      </c>
      <c r="H15" s="450">
        <v>2</v>
      </c>
      <c r="I15" s="450">
        <v>0.5</v>
      </c>
      <c r="J15" s="450">
        <v>2</v>
      </c>
      <c r="K15" s="439" t="s">
        <v>76</v>
      </c>
      <c r="L15" s="440"/>
      <c r="M15" s="427"/>
      <c r="N15" s="427"/>
      <c r="O15" s="71"/>
      <c r="P15" s="1028"/>
      <c r="Q15" s="1031"/>
      <c r="R15" s="455" t="s">
        <v>864</v>
      </c>
      <c r="S15" s="456" t="s">
        <v>863</v>
      </c>
      <c r="T15" s="1036"/>
      <c r="U15" s="1036"/>
      <c r="V15" s="1036"/>
      <c r="W15" s="1036"/>
      <c r="X15" s="1036"/>
      <c r="Y15" s="1036"/>
      <c r="Z15" s="1036"/>
      <c r="AA15" s="1036"/>
      <c r="AB15" s="1036"/>
      <c r="AC15" s="1038"/>
      <c r="AD15" s="1036"/>
      <c r="AE15" s="1038"/>
      <c r="AF15" s="1028"/>
      <c r="AG15" s="1031"/>
      <c r="AH15" s="455" t="s">
        <v>864</v>
      </c>
      <c r="AI15" s="456" t="str">
        <f>S15</f>
        <v>x</v>
      </c>
      <c r="AJ15" s="1036"/>
      <c r="AK15" s="1036"/>
      <c r="AL15" s="1036"/>
      <c r="AM15" s="1036"/>
      <c r="AN15" s="1036"/>
      <c r="AO15" s="1036"/>
      <c r="AP15" s="1036"/>
      <c r="AQ15" s="1036"/>
      <c r="AR15" s="1036"/>
      <c r="AS15" s="1038"/>
    </row>
    <row r="16" spans="1:45" outlineLevel="1">
      <c r="B16" s="443" t="s">
        <v>11</v>
      </c>
      <c r="C16" s="457">
        <v>20</v>
      </c>
      <c r="D16" s="457">
        <v>20</v>
      </c>
      <c r="E16" s="457">
        <v>20</v>
      </c>
      <c r="F16" s="457">
        <v>20</v>
      </c>
      <c r="G16" s="458">
        <v>15</v>
      </c>
      <c r="H16" s="458">
        <v>30</v>
      </c>
      <c r="I16" s="458">
        <v>15</v>
      </c>
      <c r="J16" s="458">
        <v>30</v>
      </c>
      <c r="K16" s="432" t="s">
        <v>76</v>
      </c>
      <c r="L16" s="433"/>
      <c r="M16" s="423"/>
      <c r="N16" s="423"/>
      <c r="P16" s="1028"/>
      <c r="Q16" s="1031"/>
      <c r="R16" s="455" t="s">
        <v>866</v>
      </c>
      <c r="S16" s="456" t="s">
        <v>863</v>
      </c>
      <c r="T16" s="1036"/>
      <c r="U16" s="1036"/>
      <c r="V16" s="1036"/>
      <c r="W16" s="1036"/>
      <c r="X16" s="1036"/>
      <c r="Y16" s="1036"/>
      <c r="Z16" s="1036"/>
      <c r="AA16" s="1036"/>
      <c r="AB16" s="1036"/>
      <c r="AC16" s="1038"/>
      <c r="AD16" s="1036"/>
      <c r="AE16" s="1038"/>
      <c r="AF16" s="1028"/>
      <c r="AG16" s="1031"/>
      <c r="AH16" s="455" t="s">
        <v>866</v>
      </c>
      <c r="AI16" s="689" t="str">
        <f>S16</f>
        <v>x</v>
      </c>
      <c r="AJ16" s="1036"/>
      <c r="AK16" s="1036"/>
      <c r="AL16" s="1036"/>
      <c r="AM16" s="1036"/>
      <c r="AN16" s="1036"/>
      <c r="AO16" s="1036"/>
      <c r="AP16" s="1036"/>
      <c r="AQ16" s="1036"/>
      <c r="AR16" s="1036"/>
      <c r="AS16" s="1038"/>
    </row>
    <row r="17" spans="1:45" ht="15" outlineLevel="1" thickBot="1">
      <c r="B17" s="436" t="s">
        <v>273</v>
      </c>
      <c r="C17" s="459">
        <v>0.6</v>
      </c>
      <c r="D17" s="459">
        <v>0.6</v>
      </c>
      <c r="E17" s="459">
        <v>0.6</v>
      </c>
      <c r="F17" s="459">
        <v>0.6</v>
      </c>
      <c r="G17" s="459">
        <v>0.4</v>
      </c>
      <c r="H17" s="459">
        <v>0.8</v>
      </c>
      <c r="I17" s="459">
        <v>0.4</v>
      </c>
      <c r="J17" s="459">
        <v>0.8</v>
      </c>
      <c r="K17" s="432" t="s">
        <v>25</v>
      </c>
      <c r="L17" s="460"/>
      <c r="M17" s="423"/>
      <c r="N17" s="423"/>
      <c r="P17" s="1028"/>
      <c r="Q17" s="1031"/>
      <c r="R17" s="455" t="s">
        <v>867</v>
      </c>
      <c r="S17" s="456" t="s">
        <v>863</v>
      </c>
      <c r="T17" s="1036"/>
      <c r="U17" s="1036"/>
      <c r="V17" s="1036"/>
      <c r="W17" s="1036"/>
      <c r="X17" s="1036"/>
      <c r="Y17" s="1036"/>
      <c r="Z17" s="1036"/>
      <c r="AA17" s="1036"/>
      <c r="AB17" s="1036"/>
      <c r="AC17" s="1038"/>
      <c r="AD17" s="1036"/>
      <c r="AE17" s="1038"/>
      <c r="AF17" s="1028"/>
      <c r="AG17" s="1031"/>
      <c r="AH17" s="455" t="s">
        <v>867</v>
      </c>
      <c r="AI17" s="456" t="str">
        <f>S17</f>
        <v>x</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37"/>
      <c r="U18" s="1037"/>
      <c r="V18" s="1037"/>
      <c r="W18" s="1037"/>
      <c r="X18" s="1037"/>
      <c r="Y18" s="1037"/>
      <c r="Z18" s="1037"/>
      <c r="AA18" s="1037"/>
      <c r="AB18" s="1037"/>
      <c r="AC18" s="1039"/>
      <c r="AD18" s="1037"/>
      <c r="AE18" s="1039"/>
      <c r="AF18" s="1028"/>
      <c r="AG18" s="1032"/>
      <c r="AH18" s="469" t="s">
        <v>988</v>
      </c>
      <c r="AI18" s="470" t="str">
        <f>S18</f>
        <v>x</v>
      </c>
      <c r="AJ18" s="1037"/>
      <c r="AK18" s="1037"/>
      <c r="AL18" s="1037"/>
      <c r="AM18" s="1037"/>
      <c r="AN18" s="1037"/>
      <c r="AO18" s="1037"/>
      <c r="AP18" s="1037"/>
      <c r="AQ18" s="1037"/>
      <c r="AR18" s="1037"/>
      <c r="AS18" s="1039"/>
    </row>
    <row r="19" spans="1:45" ht="29.4" outlineLevel="1" thickBot="1">
      <c r="B19" s="436" t="s">
        <v>708</v>
      </c>
      <c r="C19" s="450"/>
      <c r="D19" s="450"/>
      <c r="E19" s="450"/>
      <c r="F19" s="450"/>
      <c r="G19" s="451"/>
      <c r="H19" s="451"/>
      <c r="I19" s="451"/>
      <c r="J19" s="451"/>
      <c r="K19" s="439"/>
      <c r="L19" s="440">
        <v>1</v>
      </c>
      <c r="M19" s="423"/>
      <c r="N19" s="423"/>
      <c r="P19" s="1029"/>
      <c r="Q19" s="471" t="s">
        <v>870</v>
      </c>
      <c r="R19" s="472" t="s">
        <v>871</v>
      </c>
      <c r="S19" s="690" t="s">
        <v>863</v>
      </c>
      <c r="T19" s="476">
        <v>1</v>
      </c>
      <c r="U19" s="475">
        <v>1</v>
      </c>
      <c r="V19" s="476">
        <v>1</v>
      </c>
      <c r="W19" s="475">
        <v>1</v>
      </c>
      <c r="X19" s="476">
        <v>1</v>
      </c>
      <c r="Y19" s="475">
        <v>1</v>
      </c>
      <c r="Z19" s="476">
        <v>1</v>
      </c>
      <c r="AA19" s="475">
        <v>1</v>
      </c>
      <c r="AB19" s="476">
        <v>1</v>
      </c>
      <c r="AC19" s="477">
        <v>1</v>
      </c>
      <c r="AD19" s="476">
        <f>AB19</f>
        <v>1</v>
      </c>
      <c r="AE19" s="477">
        <v>1</v>
      </c>
      <c r="AF19" s="1029"/>
      <c r="AG19" s="471" t="s">
        <v>870</v>
      </c>
      <c r="AH19" s="1108" t="s">
        <v>871</v>
      </c>
      <c r="AI19" s="1109" t="s">
        <v>863</v>
      </c>
      <c r="AJ19" s="476">
        <v>1</v>
      </c>
      <c r="AK19" s="475">
        <v>1</v>
      </c>
      <c r="AL19" s="476">
        <v>1</v>
      </c>
      <c r="AM19" s="475">
        <v>1</v>
      </c>
      <c r="AN19" s="476">
        <v>1</v>
      </c>
      <c r="AO19" s="475">
        <v>1</v>
      </c>
      <c r="AP19" s="476">
        <v>1</v>
      </c>
      <c r="AQ19" s="475">
        <v>1</v>
      </c>
      <c r="AR19" s="476">
        <v>1</v>
      </c>
      <c r="AS19" s="477">
        <v>1</v>
      </c>
    </row>
    <row r="20" spans="1:45" outlineLevel="1">
      <c r="B20" s="436" t="s">
        <v>709</v>
      </c>
      <c r="C20" s="450">
        <v>0.5</v>
      </c>
      <c r="D20" s="450">
        <v>0.5</v>
      </c>
      <c r="E20" s="450">
        <v>0.5</v>
      </c>
      <c r="F20" s="450">
        <v>0.5</v>
      </c>
      <c r="G20" s="478"/>
      <c r="H20" s="478"/>
      <c r="I20" s="478"/>
      <c r="J20" s="478"/>
      <c r="K20" s="479" t="s">
        <v>76</v>
      </c>
      <c r="L20" s="440"/>
      <c r="M20" s="423"/>
      <c r="N20" s="423"/>
    </row>
    <row r="21" spans="1:45" outlineLevel="1">
      <c r="B21" s="436" t="s">
        <v>711</v>
      </c>
      <c r="C21" s="450">
        <v>1</v>
      </c>
      <c r="D21" s="450">
        <v>1</v>
      </c>
      <c r="E21" s="450">
        <v>1</v>
      </c>
      <c r="F21" s="450">
        <v>1</v>
      </c>
      <c r="G21" s="478"/>
      <c r="H21" s="478"/>
      <c r="I21" s="478"/>
      <c r="J21" s="478"/>
      <c r="K21" s="479" t="s">
        <v>76</v>
      </c>
      <c r="L21" s="440"/>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1.6320658640726422</v>
      </c>
      <c r="D29" s="707">
        <v>1.3230944850997819</v>
      </c>
      <c r="E29" s="707">
        <v>1.0369854809541614</v>
      </c>
      <c r="F29" s="708">
        <v>0.93368259858177483</v>
      </c>
      <c r="G29" s="485"/>
      <c r="H29" s="485"/>
      <c r="I29" s="485"/>
      <c r="J29" s="485"/>
      <c r="K29" s="486" t="s">
        <v>33</v>
      </c>
      <c r="L29" s="500"/>
      <c r="M29" s="480"/>
      <c r="N29" s="480"/>
    </row>
    <row r="30" spans="1:45" outlineLevel="1">
      <c r="B30" s="501" t="s">
        <v>964</v>
      </c>
      <c r="C30" s="502">
        <v>50</v>
      </c>
      <c r="D30" s="502">
        <v>50</v>
      </c>
      <c r="E30" s="502">
        <v>50</v>
      </c>
      <c r="F30" s="502">
        <v>50</v>
      </c>
      <c r="G30" s="485"/>
      <c r="H30" s="485"/>
      <c r="I30" s="485"/>
      <c r="J30" s="485"/>
      <c r="K30" s="504" t="s">
        <v>51</v>
      </c>
      <c r="L30" s="433"/>
      <c r="M30" s="71"/>
      <c r="N30" s="480"/>
    </row>
    <row r="31" spans="1:45" outlineLevel="1">
      <c r="B31" s="501" t="s">
        <v>965</v>
      </c>
      <c r="C31" s="502">
        <v>50</v>
      </c>
      <c r="D31" s="502">
        <v>50</v>
      </c>
      <c r="E31" s="502">
        <v>50</v>
      </c>
      <c r="F31" s="502">
        <v>50</v>
      </c>
      <c r="G31" s="485"/>
      <c r="H31" s="485"/>
      <c r="I31" s="485"/>
      <c r="J31" s="485"/>
      <c r="K31" s="504" t="s">
        <v>52</v>
      </c>
      <c r="L31" s="433"/>
      <c r="M31" s="480"/>
      <c r="N31" s="480"/>
    </row>
    <row r="32" spans="1:45" outlineLevel="1">
      <c r="B32" s="443" t="s">
        <v>966</v>
      </c>
      <c r="C32" s="505">
        <v>2000</v>
      </c>
      <c r="D32" s="506">
        <v>2000</v>
      </c>
      <c r="E32" s="506">
        <v>2000</v>
      </c>
      <c r="F32" s="507">
        <v>2000</v>
      </c>
      <c r="G32" s="485"/>
      <c r="H32" s="485"/>
      <c r="I32" s="485"/>
      <c r="J32" s="485"/>
      <c r="K32" s="508" t="s">
        <v>76</v>
      </c>
      <c r="L32" s="433"/>
      <c r="M32" s="480"/>
      <c r="N32" s="480"/>
    </row>
    <row r="33" spans="2:30" ht="37.200000000000003" customHeight="1" outlineLevel="1" thickBot="1">
      <c r="B33" s="443" t="s">
        <v>724</v>
      </c>
      <c r="C33" s="509">
        <f>C34+C35</f>
        <v>3.4400000000000004</v>
      </c>
      <c r="D33" s="509">
        <f t="shared" ref="D33:F33" si="1">D34+D35</f>
        <v>3.37</v>
      </c>
      <c r="E33" s="509">
        <f t="shared" si="1"/>
        <v>3.335</v>
      </c>
      <c r="F33" s="509">
        <f t="shared" si="1"/>
        <v>3.2800000000000002</v>
      </c>
      <c r="G33" s="485"/>
      <c r="H33" s="485"/>
      <c r="I33" s="485"/>
      <c r="J33" s="485"/>
      <c r="K33" s="508"/>
      <c r="L33" s="433"/>
      <c r="M33" s="510"/>
      <c r="N33" s="421"/>
      <c r="P33" s="999">
        <f>C33</f>
        <v>3.4400000000000004</v>
      </c>
      <c r="Q33" s="977"/>
      <c r="R33" s="977"/>
      <c r="S33" s="977"/>
      <c r="T33" s="977"/>
      <c r="U33" s="1000"/>
    </row>
    <row r="34" spans="2:30" ht="15.75" customHeight="1" outlineLevel="1" thickBot="1">
      <c r="B34" s="511" t="s">
        <v>883</v>
      </c>
      <c r="C34" s="512">
        <f>C13/100*73</f>
        <v>1.46</v>
      </c>
      <c r="D34" s="512">
        <f>D13/100*75</f>
        <v>1.5</v>
      </c>
      <c r="E34" s="512">
        <f>E13/100*76</f>
        <v>1.52</v>
      </c>
      <c r="F34" s="512">
        <f>F13/100*76</f>
        <v>1.52</v>
      </c>
      <c r="G34" s="513"/>
      <c r="H34" s="513"/>
      <c r="I34" s="513"/>
      <c r="J34" s="513"/>
      <c r="K34" s="439" t="s">
        <v>55</v>
      </c>
      <c r="L34" s="440"/>
      <c r="M34" s="510"/>
      <c r="N34" s="421"/>
      <c r="P34" s="1001">
        <f>C34</f>
        <v>1.46</v>
      </c>
      <c r="Q34" s="1002"/>
      <c r="R34" s="1002"/>
      <c r="S34" s="1002"/>
      <c r="T34" s="1002"/>
      <c r="U34" s="1003"/>
    </row>
    <row r="35" spans="2:30" outlineLevel="1">
      <c r="B35" s="511" t="s">
        <v>884</v>
      </c>
      <c r="C35" s="514">
        <v>1.9800000000000002</v>
      </c>
      <c r="D35" s="514">
        <v>1.87</v>
      </c>
      <c r="E35" s="514">
        <v>1.8149999999999999</v>
      </c>
      <c r="F35" s="514">
        <v>1.7600000000000002</v>
      </c>
      <c r="G35" s="513"/>
      <c r="H35" s="513"/>
      <c r="I35" s="513"/>
      <c r="J35" s="513"/>
      <c r="K35" s="515" t="s">
        <v>49</v>
      </c>
      <c r="L35" s="440"/>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693">
        <v>0.32641317281452847</v>
      </c>
      <c r="D39" s="693">
        <v>0.26461889701995639</v>
      </c>
      <c r="E39" s="693">
        <v>0.2073970961908323</v>
      </c>
      <c r="F39" s="693">
        <v>0.18673651971635497</v>
      </c>
      <c r="G39" s="703"/>
      <c r="H39" s="703"/>
      <c r="I39" s="703"/>
      <c r="J39" s="703"/>
      <c r="K39" s="703" t="s">
        <v>374</v>
      </c>
      <c r="L39" s="524"/>
      <c r="M39" s="423"/>
      <c r="N39" s="423"/>
      <c r="O39" s="525">
        <f>C12</f>
        <v>193</v>
      </c>
      <c r="P39" s="526">
        <f>C8</f>
        <v>2020</v>
      </c>
      <c r="Q39" s="58">
        <f>P39</f>
        <v>2020</v>
      </c>
      <c r="R39" s="526">
        <f>O39/100</f>
        <v>1.93</v>
      </c>
      <c r="S39" s="58"/>
      <c r="T39" s="526">
        <f>C16</f>
        <v>20</v>
      </c>
      <c r="U39" s="527">
        <f>C46</f>
        <v>12158.890687341185</v>
      </c>
      <c r="V39" s="527">
        <f>C48</f>
        <v>14.9</v>
      </c>
      <c r="W39" s="527">
        <f>C49</f>
        <v>7.1188888888888897</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t="s">
        <v>1011</v>
      </c>
      <c r="L40" s="524"/>
      <c r="M40" s="423"/>
      <c r="N40" s="423"/>
      <c r="O40" s="525">
        <f>D12</f>
        <v>198.94</v>
      </c>
      <c r="P40" s="526">
        <f>D8</f>
        <v>2030</v>
      </c>
      <c r="Q40" s="58"/>
      <c r="R40" s="526">
        <f>O40/100</f>
        <v>1.9894000000000001</v>
      </c>
      <c r="S40" s="58"/>
      <c r="T40" s="526">
        <f>D16</f>
        <v>20</v>
      </c>
      <c r="U40" s="527">
        <f>D46</f>
        <v>9857.0539139933753</v>
      </c>
      <c r="V40" s="527">
        <f>D48</f>
        <v>14.9</v>
      </c>
      <c r="W40" s="527">
        <f>D49</f>
        <v>6.9740277777777777</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203.0188</v>
      </c>
      <c r="P41" s="526">
        <f>E8</f>
        <v>2040</v>
      </c>
      <c r="Q41" s="58"/>
      <c r="R41" s="526">
        <f>O41/100</f>
        <v>2.0301879999999999</v>
      </c>
      <c r="S41" s="58"/>
      <c r="T41" s="526">
        <f>E16</f>
        <v>20</v>
      </c>
      <c r="U41" s="527">
        <f>E46</f>
        <v>7725.5418331085029</v>
      </c>
      <c r="V41" s="527">
        <f>E48</f>
        <v>14.9</v>
      </c>
      <c r="W41" s="527">
        <f>E49</f>
        <v>6.9015972222222217</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f>
        <v>205.09898799999999</v>
      </c>
      <c r="P42" s="526">
        <f>F8</f>
        <v>2050</v>
      </c>
      <c r="Q42" s="58"/>
      <c r="R42" s="526">
        <f>O42/100</f>
        <v>2.0509898799999999</v>
      </c>
      <c r="S42" s="58"/>
      <c r="T42" s="526">
        <f>F16</f>
        <v>20</v>
      </c>
      <c r="U42" s="527">
        <f>F46</f>
        <v>6955.9353594342228</v>
      </c>
      <c r="V42" s="527">
        <f>F48</f>
        <v>14.9</v>
      </c>
      <c r="W42" s="527">
        <f>F49</f>
        <v>6.7877777777777784</v>
      </c>
      <c r="X42" s="58"/>
      <c r="Y42" s="58"/>
      <c r="Z42" s="526">
        <f>F23</f>
        <v>0</v>
      </c>
      <c r="AA42" s="528">
        <f>F25</f>
        <v>0</v>
      </c>
      <c r="AB42" s="528">
        <f>F26</f>
        <v>0</v>
      </c>
      <c r="AC42" s="528">
        <f>F27</f>
        <v>0</v>
      </c>
      <c r="AD42" s="528">
        <f>F24</f>
        <v>0</v>
      </c>
    </row>
    <row r="43" spans="2:30" outlineLevel="1">
      <c r="B43" s="535" t="s">
        <v>891</v>
      </c>
      <c r="C43" s="529">
        <v>30</v>
      </c>
      <c r="D43" s="530">
        <v>30</v>
      </c>
      <c r="E43" s="530">
        <v>30</v>
      </c>
      <c r="F43" s="531">
        <v>30</v>
      </c>
      <c r="G43" s="534"/>
      <c r="H43" s="534"/>
      <c r="I43" s="534"/>
      <c r="J43" s="534"/>
      <c r="K43" s="534" t="s">
        <v>1012</v>
      </c>
      <c r="L43" s="536"/>
      <c r="M43" s="427"/>
      <c r="N43" s="427"/>
    </row>
    <row r="44" spans="2:30" outlineLevel="1">
      <c r="B44" s="535" t="s">
        <v>892</v>
      </c>
      <c r="C44" s="529">
        <v>20</v>
      </c>
      <c r="D44" s="530">
        <v>20</v>
      </c>
      <c r="E44" s="530">
        <v>20</v>
      </c>
      <c r="F44" s="531">
        <v>20</v>
      </c>
      <c r="G44" s="534"/>
      <c r="H44" s="534"/>
      <c r="I44" s="534"/>
      <c r="J44" s="534"/>
      <c r="K44" s="534" t="s">
        <v>1012</v>
      </c>
      <c r="L44" s="536"/>
      <c r="M44" s="423"/>
      <c r="N44" s="423"/>
    </row>
    <row r="45" spans="2:30" ht="15" outlineLevel="1" thickBot="1">
      <c r="B45" s="537" t="s">
        <v>893</v>
      </c>
      <c r="C45" s="704" t="s">
        <v>36</v>
      </c>
      <c r="D45" s="705" t="s">
        <v>36</v>
      </c>
      <c r="E45" s="705" t="s">
        <v>36</v>
      </c>
      <c r="F45" s="706" t="s">
        <v>36</v>
      </c>
      <c r="G45" s="541"/>
      <c r="H45" s="541"/>
      <c r="I45" s="541"/>
      <c r="J45" s="541"/>
      <c r="K45" s="541"/>
      <c r="L45" s="542"/>
      <c r="M45" s="423"/>
      <c r="N45" s="423"/>
    </row>
    <row r="46" spans="2:30" ht="57.6" outlineLevel="1">
      <c r="B46" s="521" t="s">
        <v>894</v>
      </c>
      <c r="C46" s="543">
        <f>C29*$F$4*1000</f>
        <v>12158.890687341185</v>
      </c>
      <c r="D46" s="543">
        <f t="shared" ref="D46:F46" si="2">D29*$F$4*1000</f>
        <v>9857.0539139933753</v>
      </c>
      <c r="E46" s="543">
        <f t="shared" si="2"/>
        <v>7725.5418331085029</v>
      </c>
      <c r="F46" s="543">
        <f t="shared" si="2"/>
        <v>6955.9353594342228</v>
      </c>
      <c r="G46" s="543"/>
      <c r="H46" s="544"/>
      <c r="I46" s="480" t="s">
        <v>332</v>
      </c>
      <c r="J46" s="480"/>
      <c r="K46" s="544"/>
      <c r="L46" s="544"/>
      <c r="N46" s="480"/>
    </row>
    <row r="47" spans="2:30" outlineLevel="1">
      <c r="B47" s="545" t="s">
        <v>895</v>
      </c>
      <c r="C47" s="546">
        <f>C46*$I47</f>
        <v>6079445.3436705926</v>
      </c>
      <c r="D47" s="546">
        <f>D46*$I47</f>
        <v>4928526.9569966877</v>
      </c>
      <c r="E47" s="546">
        <f>E46*$I47</f>
        <v>3862770.9165542517</v>
      </c>
      <c r="F47" s="546">
        <f>F46*$I47</f>
        <v>3477967.6797171114</v>
      </c>
      <c r="G47" s="546"/>
      <c r="H47" s="544"/>
      <c r="I47" s="71">
        <v>500</v>
      </c>
      <c r="J47" s="480" t="s">
        <v>330</v>
      </c>
      <c r="K47" s="544"/>
      <c r="L47" s="544"/>
      <c r="N47" s="480"/>
    </row>
    <row r="48" spans="2:30" ht="43.2" outlineLevel="1">
      <c r="B48" s="521" t="s">
        <v>970</v>
      </c>
      <c r="C48" s="419">
        <f>C32*$F$4/1000</f>
        <v>14.9</v>
      </c>
      <c r="D48" s="419">
        <f t="shared" ref="D48:F48" si="3">D32*$F$4/1000</f>
        <v>14.9</v>
      </c>
      <c r="E48" s="419">
        <f t="shared" si="3"/>
        <v>14.9</v>
      </c>
      <c r="F48" s="419">
        <f t="shared" si="3"/>
        <v>14.9</v>
      </c>
      <c r="G48" s="419"/>
      <c r="I48" s="480" t="s">
        <v>333</v>
      </c>
      <c r="J48" s="480"/>
      <c r="N48" s="480"/>
    </row>
    <row r="49" spans="2:14" ht="43.2" outlineLevel="1">
      <c r="B49" s="521" t="s">
        <v>971</v>
      </c>
      <c r="C49" s="547">
        <f>C33*$F$4/3.6</f>
        <v>7.1188888888888897</v>
      </c>
      <c r="D49" s="547">
        <f t="shared" ref="D49:F49" si="4">D33*$F$4/3.6</f>
        <v>6.9740277777777777</v>
      </c>
      <c r="E49" s="547">
        <f t="shared" si="4"/>
        <v>6.9015972222222217</v>
      </c>
      <c r="F49" s="547">
        <f t="shared" si="4"/>
        <v>6.7877777777777784</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724" t="s">
        <v>898</v>
      </c>
      <c r="E55" s="417"/>
      <c r="F55" s="417"/>
      <c r="G55" s="417"/>
      <c r="H55" s="417"/>
      <c r="I55" s="417"/>
      <c r="J55" s="417"/>
      <c r="K55" s="417"/>
      <c r="L55" s="417"/>
    </row>
    <row r="56" spans="2:14" outlineLevel="1">
      <c r="B56" s="550">
        <v>1</v>
      </c>
      <c r="C56" s="696" t="s">
        <v>1013</v>
      </c>
      <c r="D56" s="550"/>
      <c r="F56" s="417"/>
      <c r="G56" s="417"/>
      <c r="H56" s="417"/>
      <c r="I56" s="417"/>
      <c r="J56" s="417"/>
      <c r="K56" s="417"/>
      <c r="L56" s="417"/>
    </row>
    <row r="57" spans="2:14" outlineLevel="1">
      <c r="B57" s="550">
        <v>2</v>
      </c>
      <c r="C57" s="550" t="s">
        <v>975</v>
      </c>
      <c r="D57" s="550"/>
      <c r="F57" s="417"/>
      <c r="G57" s="417"/>
      <c r="H57" s="417"/>
      <c r="I57" s="417"/>
      <c r="J57" s="417"/>
      <c r="K57" s="417"/>
      <c r="L57" s="417"/>
    </row>
    <row r="58" spans="2:14" outlineLevel="1">
      <c r="B58" s="550">
        <v>3</v>
      </c>
      <c r="C58" s="550" t="s">
        <v>1014</v>
      </c>
      <c r="D58" s="550"/>
      <c r="F58" s="417"/>
      <c r="G58" s="417"/>
      <c r="H58" s="417"/>
      <c r="I58" s="417"/>
      <c r="J58" s="417"/>
      <c r="K58" s="417"/>
      <c r="L58" s="417"/>
    </row>
    <row r="59" spans="2:14" outlineLevel="1">
      <c r="B59" s="239" t="s">
        <v>908</v>
      </c>
      <c r="F59" s="417"/>
      <c r="G59" s="417"/>
      <c r="H59" s="417"/>
      <c r="I59" s="417"/>
      <c r="J59" s="417"/>
      <c r="K59" s="417"/>
      <c r="L59" s="417"/>
    </row>
    <row r="60" spans="2:14" outlineLevel="1">
      <c r="B60" s="725" t="s">
        <v>6</v>
      </c>
      <c r="C60" s="550" t="s">
        <v>1015</v>
      </c>
      <c r="D60" s="550"/>
      <c r="F60" s="417"/>
      <c r="G60" s="417"/>
      <c r="H60" s="417"/>
      <c r="I60" s="417"/>
      <c r="J60" s="417"/>
      <c r="K60" s="417"/>
      <c r="L60" s="417"/>
    </row>
    <row r="61" spans="2:14" outlineLevel="1">
      <c r="B61" s="725" t="s">
        <v>59</v>
      </c>
      <c r="C61" s="550" t="s">
        <v>1016</v>
      </c>
      <c r="D61" s="550"/>
      <c r="F61" s="417"/>
      <c r="G61" s="417"/>
      <c r="H61" s="417"/>
      <c r="I61" s="417"/>
      <c r="J61" s="417"/>
      <c r="K61" s="417"/>
      <c r="L61" s="417"/>
    </row>
    <row r="62" spans="2:14" outlineLevel="1">
      <c r="B62" s="726" t="s">
        <v>16</v>
      </c>
      <c r="C62" s="550" t="s">
        <v>1017</v>
      </c>
      <c r="D62" s="550"/>
      <c r="F62" s="417"/>
      <c r="G62" s="417"/>
      <c r="H62" s="417"/>
      <c r="I62" s="417"/>
      <c r="J62" s="417"/>
      <c r="K62" s="417"/>
      <c r="L62" s="417"/>
    </row>
    <row r="63" spans="2:14" outlineLevel="1">
      <c r="B63" s="725" t="s">
        <v>20</v>
      </c>
      <c r="C63" s="550" t="s">
        <v>997</v>
      </c>
      <c r="D63" s="550"/>
      <c r="F63" s="417"/>
      <c r="G63" s="417"/>
      <c r="H63" s="417"/>
      <c r="I63" s="417"/>
      <c r="J63" s="417"/>
      <c r="K63" s="417"/>
      <c r="L63" s="417"/>
    </row>
    <row r="64" spans="2:14" outlineLevel="1">
      <c r="B64" s="725" t="s">
        <v>76</v>
      </c>
      <c r="C64" s="550" t="s">
        <v>1018</v>
      </c>
      <c r="D64" s="550"/>
      <c r="F64" s="417"/>
      <c r="G64" s="417"/>
      <c r="H64" s="417"/>
      <c r="I64" s="417"/>
      <c r="J64" s="417"/>
      <c r="K64" s="417"/>
      <c r="L64" s="417"/>
    </row>
    <row r="65" spans="1:44" outlineLevel="1">
      <c r="B65" s="725" t="s">
        <v>25</v>
      </c>
      <c r="C65" s="550" t="s">
        <v>1019</v>
      </c>
      <c r="D65" s="550"/>
      <c r="F65" s="417"/>
      <c r="G65" s="417"/>
      <c r="H65" s="417"/>
      <c r="I65" s="417"/>
      <c r="J65" s="417"/>
      <c r="K65" s="417"/>
      <c r="L65" s="417"/>
    </row>
    <row r="66" spans="1:44" outlineLevel="1">
      <c r="B66" s="725" t="s">
        <v>33</v>
      </c>
      <c r="C66" s="550" t="str">
        <f>"From ["&amp;B57&amp;"], cost correlations and learing curves ["&amp;B58&amp;"] (Not commercially avaiable at the moment)"</f>
        <v>From [2], cost correlations and learing curves [3] (Not commercially avaiable at the moment)</v>
      </c>
      <c r="D66" s="550"/>
      <c r="F66" s="417"/>
      <c r="G66" s="417"/>
      <c r="H66" s="417"/>
      <c r="I66" s="417"/>
      <c r="J66" s="417"/>
      <c r="K66" s="417"/>
      <c r="L66" s="417"/>
    </row>
    <row r="67" spans="1:44" outlineLevel="1">
      <c r="B67" s="725" t="s">
        <v>51</v>
      </c>
      <c r="C67" s="550" t="s">
        <v>1020</v>
      </c>
      <c r="D67" s="550"/>
      <c r="F67" s="417"/>
      <c r="G67" s="417"/>
      <c r="H67" s="417"/>
      <c r="I67" s="417"/>
      <c r="J67" s="417"/>
      <c r="K67" s="417"/>
      <c r="L67" s="417"/>
    </row>
    <row r="68" spans="1:44" outlineLevel="1">
      <c r="B68" s="725" t="s">
        <v>52</v>
      </c>
      <c r="C68" s="550" t="s">
        <v>1021</v>
      </c>
      <c r="D68" s="550"/>
      <c r="F68" s="417"/>
      <c r="G68" s="417"/>
      <c r="H68" s="417"/>
      <c r="I68" s="417"/>
      <c r="J68" s="417"/>
      <c r="K68" s="417"/>
      <c r="L68" s="417"/>
    </row>
    <row r="69" spans="1:44" outlineLevel="1">
      <c r="B69" s="725" t="s">
        <v>55</v>
      </c>
      <c r="C69" s="558" t="s">
        <v>913</v>
      </c>
      <c r="D69" s="550"/>
      <c r="F69" s="417"/>
      <c r="G69" s="417"/>
      <c r="H69" s="417"/>
      <c r="I69" s="417"/>
      <c r="J69" s="417"/>
      <c r="K69" s="417"/>
      <c r="L69" s="417"/>
    </row>
    <row r="70" spans="1:44" outlineLevel="1">
      <c r="B70" s="725" t="s">
        <v>49</v>
      </c>
      <c r="C70" s="558" t="s">
        <v>1022</v>
      </c>
      <c r="D70" s="550"/>
      <c r="G70" s="417"/>
      <c r="H70" s="417"/>
      <c r="I70" s="417"/>
      <c r="J70" s="417"/>
      <c r="K70" s="417"/>
      <c r="L70" s="417"/>
    </row>
    <row r="71" spans="1:44" outlineLevel="1">
      <c r="B71" s="725" t="s">
        <v>374</v>
      </c>
      <c r="C71" s="550" t="s">
        <v>1023</v>
      </c>
      <c r="E71" s="550"/>
      <c r="F71" s="550"/>
    </row>
    <row r="72" spans="1:44" outlineLevel="1">
      <c r="B72" s="725" t="s">
        <v>1011</v>
      </c>
      <c r="C72" s="550" t="s">
        <v>914</v>
      </c>
    </row>
    <row r="73" spans="1:44" outlineLevel="1">
      <c r="B73" s="697" t="s">
        <v>1012</v>
      </c>
      <c r="C73" s="550" t="s">
        <v>985</v>
      </c>
    </row>
    <row r="74" spans="1:44" outlineLevel="1"/>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2">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H19:AI19"/>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56" r:id="rId1" xr:uid="{5740F5FA-C62E-41E9-9228-DEBCAB387C1F}"/>
  </hyperlinks>
  <pageMargins left="0.7" right="0.7" top="0.75" bottom="0.75" header="0.3" footer="0.3"/>
  <pageSetup paperSize="9" orientation="portrait"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7F0A-5F9E-462F-9A60-8EB5A73D7FC2}">
  <sheetPr>
    <tabColor theme="3"/>
  </sheetPr>
  <dimension ref="A2:AS345"/>
  <sheetViews>
    <sheetView topLeftCell="E1" zoomScale="80" zoomScaleNormal="80" workbookViewId="0">
      <selection activeCell="AB26" sqref="AB26"/>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 xml:space="preserve"> Mechanical vapor recompression</v>
      </c>
    </row>
    <row r="4" spans="1:45" ht="25.2" customHeight="1">
      <c r="E4" s="239" t="s">
        <v>358</v>
      </c>
      <c r="F4" s="419">
        <v>7.45</v>
      </c>
      <c r="G4" s="419" t="s">
        <v>328</v>
      </c>
    </row>
    <row r="5" spans="1:45" ht="15" customHeight="1">
      <c r="A5" s="420" t="s">
        <v>994</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992</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20</v>
      </c>
      <c r="D10" s="432">
        <v>20</v>
      </c>
      <c r="E10" s="432">
        <v>20</v>
      </c>
      <c r="F10" s="432">
        <v>20</v>
      </c>
      <c r="G10" s="432">
        <v>5</v>
      </c>
      <c r="H10" s="432">
        <v>50</v>
      </c>
      <c r="I10" s="432">
        <v>5</v>
      </c>
      <c r="J10" s="432">
        <v>50</v>
      </c>
      <c r="K10" s="432" t="s">
        <v>6</v>
      </c>
      <c r="L10" s="433">
        <v>1</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1260</v>
      </c>
      <c r="D11" s="437">
        <v>1320</v>
      </c>
      <c r="E11" s="438">
        <v>1380</v>
      </c>
      <c r="F11" s="437">
        <v>1430</v>
      </c>
      <c r="G11" s="437">
        <v>1000</v>
      </c>
      <c r="H11" s="437">
        <v>1512</v>
      </c>
      <c r="I11" s="437">
        <v>1056</v>
      </c>
      <c r="J11" s="437">
        <v>1716</v>
      </c>
      <c r="K11" s="439" t="s">
        <v>59</v>
      </c>
      <c r="L11" s="440">
        <v>1</v>
      </c>
      <c r="M11" s="430"/>
      <c r="N11" s="430"/>
      <c r="P11" s="1042" t="str">
        <f>C7</f>
        <v xml:space="preserve"> Mechanical vapor recompression</v>
      </c>
      <c r="Q11" s="1030" t="s">
        <v>855</v>
      </c>
      <c r="R11" s="441" t="s">
        <v>856</v>
      </c>
      <c r="S11" s="442"/>
      <c r="T11" s="1033">
        <v>0</v>
      </c>
      <c r="U11" s="1021">
        <v>0</v>
      </c>
      <c r="V11" s="1024">
        <v>0</v>
      </c>
      <c r="W11" s="1021">
        <v>0</v>
      </c>
      <c r="X11" s="1024">
        <v>0</v>
      </c>
      <c r="Y11" s="1021">
        <v>0</v>
      </c>
      <c r="Z11" s="1024">
        <v>0</v>
      </c>
      <c r="AA11" s="1021">
        <v>0</v>
      </c>
      <c r="AB11" s="1024">
        <v>0</v>
      </c>
      <c r="AC11" s="1021">
        <v>0</v>
      </c>
      <c r="AD11" s="1024">
        <f>AB11</f>
        <v>0</v>
      </c>
      <c r="AE11" s="1021">
        <f>AC11</f>
        <v>0</v>
      </c>
      <c r="AF11" s="1027" t="str">
        <f>P11</f>
        <v xml:space="preserve"> Mechanical vapor recompression</v>
      </c>
      <c r="AG11" s="1030" t="s">
        <v>855</v>
      </c>
      <c r="AH11" s="441" t="s">
        <v>856</v>
      </c>
      <c r="AI11" s="442"/>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444">
        <f t="shared" ref="C12:J12" si="0">C11-50</f>
        <v>1210</v>
      </c>
      <c r="D12" s="444">
        <f t="shared" si="0"/>
        <v>1270</v>
      </c>
      <c r="E12" s="444">
        <f t="shared" si="0"/>
        <v>1330</v>
      </c>
      <c r="F12" s="444">
        <f t="shared" si="0"/>
        <v>1380</v>
      </c>
      <c r="G12" s="445">
        <f t="shared" si="0"/>
        <v>950</v>
      </c>
      <c r="H12" s="445">
        <f t="shared" si="0"/>
        <v>1462</v>
      </c>
      <c r="I12" s="445">
        <f t="shared" si="0"/>
        <v>1006</v>
      </c>
      <c r="J12" s="445">
        <f t="shared" si="0"/>
        <v>1666</v>
      </c>
      <c r="K12" s="446"/>
      <c r="L12" s="447"/>
      <c r="M12" s="430"/>
      <c r="N12" s="430"/>
      <c r="O12" s="71"/>
      <c r="P12" s="1028"/>
      <c r="Q12" s="1031"/>
      <c r="R12" s="448" t="s">
        <v>858</v>
      </c>
      <c r="S12" s="449"/>
      <c r="T12" s="1034"/>
      <c r="U12" s="1022"/>
      <c r="V12" s="1025"/>
      <c r="W12" s="1022"/>
      <c r="X12" s="1025"/>
      <c r="Y12" s="1022"/>
      <c r="Z12" s="1025"/>
      <c r="AA12" s="1022"/>
      <c r="AB12" s="1025"/>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1</v>
      </c>
      <c r="D13" s="451">
        <v>1</v>
      </c>
      <c r="E13" s="451">
        <v>1</v>
      </c>
      <c r="F13" s="452">
        <v>1</v>
      </c>
      <c r="G13" s="451">
        <v>0</v>
      </c>
      <c r="H13" s="451">
        <v>2</v>
      </c>
      <c r="I13" s="451">
        <v>0</v>
      </c>
      <c r="J13" s="451">
        <v>2</v>
      </c>
      <c r="K13" s="439"/>
      <c r="L13" s="440">
        <v>3</v>
      </c>
      <c r="M13" s="430"/>
      <c r="N13" s="430"/>
      <c r="O13" s="71"/>
      <c r="P13" s="1028"/>
      <c r="Q13" s="1032"/>
      <c r="R13" s="453" t="s">
        <v>860</v>
      </c>
      <c r="S13" s="454"/>
      <c r="T13" s="1035"/>
      <c r="U13" s="1023"/>
      <c r="V13" s="1026"/>
      <c r="W13" s="1023"/>
      <c r="X13" s="1026"/>
      <c r="Y13" s="1023"/>
      <c r="Z13" s="1026"/>
      <c r="AA13" s="1023"/>
      <c r="AB13" s="1026"/>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450">
        <v>0</v>
      </c>
      <c r="D14" s="450">
        <v>0</v>
      </c>
      <c r="E14" s="450">
        <v>0</v>
      </c>
      <c r="F14" s="450">
        <v>0</v>
      </c>
      <c r="G14" s="450">
        <v>0</v>
      </c>
      <c r="H14" s="450">
        <v>1</v>
      </c>
      <c r="I14" s="450">
        <v>0</v>
      </c>
      <c r="J14" s="450">
        <v>1</v>
      </c>
      <c r="K14" s="439"/>
      <c r="L14" s="440">
        <v>2</v>
      </c>
      <c r="M14" s="430"/>
      <c r="N14" s="430"/>
      <c r="O14" s="71"/>
      <c r="P14" s="1028"/>
      <c r="Q14" s="1030" t="s">
        <v>993</v>
      </c>
      <c r="R14" s="455" t="s">
        <v>862</v>
      </c>
      <c r="S14" s="456" t="s">
        <v>863</v>
      </c>
      <c r="T14" s="1033">
        <v>0</v>
      </c>
      <c r="U14" s="1033">
        <v>0.31</v>
      </c>
      <c r="V14" s="1033">
        <v>0</v>
      </c>
      <c r="W14" s="1033">
        <v>0.05</v>
      </c>
      <c r="X14" s="1033">
        <v>0</v>
      </c>
      <c r="Y14" s="1033">
        <v>0.37</v>
      </c>
      <c r="Z14" s="1033">
        <v>0</v>
      </c>
      <c r="AA14" s="1033">
        <v>0.41</v>
      </c>
      <c r="AB14" s="1033">
        <v>0</v>
      </c>
      <c r="AC14" s="1021">
        <v>0.06</v>
      </c>
      <c r="AD14" s="1033">
        <f>AB14</f>
        <v>0</v>
      </c>
      <c r="AE14" s="1021">
        <v>0</v>
      </c>
      <c r="AF14" s="1028"/>
      <c r="AG14" s="1030" t="s">
        <v>993</v>
      </c>
      <c r="AH14" s="455" t="s">
        <v>862</v>
      </c>
      <c r="AI14" s="456" t="s">
        <v>863</v>
      </c>
      <c r="AJ14" s="1033">
        <v>0</v>
      </c>
      <c r="AK14" s="1033">
        <v>0.31</v>
      </c>
      <c r="AL14" s="1033">
        <v>0</v>
      </c>
      <c r="AM14" s="1033">
        <v>0.05</v>
      </c>
      <c r="AN14" s="1033">
        <v>0</v>
      </c>
      <c r="AO14" s="1033">
        <v>0.37</v>
      </c>
      <c r="AP14" s="1033">
        <v>0</v>
      </c>
      <c r="AQ14" s="1033">
        <v>0.41</v>
      </c>
      <c r="AR14" s="1033">
        <v>0</v>
      </c>
      <c r="AS14" s="1021">
        <v>0.06</v>
      </c>
    </row>
    <row r="15" spans="1:45" outlineLevel="1">
      <c r="B15" s="436" t="s">
        <v>703</v>
      </c>
      <c r="C15" s="450">
        <v>0.5</v>
      </c>
      <c r="D15" s="450">
        <v>0.5</v>
      </c>
      <c r="E15" s="450">
        <v>0.5</v>
      </c>
      <c r="F15" s="450">
        <v>0.5</v>
      </c>
      <c r="G15" s="450">
        <v>0</v>
      </c>
      <c r="H15" s="450">
        <v>1</v>
      </c>
      <c r="I15" s="450">
        <v>0</v>
      </c>
      <c r="J15" s="450">
        <v>1</v>
      </c>
      <c r="K15" s="439"/>
      <c r="L15" s="440">
        <v>2</v>
      </c>
      <c r="M15" s="427"/>
      <c r="N15" s="427"/>
      <c r="O15" s="71"/>
      <c r="P15" s="1028"/>
      <c r="Q15" s="1031"/>
      <c r="R15" s="455" t="s">
        <v>864</v>
      </c>
      <c r="S15" s="456" t="s">
        <v>863</v>
      </c>
      <c r="T15" s="1034"/>
      <c r="U15" s="1036"/>
      <c r="V15" s="1034"/>
      <c r="W15" s="1036"/>
      <c r="X15" s="1034"/>
      <c r="Y15" s="1036"/>
      <c r="Z15" s="1034"/>
      <c r="AA15" s="1036"/>
      <c r="AB15" s="1034"/>
      <c r="AC15" s="1038"/>
      <c r="AD15" s="1034"/>
      <c r="AE15" s="1038"/>
      <c r="AF15" s="1028"/>
      <c r="AG15" s="1031"/>
      <c r="AH15" s="455" t="s">
        <v>864</v>
      </c>
      <c r="AI15" s="456" t="s">
        <v>863</v>
      </c>
      <c r="AJ15" s="1034"/>
      <c r="AK15" s="1036"/>
      <c r="AL15" s="1034"/>
      <c r="AM15" s="1036"/>
      <c r="AN15" s="1034"/>
      <c r="AO15" s="1036"/>
      <c r="AP15" s="1034"/>
      <c r="AQ15" s="1036"/>
      <c r="AR15" s="1034"/>
      <c r="AS15" s="1038"/>
    </row>
    <row r="16" spans="1:45" outlineLevel="1">
      <c r="B16" s="443" t="s">
        <v>11</v>
      </c>
      <c r="C16" s="457">
        <v>25</v>
      </c>
      <c r="D16" s="457">
        <v>25</v>
      </c>
      <c r="E16" s="457">
        <v>25</v>
      </c>
      <c r="F16" s="457">
        <v>25</v>
      </c>
      <c r="G16" s="458">
        <v>15</v>
      </c>
      <c r="H16" s="458">
        <v>35</v>
      </c>
      <c r="I16" s="458">
        <v>15</v>
      </c>
      <c r="J16" s="458">
        <v>35</v>
      </c>
      <c r="K16" s="432"/>
      <c r="L16" s="433">
        <v>1.2</v>
      </c>
      <c r="M16" s="423"/>
      <c r="N16" s="423"/>
      <c r="P16" s="1028"/>
      <c r="Q16" s="1031"/>
      <c r="R16" s="455" t="s">
        <v>866</v>
      </c>
      <c r="S16" s="456" t="s">
        <v>863</v>
      </c>
      <c r="T16" s="1034"/>
      <c r="U16" s="1036"/>
      <c r="V16" s="1034"/>
      <c r="W16" s="1036"/>
      <c r="X16" s="1034"/>
      <c r="Y16" s="1036"/>
      <c r="Z16" s="1034"/>
      <c r="AA16" s="1036"/>
      <c r="AB16" s="1034"/>
      <c r="AC16" s="1038"/>
      <c r="AD16" s="1034"/>
      <c r="AE16" s="1038"/>
      <c r="AF16" s="1028"/>
      <c r="AG16" s="1031"/>
      <c r="AH16" s="455" t="s">
        <v>866</v>
      </c>
      <c r="AI16" s="689" t="s">
        <v>863</v>
      </c>
      <c r="AJ16" s="1034"/>
      <c r="AK16" s="1036"/>
      <c r="AL16" s="1034"/>
      <c r="AM16" s="1036"/>
      <c r="AN16" s="1034"/>
      <c r="AO16" s="1036"/>
      <c r="AP16" s="1034"/>
      <c r="AQ16" s="1036"/>
      <c r="AR16" s="1034"/>
      <c r="AS16" s="1038"/>
    </row>
    <row r="17" spans="1:45" ht="15" outlineLevel="1" thickBot="1">
      <c r="B17" s="436" t="s">
        <v>273</v>
      </c>
      <c r="C17" s="459">
        <v>0.1</v>
      </c>
      <c r="D17" s="459">
        <v>0.1</v>
      </c>
      <c r="E17" s="459">
        <v>0.1</v>
      </c>
      <c r="F17" s="459">
        <v>0.1</v>
      </c>
      <c r="G17" s="459">
        <v>0.05</v>
      </c>
      <c r="H17" s="459">
        <v>0.2</v>
      </c>
      <c r="I17" s="459">
        <v>0.05</v>
      </c>
      <c r="J17" s="459">
        <v>0.2</v>
      </c>
      <c r="K17" s="432"/>
      <c r="L17" s="460">
        <v>1.3</v>
      </c>
      <c r="M17" s="423"/>
      <c r="N17" s="423"/>
      <c r="P17" s="1028"/>
      <c r="Q17" s="1031"/>
      <c r="R17" s="455" t="s">
        <v>867</v>
      </c>
      <c r="S17" s="456" t="s">
        <v>863</v>
      </c>
      <c r="T17" s="1034"/>
      <c r="U17" s="1036"/>
      <c r="V17" s="1034"/>
      <c r="W17" s="1036"/>
      <c r="X17" s="1034"/>
      <c r="Y17" s="1036"/>
      <c r="Z17" s="1034"/>
      <c r="AA17" s="1036"/>
      <c r="AB17" s="1034"/>
      <c r="AC17" s="1038"/>
      <c r="AD17" s="1034"/>
      <c r="AE17" s="1038"/>
      <c r="AF17" s="1028"/>
      <c r="AG17" s="1031"/>
      <c r="AH17" s="455" t="s">
        <v>867</v>
      </c>
      <c r="AI17" s="456" t="s">
        <v>863</v>
      </c>
      <c r="AJ17" s="1034"/>
      <c r="AK17" s="1036"/>
      <c r="AL17" s="1034"/>
      <c r="AM17" s="1036"/>
      <c r="AN17" s="1034"/>
      <c r="AO17" s="1036"/>
      <c r="AP17" s="1034"/>
      <c r="AQ17" s="1036"/>
      <c r="AR17" s="1034"/>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35"/>
      <c r="U18" s="1037"/>
      <c r="V18" s="1035"/>
      <c r="W18" s="1037"/>
      <c r="X18" s="1035"/>
      <c r="Y18" s="1037"/>
      <c r="Z18" s="1035"/>
      <c r="AA18" s="1037"/>
      <c r="AB18" s="1035"/>
      <c r="AC18" s="1039"/>
      <c r="AD18" s="1035"/>
      <c r="AE18" s="1039"/>
      <c r="AF18" s="1028"/>
      <c r="AG18" s="1032"/>
      <c r="AH18" s="469" t="s">
        <v>988</v>
      </c>
      <c r="AI18" s="470" t="s">
        <v>863</v>
      </c>
      <c r="AJ18" s="1035"/>
      <c r="AK18" s="1037"/>
      <c r="AL18" s="1035"/>
      <c r="AM18" s="1037"/>
      <c r="AN18" s="1035"/>
      <c r="AO18" s="1037"/>
      <c r="AP18" s="1035"/>
      <c r="AQ18" s="1037"/>
      <c r="AR18" s="1035"/>
      <c r="AS18" s="1039"/>
    </row>
    <row r="19" spans="1:45" ht="29.4" outlineLevel="1" thickBot="1">
      <c r="B19" s="436" t="s">
        <v>708</v>
      </c>
      <c r="C19" s="450">
        <v>15</v>
      </c>
      <c r="D19" s="450">
        <v>15</v>
      </c>
      <c r="E19" s="450">
        <v>15</v>
      </c>
      <c r="F19" s="450">
        <v>15</v>
      </c>
      <c r="G19" s="451"/>
      <c r="H19" s="451"/>
      <c r="I19" s="451"/>
      <c r="J19" s="451"/>
      <c r="K19" s="439"/>
      <c r="L19" s="440">
        <v>4</v>
      </c>
      <c r="M19" s="423"/>
      <c r="N19" s="423"/>
      <c r="P19" s="1029"/>
      <c r="Q19" s="471" t="s">
        <v>870</v>
      </c>
      <c r="R19" s="472" t="s">
        <v>871</v>
      </c>
      <c r="S19" s="690"/>
      <c r="T19" s="476">
        <v>0</v>
      </c>
      <c r="U19" s="475">
        <f>T19</f>
        <v>0</v>
      </c>
      <c r="V19" s="476">
        <v>0</v>
      </c>
      <c r="W19" s="475">
        <f>V19</f>
        <v>0</v>
      </c>
      <c r="X19" s="476">
        <v>0</v>
      </c>
      <c r="Y19" s="475">
        <f>X19</f>
        <v>0</v>
      </c>
      <c r="Z19" s="476">
        <v>0</v>
      </c>
      <c r="AA19" s="475">
        <f>Z19</f>
        <v>0</v>
      </c>
      <c r="AB19" s="476">
        <v>0</v>
      </c>
      <c r="AC19" s="477">
        <f>AB19</f>
        <v>0</v>
      </c>
      <c r="AD19" s="476">
        <f>AB19</f>
        <v>0</v>
      </c>
      <c r="AE19" s="477">
        <f>AC19</f>
        <v>0</v>
      </c>
      <c r="AF19" s="1029"/>
      <c r="AG19" s="471" t="s">
        <v>870</v>
      </c>
      <c r="AH19" s="691" t="s">
        <v>871</v>
      </c>
      <c r="AI19" s="692"/>
      <c r="AJ19" s="476">
        <v>0</v>
      </c>
      <c r="AK19" s="475">
        <f>AJ19</f>
        <v>0</v>
      </c>
      <c r="AL19" s="476">
        <v>0</v>
      </c>
      <c r="AM19" s="475">
        <f>AL19</f>
        <v>0</v>
      </c>
      <c r="AN19" s="476">
        <v>0</v>
      </c>
      <c r="AO19" s="475">
        <f>AN19</f>
        <v>0</v>
      </c>
      <c r="AP19" s="476">
        <v>0</v>
      </c>
      <c r="AQ19" s="475">
        <f>AP19</f>
        <v>0</v>
      </c>
      <c r="AR19" s="476">
        <v>0</v>
      </c>
      <c r="AS19" s="477">
        <f>AR19</f>
        <v>0</v>
      </c>
    </row>
    <row r="20" spans="1:45" outlineLevel="1">
      <c r="B20" s="436" t="s">
        <v>709</v>
      </c>
      <c r="C20" s="450">
        <v>0.5</v>
      </c>
      <c r="D20" s="450">
        <v>0.5</v>
      </c>
      <c r="E20" s="450">
        <v>0.5</v>
      </c>
      <c r="F20" s="450">
        <v>0.5</v>
      </c>
      <c r="G20" s="478"/>
      <c r="H20" s="478"/>
      <c r="I20" s="478"/>
      <c r="J20" s="478"/>
      <c r="K20" s="479"/>
      <c r="L20" s="440">
        <v>3</v>
      </c>
      <c r="M20" s="423"/>
      <c r="N20" s="423"/>
    </row>
    <row r="21" spans="1:45" outlineLevel="1">
      <c r="B21" s="436" t="s">
        <v>711</v>
      </c>
      <c r="C21" s="450">
        <v>1</v>
      </c>
      <c r="D21" s="450">
        <v>1</v>
      </c>
      <c r="E21" s="450">
        <v>1</v>
      </c>
      <c r="F21" s="450">
        <v>1</v>
      </c>
      <c r="G21" s="478"/>
      <c r="H21" s="478"/>
      <c r="I21" s="478"/>
      <c r="J21" s="478"/>
      <c r="K21" s="479"/>
      <c r="L21" s="440">
        <v>3</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0.35</v>
      </c>
      <c r="D29" s="707">
        <v>0.33</v>
      </c>
      <c r="E29" s="707">
        <v>0.32</v>
      </c>
      <c r="F29" s="708">
        <v>0.31</v>
      </c>
      <c r="G29" s="485"/>
      <c r="H29" s="485"/>
      <c r="I29" s="485"/>
      <c r="J29" s="485"/>
      <c r="K29" s="486"/>
      <c r="L29" s="500">
        <v>1.5</v>
      </c>
      <c r="M29" s="480"/>
      <c r="N29" s="480"/>
    </row>
    <row r="30" spans="1:45" outlineLevel="1">
      <c r="B30" s="501" t="s">
        <v>964</v>
      </c>
      <c r="C30" s="502">
        <v>60</v>
      </c>
      <c r="D30" s="502">
        <v>60</v>
      </c>
      <c r="E30" s="502">
        <v>60</v>
      </c>
      <c r="F30" s="502">
        <v>60</v>
      </c>
      <c r="G30" s="485"/>
      <c r="H30" s="485"/>
      <c r="I30" s="485"/>
      <c r="J30" s="485"/>
      <c r="K30" s="504"/>
      <c r="L30" s="433">
        <v>1.5</v>
      </c>
      <c r="M30" s="71"/>
      <c r="N30" s="480"/>
    </row>
    <row r="31" spans="1:45" outlineLevel="1">
      <c r="B31" s="501" t="s">
        <v>965</v>
      </c>
      <c r="C31" s="503">
        <v>40</v>
      </c>
      <c r="D31" s="503">
        <v>40</v>
      </c>
      <c r="E31" s="503">
        <v>40</v>
      </c>
      <c r="F31" s="503">
        <v>40</v>
      </c>
      <c r="G31" s="485"/>
      <c r="H31" s="485"/>
      <c r="I31" s="485"/>
      <c r="J31" s="485"/>
      <c r="K31" s="504"/>
      <c r="L31" s="433">
        <v>1.5</v>
      </c>
      <c r="M31" s="480"/>
      <c r="N31" s="480"/>
    </row>
    <row r="32" spans="1:45" outlineLevel="1">
      <c r="B32" s="443" t="s">
        <v>966</v>
      </c>
      <c r="C32" s="505">
        <v>2000</v>
      </c>
      <c r="D32" s="506">
        <v>2000</v>
      </c>
      <c r="E32" s="506">
        <v>200</v>
      </c>
      <c r="F32" s="507">
        <v>2000</v>
      </c>
      <c r="G32" s="485"/>
      <c r="H32" s="485"/>
      <c r="I32" s="485"/>
      <c r="J32" s="485"/>
      <c r="K32" s="508"/>
      <c r="L32" s="433">
        <v>2</v>
      </c>
      <c r="M32" s="480"/>
      <c r="N32" s="480"/>
    </row>
    <row r="33" spans="2:30" ht="37.200000000000003" customHeight="1" outlineLevel="1" thickBot="1">
      <c r="B33" s="443" t="s">
        <v>724</v>
      </c>
      <c r="C33" s="509">
        <f>C34+C35</f>
        <v>2.5300000000000002</v>
      </c>
      <c r="D33" s="509">
        <f t="shared" ref="D33:F33" si="1">D34+D35</f>
        <v>2.4500000000000002</v>
      </c>
      <c r="E33" s="509">
        <f t="shared" si="1"/>
        <v>2.46</v>
      </c>
      <c r="F33" s="509">
        <f t="shared" si="1"/>
        <v>2.3600000000000003</v>
      </c>
      <c r="G33" s="485"/>
      <c r="H33" s="485"/>
      <c r="I33" s="485"/>
      <c r="J33" s="485"/>
      <c r="K33" s="508"/>
      <c r="L33" s="433">
        <v>2</v>
      </c>
      <c r="M33" s="510"/>
      <c r="N33" s="421"/>
      <c r="P33" s="999">
        <f>C33</f>
        <v>2.5300000000000002</v>
      </c>
      <c r="Q33" s="977"/>
      <c r="R33" s="977"/>
      <c r="S33" s="977"/>
      <c r="T33" s="977"/>
      <c r="U33" s="1000"/>
    </row>
    <row r="34" spans="2:30" ht="15.75" customHeight="1" outlineLevel="1" thickBot="1">
      <c r="B34" s="511" t="s">
        <v>883</v>
      </c>
      <c r="C34" s="512">
        <f>C13/100*73</f>
        <v>0.73</v>
      </c>
      <c r="D34" s="512">
        <f>D13/100*75</f>
        <v>0.75</v>
      </c>
      <c r="E34" s="512">
        <f>E13/100*76</f>
        <v>0.76</v>
      </c>
      <c r="F34" s="512">
        <f>F13/100*76</f>
        <v>0.76</v>
      </c>
      <c r="G34" s="513"/>
      <c r="H34" s="513"/>
      <c r="I34" s="513"/>
      <c r="J34" s="513"/>
      <c r="K34" s="439" t="s">
        <v>16</v>
      </c>
      <c r="L34" s="440">
        <v>2</v>
      </c>
      <c r="M34" s="510"/>
      <c r="N34" s="421"/>
      <c r="P34" s="1001">
        <f>C34</f>
        <v>0.73</v>
      </c>
      <c r="Q34" s="1002"/>
      <c r="R34" s="1002"/>
      <c r="S34" s="1002"/>
      <c r="T34" s="1002"/>
      <c r="U34" s="1003"/>
    </row>
    <row r="35" spans="2:30" outlineLevel="1">
      <c r="B35" s="511" t="s">
        <v>884</v>
      </c>
      <c r="C35" s="514">
        <v>1.8</v>
      </c>
      <c r="D35" s="514">
        <v>1.7</v>
      </c>
      <c r="E35" s="514">
        <v>1.7</v>
      </c>
      <c r="F35" s="514">
        <v>1.6</v>
      </c>
      <c r="G35" s="513"/>
      <c r="H35" s="513"/>
      <c r="I35" s="513"/>
      <c r="J35" s="513"/>
      <c r="K35" s="515"/>
      <c r="L35" s="440">
        <v>2</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703" t="s">
        <v>36</v>
      </c>
      <c r="D39" s="703" t="s">
        <v>36</v>
      </c>
      <c r="E39" s="703" t="s">
        <v>36</v>
      </c>
      <c r="F39" s="703" t="s">
        <v>36</v>
      </c>
      <c r="G39" s="703"/>
      <c r="H39" s="703"/>
      <c r="I39" s="703"/>
      <c r="J39" s="703"/>
      <c r="K39" s="703" t="s">
        <v>20</v>
      </c>
      <c r="L39" s="524"/>
      <c r="M39" s="423"/>
      <c r="N39" s="423"/>
      <c r="O39" s="525">
        <f>C12</f>
        <v>1210</v>
      </c>
      <c r="P39" s="526">
        <f>C8</f>
        <v>2020</v>
      </c>
      <c r="Q39" s="58">
        <f>P39</f>
        <v>2020</v>
      </c>
      <c r="R39" s="526">
        <f>O39/100</f>
        <v>12.1</v>
      </c>
      <c r="S39" s="58"/>
      <c r="T39" s="526">
        <f>C16</f>
        <v>25</v>
      </c>
      <c r="U39" s="527">
        <f>C46</f>
        <v>2607.5</v>
      </c>
      <c r="V39" s="527">
        <f>C48</f>
        <v>14.9</v>
      </c>
      <c r="W39" s="527">
        <f>C49</f>
        <v>5.2356944444444444</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t="s">
        <v>20</v>
      </c>
      <c r="L40" s="524"/>
      <c r="M40" s="423"/>
      <c r="N40" s="423"/>
      <c r="O40" s="525">
        <f>D12</f>
        <v>1270</v>
      </c>
      <c r="P40" s="526">
        <f>D8</f>
        <v>2030</v>
      </c>
      <c r="Q40" s="58"/>
      <c r="R40" s="526">
        <f>O40/100</f>
        <v>12.7</v>
      </c>
      <c r="S40" s="58"/>
      <c r="T40" s="526">
        <f>D16</f>
        <v>25</v>
      </c>
      <c r="U40" s="527">
        <f>D46</f>
        <v>2458.5000000000005</v>
      </c>
      <c r="V40" s="527">
        <f>D48</f>
        <v>14.9</v>
      </c>
      <c r="W40" s="527">
        <f>D49</f>
        <v>5.0701388888888888</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1330</v>
      </c>
      <c r="P41" s="526">
        <f>E8</f>
        <v>2040</v>
      </c>
      <c r="Q41" s="58"/>
      <c r="R41" s="526">
        <f>O41/100</f>
        <v>13.3</v>
      </c>
      <c r="S41" s="58"/>
      <c r="T41" s="526">
        <f>E16</f>
        <v>25</v>
      </c>
      <c r="U41" s="527">
        <f>E46</f>
        <v>2384</v>
      </c>
      <c r="V41" s="527">
        <f>E48</f>
        <v>1.49</v>
      </c>
      <c r="W41" s="527">
        <f>E49</f>
        <v>5.0908333333333333</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f>
        <v>1380</v>
      </c>
      <c r="P42" s="526">
        <f>F8</f>
        <v>2050</v>
      </c>
      <c r="Q42" s="58"/>
      <c r="R42" s="526">
        <f>O42/100</f>
        <v>13.8</v>
      </c>
      <c r="S42" s="58"/>
      <c r="T42" s="526">
        <f>F16</f>
        <v>25</v>
      </c>
      <c r="U42" s="527">
        <f>F46</f>
        <v>2309.5</v>
      </c>
      <c r="V42" s="527">
        <f>F48</f>
        <v>14.9</v>
      </c>
      <c r="W42" s="527">
        <f>F49</f>
        <v>4.8838888888888903</v>
      </c>
      <c r="X42" s="58"/>
      <c r="Y42" s="58"/>
      <c r="Z42" s="526">
        <f>F23</f>
        <v>0</v>
      </c>
      <c r="AA42" s="528">
        <f>F25</f>
        <v>0</v>
      </c>
      <c r="AB42" s="528">
        <f>F26</f>
        <v>0</v>
      </c>
      <c r="AC42" s="528">
        <f>F27</f>
        <v>0</v>
      </c>
      <c r="AD42" s="528">
        <f>F24</f>
        <v>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2607.5</v>
      </c>
      <c r="D46" s="543">
        <f t="shared" ref="D46:F46" si="2">D29*$F$4*1000</f>
        <v>2458.5000000000005</v>
      </c>
      <c r="E46" s="543">
        <f t="shared" si="2"/>
        <v>2384</v>
      </c>
      <c r="F46" s="543">
        <f t="shared" si="2"/>
        <v>2309.5</v>
      </c>
      <c r="G46" s="543"/>
      <c r="H46" s="544"/>
      <c r="I46" s="480" t="s">
        <v>332</v>
      </c>
      <c r="J46" s="480"/>
      <c r="K46" s="544"/>
      <c r="L46" s="544"/>
      <c r="N46" s="480"/>
    </row>
    <row r="47" spans="2:30" outlineLevel="1">
      <c r="B47" s="545" t="s">
        <v>895</v>
      </c>
      <c r="C47" s="546">
        <f>C46*$I47</f>
        <v>1303750</v>
      </c>
      <c r="D47" s="546">
        <f>D46*$I47</f>
        <v>1229250.0000000002</v>
      </c>
      <c r="E47" s="546">
        <f>E46*$I47</f>
        <v>1192000</v>
      </c>
      <c r="F47" s="546">
        <f>F46*$I47</f>
        <v>1154750</v>
      </c>
      <c r="G47" s="546"/>
      <c r="H47" s="544"/>
      <c r="I47" s="71">
        <v>500</v>
      </c>
      <c r="J47" s="480" t="s">
        <v>330</v>
      </c>
      <c r="K47" s="544"/>
      <c r="L47" s="544"/>
      <c r="N47" s="480"/>
    </row>
    <row r="48" spans="2:30" ht="43.2" outlineLevel="1">
      <c r="B48" s="521" t="s">
        <v>970</v>
      </c>
      <c r="C48" s="419">
        <f>C32*$F$4/1000</f>
        <v>14.9</v>
      </c>
      <c r="D48" s="419">
        <f t="shared" ref="D48:F48" si="3">D32*$F$4/1000</f>
        <v>14.9</v>
      </c>
      <c r="E48" s="419">
        <f t="shared" si="3"/>
        <v>1.49</v>
      </c>
      <c r="F48" s="419">
        <f t="shared" si="3"/>
        <v>14.9</v>
      </c>
      <c r="G48" s="419"/>
      <c r="I48" s="480" t="s">
        <v>333</v>
      </c>
      <c r="J48" s="480"/>
      <c r="N48" s="480"/>
    </row>
    <row r="49" spans="2:14" ht="43.2" outlineLevel="1">
      <c r="B49" s="521" t="s">
        <v>971</v>
      </c>
      <c r="C49" s="547">
        <f>C33*$F$4/3.6</f>
        <v>5.2356944444444444</v>
      </c>
      <c r="D49" s="547">
        <f t="shared" ref="D49:F49" si="4">D33*$F$4/3.6</f>
        <v>5.0701388888888888</v>
      </c>
      <c r="E49" s="547">
        <f t="shared" si="4"/>
        <v>5.0908333333333333</v>
      </c>
      <c r="F49" s="547">
        <f t="shared" si="4"/>
        <v>4.8838888888888903</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717" t="s">
        <v>898</v>
      </c>
      <c r="C55" s="688"/>
      <c r="D55" s="550"/>
      <c r="E55" s="417"/>
      <c r="F55" s="417"/>
      <c r="G55" s="417"/>
      <c r="H55" s="417"/>
      <c r="I55" s="417"/>
      <c r="J55" s="417"/>
      <c r="K55" s="417"/>
      <c r="L55" s="417"/>
    </row>
    <row r="56" spans="2:14" outlineLevel="1">
      <c r="B56" s="688">
        <v>1</v>
      </c>
      <c r="C56" s="718" t="s">
        <v>1001</v>
      </c>
      <c r="D56" s="550"/>
      <c r="F56" s="417"/>
      <c r="G56" s="417"/>
      <c r="H56" s="417"/>
      <c r="I56" s="417"/>
      <c r="J56" s="417"/>
      <c r="K56" s="417"/>
      <c r="L56" s="417"/>
    </row>
    <row r="57" spans="2:14" outlineLevel="1">
      <c r="B57" s="719">
        <v>2</v>
      </c>
      <c r="C57" s="718" t="s">
        <v>1002</v>
      </c>
      <c r="D57" s="550"/>
      <c r="F57" s="417"/>
      <c r="G57" s="417"/>
      <c r="H57" s="417"/>
      <c r="I57" s="417"/>
      <c r="J57" s="417"/>
      <c r="K57" s="417"/>
      <c r="L57" s="417"/>
    </row>
    <row r="58" spans="2:14" outlineLevel="1">
      <c r="B58" s="720">
        <v>3</v>
      </c>
      <c r="C58" s="720" t="s">
        <v>1003</v>
      </c>
      <c r="D58" s="550"/>
      <c r="F58" s="417"/>
      <c r="G58" s="417"/>
      <c r="H58" s="417"/>
      <c r="I58" s="417"/>
      <c r="J58" s="417"/>
      <c r="K58" s="417"/>
      <c r="L58" s="417"/>
    </row>
    <row r="59" spans="2:14" outlineLevel="1">
      <c r="B59" s="720">
        <v>4</v>
      </c>
      <c r="C59" s="720" t="s">
        <v>1004</v>
      </c>
      <c r="D59" s="550"/>
      <c r="F59" s="417"/>
      <c r="G59" s="417"/>
      <c r="H59" s="417"/>
      <c r="I59" s="417"/>
      <c r="J59" s="417"/>
      <c r="K59" s="417"/>
      <c r="L59" s="417"/>
    </row>
    <row r="60" spans="2:14" outlineLevel="1">
      <c r="B60" s="720">
        <v>5</v>
      </c>
      <c r="C60" s="688" t="s">
        <v>1005</v>
      </c>
      <c r="D60" s="550"/>
      <c r="F60" s="417"/>
      <c r="G60" s="417"/>
      <c r="H60" s="417"/>
      <c r="I60" s="417"/>
      <c r="J60" s="417"/>
      <c r="K60" s="417"/>
      <c r="L60" s="417"/>
    </row>
    <row r="61" spans="2:14" outlineLevel="1">
      <c r="B61" s="688" t="s">
        <v>908</v>
      </c>
      <c r="C61" s="688"/>
      <c r="D61" s="550"/>
      <c r="F61" s="417"/>
      <c r="G61" s="417"/>
      <c r="H61" s="417"/>
      <c r="I61" s="417"/>
      <c r="J61" s="417"/>
      <c r="K61" s="417"/>
      <c r="L61" s="417"/>
    </row>
    <row r="62" spans="2:14" outlineLevel="1">
      <c r="B62" s="721" t="s">
        <v>6</v>
      </c>
      <c r="C62" s="685" t="s">
        <v>1006</v>
      </c>
      <c r="D62" s="550"/>
      <c r="F62" s="417"/>
      <c r="G62" s="417"/>
      <c r="H62" s="417"/>
      <c r="I62" s="417"/>
      <c r="J62" s="417"/>
      <c r="K62" s="417"/>
      <c r="L62" s="417"/>
    </row>
    <row r="63" spans="2:14" outlineLevel="1">
      <c r="B63" s="722" t="s">
        <v>59</v>
      </c>
      <c r="C63" s="685" t="s">
        <v>1007</v>
      </c>
      <c r="D63" s="550"/>
      <c r="F63" s="417"/>
      <c r="G63" s="417"/>
      <c r="H63" s="417"/>
      <c r="I63" s="417"/>
      <c r="J63" s="417"/>
      <c r="K63" s="417"/>
      <c r="L63" s="417"/>
    </row>
    <row r="64" spans="2:14" outlineLevel="1">
      <c r="B64" s="722" t="s">
        <v>16</v>
      </c>
      <c r="C64" s="688" t="s">
        <v>913</v>
      </c>
      <c r="D64" s="550"/>
      <c r="F64" s="417"/>
      <c r="G64" s="417"/>
      <c r="H64" s="417"/>
      <c r="I64" s="417"/>
      <c r="J64" s="417"/>
      <c r="K64" s="417"/>
      <c r="L64" s="417"/>
    </row>
    <row r="65" spans="1:44" outlineLevel="1">
      <c r="B65" s="723" t="s">
        <v>20</v>
      </c>
      <c r="C65" s="688" t="s">
        <v>1008</v>
      </c>
      <c r="D65" s="550"/>
      <c r="F65" s="417"/>
      <c r="G65" s="417"/>
      <c r="H65" s="417"/>
      <c r="I65" s="417"/>
      <c r="J65" s="417"/>
      <c r="K65" s="417"/>
      <c r="L65" s="417"/>
    </row>
    <row r="66" spans="1:44" outlineLevel="1">
      <c r="B66" s="697"/>
      <c r="C66" s="417"/>
      <c r="D66" s="550"/>
      <c r="F66" s="417"/>
      <c r="G66" s="417"/>
      <c r="H66" s="417"/>
      <c r="I66" s="417"/>
      <c r="J66" s="417"/>
      <c r="K66" s="417"/>
      <c r="L66" s="417"/>
    </row>
    <row r="67" spans="1:44" outlineLevel="1">
      <c r="B67" s="697"/>
      <c r="C67" s="550"/>
      <c r="D67" s="550"/>
      <c r="F67" s="417"/>
      <c r="G67" s="417"/>
      <c r="H67" s="417"/>
      <c r="I67" s="417"/>
      <c r="J67" s="417"/>
      <c r="K67" s="417"/>
      <c r="L67" s="417"/>
    </row>
    <row r="68" spans="1:44" outlineLevel="1">
      <c r="B68" s="697"/>
      <c r="C68" s="550"/>
      <c r="D68" s="417"/>
      <c r="F68" s="417"/>
      <c r="G68" s="417"/>
      <c r="H68" s="417"/>
      <c r="I68" s="417"/>
      <c r="J68" s="417"/>
      <c r="K68" s="417"/>
      <c r="L68" s="417"/>
    </row>
    <row r="69" spans="1:44" outlineLevel="1">
      <c r="B69" s="697"/>
      <c r="C69" s="549"/>
      <c r="D69" s="417"/>
      <c r="F69" s="417"/>
      <c r="G69" s="417"/>
      <c r="H69" s="417"/>
      <c r="I69" s="417"/>
      <c r="J69" s="417"/>
      <c r="K69" s="417"/>
      <c r="L69" s="417"/>
    </row>
    <row r="70" spans="1:44" outlineLevel="1">
      <c r="B70" s="697"/>
      <c r="C70" s="550"/>
      <c r="D70" s="417"/>
      <c r="G70" s="417"/>
      <c r="H70" s="417"/>
      <c r="I70" s="417"/>
      <c r="J70" s="417"/>
      <c r="K70" s="417"/>
      <c r="L70" s="417"/>
    </row>
    <row r="71" spans="1:44" outlineLevel="1">
      <c r="B71" s="697"/>
      <c r="C71" s="550"/>
      <c r="E71" s="550"/>
      <c r="F71" s="550"/>
    </row>
    <row r="72" spans="1:44" outlineLevel="1"/>
    <row r="73" spans="1:44" outlineLevel="1"/>
    <row r="74" spans="1:44" outlineLevel="1"/>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1">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75FB9-0252-4A71-8065-78144AA0A5A9}">
  <sheetPr>
    <tabColor theme="3"/>
  </sheetPr>
  <dimension ref="A2:AS345"/>
  <sheetViews>
    <sheetView topLeftCell="D1" zoomScale="80" zoomScaleNormal="80" workbookViewId="0">
      <selection activeCell="AD86" sqref="AD83:AE91"/>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Hotdisc</v>
      </c>
    </row>
    <row r="4" spans="1:45" ht="25.2" customHeight="1">
      <c r="E4" s="239" t="s">
        <v>358</v>
      </c>
      <c r="F4" s="419">
        <v>7.45</v>
      </c>
      <c r="G4" s="419" t="s">
        <v>328</v>
      </c>
    </row>
    <row r="5" spans="1:45" ht="15" customHeight="1">
      <c r="A5" s="420" t="s">
        <v>1095</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1045</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50</v>
      </c>
      <c r="D10" s="432">
        <v>50</v>
      </c>
      <c r="E10" s="432">
        <v>50</v>
      </c>
      <c r="F10" s="432">
        <v>50</v>
      </c>
      <c r="G10" s="432">
        <v>10</v>
      </c>
      <c r="H10" s="432">
        <v>100</v>
      </c>
      <c r="I10" s="432">
        <v>10</v>
      </c>
      <c r="J10" s="432">
        <v>100</v>
      </c>
      <c r="K10" s="432" t="s">
        <v>6</v>
      </c>
      <c r="L10" s="433">
        <v>1</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90</v>
      </c>
      <c r="D11" s="437">
        <v>91</v>
      </c>
      <c r="E11" s="438">
        <v>92</v>
      </c>
      <c r="F11" s="437">
        <v>93</v>
      </c>
      <c r="G11" s="437">
        <v>90</v>
      </c>
      <c r="H11" s="699">
        <v>98</v>
      </c>
      <c r="I11" s="437">
        <v>90</v>
      </c>
      <c r="J11" s="699">
        <v>98</v>
      </c>
      <c r="K11" s="439"/>
      <c r="L11" s="440">
        <v>1</v>
      </c>
      <c r="M11" s="430"/>
      <c r="N11" s="430"/>
      <c r="P11" s="1042" t="str">
        <f>C7</f>
        <v>Hotdisc</v>
      </c>
      <c r="Q11" s="1030" t="s">
        <v>855</v>
      </c>
      <c r="R11" s="441" t="s">
        <v>856</v>
      </c>
      <c r="S11" s="442" t="s">
        <v>863</v>
      </c>
      <c r="T11" s="1033">
        <v>0</v>
      </c>
      <c r="U11" s="1021">
        <v>0</v>
      </c>
      <c r="V11" s="1024">
        <v>0</v>
      </c>
      <c r="W11" s="1021">
        <v>0</v>
      </c>
      <c r="X11" s="1024">
        <v>0.15</v>
      </c>
      <c r="Y11" s="1021">
        <v>0</v>
      </c>
      <c r="Z11" s="1024">
        <v>0</v>
      </c>
      <c r="AA11" s="1021">
        <v>0</v>
      </c>
      <c r="AB11" s="1024">
        <v>0</v>
      </c>
      <c r="AC11" s="1021">
        <v>0</v>
      </c>
      <c r="AD11" s="1024">
        <f>AB11</f>
        <v>0</v>
      </c>
      <c r="AE11" s="1021">
        <f>AC11</f>
        <v>0</v>
      </c>
      <c r="AF11" s="1027" t="str">
        <f>P11</f>
        <v>Hotdisc</v>
      </c>
      <c r="AG11" s="1030" t="s">
        <v>855</v>
      </c>
      <c r="AH11" s="441" t="s">
        <v>856</v>
      </c>
      <c r="AI11" s="442" t="s">
        <v>863</v>
      </c>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637">
        <v>90</v>
      </c>
      <c r="D12" s="637">
        <v>91</v>
      </c>
      <c r="E12" s="637">
        <v>92</v>
      </c>
      <c r="F12" s="637">
        <v>93</v>
      </c>
      <c r="G12" s="701">
        <v>90</v>
      </c>
      <c r="H12" s="701">
        <v>98</v>
      </c>
      <c r="I12" s="701">
        <v>90</v>
      </c>
      <c r="J12" s="701">
        <v>98</v>
      </c>
      <c r="K12" s="446"/>
      <c r="L12" s="447">
        <v>1</v>
      </c>
      <c r="M12" s="430"/>
      <c r="N12" s="430"/>
      <c r="O12" s="71"/>
      <c r="P12" s="1028"/>
      <c r="Q12" s="1031"/>
      <c r="R12" s="448" t="s">
        <v>858</v>
      </c>
      <c r="S12" s="449"/>
      <c r="T12" s="1034"/>
      <c r="U12" s="1022"/>
      <c r="V12" s="1025"/>
      <c r="W12" s="1022"/>
      <c r="X12" s="1025"/>
      <c r="Y12" s="1022"/>
      <c r="Z12" s="1025"/>
      <c r="AA12" s="1022"/>
      <c r="AB12" s="1025"/>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1</v>
      </c>
      <c r="D13" s="451">
        <v>1</v>
      </c>
      <c r="E13" s="451">
        <v>1</v>
      </c>
      <c r="F13" s="452">
        <v>1</v>
      </c>
      <c r="G13" s="451">
        <v>1</v>
      </c>
      <c r="H13" s="451">
        <v>1</v>
      </c>
      <c r="I13" s="451">
        <v>1</v>
      </c>
      <c r="J13" s="451">
        <v>1</v>
      </c>
      <c r="K13" s="439"/>
      <c r="L13" s="440">
        <v>1</v>
      </c>
      <c r="M13" s="430"/>
      <c r="N13" s="430"/>
      <c r="O13" s="71"/>
      <c r="P13" s="1028"/>
      <c r="Q13" s="1032"/>
      <c r="R13" s="453" t="s">
        <v>860</v>
      </c>
      <c r="S13" s="454"/>
      <c r="T13" s="1035"/>
      <c r="U13" s="1023"/>
      <c r="V13" s="1026"/>
      <c r="W13" s="1023"/>
      <c r="X13" s="1026"/>
      <c r="Y13" s="1023"/>
      <c r="Z13" s="1026"/>
      <c r="AA13" s="1023"/>
      <c r="AB13" s="1026"/>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450">
        <v>0</v>
      </c>
      <c r="D14" s="450">
        <v>0</v>
      </c>
      <c r="E14" s="450">
        <v>0</v>
      </c>
      <c r="F14" s="450">
        <v>0</v>
      </c>
      <c r="G14" s="450">
        <v>0</v>
      </c>
      <c r="H14" s="450">
        <v>1</v>
      </c>
      <c r="I14" s="450">
        <v>0</v>
      </c>
      <c r="J14" s="450">
        <v>1</v>
      </c>
      <c r="K14" s="439"/>
      <c r="L14" s="440">
        <v>1</v>
      </c>
      <c r="M14" s="430"/>
      <c r="N14" s="430"/>
      <c r="O14" s="71"/>
      <c r="P14" s="1028"/>
      <c r="Q14" s="1030" t="s">
        <v>861</v>
      </c>
      <c r="R14" s="455" t="s">
        <v>862</v>
      </c>
      <c r="S14" s="456"/>
      <c r="T14" s="1033">
        <v>0</v>
      </c>
      <c r="U14" s="1033">
        <v>0</v>
      </c>
      <c r="V14" s="1033">
        <v>0</v>
      </c>
      <c r="W14" s="1033">
        <v>0</v>
      </c>
      <c r="X14" s="1033">
        <v>0</v>
      </c>
      <c r="Y14" s="1033">
        <v>0</v>
      </c>
      <c r="Z14" s="1033">
        <v>0</v>
      </c>
      <c r="AA14" s="1033">
        <v>0</v>
      </c>
      <c r="AB14" s="1033">
        <v>0</v>
      </c>
      <c r="AC14" s="1021">
        <v>0</v>
      </c>
      <c r="AD14" s="1033">
        <f>AB14</f>
        <v>0</v>
      </c>
      <c r="AE14" s="1021">
        <f>AC14</f>
        <v>0</v>
      </c>
      <c r="AF14" s="1028"/>
      <c r="AG14" s="1030" t="s">
        <v>861</v>
      </c>
      <c r="AH14" s="455" t="s">
        <v>862</v>
      </c>
      <c r="AI14" s="456"/>
      <c r="AJ14" s="1033">
        <v>0</v>
      </c>
      <c r="AK14" s="1033">
        <f>U14/4</f>
        <v>0</v>
      </c>
      <c r="AL14" s="1033">
        <v>0</v>
      </c>
      <c r="AM14" s="1033">
        <f>W14/4</f>
        <v>0</v>
      </c>
      <c r="AN14" s="1033">
        <v>0</v>
      </c>
      <c r="AO14" s="1033">
        <f>Y14/4</f>
        <v>0</v>
      </c>
      <c r="AP14" s="1033">
        <v>0</v>
      </c>
      <c r="AQ14" s="1033">
        <f>AA14/4</f>
        <v>0</v>
      </c>
      <c r="AR14" s="1033">
        <v>0</v>
      </c>
      <c r="AS14" s="1021">
        <f>AC14/4</f>
        <v>0</v>
      </c>
    </row>
    <row r="15" spans="1:45" outlineLevel="1">
      <c r="B15" s="436" t="s">
        <v>703</v>
      </c>
      <c r="C15" s="450">
        <v>4</v>
      </c>
      <c r="D15" s="450">
        <v>4</v>
      </c>
      <c r="E15" s="450">
        <v>4</v>
      </c>
      <c r="F15" s="450">
        <v>4</v>
      </c>
      <c r="G15" s="450">
        <v>4</v>
      </c>
      <c r="H15" s="450">
        <v>4</v>
      </c>
      <c r="I15" s="450">
        <v>4</v>
      </c>
      <c r="J15" s="450">
        <v>4</v>
      </c>
      <c r="K15" s="439"/>
      <c r="L15" s="440">
        <v>1</v>
      </c>
      <c r="M15" s="427"/>
      <c r="N15" s="427"/>
      <c r="O15" s="71"/>
      <c r="P15" s="1028"/>
      <c r="Q15" s="1031"/>
      <c r="R15" s="455" t="s">
        <v>864</v>
      </c>
      <c r="S15" s="456"/>
      <c r="T15" s="1036"/>
      <c r="U15" s="1036"/>
      <c r="V15" s="1036"/>
      <c r="W15" s="1036"/>
      <c r="X15" s="1036"/>
      <c r="Y15" s="1036"/>
      <c r="Z15" s="1036"/>
      <c r="AA15" s="1036"/>
      <c r="AB15" s="1036"/>
      <c r="AC15" s="1038"/>
      <c r="AD15" s="1036"/>
      <c r="AE15" s="1038"/>
      <c r="AF15" s="1028"/>
      <c r="AG15" s="1031"/>
      <c r="AH15" s="455" t="s">
        <v>864</v>
      </c>
      <c r="AI15" s="456"/>
      <c r="AJ15" s="1036"/>
      <c r="AK15" s="1036"/>
      <c r="AL15" s="1036"/>
      <c r="AM15" s="1036"/>
      <c r="AN15" s="1036"/>
      <c r="AO15" s="1036"/>
      <c r="AP15" s="1036"/>
      <c r="AQ15" s="1036"/>
      <c r="AR15" s="1036"/>
      <c r="AS15" s="1038"/>
    </row>
    <row r="16" spans="1:45" outlineLevel="1">
      <c r="B16" s="443" t="s">
        <v>11</v>
      </c>
      <c r="C16" s="457">
        <v>20</v>
      </c>
      <c r="D16" s="457">
        <v>20</v>
      </c>
      <c r="E16" s="457">
        <v>20</v>
      </c>
      <c r="F16" s="457">
        <v>20</v>
      </c>
      <c r="G16" s="458">
        <v>20</v>
      </c>
      <c r="H16" s="458">
        <v>30</v>
      </c>
      <c r="I16" s="458">
        <v>20</v>
      </c>
      <c r="J16" s="458">
        <v>30</v>
      </c>
      <c r="K16" s="432"/>
      <c r="L16" s="433">
        <v>1</v>
      </c>
      <c r="M16" s="423"/>
      <c r="N16" s="423"/>
      <c r="P16" s="1028"/>
      <c r="Q16" s="1031"/>
      <c r="R16" s="455" t="s">
        <v>866</v>
      </c>
      <c r="S16" s="456"/>
      <c r="T16" s="1036"/>
      <c r="U16" s="1036"/>
      <c r="V16" s="1036"/>
      <c r="W16" s="1036"/>
      <c r="X16" s="1036"/>
      <c r="Y16" s="1036"/>
      <c r="Z16" s="1036"/>
      <c r="AA16" s="1036"/>
      <c r="AB16" s="1036"/>
      <c r="AC16" s="1038"/>
      <c r="AD16" s="1036"/>
      <c r="AE16" s="1038"/>
      <c r="AF16" s="1028"/>
      <c r="AG16" s="1031"/>
      <c r="AH16" s="455" t="s">
        <v>866</v>
      </c>
      <c r="AI16" s="689"/>
      <c r="AJ16" s="1036"/>
      <c r="AK16" s="1036"/>
      <c r="AL16" s="1036"/>
      <c r="AM16" s="1036"/>
      <c r="AN16" s="1036"/>
      <c r="AO16" s="1036"/>
      <c r="AP16" s="1036"/>
      <c r="AQ16" s="1036"/>
      <c r="AR16" s="1036"/>
      <c r="AS16" s="1038"/>
    </row>
    <row r="17" spans="1:45" ht="15" outlineLevel="1" thickBot="1">
      <c r="B17" s="436" t="s">
        <v>273</v>
      </c>
      <c r="C17" s="459">
        <v>0.75</v>
      </c>
      <c r="D17" s="459">
        <v>0.75</v>
      </c>
      <c r="E17" s="459">
        <v>0.75</v>
      </c>
      <c r="F17" s="459">
        <v>0.75</v>
      </c>
      <c r="G17" s="459">
        <v>0.75</v>
      </c>
      <c r="H17" s="459">
        <v>1</v>
      </c>
      <c r="I17" s="459">
        <v>0.75</v>
      </c>
      <c r="J17" s="459">
        <v>1</v>
      </c>
      <c r="K17" s="432"/>
      <c r="L17" s="460">
        <v>1</v>
      </c>
      <c r="M17" s="423"/>
      <c r="N17" s="423"/>
      <c r="P17" s="1028"/>
      <c r="Q17" s="1031"/>
      <c r="R17" s="455" t="s">
        <v>867</v>
      </c>
      <c r="S17" s="456"/>
      <c r="T17" s="1036"/>
      <c r="U17" s="1036"/>
      <c r="V17" s="1036"/>
      <c r="W17" s="1036"/>
      <c r="X17" s="1036"/>
      <c r="Y17" s="1036"/>
      <c r="Z17" s="1036"/>
      <c r="AA17" s="1036"/>
      <c r="AB17" s="1036"/>
      <c r="AC17" s="1038"/>
      <c r="AD17" s="1036"/>
      <c r="AE17" s="1038"/>
      <c r="AF17" s="1028"/>
      <c r="AG17" s="1031"/>
      <c r="AH17" s="455" t="s">
        <v>867</v>
      </c>
      <c r="AI17" s="456"/>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c r="T18" s="1037"/>
      <c r="U18" s="1037"/>
      <c r="V18" s="1037"/>
      <c r="W18" s="1037"/>
      <c r="X18" s="1037"/>
      <c r="Y18" s="1037"/>
      <c r="Z18" s="1037"/>
      <c r="AA18" s="1037"/>
      <c r="AB18" s="1037"/>
      <c r="AC18" s="1039"/>
      <c r="AD18" s="1037"/>
      <c r="AE18" s="1039"/>
      <c r="AF18" s="1028"/>
      <c r="AG18" s="1032"/>
      <c r="AH18" s="469" t="s">
        <v>988</v>
      </c>
      <c r="AI18" s="470"/>
      <c r="AJ18" s="1037"/>
      <c r="AK18" s="1037"/>
      <c r="AL18" s="1037"/>
      <c r="AM18" s="1037"/>
      <c r="AN18" s="1037"/>
      <c r="AO18" s="1037"/>
      <c r="AP18" s="1037"/>
      <c r="AQ18" s="1037"/>
      <c r="AR18" s="1037"/>
      <c r="AS18" s="1039"/>
    </row>
    <row r="19" spans="1:45" ht="29.4" outlineLevel="1" thickBot="1">
      <c r="B19" s="436" t="s">
        <v>708</v>
      </c>
      <c r="C19" s="450">
        <v>10</v>
      </c>
      <c r="D19" s="450">
        <v>10</v>
      </c>
      <c r="E19" s="450">
        <v>10</v>
      </c>
      <c r="F19" s="450">
        <v>10</v>
      </c>
      <c r="G19" s="451"/>
      <c r="H19" s="451"/>
      <c r="I19" s="451"/>
      <c r="J19" s="451"/>
      <c r="K19" s="439"/>
      <c r="L19" s="440">
        <v>1</v>
      </c>
      <c r="M19" s="423"/>
      <c r="N19" s="423"/>
      <c r="P19" s="1029"/>
      <c r="Q19" s="471" t="s">
        <v>870</v>
      </c>
      <c r="R19" s="472" t="s">
        <v>871</v>
      </c>
      <c r="S19" s="690"/>
      <c r="T19" s="476">
        <v>0</v>
      </c>
      <c r="U19" s="475">
        <v>0</v>
      </c>
      <c r="V19" s="476">
        <v>0</v>
      </c>
      <c r="W19" s="475">
        <v>0</v>
      </c>
      <c r="X19" s="476">
        <v>0</v>
      </c>
      <c r="Y19" s="475">
        <v>0</v>
      </c>
      <c r="Z19" s="476">
        <v>0</v>
      </c>
      <c r="AA19" s="475">
        <v>0</v>
      </c>
      <c r="AB19" s="476">
        <v>0</v>
      </c>
      <c r="AC19" s="477">
        <v>0</v>
      </c>
      <c r="AD19" s="476">
        <f>AB19</f>
        <v>0</v>
      </c>
      <c r="AE19" s="477">
        <f>AC19</f>
        <v>0</v>
      </c>
      <c r="AF19" s="1029"/>
      <c r="AG19" s="471" t="s">
        <v>870</v>
      </c>
      <c r="AH19" s="691" t="s">
        <v>871</v>
      </c>
      <c r="AI19" s="692"/>
      <c r="AJ19" s="476">
        <v>0</v>
      </c>
      <c r="AK19" s="475">
        <v>0</v>
      </c>
      <c r="AL19" s="476">
        <v>0</v>
      </c>
      <c r="AM19" s="475">
        <v>0</v>
      </c>
      <c r="AN19" s="476">
        <v>0</v>
      </c>
      <c r="AO19" s="475">
        <v>0</v>
      </c>
      <c r="AP19" s="476">
        <v>0</v>
      </c>
      <c r="AQ19" s="475">
        <v>0</v>
      </c>
      <c r="AR19" s="476">
        <v>0</v>
      </c>
      <c r="AS19" s="477">
        <v>0</v>
      </c>
    </row>
    <row r="20" spans="1:45" outlineLevel="1">
      <c r="B20" s="436" t="s">
        <v>709</v>
      </c>
      <c r="C20" s="450">
        <v>0</v>
      </c>
      <c r="D20" s="450">
        <v>0</v>
      </c>
      <c r="E20" s="450">
        <v>0</v>
      </c>
      <c r="F20" s="450">
        <v>0</v>
      </c>
      <c r="G20" s="478"/>
      <c r="H20" s="478"/>
      <c r="I20" s="478"/>
      <c r="J20" s="478"/>
      <c r="K20" s="479"/>
      <c r="L20" s="440">
        <v>1</v>
      </c>
      <c r="M20" s="423"/>
      <c r="N20" s="423"/>
    </row>
    <row r="21" spans="1:45" outlineLevel="1">
      <c r="B21" s="436" t="s">
        <v>711</v>
      </c>
      <c r="C21" s="450">
        <v>54</v>
      </c>
      <c r="D21" s="450">
        <v>54</v>
      </c>
      <c r="E21" s="450">
        <v>54</v>
      </c>
      <c r="F21" s="450">
        <v>54</v>
      </c>
      <c r="G21" s="478"/>
      <c r="H21" s="478"/>
      <c r="I21" s="478"/>
      <c r="J21" s="478"/>
      <c r="K21" s="479" t="s">
        <v>59</v>
      </c>
      <c r="L21" s="440">
        <v>1</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v>8.3000000000000007</v>
      </c>
      <c r="D23" s="1078">
        <v>8.3000000000000007</v>
      </c>
      <c r="E23" s="1078">
        <v>8.3000000000000007</v>
      </c>
      <c r="F23" s="1079">
        <v>8.3000000000000007</v>
      </c>
      <c r="G23" s="482"/>
      <c r="H23" s="485"/>
      <c r="I23" s="485"/>
      <c r="J23" s="485"/>
      <c r="K23" s="486" t="s">
        <v>16</v>
      </c>
      <c r="L23" s="487">
        <v>2</v>
      </c>
      <c r="M23" s="488"/>
      <c r="N23" s="488"/>
    </row>
    <row r="24" spans="1:45" outlineLevel="1">
      <c r="B24" s="443" t="s">
        <v>874</v>
      </c>
      <c r="C24" s="1080">
        <v>0.28999999999999998</v>
      </c>
      <c r="D24" s="1081">
        <v>0.28999999999999998</v>
      </c>
      <c r="E24" s="1081">
        <v>0.28999999999999998</v>
      </c>
      <c r="F24" s="1082">
        <v>0.28999999999999998</v>
      </c>
      <c r="G24" s="485"/>
      <c r="H24" s="485"/>
      <c r="I24" s="485"/>
      <c r="J24" s="485"/>
      <c r="K24" s="483" t="s">
        <v>16</v>
      </c>
      <c r="L24" s="487">
        <v>2</v>
      </c>
      <c r="M24" s="488"/>
      <c r="N24" s="488"/>
    </row>
    <row r="25" spans="1:45" outlineLevel="1">
      <c r="B25" s="443" t="s">
        <v>969</v>
      </c>
      <c r="C25" s="1080">
        <v>56</v>
      </c>
      <c r="D25" s="1081">
        <v>45</v>
      </c>
      <c r="E25" s="1081">
        <v>28</v>
      </c>
      <c r="F25" s="1082">
        <v>11</v>
      </c>
      <c r="G25" s="485"/>
      <c r="H25" s="485"/>
      <c r="I25" s="485"/>
      <c r="J25" s="485"/>
      <c r="K25" s="483" t="s">
        <v>16</v>
      </c>
      <c r="L25" s="487">
        <v>3</v>
      </c>
      <c r="M25" s="488"/>
      <c r="N25" s="488"/>
    </row>
    <row r="26" spans="1:45" outlineLevel="1">
      <c r="B26" s="443" t="s">
        <v>366</v>
      </c>
      <c r="C26" s="1080">
        <v>0.1</v>
      </c>
      <c r="D26" s="1081">
        <v>0.1</v>
      </c>
      <c r="E26" s="1081">
        <v>0.1</v>
      </c>
      <c r="F26" s="1082">
        <v>0.1</v>
      </c>
      <c r="G26" s="485"/>
      <c r="H26" s="485"/>
      <c r="I26" s="485"/>
      <c r="J26" s="485"/>
      <c r="K26" s="483" t="s">
        <v>16</v>
      </c>
      <c r="L26" s="487">
        <v>3</v>
      </c>
      <c r="M26" s="488"/>
      <c r="N26" s="488"/>
    </row>
    <row r="27" spans="1:45" ht="15" outlineLevel="1" thickBot="1">
      <c r="B27" s="489" t="s">
        <v>367</v>
      </c>
      <c r="C27" s="1083">
        <v>1</v>
      </c>
      <c r="D27" s="1084">
        <v>1</v>
      </c>
      <c r="E27" s="1084">
        <v>1</v>
      </c>
      <c r="F27" s="1085">
        <v>1</v>
      </c>
      <c r="G27" s="485"/>
      <c r="H27" s="485"/>
      <c r="I27" s="485"/>
      <c r="J27" s="485"/>
      <c r="K27" s="483" t="s">
        <v>16</v>
      </c>
      <c r="L27" s="487">
        <v>3</v>
      </c>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0.5</v>
      </c>
      <c r="D29" s="707">
        <v>0.46500000000000002</v>
      </c>
      <c r="E29" s="707">
        <v>0.48499999999999999</v>
      </c>
      <c r="F29" s="708">
        <v>0.45</v>
      </c>
      <c r="G29" s="485"/>
      <c r="H29" s="485"/>
      <c r="I29" s="485"/>
      <c r="J29" s="485"/>
      <c r="K29" s="486" t="s">
        <v>20</v>
      </c>
      <c r="L29" s="500"/>
      <c r="M29" s="480"/>
      <c r="N29" s="480"/>
    </row>
    <row r="30" spans="1:45" outlineLevel="1">
      <c r="B30" s="501" t="s">
        <v>964</v>
      </c>
      <c r="C30" s="502">
        <v>50</v>
      </c>
      <c r="D30" s="502">
        <v>50</v>
      </c>
      <c r="E30" s="502">
        <v>50</v>
      </c>
      <c r="F30" s="502">
        <v>50</v>
      </c>
      <c r="G30" s="485"/>
      <c r="H30" s="485"/>
      <c r="I30" s="485"/>
      <c r="J30" s="485"/>
      <c r="K30" s="504"/>
      <c r="L30" s="433"/>
      <c r="M30" s="71"/>
      <c r="N30" s="480"/>
    </row>
    <row r="31" spans="1:45" outlineLevel="1">
      <c r="B31" s="501" t="s">
        <v>965</v>
      </c>
      <c r="C31" s="502">
        <v>50</v>
      </c>
      <c r="D31" s="502">
        <v>50</v>
      </c>
      <c r="E31" s="502">
        <v>50</v>
      </c>
      <c r="F31" s="502">
        <v>50</v>
      </c>
      <c r="G31" s="485"/>
      <c r="H31" s="485"/>
      <c r="I31" s="485"/>
      <c r="J31" s="485"/>
      <c r="K31" s="504"/>
      <c r="L31" s="433"/>
      <c r="M31" s="480"/>
      <c r="N31" s="480"/>
    </row>
    <row r="32" spans="1:45" outlineLevel="1">
      <c r="B32" s="443" t="s">
        <v>966</v>
      </c>
      <c r="C32" s="505">
        <v>400</v>
      </c>
      <c r="D32" s="506">
        <v>400</v>
      </c>
      <c r="E32" s="506">
        <v>400</v>
      </c>
      <c r="F32" s="507">
        <v>400</v>
      </c>
      <c r="G32" s="485"/>
      <c r="H32" s="485"/>
      <c r="I32" s="485"/>
      <c r="J32" s="485"/>
      <c r="K32" s="508"/>
      <c r="L32" s="433"/>
      <c r="M32" s="480"/>
      <c r="N32" s="480"/>
    </row>
    <row r="33" spans="2:30" ht="37.200000000000003" customHeight="1" outlineLevel="1" thickBot="1">
      <c r="B33" s="443" t="s">
        <v>724</v>
      </c>
      <c r="C33" s="509">
        <f>C34+C35</f>
        <v>1.175</v>
      </c>
      <c r="D33" s="509">
        <f t="shared" ref="D33:F33" si="0">D34+D35</f>
        <v>1.1950000000000001</v>
      </c>
      <c r="E33" s="509">
        <f t="shared" si="0"/>
        <v>1.2050000000000001</v>
      </c>
      <c r="F33" s="509">
        <f t="shared" si="0"/>
        <v>1.2050000000000001</v>
      </c>
      <c r="G33" s="485"/>
      <c r="H33" s="485"/>
      <c r="I33" s="485"/>
      <c r="J33" s="485"/>
      <c r="K33" s="508"/>
      <c r="L33" s="433"/>
      <c r="M33" s="510"/>
      <c r="N33" s="421"/>
      <c r="P33" s="999">
        <f>C33</f>
        <v>1.175</v>
      </c>
      <c r="Q33" s="977"/>
      <c r="R33" s="977"/>
      <c r="S33" s="977"/>
      <c r="T33" s="977"/>
      <c r="U33" s="1000"/>
    </row>
    <row r="34" spans="2:30" ht="15.75" customHeight="1" outlineLevel="1" thickBot="1">
      <c r="B34" s="511" t="s">
        <v>883</v>
      </c>
      <c r="C34" s="512">
        <f>C13/100*73</f>
        <v>0.73</v>
      </c>
      <c r="D34" s="512">
        <f>D13/100*75</f>
        <v>0.75</v>
      </c>
      <c r="E34" s="512">
        <f>E13/100*76</f>
        <v>0.76</v>
      </c>
      <c r="F34" s="512">
        <f>F13/100*76</f>
        <v>0.76</v>
      </c>
      <c r="G34" s="513"/>
      <c r="H34" s="513"/>
      <c r="I34" s="513"/>
      <c r="J34" s="513"/>
      <c r="K34" s="439"/>
      <c r="L34" s="440"/>
      <c r="M34" s="510"/>
      <c r="N34" s="421"/>
      <c r="P34" s="1001">
        <f>C34</f>
        <v>0.73</v>
      </c>
      <c r="Q34" s="1002"/>
      <c r="R34" s="1002"/>
      <c r="S34" s="1002"/>
      <c r="T34" s="1002"/>
      <c r="U34" s="1003"/>
    </row>
    <row r="35" spans="2:30" outlineLevel="1">
      <c r="B35" s="511" t="s">
        <v>884</v>
      </c>
      <c r="C35" s="715">
        <v>0.44500000000000001</v>
      </c>
      <c r="D35" s="715">
        <v>0.44500000000000001</v>
      </c>
      <c r="E35" s="715">
        <v>0.44500000000000001</v>
      </c>
      <c r="F35" s="715">
        <v>0.44500000000000001</v>
      </c>
      <c r="G35" s="513"/>
      <c r="H35" s="513"/>
      <c r="I35" s="513"/>
      <c r="J35" s="513"/>
      <c r="K35" s="515"/>
      <c r="L35" s="440"/>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703">
        <v>0.18</v>
      </c>
      <c r="D39" s="703">
        <v>0.18</v>
      </c>
      <c r="E39" s="703">
        <v>0.18</v>
      </c>
      <c r="F39" s="703">
        <v>0.18</v>
      </c>
      <c r="G39" s="703"/>
      <c r="H39" s="703"/>
      <c r="I39" s="703"/>
      <c r="J39" s="703"/>
      <c r="K39" s="703" t="s">
        <v>76</v>
      </c>
      <c r="L39" s="524"/>
      <c r="M39" s="423"/>
      <c r="N39" s="423"/>
      <c r="O39" s="525">
        <f>C12</f>
        <v>90</v>
      </c>
      <c r="P39" s="526">
        <f>C8</f>
        <v>2020</v>
      </c>
      <c r="Q39" s="58">
        <f>P39</f>
        <v>2020</v>
      </c>
      <c r="R39" s="526">
        <f>O39/100</f>
        <v>0.9</v>
      </c>
      <c r="S39" s="58"/>
      <c r="T39" s="526">
        <f>C16</f>
        <v>20</v>
      </c>
      <c r="U39" s="527">
        <f>C46</f>
        <v>3725</v>
      </c>
      <c r="V39" s="527">
        <f>C48</f>
        <v>2.98</v>
      </c>
      <c r="W39" s="527">
        <f>C49</f>
        <v>2.4315972222222224</v>
      </c>
      <c r="X39" s="58"/>
      <c r="Y39" s="58"/>
      <c r="Z39" s="526">
        <f>C23</f>
        <v>8.3000000000000007</v>
      </c>
      <c r="AA39" s="528">
        <f>C25</f>
        <v>56</v>
      </c>
      <c r="AB39" s="528">
        <f>C26</f>
        <v>0.1</v>
      </c>
      <c r="AC39" s="528">
        <f>C27</f>
        <v>1</v>
      </c>
      <c r="AD39" s="528">
        <f>C24</f>
        <v>0.28999999999999998</v>
      </c>
    </row>
    <row r="40" spans="2:30" ht="14.7" customHeight="1" outlineLevel="1">
      <c r="B40" s="436" t="s">
        <v>888</v>
      </c>
      <c r="C40" s="529" t="s">
        <v>36</v>
      </c>
      <c r="D40" s="530" t="s">
        <v>36</v>
      </c>
      <c r="E40" s="530" t="s">
        <v>36</v>
      </c>
      <c r="F40" s="531" t="s">
        <v>36</v>
      </c>
      <c r="G40" s="531"/>
      <c r="H40" s="531"/>
      <c r="I40" s="531"/>
      <c r="J40" s="531"/>
      <c r="K40" s="532"/>
      <c r="L40" s="524"/>
      <c r="M40" s="423"/>
      <c r="N40" s="423"/>
      <c r="O40" s="525">
        <f>D12</f>
        <v>91</v>
      </c>
      <c r="P40" s="526">
        <f>D8</f>
        <v>2030</v>
      </c>
      <c r="Q40" s="58"/>
      <c r="R40" s="526">
        <f>O40/100</f>
        <v>0.91</v>
      </c>
      <c r="S40" s="58"/>
      <c r="T40" s="526">
        <f>D16</f>
        <v>20</v>
      </c>
      <c r="U40" s="527">
        <f>D46</f>
        <v>3464.2500000000005</v>
      </c>
      <c r="V40" s="527">
        <f>D48</f>
        <v>2.98</v>
      </c>
      <c r="W40" s="527">
        <f>D49</f>
        <v>2.4729861111111116</v>
      </c>
      <c r="X40" s="58"/>
      <c r="Y40" s="58"/>
      <c r="Z40" s="526">
        <f>D23</f>
        <v>8.3000000000000007</v>
      </c>
      <c r="AA40" s="528">
        <f>D25</f>
        <v>45</v>
      </c>
      <c r="AB40" s="528">
        <f>D26</f>
        <v>0.1</v>
      </c>
      <c r="AC40" s="528">
        <f>D27</f>
        <v>1</v>
      </c>
      <c r="AD40" s="528">
        <f>D24</f>
        <v>0.28999999999999998</v>
      </c>
    </row>
    <row r="41" spans="2:30" outlineLevel="1">
      <c r="B41" s="436" t="s">
        <v>889</v>
      </c>
      <c r="C41" s="529"/>
      <c r="D41" s="530"/>
      <c r="E41" s="530"/>
      <c r="F41" s="531"/>
      <c r="G41" s="513"/>
      <c r="H41" s="513"/>
      <c r="I41" s="513"/>
      <c r="J41" s="513"/>
      <c r="K41" s="513"/>
      <c r="L41" s="440"/>
      <c r="M41" s="423"/>
      <c r="N41" s="423"/>
      <c r="O41" s="525">
        <f>E12</f>
        <v>92</v>
      </c>
      <c r="P41" s="526">
        <f>E8</f>
        <v>2040</v>
      </c>
      <c r="Q41" s="58"/>
      <c r="R41" s="526">
        <f>O41/100</f>
        <v>0.92</v>
      </c>
      <c r="S41" s="58"/>
      <c r="T41" s="526">
        <f>E16</f>
        <v>20</v>
      </c>
      <c r="U41" s="527">
        <f>E46</f>
        <v>3613.25</v>
      </c>
      <c r="V41" s="527">
        <f>E48</f>
        <v>2.98</v>
      </c>
      <c r="W41" s="527">
        <f>E49</f>
        <v>2.4936805555555561</v>
      </c>
      <c r="X41" s="58"/>
      <c r="Y41" s="58"/>
      <c r="Z41" s="526">
        <f>E23</f>
        <v>8.3000000000000007</v>
      </c>
      <c r="AA41" s="528">
        <f>E25</f>
        <v>28</v>
      </c>
      <c r="AB41" s="528">
        <f>E26</f>
        <v>0.1</v>
      </c>
      <c r="AC41" s="528">
        <f>E27</f>
        <v>1</v>
      </c>
      <c r="AD41" s="528">
        <f>E24</f>
        <v>0.28999999999999998</v>
      </c>
    </row>
    <row r="42" spans="2:30" ht="14.7" customHeight="1" outlineLevel="1">
      <c r="B42" s="436" t="s">
        <v>890</v>
      </c>
      <c r="C42" s="1086">
        <v>90</v>
      </c>
      <c r="D42" s="1087">
        <v>90</v>
      </c>
      <c r="E42" s="1087">
        <v>90</v>
      </c>
      <c r="F42" s="1088">
        <v>90</v>
      </c>
      <c r="G42" s="534"/>
      <c r="H42" s="534"/>
      <c r="I42" s="534"/>
      <c r="J42" s="534"/>
      <c r="K42" s="534" t="s">
        <v>25</v>
      </c>
      <c r="L42" s="440" t="s">
        <v>1046</v>
      </c>
      <c r="M42" s="423"/>
      <c r="N42" s="423"/>
      <c r="O42" s="525">
        <f>F12</f>
        <v>93</v>
      </c>
      <c r="P42" s="526">
        <f>F8</f>
        <v>2050</v>
      </c>
      <c r="Q42" s="58"/>
      <c r="R42" s="526">
        <f>O42/100</f>
        <v>0.93</v>
      </c>
      <c r="S42" s="58"/>
      <c r="T42" s="526">
        <f>F16</f>
        <v>20</v>
      </c>
      <c r="U42" s="527">
        <f>F46</f>
        <v>3352.5</v>
      </c>
      <c r="V42" s="527">
        <f>F48</f>
        <v>2.98</v>
      </c>
      <c r="W42" s="527">
        <f>F49</f>
        <v>2.4936805555555561</v>
      </c>
      <c r="X42" s="58"/>
      <c r="Y42" s="58"/>
      <c r="Z42" s="526">
        <f>F23</f>
        <v>8.3000000000000007</v>
      </c>
      <c r="AA42" s="528">
        <f>F25</f>
        <v>11</v>
      </c>
      <c r="AB42" s="528">
        <f>F26</f>
        <v>0.1</v>
      </c>
      <c r="AC42" s="528">
        <f>F27</f>
        <v>1</v>
      </c>
      <c r="AD42" s="528">
        <f>F24</f>
        <v>0.28999999999999998</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3725</v>
      </c>
      <c r="D46" s="543">
        <f t="shared" ref="D46:F46" si="1">D29*$F$4*1000</f>
        <v>3464.2500000000005</v>
      </c>
      <c r="E46" s="543">
        <f t="shared" si="1"/>
        <v>3613.25</v>
      </c>
      <c r="F46" s="543">
        <f t="shared" si="1"/>
        <v>3352.5</v>
      </c>
      <c r="G46" s="543"/>
      <c r="H46" s="544"/>
      <c r="I46" s="480" t="s">
        <v>332</v>
      </c>
      <c r="J46" s="480"/>
      <c r="K46" s="544"/>
      <c r="L46" s="544"/>
      <c r="N46" s="480"/>
    </row>
    <row r="47" spans="2:30" outlineLevel="1">
      <c r="B47" s="545" t="s">
        <v>895</v>
      </c>
      <c r="C47" s="546">
        <f>C46*$I47</f>
        <v>1862500</v>
      </c>
      <c r="D47" s="546">
        <f>D46*$I47</f>
        <v>1732125.0000000002</v>
      </c>
      <c r="E47" s="546">
        <f>E46*$I47</f>
        <v>1806625</v>
      </c>
      <c r="F47" s="546">
        <f>F46*$I47</f>
        <v>1676250</v>
      </c>
      <c r="G47" s="546"/>
      <c r="H47" s="544"/>
      <c r="I47" s="71">
        <v>500</v>
      </c>
      <c r="J47" s="480" t="s">
        <v>330</v>
      </c>
      <c r="K47" s="544"/>
      <c r="L47" s="544"/>
      <c r="N47" s="480"/>
    </row>
    <row r="48" spans="2:30" ht="43.2" outlineLevel="1">
      <c r="B48" s="521" t="s">
        <v>970</v>
      </c>
      <c r="C48" s="419">
        <f>C32*$F$4/1000</f>
        <v>2.98</v>
      </c>
      <c r="D48" s="419">
        <f t="shared" ref="D48:F48" si="2">D32*$F$4/1000</f>
        <v>2.98</v>
      </c>
      <c r="E48" s="419">
        <f t="shared" si="2"/>
        <v>2.98</v>
      </c>
      <c r="F48" s="419">
        <f t="shared" si="2"/>
        <v>2.98</v>
      </c>
      <c r="G48" s="419"/>
      <c r="I48" s="480" t="s">
        <v>333</v>
      </c>
      <c r="J48" s="480"/>
      <c r="N48" s="480"/>
    </row>
    <row r="49" spans="2:14" ht="43.2" outlineLevel="1">
      <c r="B49" s="521" t="s">
        <v>971</v>
      </c>
      <c r="C49" s="547">
        <f>C33*$F$4/3.6</f>
        <v>2.4315972222222224</v>
      </c>
      <c r="D49" s="547">
        <f t="shared" ref="D49:F49" si="3">D33*$F$4/3.6</f>
        <v>2.4729861111111116</v>
      </c>
      <c r="E49" s="547">
        <f t="shared" si="3"/>
        <v>2.4936805555555561</v>
      </c>
      <c r="F49" s="547">
        <f t="shared" si="3"/>
        <v>2.4936805555555561</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548" t="s">
        <v>898</v>
      </c>
      <c r="C55" s="549"/>
      <c r="E55" s="417"/>
      <c r="F55" s="417"/>
      <c r="G55" s="417"/>
      <c r="H55" s="417"/>
      <c r="I55" s="417"/>
      <c r="J55" s="417"/>
      <c r="K55" s="417"/>
      <c r="L55" s="417"/>
    </row>
    <row r="56" spans="2:14" outlineLevel="1">
      <c r="B56" s="417">
        <v>1</v>
      </c>
      <c r="C56" s="720" t="s">
        <v>1065</v>
      </c>
      <c r="F56" s="417"/>
      <c r="G56" s="417"/>
      <c r="H56" s="417"/>
      <c r="I56" s="417"/>
      <c r="J56" s="417"/>
      <c r="K56" s="417"/>
      <c r="L56" s="417"/>
    </row>
    <row r="57" spans="2:14" outlineLevel="1">
      <c r="B57" s="417">
        <v>2</v>
      </c>
      <c r="C57" s="718" t="s">
        <v>906</v>
      </c>
      <c r="F57" s="417"/>
      <c r="G57" s="417"/>
      <c r="H57" s="417"/>
      <c r="I57" s="417"/>
      <c r="J57" s="417"/>
      <c r="K57" s="417"/>
      <c r="L57" s="417"/>
    </row>
    <row r="58" spans="2:14" outlineLevel="1">
      <c r="B58" s="417">
        <v>3</v>
      </c>
      <c r="C58" s="720" t="s">
        <v>975</v>
      </c>
      <c r="F58" s="417"/>
      <c r="G58" s="417"/>
      <c r="H58" s="417"/>
      <c r="I58" s="417"/>
      <c r="J58" s="417"/>
      <c r="K58" s="417"/>
      <c r="L58" s="417"/>
    </row>
    <row r="59" spans="2:14" outlineLevel="1">
      <c r="B59" s="417">
        <v>4</v>
      </c>
      <c r="C59" s="718" t="s">
        <v>1066</v>
      </c>
      <c r="F59" s="417"/>
      <c r="G59" s="417"/>
      <c r="H59" s="417"/>
      <c r="I59" s="417"/>
      <c r="J59" s="417"/>
      <c r="K59" s="417"/>
      <c r="L59" s="417"/>
    </row>
    <row r="60" spans="2:14" outlineLevel="1">
      <c r="B60" s="417">
        <v>5</v>
      </c>
      <c r="C60" s="718" t="s">
        <v>1067</v>
      </c>
      <c r="D60" s="549"/>
      <c r="F60" s="417"/>
      <c r="G60" s="417"/>
      <c r="H60" s="417"/>
      <c r="I60" s="417"/>
      <c r="J60" s="417"/>
      <c r="K60" s="417"/>
      <c r="L60" s="417"/>
    </row>
    <row r="61" spans="2:14" outlineLevel="1">
      <c r="B61" s="548" t="s">
        <v>908</v>
      </c>
      <c r="C61" s="685"/>
      <c r="D61" s="549"/>
      <c r="F61" s="417"/>
      <c r="G61" s="417"/>
      <c r="H61" s="417"/>
      <c r="I61" s="417"/>
      <c r="J61" s="417"/>
      <c r="K61" s="417"/>
      <c r="L61" s="417"/>
    </row>
    <row r="62" spans="2:14" outlineLevel="1">
      <c r="B62" s="556" t="s">
        <v>6</v>
      </c>
      <c r="C62" s="720" t="s">
        <v>1068</v>
      </c>
      <c r="D62" s="549"/>
      <c r="F62" s="417"/>
      <c r="G62" s="417"/>
      <c r="H62" s="417"/>
      <c r="I62" s="417"/>
      <c r="J62" s="417"/>
      <c r="K62" s="417"/>
      <c r="L62" s="417"/>
    </row>
    <row r="63" spans="2:14" outlineLevel="1">
      <c r="B63" s="556" t="s">
        <v>59</v>
      </c>
      <c r="C63" s="720" t="s">
        <v>1069</v>
      </c>
      <c r="D63" s="549"/>
      <c r="F63" s="417"/>
      <c r="G63" s="417"/>
      <c r="H63" s="417"/>
      <c r="I63" s="417"/>
      <c r="J63" s="417"/>
      <c r="K63" s="417"/>
      <c r="L63" s="417"/>
    </row>
    <row r="64" spans="2:14" outlineLevel="1">
      <c r="B64" s="556" t="s">
        <v>16</v>
      </c>
      <c r="C64" s="718" t="s">
        <v>1070</v>
      </c>
      <c r="D64" s="549"/>
      <c r="F64" s="417"/>
      <c r="G64" s="417"/>
      <c r="H64" s="417"/>
      <c r="I64" s="417"/>
      <c r="J64" s="417"/>
      <c r="K64" s="417"/>
      <c r="L64" s="417"/>
    </row>
    <row r="65" spans="1:44" outlineLevel="1">
      <c r="B65" s="556" t="s">
        <v>20</v>
      </c>
      <c r="C65" s="718" t="s">
        <v>1071</v>
      </c>
      <c r="D65" s="549"/>
      <c r="F65" s="417"/>
      <c r="G65" s="417"/>
      <c r="H65" s="417"/>
      <c r="I65" s="417"/>
      <c r="J65" s="417"/>
      <c r="K65" s="417"/>
      <c r="L65" s="417"/>
    </row>
    <row r="66" spans="1:44" outlineLevel="1">
      <c r="B66" s="556" t="s">
        <v>76</v>
      </c>
      <c r="C66" s="688" t="s">
        <v>1072</v>
      </c>
      <c r="D66" s="550"/>
      <c r="F66" s="417"/>
      <c r="G66" s="417"/>
      <c r="H66" s="417"/>
      <c r="I66" s="417"/>
      <c r="J66" s="417"/>
      <c r="K66" s="417"/>
      <c r="L66" s="417"/>
    </row>
    <row r="67" spans="1:44" outlineLevel="1">
      <c r="B67" s="556" t="s">
        <v>25</v>
      </c>
      <c r="C67" s="720" t="s">
        <v>1073</v>
      </c>
      <c r="D67" s="550"/>
      <c r="F67" s="417"/>
      <c r="G67" s="417"/>
      <c r="H67" s="417"/>
      <c r="I67" s="417"/>
      <c r="J67" s="417"/>
      <c r="K67" s="417"/>
      <c r="L67" s="417"/>
    </row>
    <row r="68" spans="1:44" outlineLevel="1">
      <c r="B68" s="556" t="s">
        <v>33</v>
      </c>
      <c r="C68" s="685" t="s">
        <v>1074</v>
      </c>
      <c r="D68" s="417"/>
      <c r="F68" s="417"/>
      <c r="G68" s="417"/>
      <c r="H68" s="417"/>
      <c r="I68" s="417"/>
      <c r="J68" s="417"/>
      <c r="K68" s="417"/>
      <c r="L68" s="417"/>
    </row>
    <row r="69" spans="1:44" outlineLevel="1">
      <c r="B69" s="697"/>
      <c r="C69" s="549"/>
      <c r="D69" s="417"/>
      <c r="F69" s="417"/>
      <c r="G69" s="417"/>
      <c r="H69" s="417"/>
      <c r="I69" s="417"/>
      <c r="J69" s="417"/>
      <c r="K69" s="417"/>
      <c r="L69" s="417"/>
    </row>
    <row r="70" spans="1:44" outlineLevel="1">
      <c r="B70" s="697"/>
      <c r="C70" s="550"/>
      <c r="D70" s="417"/>
      <c r="G70" s="417"/>
      <c r="H70" s="417"/>
      <c r="I70" s="417"/>
      <c r="J70" s="417"/>
      <c r="K70" s="417"/>
      <c r="L70" s="417"/>
    </row>
    <row r="71" spans="1:44" outlineLevel="1">
      <c r="B71" s="697"/>
      <c r="C71" s="550"/>
      <c r="E71" s="550"/>
      <c r="F71" s="550"/>
    </row>
    <row r="72" spans="1:44" outlineLevel="1"/>
    <row r="73" spans="1:44" outlineLevel="1"/>
    <row r="74" spans="1:44" outlineLevel="1"/>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1">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9F6-21BA-4777-B9D5-C80108D8D2BF}">
  <sheetPr>
    <tabColor theme="3"/>
  </sheetPr>
  <dimension ref="A2:AS345"/>
  <sheetViews>
    <sheetView topLeftCell="J1" zoomScale="80" zoomScaleNormal="80" workbookViewId="0">
      <selection activeCell="O1" sqref="O1"/>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Dielectric heating</v>
      </c>
    </row>
    <row r="4" spans="1:45" ht="25.2" customHeight="1">
      <c r="E4" s="239" t="s">
        <v>358</v>
      </c>
      <c r="F4" s="419">
        <v>7.45</v>
      </c>
      <c r="G4" s="419" t="s">
        <v>328</v>
      </c>
    </row>
    <row r="5" spans="1:45" ht="15" customHeight="1">
      <c r="A5" s="420" t="s">
        <v>1094</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1047</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0.1</v>
      </c>
      <c r="D10" s="432">
        <v>0.1</v>
      </c>
      <c r="E10" s="432">
        <v>0.1</v>
      </c>
      <c r="F10" s="432">
        <v>0.1</v>
      </c>
      <c r="G10" s="432">
        <v>0.01</v>
      </c>
      <c r="H10" s="432">
        <v>0.2</v>
      </c>
      <c r="I10" s="432">
        <v>0.01</v>
      </c>
      <c r="J10" s="432">
        <v>0.2</v>
      </c>
      <c r="K10" s="432" t="s">
        <v>6</v>
      </c>
      <c r="L10" s="433">
        <v>1</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95</v>
      </c>
      <c r="D11" s="437">
        <v>95</v>
      </c>
      <c r="E11" s="438">
        <v>95</v>
      </c>
      <c r="F11" s="437">
        <v>95</v>
      </c>
      <c r="G11" s="437">
        <v>85</v>
      </c>
      <c r="H11" s="437">
        <v>100</v>
      </c>
      <c r="I11" s="437">
        <v>85</v>
      </c>
      <c r="J11" s="437">
        <v>100</v>
      </c>
      <c r="K11" s="439" t="s">
        <v>59</v>
      </c>
      <c r="L11" s="440">
        <v>2</v>
      </c>
      <c r="M11" s="430"/>
      <c r="N11" s="430"/>
      <c r="P11" s="1042" t="str">
        <f>C7</f>
        <v>Dielectric heating</v>
      </c>
      <c r="Q11" s="1030" t="s">
        <v>855</v>
      </c>
      <c r="R11" s="441" t="s">
        <v>856</v>
      </c>
      <c r="S11" s="442"/>
      <c r="T11" s="1033">
        <v>0</v>
      </c>
      <c r="U11" s="1021">
        <v>0</v>
      </c>
      <c r="V11" s="1024">
        <v>0</v>
      </c>
      <c r="W11" s="1021">
        <v>0</v>
      </c>
      <c r="X11" s="1024">
        <v>0</v>
      </c>
      <c r="Y11" s="1021">
        <v>0</v>
      </c>
      <c r="Z11" s="1024">
        <v>0</v>
      </c>
      <c r="AA11" s="1021">
        <v>0</v>
      </c>
      <c r="AB11" s="1024">
        <v>0</v>
      </c>
      <c r="AC11" s="1021">
        <v>0</v>
      </c>
      <c r="AD11" s="1024">
        <f>AB11</f>
        <v>0</v>
      </c>
      <c r="AE11" s="1021">
        <f>AC11</f>
        <v>0</v>
      </c>
      <c r="AF11" s="1027" t="str">
        <f>P11</f>
        <v>Dielectric heating</v>
      </c>
      <c r="AG11" s="1030" t="s">
        <v>855</v>
      </c>
      <c r="AH11" s="441" t="s">
        <v>856</v>
      </c>
      <c r="AI11" s="442"/>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444">
        <v>95</v>
      </c>
      <c r="D12" s="444">
        <v>95</v>
      </c>
      <c r="E12" s="444">
        <v>95</v>
      </c>
      <c r="F12" s="444">
        <v>95</v>
      </c>
      <c r="G12" s="445">
        <v>85</v>
      </c>
      <c r="H12" s="445">
        <v>100</v>
      </c>
      <c r="I12" s="445">
        <v>85</v>
      </c>
      <c r="J12" s="445">
        <v>100</v>
      </c>
      <c r="K12" s="446"/>
      <c r="L12" s="447"/>
      <c r="M12" s="430"/>
      <c r="N12" s="430"/>
      <c r="O12" s="71"/>
      <c r="P12" s="1028"/>
      <c r="Q12" s="1031"/>
      <c r="R12" s="448" t="s">
        <v>858</v>
      </c>
      <c r="S12" s="449"/>
      <c r="T12" s="1034"/>
      <c r="U12" s="1022"/>
      <c r="V12" s="1025"/>
      <c r="W12" s="1022"/>
      <c r="X12" s="1025"/>
      <c r="Y12" s="1022"/>
      <c r="Z12" s="1025"/>
      <c r="AA12" s="1022"/>
      <c r="AB12" s="1025"/>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0.1</v>
      </c>
      <c r="D13" s="451">
        <v>0.1</v>
      </c>
      <c r="E13" s="451">
        <v>0.1</v>
      </c>
      <c r="F13" s="452">
        <v>0.1</v>
      </c>
      <c r="G13" s="451">
        <v>0</v>
      </c>
      <c r="H13" s="451">
        <v>0.2</v>
      </c>
      <c r="I13" s="451">
        <v>0</v>
      </c>
      <c r="J13" s="451">
        <v>0.2</v>
      </c>
      <c r="K13" s="439"/>
      <c r="L13" s="440">
        <v>3</v>
      </c>
      <c r="M13" s="430"/>
      <c r="N13" s="430"/>
      <c r="O13" s="71"/>
      <c r="P13" s="1028"/>
      <c r="Q13" s="1032"/>
      <c r="R13" s="453" t="s">
        <v>860</v>
      </c>
      <c r="S13" s="454"/>
      <c r="T13" s="1035"/>
      <c r="U13" s="1023"/>
      <c r="V13" s="1026"/>
      <c r="W13" s="1023"/>
      <c r="X13" s="1026"/>
      <c r="Y13" s="1023"/>
      <c r="Z13" s="1026"/>
      <c r="AA13" s="1023"/>
      <c r="AB13" s="1026"/>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450">
        <v>0.1</v>
      </c>
      <c r="D14" s="450">
        <v>0.1</v>
      </c>
      <c r="E14" s="450">
        <v>0.1</v>
      </c>
      <c r="F14" s="450">
        <v>0.1</v>
      </c>
      <c r="G14" s="450">
        <v>0</v>
      </c>
      <c r="H14" s="450">
        <v>0.2</v>
      </c>
      <c r="I14" s="450">
        <v>0</v>
      </c>
      <c r="J14" s="450">
        <v>0.2</v>
      </c>
      <c r="K14" s="439"/>
      <c r="L14" s="440">
        <v>3</v>
      </c>
      <c r="M14" s="430"/>
      <c r="N14" s="430"/>
      <c r="O14" s="71"/>
      <c r="P14" s="1028"/>
      <c r="Q14" s="1030" t="s">
        <v>861</v>
      </c>
      <c r="R14" s="455" t="s">
        <v>862</v>
      </c>
      <c r="S14" s="456" t="s">
        <v>863</v>
      </c>
      <c r="T14" s="1033">
        <v>0.05</v>
      </c>
      <c r="U14" s="1033">
        <v>0.04</v>
      </c>
      <c r="V14" s="1033">
        <v>0.05</v>
      </c>
      <c r="W14" s="1033">
        <v>0.05</v>
      </c>
      <c r="X14" s="1033">
        <v>0.05</v>
      </c>
      <c r="Y14" s="1033">
        <v>0.02</v>
      </c>
      <c r="Z14" s="1033">
        <v>0.03</v>
      </c>
      <c r="AA14" s="1033">
        <v>0.01</v>
      </c>
      <c r="AB14" s="1033">
        <v>0</v>
      </c>
      <c r="AC14" s="1021">
        <v>0</v>
      </c>
      <c r="AD14" s="1033">
        <f>AB14</f>
        <v>0</v>
      </c>
      <c r="AE14" s="1021">
        <f>AC14</f>
        <v>0</v>
      </c>
      <c r="AF14" s="1028"/>
      <c r="AG14" s="1030" t="s">
        <v>861</v>
      </c>
      <c r="AH14" s="455" t="s">
        <v>862</v>
      </c>
      <c r="AI14" s="456" t="s">
        <v>863</v>
      </c>
      <c r="AJ14" s="1033">
        <v>0.05</v>
      </c>
      <c r="AK14" s="1033">
        <v>0.04</v>
      </c>
      <c r="AL14" s="1033">
        <v>0.05</v>
      </c>
      <c r="AM14" s="1033">
        <v>0.05</v>
      </c>
      <c r="AN14" s="1033">
        <v>0.05</v>
      </c>
      <c r="AO14" s="1033">
        <v>0.02</v>
      </c>
      <c r="AP14" s="1033">
        <v>0.03</v>
      </c>
      <c r="AQ14" s="1033">
        <v>0.01</v>
      </c>
      <c r="AR14" s="1033">
        <v>0</v>
      </c>
      <c r="AS14" s="1021">
        <v>0</v>
      </c>
    </row>
    <row r="15" spans="1:45" outlineLevel="1">
      <c r="B15" s="436" t="s">
        <v>703</v>
      </c>
      <c r="C15" s="450">
        <v>0</v>
      </c>
      <c r="D15" s="450">
        <v>0</v>
      </c>
      <c r="E15" s="450">
        <v>0</v>
      </c>
      <c r="F15" s="450">
        <v>0</v>
      </c>
      <c r="G15" s="450">
        <v>0</v>
      </c>
      <c r="H15" s="450">
        <v>0.1</v>
      </c>
      <c r="I15" s="450">
        <v>0</v>
      </c>
      <c r="J15" s="450">
        <v>0.1</v>
      </c>
      <c r="K15" s="439"/>
      <c r="L15" s="440">
        <v>3</v>
      </c>
      <c r="M15" s="427"/>
      <c r="N15" s="427"/>
      <c r="O15" s="71"/>
      <c r="P15" s="1028"/>
      <c r="Q15" s="1031"/>
      <c r="R15" s="455" t="s">
        <v>864</v>
      </c>
      <c r="S15" s="456" t="s">
        <v>863</v>
      </c>
      <c r="T15" s="1036"/>
      <c r="U15" s="1036"/>
      <c r="V15" s="1036"/>
      <c r="W15" s="1036"/>
      <c r="X15" s="1036"/>
      <c r="Y15" s="1036"/>
      <c r="Z15" s="1036"/>
      <c r="AA15" s="1036"/>
      <c r="AB15" s="1036"/>
      <c r="AC15" s="1038"/>
      <c r="AD15" s="1036"/>
      <c r="AE15" s="1038"/>
      <c r="AF15" s="1028"/>
      <c r="AG15" s="1031"/>
      <c r="AH15" s="455" t="s">
        <v>864</v>
      </c>
      <c r="AI15" s="456" t="s">
        <v>863</v>
      </c>
      <c r="AJ15" s="1036"/>
      <c r="AK15" s="1036"/>
      <c r="AL15" s="1036"/>
      <c r="AM15" s="1036"/>
      <c r="AN15" s="1036"/>
      <c r="AO15" s="1036"/>
      <c r="AP15" s="1036"/>
      <c r="AQ15" s="1036"/>
      <c r="AR15" s="1036"/>
      <c r="AS15" s="1038"/>
    </row>
    <row r="16" spans="1:45" outlineLevel="1">
      <c r="B16" s="443" t="s">
        <v>11</v>
      </c>
      <c r="C16" s="457">
        <v>30</v>
      </c>
      <c r="D16" s="457">
        <v>30</v>
      </c>
      <c r="E16" s="457">
        <v>30</v>
      </c>
      <c r="F16" s="457">
        <v>30</v>
      </c>
      <c r="G16" s="458">
        <v>20</v>
      </c>
      <c r="H16" s="458">
        <v>35</v>
      </c>
      <c r="I16" s="458">
        <v>20</v>
      </c>
      <c r="J16" s="458">
        <v>35</v>
      </c>
      <c r="K16" s="432"/>
      <c r="L16" s="433">
        <v>4</v>
      </c>
      <c r="M16" s="423"/>
      <c r="N16" s="423"/>
      <c r="P16" s="1028"/>
      <c r="Q16" s="1031"/>
      <c r="R16" s="455" t="s">
        <v>866</v>
      </c>
      <c r="S16" s="456"/>
      <c r="T16" s="1036"/>
      <c r="U16" s="1036"/>
      <c r="V16" s="1036"/>
      <c r="W16" s="1036"/>
      <c r="X16" s="1036"/>
      <c r="Y16" s="1036"/>
      <c r="Z16" s="1036"/>
      <c r="AA16" s="1036"/>
      <c r="AB16" s="1036"/>
      <c r="AC16" s="1038"/>
      <c r="AD16" s="1036"/>
      <c r="AE16" s="1038"/>
      <c r="AF16" s="1028"/>
      <c r="AG16" s="1031"/>
      <c r="AH16" s="455" t="s">
        <v>866</v>
      </c>
      <c r="AI16" s="689"/>
      <c r="AJ16" s="1036"/>
      <c r="AK16" s="1036"/>
      <c r="AL16" s="1036"/>
      <c r="AM16" s="1036"/>
      <c r="AN16" s="1036"/>
      <c r="AO16" s="1036"/>
      <c r="AP16" s="1036"/>
      <c r="AQ16" s="1036"/>
      <c r="AR16" s="1036"/>
      <c r="AS16" s="1038"/>
    </row>
    <row r="17" spans="1:45" ht="15" outlineLevel="1" thickBot="1">
      <c r="B17" s="436" t="s">
        <v>273</v>
      </c>
      <c r="C17" s="459">
        <v>0.1</v>
      </c>
      <c r="D17" s="459">
        <v>0.1</v>
      </c>
      <c r="E17" s="459">
        <v>0.1</v>
      </c>
      <c r="F17" s="459">
        <v>0.1</v>
      </c>
      <c r="G17" s="459">
        <v>0.05</v>
      </c>
      <c r="H17" s="459">
        <v>0.1</v>
      </c>
      <c r="I17" s="459">
        <v>0.05</v>
      </c>
      <c r="J17" s="459">
        <v>0.1</v>
      </c>
      <c r="K17" s="432"/>
      <c r="L17" s="460">
        <v>3</v>
      </c>
      <c r="M17" s="423"/>
      <c r="N17" s="423"/>
      <c r="P17" s="1028"/>
      <c r="Q17" s="1031"/>
      <c r="R17" s="455" t="s">
        <v>867</v>
      </c>
      <c r="S17" s="456"/>
      <c r="T17" s="1036"/>
      <c r="U17" s="1036"/>
      <c r="V17" s="1036"/>
      <c r="W17" s="1036"/>
      <c r="X17" s="1036"/>
      <c r="Y17" s="1036"/>
      <c r="Z17" s="1036"/>
      <c r="AA17" s="1036"/>
      <c r="AB17" s="1036"/>
      <c r="AC17" s="1038"/>
      <c r="AD17" s="1036"/>
      <c r="AE17" s="1038"/>
      <c r="AF17" s="1028"/>
      <c r="AG17" s="1031"/>
      <c r="AH17" s="455" t="s">
        <v>867</v>
      </c>
      <c r="AI17" s="456"/>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c r="T18" s="1037"/>
      <c r="U18" s="1037"/>
      <c r="V18" s="1037"/>
      <c r="W18" s="1037"/>
      <c r="X18" s="1037"/>
      <c r="Y18" s="1037"/>
      <c r="Z18" s="1037"/>
      <c r="AA18" s="1037"/>
      <c r="AB18" s="1037"/>
      <c r="AC18" s="1039"/>
      <c r="AD18" s="1037"/>
      <c r="AE18" s="1039"/>
      <c r="AF18" s="1028"/>
      <c r="AG18" s="1032"/>
      <c r="AH18" s="469" t="s">
        <v>988</v>
      </c>
      <c r="AI18" s="470"/>
      <c r="AJ18" s="1037"/>
      <c r="AK18" s="1037"/>
      <c r="AL18" s="1037"/>
      <c r="AM18" s="1037"/>
      <c r="AN18" s="1037"/>
      <c r="AO18" s="1037"/>
      <c r="AP18" s="1037"/>
      <c r="AQ18" s="1037"/>
      <c r="AR18" s="1037"/>
      <c r="AS18" s="1039"/>
    </row>
    <row r="19" spans="1:45" ht="29.4" outlineLevel="1" thickBot="1">
      <c r="B19" s="436" t="s">
        <v>708</v>
      </c>
      <c r="C19" s="450">
        <v>10</v>
      </c>
      <c r="D19" s="450">
        <v>10</v>
      </c>
      <c r="E19" s="450">
        <v>10</v>
      </c>
      <c r="F19" s="450">
        <v>10</v>
      </c>
      <c r="G19" s="451"/>
      <c r="H19" s="451"/>
      <c r="I19" s="451"/>
      <c r="J19" s="451"/>
      <c r="K19" s="439" t="s">
        <v>16</v>
      </c>
      <c r="L19" s="440">
        <v>5</v>
      </c>
      <c r="M19" s="423"/>
      <c r="N19" s="423"/>
      <c r="P19" s="1029"/>
      <c r="Q19" s="471" t="s">
        <v>870</v>
      </c>
      <c r="R19" s="472" t="s">
        <v>871</v>
      </c>
      <c r="S19" s="690"/>
      <c r="T19" s="476">
        <v>0</v>
      </c>
      <c r="U19" s="475">
        <v>0</v>
      </c>
      <c r="V19" s="476">
        <v>0</v>
      </c>
      <c r="W19" s="475">
        <v>0</v>
      </c>
      <c r="X19" s="476">
        <v>0</v>
      </c>
      <c r="Y19" s="475">
        <v>0</v>
      </c>
      <c r="Z19" s="476">
        <v>0</v>
      </c>
      <c r="AA19" s="475">
        <v>0</v>
      </c>
      <c r="AB19" s="476">
        <v>0</v>
      </c>
      <c r="AC19" s="477">
        <v>0</v>
      </c>
      <c r="AD19" s="476">
        <f>AB19</f>
        <v>0</v>
      </c>
      <c r="AE19" s="477">
        <f>AC19</f>
        <v>0</v>
      </c>
      <c r="AF19" s="1029"/>
      <c r="AG19" s="471" t="s">
        <v>870</v>
      </c>
      <c r="AH19" s="691" t="s">
        <v>871</v>
      </c>
      <c r="AI19" s="692"/>
      <c r="AJ19" s="476">
        <v>0</v>
      </c>
      <c r="AK19" s="475">
        <v>0</v>
      </c>
      <c r="AL19" s="476">
        <v>0</v>
      </c>
      <c r="AM19" s="475">
        <v>0</v>
      </c>
      <c r="AN19" s="476">
        <v>0</v>
      </c>
      <c r="AO19" s="475">
        <v>0</v>
      </c>
      <c r="AP19" s="476">
        <v>0</v>
      </c>
      <c r="AQ19" s="475">
        <v>0</v>
      </c>
      <c r="AR19" s="476">
        <v>0</v>
      </c>
      <c r="AS19" s="477">
        <v>0</v>
      </c>
    </row>
    <row r="20" spans="1:45" outlineLevel="1">
      <c r="B20" s="436" t="s">
        <v>709</v>
      </c>
      <c r="C20" s="450">
        <v>0</v>
      </c>
      <c r="D20" s="450">
        <v>0</v>
      </c>
      <c r="E20" s="450">
        <v>0</v>
      </c>
      <c r="F20" s="450">
        <v>0</v>
      </c>
      <c r="G20" s="478"/>
      <c r="H20" s="478"/>
      <c r="I20" s="478"/>
      <c r="J20" s="478"/>
      <c r="K20" s="479"/>
      <c r="L20" s="440">
        <v>5</v>
      </c>
      <c r="M20" s="423"/>
      <c r="N20" s="423"/>
    </row>
    <row r="21" spans="1:45" outlineLevel="1">
      <c r="B21" s="436" t="s">
        <v>711</v>
      </c>
      <c r="C21" s="450">
        <v>0</v>
      </c>
      <c r="D21" s="450">
        <v>0</v>
      </c>
      <c r="E21" s="450">
        <v>0</v>
      </c>
      <c r="F21" s="450">
        <v>0</v>
      </c>
      <c r="G21" s="478"/>
      <c r="H21" s="478"/>
      <c r="I21" s="478"/>
      <c r="J21" s="478"/>
      <c r="K21" s="479"/>
      <c r="L21" s="440">
        <v>5</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2.7</v>
      </c>
      <c r="D29" s="707">
        <v>2.6190000000000002</v>
      </c>
      <c r="E29" s="707">
        <v>2.5379999999999998</v>
      </c>
      <c r="F29" s="708">
        <v>2.4300000000000002</v>
      </c>
      <c r="G29" s="485"/>
      <c r="H29" s="485"/>
      <c r="I29" s="485"/>
      <c r="J29" s="485"/>
      <c r="K29" s="486" t="s">
        <v>20</v>
      </c>
      <c r="L29" s="500" t="s">
        <v>1048</v>
      </c>
      <c r="M29" s="480"/>
      <c r="N29" s="480"/>
    </row>
    <row r="30" spans="1:45" outlineLevel="1">
      <c r="B30" s="501" t="s">
        <v>964</v>
      </c>
      <c r="C30" s="502">
        <v>85</v>
      </c>
      <c r="D30" s="502">
        <v>85</v>
      </c>
      <c r="E30" s="502">
        <v>85</v>
      </c>
      <c r="F30" s="502">
        <v>85</v>
      </c>
      <c r="G30" s="485"/>
      <c r="H30" s="485"/>
      <c r="I30" s="485"/>
      <c r="J30" s="485"/>
      <c r="K30" s="504"/>
      <c r="L30" s="433">
        <v>9</v>
      </c>
      <c r="M30" s="71"/>
      <c r="N30" s="480"/>
    </row>
    <row r="31" spans="1:45" outlineLevel="1">
      <c r="B31" s="501" t="s">
        <v>965</v>
      </c>
      <c r="C31" s="502">
        <v>15</v>
      </c>
      <c r="D31" s="502">
        <v>15</v>
      </c>
      <c r="E31" s="502">
        <v>15</v>
      </c>
      <c r="F31" s="502">
        <v>15</v>
      </c>
      <c r="G31" s="485"/>
      <c r="H31" s="485"/>
      <c r="I31" s="485"/>
      <c r="J31" s="485"/>
      <c r="K31" s="504"/>
      <c r="L31" s="433">
        <v>9</v>
      </c>
      <c r="M31" s="480"/>
      <c r="N31" s="480"/>
    </row>
    <row r="32" spans="1:45" outlineLevel="1">
      <c r="B32" s="443" t="s">
        <v>966</v>
      </c>
      <c r="C32" s="662">
        <v>0</v>
      </c>
      <c r="D32" s="663">
        <v>0</v>
      </c>
      <c r="E32" s="663">
        <v>0</v>
      </c>
      <c r="F32" s="664">
        <v>0</v>
      </c>
      <c r="G32" s="485"/>
      <c r="H32" s="485"/>
      <c r="I32" s="485"/>
      <c r="J32" s="485"/>
      <c r="K32" s="508"/>
      <c r="L32" s="433"/>
      <c r="M32" s="480"/>
      <c r="N32" s="480"/>
    </row>
    <row r="33" spans="2:30" ht="37.200000000000003" customHeight="1" outlineLevel="1" thickBot="1">
      <c r="B33" s="443" t="s">
        <v>724</v>
      </c>
      <c r="C33" s="509">
        <f>C34+C35</f>
        <v>45.823</v>
      </c>
      <c r="D33" s="509">
        <f t="shared" ref="D33:F33" si="0">D34+D35</f>
        <v>45.825000000000003</v>
      </c>
      <c r="E33" s="509">
        <f t="shared" si="0"/>
        <v>45.826000000000001</v>
      </c>
      <c r="F33" s="509">
        <f t="shared" si="0"/>
        <v>45.826000000000001</v>
      </c>
      <c r="G33" s="485"/>
      <c r="H33" s="485"/>
      <c r="I33" s="485"/>
      <c r="J33" s="485"/>
      <c r="K33" s="508"/>
      <c r="L33" s="433"/>
      <c r="M33" s="510"/>
      <c r="N33" s="421"/>
      <c r="P33" s="999">
        <f>C33</f>
        <v>45.823</v>
      </c>
      <c r="Q33" s="977"/>
      <c r="R33" s="977"/>
      <c r="S33" s="977"/>
      <c r="T33" s="977"/>
      <c r="U33" s="1000"/>
    </row>
    <row r="34" spans="2:30" ht="15.75" customHeight="1" outlineLevel="1" thickBot="1">
      <c r="B34" s="511" t="s">
        <v>883</v>
      </c>
      <c r="C34" s="512">
        <f>C13/100*73</f>
        <v>7.2999999999999995E-2</v>
      </c>
      <c r="D34" s="512">
        <f>D13/100*75</f>
        <v>7.4999999999999997E-2</v>
      </c>
      <c r="E34" s="512">
        <f>E13/100*76</f>
        <v>7.5999999999999998E-2</v>
      </c>
      <c r="F34" s="512">
        <f>F13/100*76</f>
        <v>7.5999999999999998E-2</v>
      </c>
      <c r="G34" s="513"/>
      <c r="H34" s="513"/>
      <c r="I34" s="513"/>
      <c r="J34" s="513"/>
      <c r="K34" s="439" t="s">
        <v>76</v>
      </c>
      <c r="L34" s="440"/>
      <c r="M34" s="510"/>
      <c r="N34" s="421"/>
      <c r="P34" s="1001">
        <f>C34</f>
        <v>7.2999999999999995E-2</v>
      </c>
      <c r="Q34" s="1002"/>
      <c r="R34" s="1002"/>
      <c r="S34" s="1002"/>
      <c r="T34" s="1002"/>
      <c r="U34" s="1003"/>
    </row>
    <row r="35" spans="2:30" outlineLevel="1">
      <c r="B35" s="511" t="s">
        <v>884</v>
      </c>
      <c r="C35" s="514">
        <v>45.75</v>
      </c>
      <c r="D35" s="514">
        <v>45.75</v>
      </c>
      <c r="E35" s="514">
        <v>45.75</v>
      </c>
      <c r="F35" s="514">
        <v>45.75</v>
      </c>
      <c r="G35" s="513"/>
      <c r="H35" s="513"/>
      <c r="I35" s="513"/>
      <c r="J35" s="513"/>
      <c r="K35" s="515" t="s">
        <v>25</v>
      </c>
      <c r="L35" s="440">
        <v>6</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693" t="s">
        <v>36</v>
      </c>
      <c r="D39" s="693" t="s">
        <v>36</v>
      </c>
      <c r="E39" s="693" t="s">
        <v>36</v>
      </c>
      <c r="F39" s="693" t="s">
        <v>36</v>
      </c>
      <c r="G39" s="523"/>
      <c r="H39" s="523"/>
      <c r="I39" s="523"/>
      <c r="J39" s="523"/>
      <c r="K39" s="523" t="s">
        <v>33</v>
      </c>
      <c r="L39" s="524"/>
      <c r="M39" s="423"/>
      <c r="N39" s="423"/>
      <c r="O39" s="525">
        <f>C12</f>
        <v>95</v>
      </c>
      <c r="P39" s="526">
        <f>C8</f>
        <v>2020</v>
      </c>
      <c r="Q39" s="58">
        <f>P39</f>
        <v>2020</v>
      </c>
      <c r="R39" s="526">
        <f>O39/100</f>
        <v>0.95</v>
      </c>
      <c r="S39" s="58"/>
      <c r="T39" s="526">
        <f>C16</f>
        <v>30</v>
      </c>
      <c r="U39" s="527">
        <f>C46</f>
        <v>20115.000000000004</v>
      </c>
      <c r="V39" s="527">
        <f>C48</f>
        <v>0</v>
      </c>
      <c r="W39" s="527">
        <f>C49</f>
        <v>94.828152777777774</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t="s">
        <v>1049</v>
      </c>
      <c r="L40" s="524"/>
      <c r="M40" s="423"/>
      <c r="N40" s="423"/>
      <c r="O40" s="525">
        <f>D12</f>
        <v>95</v>
      </c>
      <c r="P40" s="526">
        <f>D8</f>
        <v>2030</v>
      </c>
      <c r="Q40" s="58"/>
      <c r="R40" s="526">
        <f>O40/100</f>
        <v>0.95</v>
      </c>
      <c r="S40" s="58"/>
      <c r="T40" s="526">
        <f>D16</f>
        <v>30</v>
      </c>
      <c r="U40" s="527">
        <f>D46</f>
        <v>19511.550000000003</v>
      </c>
      <c r="V40" s="527">
        <f>D48</f>
        <v>0</v>
      </c>
      <c r="W40" s="527">
        <f>D49</f>
        <v>94.832291666666663</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95</v>
      </c>
      <c r="P41" s="526">
        <f>E8</f>
        <v>2040</v>
      </c>
      <c r="Q41" s="58"/>
      <c r="R41" s="526">
        <f>O41/100</f>
        <v>0.95</v>
      </c>
      <c r="S41" s="58"/>
      <c r="T41" s="526">
        <f>E16</f>
        <v>30</v>
      </c>
      <c r="U41" s="527">
        <f>E46</f>
        <v>18908.099999999999</v>
      </c>
      <c r="V41" s="527">
        <f>E48</f>
        <v>0</v>
      </c>
      <c r="W41" s="527">
        <f>E49</f>
        <v>94.834361111111107</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f>
        <v>95</v>
      </c>
      <c r="P42" s="526">
        <f>F8</f>
        <v>2050</v>
      </c>
      <c r="Q42" s="58"/>
      <c r="R42" s="526">
        <f>O42/100</f>
        <v>0.95</v>
      </c>
      <c r="S42" s="58"/>
      <c r="T42" s="526">
        <f>F16</f>
        <v>30</v>
      </c>
      <c r="U42" s="527">
        <f>F46</f>
        <v>18103.5</v>
      </c>
      <c r="V42" s="527">
        <f>F48</f>
        <v>0</v>
      </c>
      <c r="W42" s="527">
        <f>F49</f>
        <v>94.834361111111107</v>
      </c>
      <c r="X42" s="58"/>
      <c r="Y42" s="58"/>
      <c r="Z42" s="526">
        <f>F23</f>
        <v>0</v>
      </c>
      <c r="AA42" s="528">
        <f>F25</f>
        <v>0</v>
      </c>
      <c r="AB42" s="528">
        <f>F26</f>
        <v>0</v>
      </c>
      <c r="AC42" s="528">
        <f>F27</f>
        <v>0</v>
      </c>
      <c r="AD42" s="528">
        <f>F24</f>
        <v>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20115.000000000004</v>
      </c>
      <c r="D46" s="543">
        <f t="shared" ref="D46:F46" si="1">D29*$F$4*1000</f>
        <v>19511.550000000003</v>
      </c>
      <c r="E46" s="543">
        <f t="shared" si="1"/>
        <v>18908.099999999999</v>
      </c>
      <c r="F46" s="543">
        <f t="shared" si="1"/>
        <v>18103.5</v>
      </c>
      <c r="G46" s="543"/>
      <c r="H46" s="544"/>
      <c r="I46" s="480" t="s">
        <v>332</v>
      </c>
      <c r="J46" s="480"/>
      <c r="K46" s="544"/>
      <c r="L46" s="544"/>
      <c r="N46" s="480"/>
    </row>
    <row r="47" spans="2:30" outlineLevel="1">
      <c r="B47" s="545" t="s">
        <v>895</v>
      </c>
      <c r="C47" s="546">
        <f>C46*$I47</f>
        <v>10057500.000000002</v>
      </c>
      <c r="D47" s="546">
        <f>D46*$I47</f>
        <v>9755775.0000000019</v>
      </c>
      <c r="E47" s="546">
        <f>E46*$I47</f>
        <v>9454050</v>
      </c>
      <c r="F47" s="546">
        <f>F46*$I47</f>
        <v>9051750</v>
      </c>
      <c r="G47" s="546"/>
      <c r="H47" s="544"/>
      <c r="I47" s="71">
        <v>500</v>
      </c>
      <c r="J47" s="480" t="s">
        <v>330</v>
      </c>
      <c r="K47" s="544"/>
      <c r="L47" s="544"/>
      <c r="N47" s="480"/>
    </row>
    <row r="48" spans="2:30" ht="43.2" outlineLevel="1">
      <c r="B48" s="521" t="s">
        <v>970</v>
      </c>
      <c r="C48" s="419">
        <f>C32*$F$4/1000</f>
        <v>0</v>
      </c>
      <c r="D48" s="419">
        <f t="shared" ref="D48:F48" si="2">D32*$F$4/1000</f>
        <v>0</v>
      </c>
      <c r="E48" s="419">
        <f t="shared" si="2"/>
        <v>0</v>
      </c>
      <c r="F48" s="419">
        <f t="shared" si="2"/>
        <v>0</v>
      </c>
      <c r="G48" s="419"/>
      <c r="I48" s="480" t="s">
        <v>333</v>
      </c>
      <c r="J48" s="480"/>
      <c r="N48" s="480"/>
    </row>
    <row r="49" spans="2:14" ht="43.2" outlineLevel="1">
      <c r="B49" s="521" t="s">
        <v>971</v>
      </c>
      <c r="C49" s="547">
        <f>C33*$F$4/3.6</f>
        <v>94.828152777777774</v>
      </c>
      <c r="D49" s="547">
        <f t="shared" ref="D49:F49" si="3">D33*$F$4/3.6</f>
        <v>94.832291666666663</v>
      </c>
      <c r="E49" s="547">
        <f t="shared" si="3"/>
        <v>94.834361111111107</v>
      </c>
      <c r="F49" s="547">
        <f t="shared" si="3"/>
        <v>94.834361111111107</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548" t="s">
        <v>898</v>
      </c>
      <c r="C55" s="549"/>
      <c r="E55" s="417"/>
      <c r="F55" s="417"/>
      <c r="G55" s="417"/>
      <c r="H55" s="417"/>
      <c r="I55" s="417"/>
      <c r="J55" s="417"/>
      <c r="K55" s="417"/>
      <c r="L55" s="417"/>
    </row>
    <row r="56" spans="2:14" outlineLevel="1">
      <c r="B56" s="417">
        <v>1</v>
      </c>
      <c r="C56" s="550" t="s">
        <v>1050</v>
      </c>
      <c r="F56" s="417"/>
      <c r="G56" s="417"/>
      <c r="H56" s="417"/>
      <c r="I56" s="417"/>
      <c r="J56" s="417"/>
      <c r="K56" s="417"/>
      <c r="L56" s="417"/>
    </row>
    <row r="57" spans="2:14" outlineLevel="1">
      <c r="B57" s="417">
        <v>2</v>
      </c>
      <c r="C57" s="550" t="s">
        <v>1051</v>
      </c>
      <c r="F57" s="417"/>
      <c r="G57" s="417"/>
      <c r="H57" s="417"/>
      <c r="I57" s="417"/>
      <c r="J57" s="417"/>
      <c r="K57" s="417"/>
      <c r="L57" s="417"/>
    </row>
    <row r="58" spans="2:14" outlineLevel="1">
      <c r="B58" s="417">
        <v>3</v>
      </c>
      <c r="C58" s="550" t="s">
        <v>1003</v>
      </c>
      <c r="F58" s="417"/>
      <c r="G58" s="417"/>
      <c r="H58" s="417"/>
      <c r="I58" s="417"/>
      <c r="J58" s="417"/>
      <c r="K58" s="417"/>
      <c r="L58" s="417"/>
    </row>
    <row r="59" spans="2:14" outlineLevel="1">
      <c r="B59" s="417">
        <v>4</v>
      </c>
      <c r="C59" s="550" t="s">
        <v>1052</v>
      </c>
      <c r="F59" s="417"/>
      <c r="G59" s="417"/>
      <c r="H59" s="417"/>
      <c r="I59" s="417"/>
      <c r="J59" s="417"/>
      <c r="K59" s="417"/>
      <c r="L59" s="417"/>
    </row>
    <row r="60" spans="2:14" outlineLevel="1">
      <c r="B60" s="417">
        <v>5</v>
      </c>
      <c r="C60" s="550" t="s">
        <v>1053</v>
      </c>
      <c r="F60" s="417"/>
      <c r="G60" s="417"/>
      <c r="H60" s="417"/>
      <c r="I60" s="417"/>
      <c r="J60" s="417"/>
      <c r="K60" s="417"/>
      <c r="L60" s="417"/>
    </row>
    <row r="61" spans="2:14" outlineLevel="1">
      <c r="B61" s="417">
        <v>6</v>
      </c>
      <c r="C61" s="550" t="s">
        <v>1054</v>
      </c>
      <c r="F61" s="417"/>
      <c r="G61" s="417"/>
      <c r="H61" s="417"/>
      <c r="I61" s="417"/>
      <c r="J61" s="417"/>
      <c r="K61" s="417"/>
      <c r="L61" s="417"/>
    </row>
    <row r="62" spans="2:14" outlineLevel="1">
      <c r="B62" s="417">
        <v>7</v>
      </c>
      <c r="C62" s="550" t="s">
        <v>1055</v>
      </c>
      <c r="F62" s="417"/>
      <c r="G62" s="417"/>
      <c r="H62" s="417"/>
      <c r="I62" s="417"/>
      <c r="J62" s="417"/>
      <c r="K62" s="417"/>
      <c r="L62" s="417"/>
    </row>
    <row r="63" spans="2:14" outlineLevel="1">
      <c r="B63" s="417">
        <v>8</v>
      </c>
      <c r="C63" s="685" t="s">
        <v>1056</v>
      </c>
      <c r="F63" s="417"/>
      <c r="G63" s="417"/>
      <c r="H63" s="417"/>
      <c r="I63" s="417"/>
      <c r="J63" s="417"/>
      <c r="K63" s="417"/>
      <c r="L63" s="417"/>
    </row>
    <row r="64" spans="2:14" outlineLevel="1">
      <c r="B64" s="417">
        <v>9</v>
      </c>
      <c r="C64" s="550" t="s">
        <v>1057</v>
      </c>
      <c r="F64" s="417"/>
      <c r="G64" s="417"/>
      <c r="H64" s="417"/>
      <c r="I64" s="417"/>
      <c r="J64" s="417"/>
      <c r="K64" s="417"/>
      <c r="L64" s="417"/>
    </row>
    <row r="65" spans="1:44" outlineLevel="1">
      <c r="B65" s="548" t="s">
        <v>908</v>
      </c>
      <c r="C65" s="549"/>
      <c r="F65" s="417"/>
      <c r="G65" s="417"/>
      <c r="H65" s="417"/>
      <c r="I65" s="417"/>
      <c r="J65" s="417"/>
      <c r="K65" s="417"/>
      <c r="L65" s="417"/>
    </row>
    <row r="66" spans="1:44" outlineLevel="1">
      <c r="B66" s="556" t="s">
        <v>6</v>
      </c>
      <c r="C66" s="550" t="s">
        <v>1058</v>
      </c>
      <c r="D66" s="549"/>
      <c r="F66" s="417"/>
      <c r="G66" s="417"/>
      <c r="H66" s="417"/>
      <c r="I66" s="417"/>
      <c r="J66" s="417"/>
      <c r="K66" s="417"/>
      <c r="L66" s="417"/>
    </row>
    <row r="67" spans="1:44" outlineLevel="1">
      <c r="B67" s="556" t="s">
        <v>59</v>
      </c>
      <c r="C67" s="550" t="s">
        <v>1059</v>
      </c>
      <c r="D67" s="549"/>
      <c r="F67" s="417"/>
      <c r="G67" s="417"/>
      <c r="H67" s="417"/>
      <c r="I67" s="417"/>
      <c r="J67" s="417"/>
      <c r="K67" s="417"/>
      <c r="L67" s="417"/>
    </row>
    <row r="68" spans="1:44" outlineLevel="1">
      <c r="B68" s="556" t="s">
        <v>16</v>
      </c>
      <c r="C68" s="550" t="s">
        <v>1060</v>
      </c>
      <c r="D68" s="549"/>
      <c r="F68" s="417"/>
      <c r="G68" s="417"/>
      <c r="H68" s="417"/>
      <c r="I68" s="417"/>
      <c r="J68" s="417"/>
      <c r="K68" s="417"/>
      <c r="L68" s="417"/>
    </row>
    <row r="69" spans="1:44" outlineLevel="1">
      <c r="B69" s="556" t="s">
        <v>20</v>
      </c>
      <c r="C69" s="550" t="s">
        <v>1061</v>
      </c>
      <c r="D69" s="549"/>
      <c r="F69" s="417"/>
      <c r="G69" s="417"/>
      <c r="H69" s="417"/>
      <c r="I69" s="417"/>
      <c r="J69" s="417"/>
      <c r="K69" s="417"/>
      <c r="L69" s="417"/>
    </row>
    <row r="70" spans="1:44" outlineLevel="1">
      <c r="B70" s="556" t="s">
        <v>76</v>
      </c>
      <c r="C70" s="688" t="s">
        <v>913</v>
      </c>
      <c r="D70" s="549"/>
      <c r="G70" s="417"/>
      <c r="H70" s="417"/>
      <c r="I70" s="417"/>
      <c r="J70" s="417"/>
      <c r="K70" s="417"/>
      <c r="L70" s="417"/>
    </row>
    <row r="71" spans="1:44" outlineLevel="1">
      <c r="B71" s="556" t="s">
        <v>25</v>
      </c>
      <c r="C71" s="550" t="s">
        <v>1062</v>
      </c>
      <c r="D71" s="549"/>
      <c r="E71" s="550"/>
      <c r="F71" s="550"/>
    </row>
    <row r="72" spans="1:44" outlineLevel="1">
      <c r="B72" s="556" t="s">
        <v>33</v>
      </c>
      <c r="C72" s="550" t="s">
        <v>1008</v>
      </c>
      <c r="D72" s="549"/>
    </row>
    <row r="73" spans="1:44" outlineLevel="1">
      <c r="B73" s="556" t="s">
        <v>51</v>
      </c>
      <c r="C73" s="550" t="s">
        <v>1063</v>
      </c>
      <c r="D73" s="549"/>
    </row>
    <row r="74" spans="1:44" outlineLevel="1">
      <c r="B74" s="556" t="s">
        <v>52</v>
      </c>
      <c r="C74" s="550" t="s">
        <v>1064</v>
      </c>
      <c r="D74" s="549"/>
    </row>
    <row r="75" spans="1:44">
      <c r="B75" s="556"/>
      <c r="C75" s="558"/>
      <c r="D75" s="549"/>
    </row>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1">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27977-0B47-4F6B-B049-E5C915C334F5}">
  <sheetPr>
    <tabColor theme="3"/>
  </sheetPr>
  <dimension ref="A2:AS345"/>
  <sheetViews>
    <sheetView topLeftCell="Q1" zoomScale="80" zoomScaleNormal="80" workbookViewId="0">
      <selection activeCell="AC23" sqref="AC23"/>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Infrared heating</v>
      </c>
    </row>
    <row r="4" spans="1:45" ht="25.2" customHeight="1">
      <c r="E4" s="239" t="s">
        <v>358</v>
      </c>
      <c r="F4" s="419">
        <v>7.45</v>
      </c>
      <c r="G4" s="419" t="s">
        <v>328</v>
      </c>
    </row>
    <row r="5" spans="1:45" ht="15" customHeight="1">
      <c r="A5" s="420" t="s">
        <v>1093</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1075</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0.1</v>
      </c>
      <c r="D10" s="432">
        <v>0.1</v>
      </c>
      <c r="E10" s="432">
        <v>0.1</v>
      </c>
      <c r="F10" s="432">
        <v>0.1</v>
      </c>
      <c r="G10" s="432">
        <v>0.01</v>
      </c>
      <c r="H10" s="432">
        <v>0.2</v>
      </c>
      <c r="I10" s="432">
        <v>0.01</v>
      </c>
      <c r="J10" s="432">
        <v>0.2</v>
      </c>
      <c r="K10" s="432" t="s">
        <v>6</v>
      </c>
      <c r="L10" s="433">
        <v>1</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96</v>
      </c>
      <c r="D11" s="437">
        <v>96</v>
      </c>
      <c r="E11" s="438">
        <v>96</v>
      </c>
      <c r="F11" s="437">
        <v>96</v>
      </c>
      <c r="G11" s="437">
        <v>90</v>
      </c>
      <c r="H11" s="437">
        <v>100</v>
      </c>
      <c r="I11" s="437">
        <v>90</v>
      </c>
      <c r="J11" s="437">
        <v>100</v>
      </c>
      <c r="K11" s="439" t="s">
        <v>963</v>
      </c>
      <c r="L11" s="440">
        <v>2</v>
      </c>
      <c r="M11" s="430"/>
      <c r="N11" s="430"/>
      <c r="P11" s="1042" t="str">
        <f>C7</f>
        <v>Infrared heating</v>
      </c>
      <c r="Q11" s="1030" t="s">
        <v>855</v>
      </c>
      <c r="R11" s="441" t="s">
        <v>856</v>
      </c>
      <c r="S11" s="442"/>
      <c r="T11" s="1033">
        <v>0</v>
      </c>
      <c r="U11" s="1021">
        <v>0</v>
      </c>
      <c r="V11" s="1024">
        <v>0</v>
      </c>
      <c r="W11" s="1021">
        <v>0</v>
      </c>
      <c r="X11" s="1024">
        <v>0</v>
      </c>
      <c r="Y11" s="1021">
        <v>0</v>
      </c>
      <c r="Z11" s="1024">
        <v>0</v>
      </c>
      <c r="AA11" s="1021">
        <v>0</v>
      </c>
      <c r="AB11" s="1024">
        <v>0</v>
      </c>
      <c r="AC11" s="1021">
        <v>0</v>
      </c>
      <c r="AD11" s="1024">
        <f>AB11</f>
        <v>0</v>
      </c>
      <c r="AE11" s="1021">
        <f>AC11</f>
        <v>0</v>
      </c>
      <c r="AF11" s="1027" t="str">
        <f>P11</f>
        <v>Infrared heating</v>
      </c>
      <c r="AG11" s="1030" t="s">
        <v>855</v>
      </c>
      <c r="AH11" s="441" t="s">
        <v>856</v>
      </c>
      <c r="AI11" s="442"/>
      <c r="AJ11" s="1033">
        <v>0</v>
      </c>
      <c r="AK11" s="1021">
        <v>0</v>
      </c>
      <c r="AL11" s="1024">
        <v>0</v>
      </c>
      <c r="AM11" s="1021">
        <v>0</v>
      </c>
      <c r="AN11" s="1024">
        <v>0</v>
      </c>
      <c r="AO11" s="1021">
        <v>0</v>
      </c>
      <c r="AP11" s="1024">
        <v>0</v>
      </c>
      <c r="AQ11" s="1021">
        <v>0</v>
      </c>
      <c r="AR11" s="1024">
        <v>0</v>
      </c>
      <c r="AS11" s="1021">
        <v>0</v>
      </c>
    </row>
    <row r="12" spans="1:45" ht="32.700000000000003" customHeight="1" outlineLevel="1">
      <c r="B12" s="443" t="s">
        <v>857</v>
      </c>
      <c r="C12" s="444">
        <v>96</v>
      </c>
      <c r="D12" s="444">
        <v>96</v>
      </c>
      <c r="E12" s="444">
        <v>96</v>
      </c>
      <c r="F12" s="444">
        <v>96</v>
      </c>
      <c r="G12" s="445">
        <v>90</v>
      </c>
      <c r="H12" s="445">
        <v>100</v>
      </c>
      <c r="I12" s="445">
        <v>90</v>
      </c>
      <c r="J12" s="445">
        <v>100</v>
      </c>
      <c r="K12" s="446"/>
      <c r="L12" s="447"/>
      <c r="M12" s="430"/>
      <c r="N12" s="430"/>
      <c r="O12" s="71"/>
      <c r="P12" s="1028"/>
      <c r="Q12" s="1031"/>
      <c r="R12" s="448" t="s">
        <v>858</v>
      </c>
      <c r="S12" s="449"/>
      <c r="T12" s="1034"/>
      <c r="U12" s="1022"/>
      <c r="V12" s="1025"/>
      <c r="W12" s="1022"/>
      <c r="X12" s="1025"/>
      <c r="Y12" s="1022"/>
      <c r="Z12" s="1025"/>
      <c r="AA12" s="1022"/>
      <c r="AB12" s="1025"/>
      <c r="AC12" s="1022"/>
      <c r="AD12" s="1025"/>
      <c r="AE12" s="1022"/>
      <c r="AF12" s="1028"/>
      <c r="AG12" s="1031"/>
      <c r="AH12" s="448" t="s">
        <v>858</v>
      </c>
      <c r="AI12" s="449"/>
      <c r="AJ12" s="1034"/>
      <c r="AK12" s="1022"/>
      <c r="AL12" s="1025"/>
      <c r="AM12" s="1022"/>
      <c r="AN12" s="1025"/>
      <c r="AO12" s="1022"/>
      <c r="AP12" s="1025"/>
      <c r="AQ12" s="1022"/>
      <c r="AR12" s="1025"/>
      <c r="AS12" s="1022"/>
    </row>
    <row r="13" spans="1:45" ht="15" outlineLevel="1" thickBot="1">
      <c r="B13" s="436" t="s">
        <v>859</v>
      </c>
      <c r="C13" s="450">
        <v>0.1</v>
      </c>
      <c r="D13" s="451">
        <v>0.1</v>
      </c>
      <c r="E13" s="451">
        <v>0.1</v>
      </c>
      <c r="F13" s="452">
        <v>0.1</v>
      </c>
      <c r="G13" s="451">
        <v>0</v>
      </c>
      <c r="H13" s="451">
        <v>0.2</v>
      </c>
      <c r="I13" s="451">
        <v>0</v>
      </c>
      <c r="J13" s="451">
        <v>0.2</v>
      </c>
      <c r="K13" s="439"/>
      <c r="L13" s="440">
        <v>3</v>
      </c>
      <c r="M13" s="430"/>
      <c r="N13" s="430"/>
      <c r="O13" s="71"/>
      <c r="P13" s="1028"/>
      <c r="Q13" s="1032"/>
      <c r="R13" s="453" t="s">
        <v>860</v>
      </c>
      <c r="S13" s="454"/>
      <c r="T13" s="1035"/>
      <c r="U13" s="1023"/>
      <c r="V13" s="1026"/>
      <c r="W13" s="1023"/>
      <c r="X13" s="1026"/>
      <c r="Y13" s="1023"/>
      <c r="Z13" s="1026"/>
      <c r="AA13" s="1023"/>
      <c r="AB13" s="1026"/>
      <c r="AC13" s="1023"/>
      <c r="AD13" s="1026"/>
      <c r="AE13" s="1023"/>
      <c r="AF13" s="1028"/>
      <c r="AG13" s="1032"/>
      <c r="AH13" s="453" t="s">
        <v>860</v>
      </c>
      <c r="AI13" s="454"/>
      <c r="AJ13" s="1035"/>
      <c r="AK13" s="1023"/>
      <c r="AL13" s="1026"/>
      <c r="AM13" s="1023"/>
      <c r="AN13" s="1026"/>
      <c r="AO13" s="1023"/>
      <c r="AP13" s="1026"/>
      <c r="AQ13" s="1023"/>
      <c r="AR13" s="1026"/>
      <c r="AS13" s="1023"/>
    </row>
    <row r="14" spans="1:45" ht="15" customHeight="1" outlineLevel="1">
      <c r="B14" s="436" t="s">
        <v>702</v>
      </c>
      <c r="C14" s="450">
        <v>0.1</v>
      </c>
      <c r="D14" s="450">
        <v>0.1</v>
      </c>
      <c r="E14" s="450">
        <v>0.1</v>
      </c>
      <c r="F14" s="450">
        <v>0.1</v>
      </c>
      <c r="G14" s="450">
        <v>0</v>
      </c>
      <c r="H14" s="450">
        <v>0.2</v>
      </c>
      <c r="I14" s="450">
        <v>0</v>
      </c>
      <c r="J14" s="450">
        <v>0.2</v>
      </c>
      <c r="K14" s="439"/>
      <c r="L14" s="440">
        <v>3</v>
      </c>
      <c r="M14" s="430"/>
      <c r="N14" s="430"/>
      <c r="O14" s="71"/>
      <c r="P14" s="1028"/>
      <c r="Q14" s="1030" t="s">
        <v>861</v>
      </c>
      <c r="R14" s="455" t="s">
        <v>862</v>
      </c>
      <c r="S14" s="456" t="s">
        <v>863</v>
      </c>
      <c r="T14" s="1033">
        <v>0.05</v>
      </c>
      <c r="U14" s="1033">
        <v>0.04</v>
      </c>
      <c r="V14" s="1033">
        <v>0.05</v>
      </c>
      <c r="W14" s="1033">
        <v>0.05</v>
      </c>
      <c r="X14" s="1033">
        <v>0.03</v>
      </c>
      <c r="Y14" s="1033">
        <v>0.02</v>
      </c>
      <c r="Z14" s="1033">
        <v>0.03</v>
      </c>
      <c r="AA14" s="1033">
        <v>0.01</v>
      </c>
      <c r="AB14" s="1033">
        <v>0</v>
      </c>
      <c r="AC14" s="1021">
        <v>0.05</v>
      </c>
      <c r="AD14" s="1033">
        <f>AB14</f>
        <v>0</v>
      </c>
      <c r="AE14" s="1021">
        <v>0</v>
      </c>
      <c r="AF14" s="1028"/>
      <c r="AG14" s="1030" t="s">
        <v>861</v>
      </c>
      <c r="AH14" s="455" t="s">
        <v>862</v>
      </c>
      <c r="AI14" s="456" t="s">
        <v>863</v>
      </c>
      <c r="AJ14" s="1033">
        <v>0.05</v>
      </c>
      <c r="AK14" s="1033">
        <v>0.04</v>
      </c>
      <c r="AL14" s="1033">
        <v>0.05</v>
      </c>
      <c r="AM14" s="1033">
        <v>0.05</v>
      </c>
      <c r="AN14" s="1033">
        <v>0.03</v>
      </c>
      <c r="AO14" s="1033">
        <v>0.02</v>
      </c>
      <c r="AP14" s="1033">
        <v>0.03</v>
      </c>
      <c r="AQ14" s="1033">
        <v>0.01</v>
      </c>
      <c r="AR14" s="1033">
        <v>0</v>
      </c>
      <c r="AS14" s="1021">
        <v>0.05</v>
      </c>
    </row>
    <row r="15" spans="1:45" outlineLevel="1">
      <c r="B15" s="436" t="s">
        <v>703</v>
      </c>
      <c r="C15" s="450">
        <v>0</v>
      </c>
      <c r="D15" s="450">
        <v>0</v>
      </c>
      <c r="E15" s="450">
        <v>0</v>
      </c>
      <c r="F15" s="450">
        <v>0</v>
      </c>
      <c r="G15" s="450">
        <v>0</v>
      </c>
      <c r="H15" s="450">
        <v>0.1</v>
      </c>
      <c r="I15" s="450">
        <v>0</v>
      </c>
      <c r="J15" s="450">
        <v>0.1</v>
      </c>
      <c r="K15" s="439"/>
      <c r="L15" s="440">
        <v>3</v>
      </c>
      <c r="M15" s="427"/>
      <c r="N15" s="427"/>
      <c r="O15" s="71"/>
      <c r="P15" s="1028"/>
      <c r="Q15" s="1031"/>
      <c r="R15" s="455" t="s">
        <v>864</v>
      </c>
      <c r="S15" s="456" t="s">
        <v>863</v>
      </c>
      <c r="T15" s="1036"/>
      <c r="U15" s="1036"/>
      <c r="V15" s="1036"/>
      <c r="W15" s="1036"/>
      <c r="X15" s="1036"/>
      <c r="Y15" s="1036"/>
      <c r="Z15" s="1036"/>
      <c r="AA15" s="1036"/>
      <c r="AB15" s="1036"/>
      <c r="AC15" s="1038"/>
      <c r="AD15" s="1036"/>
      <c r="AE15" s="1038"/>
      <c r="AF15" s="1028"/>
      <c r="AG15" s="1031"/>
      <c r="AH15" s="455" t="s">
        <v>864</v>
      </c>
      <c r="AI15" s="456" t="s">
        <v>863</v>
      </c>
      <c r="AJ15" s="1036"/>
      <c r="AK15" s="1036"/>
      <c r="AL15" s="1036"/>
      <c r="AM15" s="1036"/>
      <c r="AN15" s="1036"/>
      <c r="AO15" s="1036"/>
      <c r="AP15" s="1036"/>
      <c r="AQ15" s="1036"/>
      <c r="AR15" s="1036"/>
      <c r="AS15" s="1038"/>
    </row>
    <row r="16" spans="1:45" outlineLevel="1">
      <c r="B16" s="443" t="s">
        <v>11</v>
      </c>
      <c r="C16" s="457">
        <v>30</v>
      </c>
      <c r="D16" s="457">
        <v>30</v>
      </c>
      <c r="E16" s="457">
        <v>30</v>
      </c>
      <c r="F16" s="457">
        <v>30</v>
      </c>
      <c r="G16" s="458">
        <v>20</v>
      </c>
      <c r="H16" s="458">
        <v>35</v>
      </c>
      <c r="I16" s="458">
        <v>20</v>
      </c>
      <c r="J16" s="458">
        <v>35</v>
      </c>
      <c r="K16" s="432"/>
      <c r="L16" s="433">
        <v>4</v>
      </c>
      <c r="M16" s="423"/>
      <c r="N16" s="423"/>
      <c r="P16" s="1028"/>
      <c r="Q16" s="1031"/>
      <c r="R16" s="455" t="s">
        <v>866</v>
      </c>
      <c r="S16" s="456"/>
      <c r="T16" s="1036"/>
      <c r="U16" s="1036"/>
      <c r="V16" s="1036"/>
      <c r="W16" s="1036"/>
      <c r="X16" s="1036"/>
      <c r="Y16" s="1036"/>
      <c r="Z16" s="1036"/>
      <c r="AA16" s="1036"/>
      <c r="AB16" s="1036"/>
      <c r="AC16" s="1038"/>
      <c r="AD16" s="1036"/>
      <c r="AE16" s="1038"/>
      <c r="AF16" s="1028"/>
      <c r="AG16" s="1031"/>
      <c r="AH16" s="455" t="s">
        <v>866</v>
      </c>
      <c r="AI16" s="689"/>
      <c r="AJ16" s="1036"/>
      <c r="AK16" s="1036"/>
      <c r="AL16" s="1036"/>
      <c r="AM16" s="1036"/>
      <c r="AN16" s="1036"/>
      <c r="AO16" s="1036"/>
      <c r="AP16" s="1036"/>
      <c r="AQ16" s="1036"/>
      <c r="AR16" s="1036"/>
      <c r="AS16" s="1038"/>
    </row>
    <row r="17" spans="1:45" ht="15" outlineLevel="1" thickBot="1">
      <c r="B17" s="436" t="s">
        <v>273</v>
      </c>
      <c r="C17" s="459">
        <v>0.1</v>
      </c>
      <c r="D17" s="459">
        <v>0.1</v>
      </c>
      <c r="E17" s="459">
        <v>0.1</v>
      </c>
      <c r="F17" s="459">
        <v>0.1</v>
      </c>
      <c r="G17" s="459">
        <v>0.05</v>
      </c>
      <c r="H17" s="459">
        <v>0.1</v>
      </c>
      <c r="I17" s="459">
        <v>0.05</v>
      </c>
      <c r="J17" s="459">
        <v>0.1</v>
      </c>
      <c r="K17" s="432"/>
      <c r="L17" s="460">
        <v>3</v>
      </c>
      <c r="M17" s="423"/>
      <c r="N17" s="423"/>
      <c r="P17" s="1028"/>
      <c r="Q17" s="1031"/>
      <c r="R17" s="455" t="s">
        <v>867</v>
      </c>
      <c r="S17" s="456"/>
      <c r="T17" s="1036"/>
      <c r="U17" s="1036"/>
      <c r="V17" s="1036"/>
      <c r="W17" s="1036"/>
      <c r="X17" s="1036"/>
      <c r="Y17" s="1036"/>
      <c r="Z17" s="1036"/>
      <c r="AA17" s="1036"/>
      <c r="AB17" s="1036"/>
      <c r="AC17" s="1038"/>
      <c r="AD17" s="1036"/>
      <c r="AE17" s="1038"/>
      <c r="AF17" s="1028"/>
      <c r="AG17" s="1031"/>
      <c r="AH17" s="455" t="s">
        <v>867</v>
      </c>
      <c r="AI17" s="456"/>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c r="T18" s="1037"/>
      <c r="U18" s="1037"/>
      <c r="V18" s="1037"/>
      <c r="W18" s="1037"/>
      <c r="X18" s="1037"/>
      <c r="Y18" s="1037"/>
      <c r="Z18" s="1037"/>
      <c r="AA18" s="1037"/>
      <c r="AB18" s="1037"/>
      <c r="AC18" s="1039"/>
      <c r="AD18" s="1037"/>
      <c r="AE18" s="1039"/>
      <c r="AF18" s="1028"/>
      <c r="AG18" s="1032"/>
      <c r="AH18" s="469" t="s">
        <v>988</v>
      </c>
      <c r="AI18" s="470"/>
      <c r="AJ18" s="1037"/>
      <c r="AK18" s="1037"/>
      <c r="AL18" s="1037"/>
      <c r="AM18" s="1037"/>
      <c r="AN18" s="1037"/>
      <c r="AO18" s="1037"/>
      <c r="AP18" s="1037"/>
      <c r="AQ18" s="1037"/>
      <c r="AR18" s="1037"/>
      <c r="AS18" s="1039"/>
    </row>
    <row r="19" spans="1:45" ht="29.4" outlineLevel="1" thickBot="1">
      <c r="B19" s="436" t="s">
        <v>708</v>
      </c>
      <c r="C19" s="450">
        <v>10</v>
      </c>
      <c r="D19" s="450">
        <v>10</v>
      </c>
      <c r="E19" s="450">
        <v>10</v>
      </c>
      <c r="F19" s="450">
        <v>10</v>
      </c>
      <c r="G19" s="451"/>
      <c r="H19" s="451"/>
      <c r="I19" s="451"/>
      <c r="J19" s="451"/>
      <c r="K19" s="439" t="s">
        <v>20</v>
      </c>
      <c r="L19" s="440"/>
      <c r="M19" s="423"/>
      <c r="N19" s="423"/>
      <c r="P19" s="1029"/>
      <c r="Q19" s="471" t="s">
        <v>870</v>
      </c>
      <c r="R19" s="472" t="s">
        <v>871</v>
      </c>
      <c r="S19" s="690"/>
      <c r="T19" s="476">
        <v>0</v>
      </c>
      <c r="U19" s="475">
        <v>0</v>
      </c>
      <c r="V19" s="476">
        <v>0</v>
      </c>
      <c r="W19" s="475">
        <v>0</v>
      </c>
      <c r="X19" s="476">
        <v>0</v>
      </c>
      <c r="Y19" s="475">
        <v>0</v>
      </c>
      <c r="Z19" s="476">
        <v>0</v>
      </c>
      <c r="AA19" s="475">
        <v>0</v>
      </c>
      <c r="AB19" s="476">
        <v>0</v>
      </c>
      <c r="AC19" s="477">
        <v>0</v>
      </c>
      <c r="AD19" s="476">
        <f>AB19</f>
        <v>0</v>
      </c>
      <c r="AE19" s="477">
        <f>AC19</f>
        <v>0</v>
      </c>
      <c r="AF19" s="1029"/>
      <c r="AG19" s="471" t="s">
        <v>870</v>
      </c>
      <c r="AH19" s="691" t="s">
        <v>871</v>
      </c>
      <c r="AI19" s="692"/>
      <c r="AJ19" s="476">
        <v>0</v>
      </c>
      <c r="AK19" s="475">
        <v>0</v>
      </c>
      <c r="AL19" s="476">
        <v>0</v>
      </c>
      <c r="AM19" s="475">
        <v>0</v>
      </c>
      <c r="AN19" s="476">
        <v>0</v>
      </c>
      <c r="AO19" s="475">
        <v>0</v>
      </c>
      <c r="AP19" s="476">
        <v>0</v>
      </c>
      <c r="AQ19" s="475">
        <v>0</v>
      </c>
      <c r="AR19" s="476">
        <v>0</v>
      </c>
      <c r="AS19" s="477">
        <v>0</v>
      </c>
    </row>
    <row r="20" spans="1:45" outlineLevel="1">
      <c r="B20" s="436" t="s">
        <v>709</v>
      </c>
      <c r="C20" s="450">
        <v>0</v>
      </c>
      <c r="D20" s="450">
        <v>0</v>
      </c>
      <c r="E20" s="450">
        <v>0</v>
      </c>
      <c r="F20" s="450">
        <v>0</v>
      </c>
      <c r="G20" s="478"/>
      <c r="H20" s="478"/>
      <c r="I20" s="478"/>
      <c r="J20" s="478"/>
      <c r="K20" s="479"/>
      <c r="L20" s="440">
        <v>2</v>
      </c>
      <c r="M20" s="423"/>
      <c r="N20" s="423"/>
    </row>
    <row r="21" spans="1:45" outlineLevel="1">
      <c r="B21" s="436" t="s">
        <v>711</v>
      </c>
      <c r="C21" s="450">
        <v>0</v>
      </c>
      <c r="D21" s="450">
        <v>0</v>
      </c>
      <c r="E21" s="450">
        <v>0</v>
      </c>
      <c r="F21" s="450">
        <v>0</v>
      </c>
      <c r="G21" s="478"/>
      <c r="H21" s="478"/>
      <c r="I21" s="478"/>
      <c r="J21" s="478"/>
      <c r="K21" s="479"/>
      <c r="L21" s="440">
        <v>2</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611">
        <v>0.35</v>
      </c>
      <c r="D29" s="707">
        <v>0.34</v>
      </c>
      <c r="E29" s="707">
        <v>0.33</v>
      </c>
      <c r="F29" s="708">
        <v>0.315</v>
      </c>
      <c r="G29" s="485"/>
      <c r="H29" s="485"/>
      <c r="I29" s="485"/>
      <c r="J29" s="485"/>
      <c r="K29" s="486" t="s">
        <v>76</v>
      </c>
      <c r="L29" s="500">
        <v>1</v>
      </c>
      <c r="M29" s="480"/>
      <c r="N29" s="480"/>
    </row>
    <row r="30" spans="1:45" outlineLevel="1">
      <c r="B30" s="501" t="s">
        <v>964</v>
      </c>
      <c r="C30" s="502">
        <v>85</v>
      </c>
      <c r="D30" s="502">
        <v>85</v>
      </c>
      <c r="E30" s="502">
        <v>85</v>
      </c>
      <c r="F30" s="502">
        <v>85</v>
      </c>
      <c r="G30" s="485"/>
      <c r="H30" s="485"/>
      <c r="I30" s="485"/>
      <c r="J30" s="485"/>
      <c r="K30" s="504" t="s">
        <v>76</v>
      </c>
      <c r="L30" s="433">
        <v>2</v>
      </c>
      <c r="M30" s="71"/>
      <c r="N30" s="480"/>
    </row>
    <row r="31" spans="1:45" outlineLevel="1">
      <c r="B31" s="501" t="s">
        <v>965</v>
      </c>
      <c r="C31" s="502">
        <v>15</v>
      </c>
      <c r="D31" s="502">
        <v>15</v>
      </c>
      <c r="E31" s="502">
        <v>15</v>
      </c>
      <c r="F31" s="502">
        <v>15</v>
      </c>
      <c r="G31" s="485"/>
      <c r="H31" s="485"/>
      <c r="I31" s="485"/>
      <c r="J31" s="485"/>
      <c r="K31" s="504" t="s">
        <v>76</v>
      </c>
      <c r="L31" s="433">
        <v>2</v>
      </c>
      <c r="M31" s="480"/>
      <c r="N31" s="480"/>
    </row>
    <row r="32" spans="1:45" outlineLevel="1">
      <c r="B32" s="443" t="s">
        <v>966</v>
      </c>
      <c r="C32" s="662">
        <v>0</v>
      </c>
      <c r="D32" s="663">
        <v>0</v>
      </c>
      <c r="E32" s="663">
        <v>0</v>
      </c>
      <c r="F32" s="664">
        <v>0</v>
      </c>
      <c r="G32" s="485"/>
      <c r="H32" s="485"/>
      <c r="I32" s="485"/>
      <c r="J32" s="485"/>
      <c r="K32" s="508"/>
      <c r="L32" s="433"/>
      <c r="M32" s="480"/>
      <c r="N32" s="480"/>
    </row>
    <row r="33" spans="2:30" ht="37.200000000000003" customHeight="1" outlineLevel="1" thickBot="1">
      <c r="B33" s="443" t="s">
        <v>724</v>
      </c>
      <c r="C33" s="509">
        <f>C34+C35</f>
        <v>117.07299999999999</v>
      </c>
      <c r="D33" s="509">
        <f t="shared" ref="D33:F33" si="0">D34+D35</f>
        <v>117.075</v>
      </c>
      <c r="E33" s="509">
        <f t="shared" si="0"/>
        <v>117.07599999999999</v>
      </c>
      <c r="F33" s="509">
        <f t="shared" si="0"/>
        <v>117.07599999999999</v>
      </c>
      <c r="G33" s="485"/>
      <c r="H33" s="485"/>
      <c r="I33" s="485"/>
      <c r="J33" s="485"/>
      <c r="K33" s="508"/>
      <c r="L33" s="433"/>
      <c r="M33" s="510"/>
      <c r="N33" s="421"/>
      <c r="P33" s="999">
        <f>C33</f>
        <v>117.07299999999999</v>
      </c>
      <c r="Q33" s="977"/>
      <c r="R33" s="977"/>
      <c r="S33" s="977"/>
      <c r="T33" s="977"/>
      <c r="U33" s="1000"/>
    </row>
    <row r="34" spans="2:30" ht="15.75" customHeight="1" outlineLevel="1" thickBot="1">
      <c r="B34" s="511" t="s">
        <v>883</v>
      </c>
      <c r="C34" s="512">
        <f>C13/100*73</f>
        <v>7.2999999999999995E-2</v>
      </c>
      <c r="D34" s="512">
        <f>D13/100*75</f>
        <v>7.4999999999999997E-2</v>
      </c>
      <c r="E34" s="512">
        <f>E13/100*76</f>
        <v>7.5999999999999998E-2</v>
      </c>
      <c r="F34" s="512">
        <f>F13/100*76</f>
        <v>7.5999999999999998E-2</v>
      </c>
      <c r="G34" s="513"/>
      <c r="H34" s="513"/>
      <c r="I34" s="513"/>
      <c r="J34" s="513"/>
      <c r="K34" s="439" t="s">
        <v>25</v>
      </c>
      <c r="L34" s="440"/>
      <c r="M34" s="510"/>
      <c r="N34" s="421"/>
      <c r="P34" s="1001">
        <f>C34</f>
        <v>7.2999999999999995E-2</v>
      </c>
      <c r="Q34" s="1002"/>
      <c r="R34" s="1002"/>
      <c r="S34" s="1002"/>
      <c r="T34" s="1002"/>
      <c r="U34" s="1003"/>
    </row>
    <row r="35" spans="2:30" outlineLevel="1">
      <c r="B35" s="511" t="s">
        <v>884</v>
      </c>
      <c r="C35" s="514">
        <v>117</v>
      </c>
      <c r="D35" s="514">
        <v>117</v>
      </c>
      <c r="E35" s="514">
        <v>117</v>
      </c>
      <c r="F35" s="514">
        <v>117</v>
      </c>
      <c r="G35" s="513"/>
      <c r="H35" s="513"/>
      <c r="I35" s="513"/>
      <c r="J35" s="513"/>
      <c r="K35" s="515" t="s">
        <v>33</v>
      </c>
      <c r="L35" s="440">
        <v>1</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693" t="s">
        <v>36</v>
      </c>
      <c r="D39" s="693" t="s">
        <v>36</v>
      </c>
      <c r="E39" s="693" t="s">
        <v>36</v>
      </c>
      <c r="F39" s="693" t="s">
        <v>36</v>
      </c>
      <c r="G39" s="523"/>
      <c r="H39" s="523"/>
      <c r="I39" s="523"/>
      <c r="J39" s="523"/>
      <c r="K39" s="523" t="s">
        <v>51</v>
      </c>
      <c r="L39" s="524"/>
      <c r="M39" s="423"/>
      <c r="N39" s="423"/>
      <c r="O39" s="525">
        <f>C12</f>
        <v>96</v>
      </c>
      <c r="P39" s="526">
        <f>C8</f>
        <v>2020</v>
      </c>
      <c r="Q39" s="58">
        <f>P39</f>
        <v>2020</v>
      </c>
      <c r="R39" s="526">
        <f>O39/100</f>
        <v>0.96</v>
      </c>
      <c r="S39" s="58"/>
      <c r="T39" s="526">
        <f>C16</f>
        <v>30</v>
      </c>
      <c r="U39" s="527">
        <f>C46</f>
        <v>2607.5</v>
      </c>
      <c r="V39" s="527">
        <f>C48</f>
        <v>0</v>
      </c>
      <c r="W39" s="527">
        <f>C49</f>
        <v>242.27606944444443</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t="s">
        <v>1076</v>
      </c>
      <c r="L40" s="524"/>
      <c r="M40" s="423"/>
      <c r="N40" s="423"/>
      <c r="O40" s="525">
        <f>D12</f>
        <v>96</v>
      </c>
      <c r="P40" s="526">
        <f>D8</f>
        <v>2030</v>
      </c>
      <c r="Q40" s="58"/>
      <c r="R40" s="526">
        <f>O40/100</f>
        <v>0.96</v>
      </c>
      <c r="S40" s="58"/>
      <c r="T40" s="526">
        <f>D16</f>
        <v>30</v>
      </c>
      <c r="U40" s="527">
        <f>D46</f>
        <v>2533.0000000000005</v>
      </c>
      <c r="V40" s="527">
        <f>D48</f>
        <v>0</v>
      </c>
      <c r="W40" s="527">
        <f>D49</f>
        <v>242.28020833333332</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96</v>
      </c>
      <c r="P41" s="526">
        <f>E8</f>
        <v>2040</v>
      </c>
      <c r="Q41" s="58"/>
      <c r="R41" s="526">
        <f>O41/100</f>
        <v>0.96</v>
      </c>
      <c r="S41" s="58"/>
      <c r="T41" s="526">
        <f>E16</f>
        <v>30</v>
      </c>
      <c r="U41" s="527">
        <f>E46</f>
        <v>2458.5000000000005</v>
      </c>
      <c r="V41" s="527">
        <f>E48</f>
        <v>0</v>
      </c>
      <c r="W41" s="527">
        <f>E49</f>
        <v>242.28227777777775</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f>
        <v>96</v>
      </c>
      <c r="P42" s="526">
        <f>F8</f>
        <v>2050</v>
      </c>
      <c r="Q42" s="58"/>
      <c r="R42" s="526">
        <f>O42/100</f>
        <v>0.96</v>
      </c>
      <c r="S42" s="58"/>
      <c r="T42" s="526">
        <f>F16</f>
        <v>30</v>
      </c>
      <c r="U42" s="527">
        <f>F46</f>
        <v>2346.75</v>
      </c>
      <c r="V42" s="527">
        <f>F48</f>
        <v>0</v>
      </c>
      <c r="W42" s="527">
        <f>F49</f>
        <v>242.28227777777775</v>
      </c>
      <c r="X42" s="58"/>
      <c r="Y42" s="58"/>
      <c r="Z42" s="526">
        <f>F23</f>
        <v>0</v>
      </c>
      <c r="AA42" s="528">
        <f>F25</f>
        <v>0</v>
      </c>
      <c r="AB42" s="528">
        <f>F26</f>
        <v>0</v>
      </c>
      <c r="AC42" s="528">
        <f>F27</f>
        <v>0</v>
      </c>
      <c r="AD42" s="528">
        <f>F24</f>
        <v>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2607.5</v>
      </c>
      <c r="D46" s="543">
        <f t="shared" ref="D46:F46" si="1">D29*$F$4*1000</f>
        <v>2533.0000000000005</v>
      </c>
      <c r="E46" s="543">
        <f t="shared" si="1"/>
        <v>2458.5000000000005</v>
      </c>
      <c r="F46" s="543">
        <f t="shared" si="1"/>
        <v>2346.75</v>
      </c>
      <c r="G46" s="543"/>
      <c r="H46" s="544"/>
      <c r="I46" s="480" t="s">
        <v>332</v>
      </c>
      <c r="J46" s="480"/>
      <c r="K46" s="544"/>
      <c r="L46" s="544"/>
      <c r="N46" s="480"/>
    </row>
    <row r="47" spans="2:30" outlineLevel="1">
      <c r="B47" s="545" t="s">
        <v>895</v>
      </c>
      <c r="C47" s="546">
        <f>C46*$I47</f>
        <v>1303750</v>
      </c>
      <c r="D47" s="546">
        <f>D46*$I47</f>
        <v>1266500.0000000002</v>
      </c>
      <c r="E47" s="546">
        <f>E46*$I47</f>
        <v>1229250.0000000002</v>
      </c>
      <c r="F47" s="546">
        <f>F46*$I47</f>
        <v>1173375</v>
      </c>
      <c r="G47" s="546"/>
      <c r="H47" s="544"/>
      <c r="I47" s="71">
        <v>500</v>
      </c>
      <c r="J47" s="480" t="s">
        <v>330</v>
      </c>
      <c r="K47" s="544"/>
      <c r="L47" s="544"/>
      <c r="N47" s="480"/>
    </row>
    <row r="48" spans="2:30" ht="43.2" outlineLevel="1">
      <c r="B48" s="521" t="s">
        <v>970</v>
      </c>
      <c r="C48" s="419">
        <f>C32*$F$4/1000</f>
        <v>0</v>
      </c>
      <c r="D48" s="419">
        <f t="shared" ref="D48:F48" si="2">D32*$F$4/1000</f>
        <v>0</v>
      </c>
      <c r="E48" s="419">
        <f t="shared" si="2"/>
        <v>0</v>
      </c>
      <c r="F48" s="419">
        <f t="shared" si="2"/>
        <v>0</v>
      </c>
      <c r="G48" s="419"/>
      <c r="I48" s="480" t="s">
        <v>333</v>
      </c>
      <c r="J48" s="480"/>
      <c r="N48" s="480"/>
    </row>
    <row r="49" spans="2:14" ht="43.2" outlineLevel="1">
      <c r="B49" s="521" t="s">
        <v>971</v>
      </c>
      <c r="C49" s="547">
        <f>C33*$F$4/3.6</f>
        <v>242.27606944444443</v>
      </c>
      <c r="D49" s="547">
        <f t="shared" ref="D49:F49" si="3">D33*$F$4/3.6</f>
        <v>242.28020833333332</v>
      </c>
      <c r="E49" s="547">
        <f t="shared" si="3"/>
        <v>242.28227777777775</v>
      </c>
      <c r="F49" s="547">
        <f t="shared" si="3"/>
        <v>242.28227777777775</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548" t="s">
        <v>898</v>
      </c>
      <c r="C55" s="549"/>
      <c r="E55" s="417"/>
      <c r="F55" s="417"/>
      <c r="G55" s="417"/>
      <c r="H55" s="417"/>
      <c r="I55" s="417"/>
      <c r="J55" s="417"/>
      <c r="K55" s="417"/>
      <c r="L55" s="417"/>
    </row>
    <row r="56" spans="2:14" outlineLevel="1">
      <c r="B56" s="417">
        <v>1</v>
      </c>
      <c r="C56" s="550" t="s">
        <v>1077</v>
      </c>
      <c r="F56" s="417"/>
      <c r="G56" s="417"/>
      <c r="H56" s="417"/>
      <c r="I56" s="417"/>
      <c r="J56" s="417"/>
      <c r="K56" s="417"/>
      <c r="L56" s="417"/>
    </row>
    <row r="57" spans="2:14" outlineLevel="1">
      <c r="B57" s="417">
        <v>2</v>
      </c>
      <c r="C57" s="550" t="s">
        <v>1057</v>
      </c>
      <c r="F57" s="417"/>
      <c r="G57" s="417"/>
      <c r="H57" s="417"/>
      <c r="I57" s="417"/>
      <c r="J57" s="417"/>
      <c r="K57" s="417"/>
      <c r="L57" s="417"/>
    </row>
    <row r="58" spans="2:14" outlineLevel="1">
      <c r="B58" s="417">
        <v>3</v>
      </c>
      <c r="C58" s="550" t="s">
        <v>1003</v>
      </c>
      <c r="F58" s="417"/>
      <c r="G58" s="417"/>
      <c r="H58" s="417"/>
      <c r="I58" s="417"/>
      <c r="J58" s="417"/>
      <c r="K58" s="417"/>
      <c r="L58" s="417"/>
    </row>
    <row r="59" spans="2:14" outlineLevel="1">
      <c r="B59" s="417">
        <v>4</v>
      </c>
      <c r="C59" s="550" t="s">
        <v>1078</v>
      </c>
      <c r="F59" s="417"/>
      <c r="G59" s="417"/>
      <c r="H59" s="417"/>
      <c r="I59" s="417"/>
      <c r="J59" s="417"/>
      <c r="K59" s="417"/>
      <c r="L59" s="417"/>
    </row>
    <row r="60" spans="2:14" outlineLevel="1">
      <c r="B60" s="417">
        <v>5</v>
      </c>
      <c r="C60" s="736" t="s">
        <v>1079</v>
      </c>
      <c r="F60" s="417"/>
      <c r="G60" s="417"/>
      <c r="H60" s="417"/>
      <c r="I60" s="417"/>
      <c r="J60" s="417"/>
      <c r="K60" s="417"/>
      <c r="L60" s="417"/>
    </row>
    <row r="61" spans="2:14" outlineLevel="1">
      <c r="B61" s="548" t="s">
        <v>908</v>
      </c>
      <c r="C61" s="549"/>
      <c r="F61" s="417"/>
      <c r="G61" s="417"/>
      <c r="H61" s="417"/>
      <c r="I61" s="417"/>
      <c r="J61" s="417"/>
      <c r="K61" s="417"/>
      <c r="L61" s="417"/>
    </row>
    <row r="62" spans="2:14" outlineLevel="1">
      <c r="B62" s="556" t="s">
        <v>6</v>
      </c>
      <c r="C62" s="557" t="s">
        <v>1058</v>
      </c>
      <c r="D62" s="549"/>
      <c r="F62" s="417"/>
      <c r="G62" s="417"/>
      <c r="H62" s="417"/>
      <c r="I62" s="417"/>
      <c r="J62" s="417"/>
      <c r="K62" s="417"/>
      <c r="L62" s="417"/>
    </row>
    <row r="63" spans="2:14" outlineLevel="1">
      <c r="B63" s="556" t="s">
        <v>59</v>
      </c>
      <c r="C63" s="549" t="s">
        <v>1080</v>
      </c>
      <c r="D63" s="549"/>
      <c r="F63" s="417"/>
      <c r="G63" s="417"/>
      <c r="H63" s="417"/>
      <c r="I63" s="417"/>
      <c r="J63" s="417"/>
      <c r="K63" s="417"/>
      <c r="L63" s="417"/>
    </row>
    <row r="64" spans="2:14" outlineLevel="1">
      <c r="B64" s="556" t="s">
        <v>16</v>
      </c>
      <c r="C64" s="549" t="s">
        <v>1081</v>
      </c>
      <c r="D64" s="549"/>
      <c r="F64" s="417"/>
      <c r="G64" s="417"/>
      <c r="H64" s="417"/>
      <c r="I64" s="417"/>
      <c r="J64" s="417"/>
      <c r="K64" s="417"/>
      <c r="L64" s="417"/>
    </row>
    <row r="65" spans="1:44" outlineLevel="1">
      <c r="B65" s="556" t="s">
        <v>20</v>
      </c>
      <c r="C65" s="549" t="s">
        <v>1082</v>
      </c>
      <c r="D65" s="549"/>
      <c r="F65" s="417"/>
      <c r="G65" s="417"/>
      <c r="H65" s="417"/>
      <c r="I65" s="417"/>
      <c r="J65" s="417"/>
      <c r="K65" s="417"/>
      <c r="L65" s="417"/>
    </row>
    <row r="66" spans="1:44" outlineLevel="1">
      <c r="B66" s="556" t="s">
        <v>76</v>
      </c>
      <c r="C66" s="549" t="s">
        <v>1061</v>
      </c>
      <c r="D66" s="549"/>
      <c r="F66" s="417"/>
      <c r="G66" s="417"/>
      <c r="H66" s="417"/>
      <c r="I66" s="417"/>
      <c r="J66" s="417"/>
      <c r="K66" s="417"/>
      <c r="L66" s="417"/>
    </row>
    <row r="67" spans="1:44" outlineLevel="1">
      <c r="B67" s="556" t="s">
        <v>25</v>
      </c>
      <c r="C67" s="549" t="s">
        <v>913</v>
      </c>
      <c r="D67" s="549"/>
      <c r="F67" s="417"/>
      <c r="G67" s="417"/>
      <c r="H67" s="417"/>
      <c r="I67" s="417"/>
      <c r="J67" s="417"/>
      <c r="K67" s="417"/>
      <c r="L67" s="417"/>
    </row>
    <row r="68" spans="1:44" outlineLevel="1">
      <c r="B68" s="556" t="s">
        <v>33</v>
      </c>
      <c r="C68" s="549" t="s">
        <v>1083</v>
      </c>
      <c r="D68" s="549"/>
      <c r="F68" s="417"/>
      <c r="G68" s="417"/>
      <c r="H68" s="417"/>
      <c r="I68" s="417"/>
      <c r="J68" s="417"/>
      <c r="K68" s="417"/>
      <c r="L68" s="417"/>
    </row>
    <row r="69" spans="1:44" outlineLevel="1">
      <c r="B69" s="556" t="s">
        <v>51</v>
      </c>
      <c r="C69" s="549" t="s">
        <v>1008</v>
      </c>
      <c r="D69" s="549"/>
      <c r="F69" s="417"/>
      <c r="G69" s="417"/>
      <c r="H69" s="417"/>
      <c r="I69" s="417"/>
      <c r="J69" s="417"/>
      <c r="K69" s="417"/>
      <c r="L69" s="417"/>
    </row>
    <row r="70" spans="1:44" outlineLevel="1">
      <c r="B70" s="556" t="s">
        <v>52</v>
      </c>
      <c r="C70" s="549" t="s">
        <v>1063</v>
      </c>
      <c r="D70" s="549"/>
      <c r="G70" s="417"/>
      <c r="H70" s="417"/>
      <c r="I70" s="417"/>
      <c r="J70" s="417"/>
      <c r="K70" s="417"/>
      <c r="L70" s="417"/>
    </row>
    <row r="71" spans="1:44" outlineLevel="1">
      <c r="B71" s="556" t="s">
        <v>55</v>
      </c>
      <c r="C71" s="558" t="s">
        <v>1084</v>
      </c>
      <c r="D71" s="549"/>
      <c r="E71" s="550"/>
      <c r="F71" s="550"/>
    </row>
    <row r="72" spans="1:44" outlineLevel="1">
      <c r="B72" s="556"/>
      <c r="C72" s="549"/>
      <c r="D72" s="549"/>
    </row>
    <row r="73" spans="1:44" outlineLevel="1">
      <c r="B73" s="556"/>
      <c r="C73" s="549"/>
      <c r="D73" s="549"/>
    </row>
    <row r="74" spans="1:44" outlineLevel="1"/>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1">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24F-7EE8-40A7-8C37-E2A73ED35705}">
  <sheetPr>
    <tabColor theme="3"/>
  </sheetPr>
  <dimension ref="A2:AS352"/>
  <sheetViews>
    <sheetView topLeftCell="Q1" zoomScale="80" zoomScaleNormal="80" workbookViewId="0">
      <selection activeCell="AD11" sqref="AD11:AD13"/>
    </sheetView>
  </sheetViews>
  <sheetFormatPr defaultColWidth="8.6640625" defaultRowHeight="14.4" outlineLevelRow="1"/>
  <cols>
    <col min="1" max="1" width="35" style="239" bestFit="1"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698" t="str">
        <f>C7</f>
        <v>Electric boiler, 10 kV, steam</v>
      </c>
    </row>
    <row r="4" spans="1:45" ht="25.2" customHeight="1">
      <c r="E4" s="239" t="s">
        <v>358</v>
      </c>
      <c r="F4" s="419">
        <v>7.45</v>
      </c>
      <c r="G4" s="419" t="s">
        <v>328</v>
      </c>
    </row>
    <row r="5" spans="1:45" ht="15" customHeight="1">
      <c r="A5" s="420" t="s">
        <v>1092</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93" t="s">
        <v>1085</v>
      </c>
      <c r="D7" s="1094"/>
      <c r="E7" s="1094"/>
      <c r="F7" s="1094"/>
      <c r="G7" s="1094"/>
      <c r="H7" s="1094"/>
      <c r="I7" s="1094"/>
      <c r="J7" s="1094"/>
      <c r="K7" s="1094"/>
      <c r="L7" s="109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customHeight="1" outlineLevel="1" thickBot="1">
      <c r="B8" s="1010" t="s">
        <v>4</v>
      </c>
      <c r="C8" s="1012">
        <v>2020</v>
      </c>
      <c r="D8" s="1012">
        <v>2030</v>
      </c>
      <c r="E8" s="1012">
        <v>2040</v>
      </c>
      <c r="F8" s="1012">
        <v>2050</v>
      </c>
      <c r="G8" s="1091" t="s">
        <v>846</v>
      </c>
      <c r="H8" s="1066"/>
      <c r="I8" s="1065" t="s">
        <v>693</v>
      </c>
      <c r="J8" s="109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89"/>
      <c r="C9" s="1090"/>
      <c r="D9" s="1090"/>
      <c r="E9" s="1090"/>
      <c r="F9" s="1090"/>
      <c r="G9" s="429" t="s">
        <v>694</v>
      </c>
      <c r="H9" s="429" t="s">
        <v>695</v>
      </c>
      <c r="I9" s="429" t="s">
        <v>694</v>
      </c>
      <c r="J9" s="429" t="s">
        <v>695</v>
      </c>
      <c r="K9" s="1092"/>
      <c r="L9" s="1092"/>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696</v>
      </c>
      <c r="C10" s="432">
        <v>15</v>
      </c>
      <c r="D10" s="432">
        <v>15</v>
      </c>
      <c r="E10" s="432">
        <v>15</v>
      </c>
      <c r="F10" s="432">
        <v>15</v>
      </c>
      <c r="G10" s="432">
        <v>10</v>
      </c>
      <c r="H10" s="432">
        <v>60</v>
      </c>
      <c r="I10" s="432">
        <v>10</v>
      </c>
      <c r="J10" s="432">
        <v>60</v>
      </c>
      <c r="K10" s="432" t="s">
        <v>6</v>
      </c>
      <c r="L10" s="433"/>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99</v>
      </c>
      <c r="D11" s="437">
        <v>99</v>
      </c>
      <c r="E11" s="438">
        <v>99</v>
      </c>
      <c r="F11" s="437">
        <v>99</v>
      </c>
      <c r="G11" s="437">
        <v>98</v>
      </c>
      <c r="H11" s="437">
        <v>100</v>
      </c>
      <c r="I11" s="437">
        <v>98</v>
      </c>
      <c r="J11" s="437">
        <v>100</v>
      </c>
      <c r="K11" s="439"/>
      <c r="L11" s="440" t="s">
        <v>1086</v>
      </c>
      <c r="M11" s="430"/>
      <c r="N11" s="430"/>
      <c r="P11" s="1042" t="str">
        <f>C7</f>
        <v>Electric boiler, 10 kV, steam</v>
      </c>
      <c r="Q11" s="1030" t="s">
        <v>855</v>
      </c>
      <c r="R11" s="441" t="s">
        <v>856</v>
      </c>
      <c r="S11" s="442" t="s">
        <v>967</v>
      </c>
      <c r="T11" s="1069">
        <v>1</v>
      </c>
      <c r="U11" s="1021">
        <v>1</v>
      </c>
      <c r="V11" s="1069">
        <v>1</v>
      </c>
      <c r="W11" s="1021">
        <v>1</v>
      </c>
      <c r="X11" s="1069">
        <v>0</v>
      </c>
      <c r="Y11" s="1021">
        <v>1</v>
      </c>
      <c r="Z11" s="1069">
        <v>0.2</v>
      </c>
      <c r="AA11" s="1021">
        <v>1</v>
      </c>
      <c r="AB11" s="1069">
        <v>0.05</v>
      </c>
      <c r="AC11" s="1021">
        <v>1</v>
      </c>
      <c r="AD11" s="1072">
        <f>Z11</f>
        <v>0.2</v>
      </c>
      <c r="AE11" s="1113">
        <f>AC11</f>
        <v>1</v>
      </c>
      <c r="AF11" s="1027" t="str">
        <f>P11</f>
        <v>Electric boiler, 10 kV, steam</v>
      </c>
      <c r="AG11" s="1030" t="s">
        <v>855</v>
      </c>
      <c r="AH11" s="441" t="s">
        <v>856</v>
      </c>
      <c r="AI11" s="442" t="str">
        <f t="shared" ref="AI11:AS14" si="0">S11</f>
        <v/>
      </c>
      <c r="AJ11" s="1033">
        <f t="shared" si="0"/>
        <v>1</v>
      </c>
      <c r="AK11" s="1021">
        <f t="shared" si="0"/>
        <v>1</v>
      </c>
      <c r="AL11" s="1024">
        <f t="shared" si="0"/>
        <v>1</v>
      </c>
      <c r="AM11" s="1021">
        <f t="shared" si="0"/>
        <v>1</v>
      </c>
      <c r="AN11" s="1024">
        <f t="shared" si="0"/>
        <v>0</v>
      </c>
      <c r="AO11" s="1021">
        <f t="shared" si="0"/>
        <v>1</v>
      </c>
      <c r="AP11" s="1024">
        <f t="shared" si="0"/>
        <v>0.2</v>
      </c>
      <c r="AQ11" s="1021">
        <f t="shared" si="0"/>
        <v>1</v>
      </c>
      <c r="AR11" s="1024">
        <f t="shared" si="0"/>
        <v>0.05</v>
      </c>
      <c r="AS11" s="1021">
        <f t="shared" si="0"/>
        <v>1</v>
      </c>
    </row>
    <row r="12" spans="1:45" ht="32.700000000000003" customHeight="1" outlineLevel="1">
      <c r="B12" s="443" t="s">
        <v>857</v>
      </c>
      <c r="C12" s="637">
        <v>99</v>
      </c>
      <c r="D12" s="637">
        <v>99</v>
      </c>
      <c r="E12" s="637">
        <v>99</v>
      </c>
      <c r="F12" s="637">
        <v>99</v>
      </c>
      <c r="G12" s="701">
        <v>98</v>
      </c>
      <c r="H12" s="701">
        <v>99</v>
      </c>
      <c r="I12" s="701">
        <v>98</v>
      </c>
      <c r="J12" s="701">
        <v>99</v>
      </c>
      <c r="K12" s="446"/>
      <c r="L12" s="447" t="s">
        <v>1086</v>
      </c>
      <c r="M12" s="430"/>
      <c r="N12" s="430"/>
      <c r="O12" s="71"/>
      <c r="P12" s="1028"/>
      <c r="Q12" s="1031"/>
      <c r="R12" s="448" t="s">
        <v>858</v>
      </c>
      <c r="S12" s="449" t="s">
        <v>967</v>
      </c>
      <c r="T12" s="1070"/>
      <c r="U12" s="1022"/>
      <c r="V12" s="1070"/>
      <c r="W12" s="1022"/>
      <c r="X12" s="1070"/>
      <c r="Y12" s="1022"/>
      <c r="Z12" s="1070"/>
      <c r="AA12" s="1022"/>
      <c r="AB12" s="1070"/>
      <c r="AC12" s="1022"/>
      <c r="AD12" s="1073"/>
      <c r="AE12" s="1116"/>
      <c r="AF12" s="1028"/>
      <c r="AG12" s="1031"/>
      <c r="AH12" s="448" t="s">
        <v>858</v>
      </c>
      <c r="AI12" s="449" t="str">
        <f t="shared" si="0"/>
        <v/>
      </c>
      <c r="AJ12" s="1034"/>
      <c r="AK12" s="1022"/>
      <c r="AL12" s="1025"/>
      <c r="AM12" s="1022"/>
      <c r="AN12" s="1025"/>
      <c r="AO12" s="1022"/>
      <c r="AP12" s="1025"/>
      <c r="AQ12" s="1022"/>
      <c r="AR12" s="1025"/>
      <c r="AS12" s="1022"/>
    </row>
    <row r="13" spans="1:45" ht="15" outlineLevel="1" thickBot="1">
      <c r="B13" s="436" t="s">
        <v>859</v>
      </c>
      <c r="C13" s="450">
        <v>0.5</v>
      </c>
      <c r="D13" s="451">
        <v>0.5</v>
      </c>
      <c r="E13" s="451">
        <v>0.5</v>
      </c>
      <c r="F13" s="452">
        <v>0.5</v>
      </c>
      <c r="G13" s="451">
        <v>0.1</v>
      </c>
      <c r="H13" s="451">
        <v>0.5</v>
      </c>
      <c r="I13" s="451">
        <v>0.1</v>
      </c>
      <c r="J13" s="451">
        <v>0.5</v>
      </c>
      <c r="K13" s="439"/>
      <c r="L13" s="440" t="s">
        <v>1086</v>
      </c>
      <c r="M13" s="430"/>
      <c r="N13" s="430"/>
      <c r="O13" s="71"/>
      <c r="P13" s="1028"/>
      <c r="Q13" s="1032"/>
      <c r="R13" s="453" t="s">
        <v>860</v>
      </c>
      <c r="S13" s="454" t="s">
        <v>863</v>
      </c>
      <c r="T13" s="1071"/>
      <c r="U13" s="1023"/>
      <c r="V13" s="1071"/>
      <c r="W13" s="1023"/>
      <c r="X13" s="1071"/>
      <c r="Y13" s="1023"/>
      <c r="Z13" s="1071"/>
      <c r="AA13" s="1023"/>
      <c r="AB13" s="1071"/>
      <c r="AC13" s="1023"/>
      <c r="AD13" s="1074"/>
      <c r="AE13" s="1117"/>
      <c r="AF13" s="1028"/>
      <c r="AG13" s="1032"/>
      <c r="AH13" s="453" t="s">
        <v>860</v>
      </c>
      <c r="AI13" s="454" t="str">
        <f t="shared" si="0"/>
        <v>x</v>
      </c>
      <c r="AJ13" s="1035"/>
      <c r="AK13" s="1023"/>
      <c r="AL13" s="1026"/>
      <c r="AM13" s="1023"/>
      <c r="AN13" s="1026"/>
      <c r="AO13" s="1023"/>
      <c r="AP13" s="1026"/>
      <c r="AQ13" s="1023"/>
      <c r="AR13" s="1026"/>
      <c r="AS13" s="1023"/>
    </row>
    <row r="14" spans="1:45" ht="15" customHeight="1" outlineLevel="1">
      <c r="B14" s="436" t="s">
        <v>702</v>
      </c>
      <c r="C14" s="450">
        <v>1</v>
      </c>
      <c r="D14" s="450">
        <v>1</v>
      </c>
      <c r="E14" s="450">
        <v>1</v>
      </c>
      <c r="F14" s="450">
        <v>1</v>
      </c>
      <c r="G14" s="450">
        <v>0.5</v>
      </c>
      <c r="H14" s="450">
        <v>1</v>
      </c>
      <c r="I14" s="450">
        <v>0.5</v>
      </c>
      <c r="J14" s="450">
        <v>1</v>
      </c>
      <c r="K14" s="439"/>
      <c r="L14" s="440" t="s">
        <v>1086</v>
      </c>
      <c r="M14" s="430"/>
      <c r="N14" s="430"/>
      <c r="O14" s="71"/>
      <c r="P14" s="1028"/>
      <c r="Q14" s="1030" t="s">
        <v>861</v>
      </c>
      <c r="R14" s="455" t="s">
        <v>862</v>
      </c>
      <c r="S14" s="456" t="s">
        <v>863</v>
      </c>
      <c r="T14" s="1069">
        <v>1</v>
      </c>
      <c r="U14" s="1033">
        <v>1</v>
      </c>
      <c r="V14" s="1069">
        <v>1</v>
      </c>
      <c r="W14" s="1033">
        <v>1</v>
      </c>
      <c r="X14" s="1069">
        <v>0.5</v>
      </c>
      <c r="Y14" s="1033">
        <v>1</v>
      </c>
      <c r="Z14" s="1069">
        <v>1</v>
      </c>
      <c r="AA14" s="1033">
        <v>1</v>
      </c>
      <c r="AB14" s="1069">
        <v>0</v>
      </c>
      <c r="AC14" s="1021">
        <v>1</v>
      </c>
      <c r="AD14" s="1069">
        <f>Z14</f>
        <v>1</v>
      </c>
      <c r="AE14" s="1113">
        <f>AC14</f>
        <v>1</v>
      </c>
      <c r="AF14" s="1028"/>
      <c r="AG14" s="1030" t="s">
        <v>861</v>
      </c>
      <c r="AH14" s="455" t="s">
        <v>862</v>
      </c>
      <c r="AI14" s="456" t="str">
        <f t="shared" si="0"/>
        <v>x</v>
      </c>
      <c r="AJ14" s="1033">
        <f t="shared" si="0"/>
        <v>1</v>
      </c>
      <c r="AK14" s="1033">
        <f t="shared" si="0"/>
        <v>1</v>
      </c>
      <c r="AL14" s="1033">
        <f t="shared" si="0"/>
        <v>1</v>
      </c>
      <c r="AM14" s="1033">
        <f t="shared" si="0"/>
        <v>1</v>
      </c>
      <c r="AN14" s="1033">
        <f t="shared" si="0"/>
        <v>0.5</v>
      </c>
      <c r="AO14" s="1033">
        <f t="shared" si="0"/>
        <v>1</v>
      </c>
      <c r="AP14" s="1033">
        <f t="shared" si="0"/>
        <v>1</v>
      </c>
      <c r="AQ14" s="1033">
        <f t="shared" si="0"/>
        <v>1</v>
      </c>
      <c r="AR14" s="1033">
        <f t="shared" si="0"/>
        <v>0</v>
      </c>
      <c r="AS14" s="1021">
        <f t="shared" si="0"/>
        <v>1</v>
      </c>
    </row>
    <row r="15" spans="1:45" outlineLevel="1">
      <c r="B15" s="436" t="s">
        <v>703</v>
      </c>
      <c r="C15" s="450">
        <v>0.2</v>
      </c>
      <c r="D15" s="450">
        <v>0.2</v>
      </c>
      <c r="E15" s="450">
        <v>0.2</v>
      </c>
      <c r="F15" s="450">
        <v>0.2</v>
      </c>
      <c r="G15" s="450">
        <v>0.2</v>
      </c>
      <c r="H15" s="450">
        <v>0.2</v>
      </c>
      <c r="I15" s="450">
        <v>0.2</v>
      </c>
      <c r="J15" s="450">
        <v>0.2</v>
      </c>
      <c r="K15" s="439"/>
      <c r="L15" s="440">
        <v>2</v>
      </c>
      <c r="M15" s="427"/>
      <c r="N15" s="427"/>
      <c r="O15" s="71"/>
      <c r="P15" s="1028"/>
      <c r="Q15" s="1031"/>
      <c r="R15" s="455" t="s">
        <v>864</v>
      </c>
      <c r="S15" s="456" t="s">
        <v>863</v>
      </c>
      <c r="T15" s="1075"/>
      <c r="U15" s="1036"/>
      <c r="V15" s="1075"/>
      <c r="W15" s="1036"/>
      <c r="X15" s="1075"/>
      <c r="Y15" s="1036"/>
      <c r="Z15" s="1075"/>
      <c r="AA15" s="1036"/>
      <c r="AB15" s="1075"/>
      <c r="AC15" s="1038"/>
      <c r="AD15" s="1111"/>
      <c r="AE15" s="1114"/>
      <c r="AF15" s="1028"/>
      <c r="AG15" s="1031"/>
      <c r="AH15" s="455" t="s">
        <v>864</v>
      </c>
      <c r="AI15" s="456" t="str">
        <f>S15</f>
        <v>x</v>
      </c>
      <c r="AJ15" s="1036"/>
      <c r="AK15" s="1036"/>
      <c r="AL15" s="1036"/>
      <c r="AM15" s="1036"/>
      <c r="AN15" s="1036"/>
      <c r="AO15" s="1036"/>
      <c r="AP15" s="1036"/>
      <c r="AQ15" s="1036"/>
      <c r="AR15" s="1036"/>
      <c r="AS15" s="1038"/>
    </row>
    <row r="16" spans="1:45" outlineLevel="1">
      <c r="B16" s="443" t="s">
        <v>11</v>
      </c>
      <c r="C16" s="457">
        <v>25</v>
      </c>
      <c r="D16" s="457">
        <v>25</v>
      </c>
      <c r="E16" s="457">
        <v>25</v>
      </c>
      <c r="F16" s="457">
        <v>25</v>
      </c>
      <c r="G16" s="458">
        <v>20</v>
      </c>
      <c r="H16" s="458">
        <v>25</v>
      </c>
      <c r="I16" s="458">
        <v>20</v>
      </c>
      <c r="J16" s="458">
        <v>25</v>
      </c>
      <c r="K16" s="432"/>
      <c r="L16" s="433">
        <v>2</v>
      </c>
      <c r="M16" s="423"/>
      <c r="N16" s="423"/>
      <c r="P16" s="1028"/>
      <c r="Q16" s="1031"/>
      <c r="R16" s="455" t="s">
        <v>866</v>
      </c>
      <c r="S16" s="456" t="s">
        <v>863</v>
      </c>
      <c r="T16" s="1075"/>
      <c r="U16" s="1036"/>
      <c r="V16" s="1075"/>
      <c r="W16" s="1036"/>
      <c r="X16" s="1075"/>
      <c r="Y16" s="1036"/>
      <c r="Z16" s="1075"/>
      <c r="AA16" s="1036"/>
      <c r="AB16" s="1075"/>
      <c r="AC16" s="1038"/>
      <c r="AD16" s="1111"/>
      <c r="AE16" s="1114"/>
      <c r="AF16" s="1028"/>
      <c r="AG16" s="1031"/>
      <c r="AH16" s="455" t="s">
        <v>866</v>
      </c>
      <c r="AI16" s="689" t="str">
        <f>S16</f>
        <v>x</v>
      </c>
      <c r="AJ16" s="1036"/>
      <c r="AK16" s="1036"/>
      <c r="AL16" s="1036"/>
      <c r="AM16" s="1036"/>
      <c r="AN16" s="1036"/>
      <c r="AO16" s="1036"/>
      <c r="AP16" s="1036"/>
      <c r="AQ16" s="1036"/>
      <c r="AR16" s="1036"/>
      <c r="AS16" s="1038"/>
    </row>
    <row r="17" spans="1:45" ht="15" outlineLevel="1" thickBot="1">
      <c r="B17" s="436" t="s">
        <v>273</v>
      </c>
      <c r="C17" s="459">
        <v>0.5</v>
      </c>
      <c r="D17" s="459">
        <v>0.5</v>
      </c>
      <c r="E17" s="459">
        <v>0.5</v>
      </c>
      <c r="F17" s="459">
        <v>0.5</v>
      </c>
      <c r="G17" s="459">
        <v>0.5</v>
      </c>
      <c r="H17" s="459">
        <v>1</v>
      </c>
      <c r="I17" s="459">
        <v>0.5</v>
      </c>
      <c r="J17" s="459">
        <v>1</v>
      </c>
      <c r="K17" s="432"/>
      <c r="L17" s="460">
        <v>1</v>
      </c>
      <c r="M17" s="423"/>
      <c r="N17" s="423"/>
      <c r="P17" s="1028"/>
      <c r="Q17" s="1031"/>
      <c r="R17" s="455" t="s">
        <v>867</v>
      </c>
      <c r="S17" s="456" t="s">
        <v>863</v>
      </c>
      <c r="T17" s="1075"/>
      <c r="U17" s="1036"/>
      <c r="V17" s="1075"/>
      <c r="W17" s="1036"/>
      <c r="X17" s="1075"/>
      <c r="Y17" s="1036"/>
      <c r="Z17" s="1075"/>
      <c r="AA17" s="1036"/>
      <c r="AB17" s="1075"/>
      <c r="AC17" s="1038"/>
      <c r="AD17" s="1111"/>
      <c r="AE17" s="1114"/>
      <c r="AF17" s="1028"/>
      <c r="AG17" s="1031"/>
      <c r="AH17" s="455" t="s">
        <v>867</v>
      </c>
      <c r="AI17" s="456" t="str">
        <f>S17</f>
        <v>x</v>
      </c>
      <c r="AJ17" s="1036"/>
      <c r="AK17" s="1036"/>
      <c r="AL17" s="1036"/>
      <c r="AM17" s="1036"/>
      <c r="AN17" s="1036"/>
      <c r="AO17" s="1036"/>
      <c r="AP17" s="1036"/>
      <c r="AQ17" s="1036"/>
      <c r="AR17" s="1036"/>
      <c r="AS17" s="1038"/>
    </row>
    <row r="18" spans="1:45" ht="15" outlineLevel="1" thickBot="1">
      <c r="B18" s="461" t="s">
        <v>868</v>
      </c>
      <c r="C18" s="462"/>
      <c r="D18" s="463"/>
      <c r="E18" s="464"/>
      <c r="F18" s="465"/>
      <c r="G18" s="466"/>
      <c r="H18" s="466"/>
      <c r="I18" s="466"/>
      <c r="J18" s="466"/>
      <c r="K18" s="467"/>
      <c r="L18" s="468"/>
      <c r="M18" s="423"/>
      <c r="N18" s="423"/>
      <c r="P18" s="1028"/>
      <c r="Q18" s="1032"/>
      <c r="R18" s="469" t="s">
        <v>988</v>
      </c>
      <c r="S18" s="470" t="s">
        <v>863</v>
      </c>
      <c r="T18" s="1076"/>
      <c r="U18" s="1037"/>
      <c r="V18" s="1076"/>
      <c r="W18" s="1037"/>
      <c r="X18" s="1076"/>
      <c r="Y18" s="1037"/>
      <c r="Z18" s="1076"/>
      <c r="AA18" s="1037"/>
      <c r="AB18" s="1076"/>
      <c r="AC18" s="1039"/>
      <c r="AD18" s="1112"/>
      <c r="AE18" s="1115"/>
      <c r="AF18" s="1028"/>
      <c r="AG18" s="1032"/>
      <c r="AH18" s="469" t="s">
        <v>988</v>
      </c>
      <c r="AI18" s="470" t="str">
        <f>S18</f>
        <v>x</v>
      </c>
      <c r="AJ18" s="1037"/>
      <c r="AK18" s="1037"/>
      <c r="AL18" s="1037"/>
      <c r="AM18" s="1037"/>
      <c r="AN18" s="1037"/>
      <c r="AO18" s="1037"/>
      <c r="AP18" s="1037"/>
      <c r="AQ18" s="1037"/>
      <c r="AR18" s="1037"/>
      <c r="AS18" s="1039"/>
    </row>
    <row r="19" spans="1:45" ht="29.4" outlineLevel="1" thickBot="1">
      <c r="B19" s="436" t="s">
        <v>708</v>
      </c>
      <c r="C19" s="450">
        <v>2</v>
      </c>
      <c r="D19" s="450">
        <v>2</v>
      </c>
      <c r="E19" s="450">
        <v>2</v>
      </c>
      <c r="F19" s="450">
        <v>2</v>
      </c>
      <c r="G19" s="451"/>
      <c r="H19" s="451"/>
      <c r="I19" s="451"/>
      <c r="J19" s="451"/>
      <c r="K19" s="439"/>
      <c r="L19" s="440">
        <v>2</v>
      </c>
      <c r="M19" s="423"/>
      <c r="N19" s="423"/>
      <c r="P19" s="1029"/>
      <c r="Q19" s="471" t="s">
        <v>870</v>
      </c>
      <c r="R19" s="472" t="s">
        <v>871</v>
      </c>
      <c r="S19" s="690" t="s">
        <v>863</v>
      </c>
      <c r="T19" s="965">
        <v>0</v>
      </c>
      <c r="U19" s="475">
        <v>1</v>
      </c>
      <c r="V19" s="966">
        <v>0</v>
      </c>
      <c r="W19" s="475">
        <v>1</v>
      </c>
      <c r="X19" s="476">
        <v>1</v>
      </c>
      <c r="Y19" s="475">
        <v>1</v>
      </c>
      <c r="Z19" s="967">
        <v>0</v>
      </c>
      <c r="AA19" s="475">
        <v>1</v>
      </c>
      <c r="AB19" s="967">
        <v>0</v>
      </c>
      <c r="AC19" s="477">
        <v>1</v>
      </c>
      <c r="AD19" s="966">
        <f>AB19</f>
        <v>0</v>
      </c>
      <c r="AE19" s="968">
        <f>AC19</f>
        <v>1</v>
      </c>
      <c r="AF19" s="1029"/>
      <c r="AG19" s="471" t="s">
        <v>870</v>
      </c>
      <c r="AH19" s="691" t="s">
        <v>871</v>
      </c>
      <c r="AI19" s="692" t="s">
        <v>863</v>
      </c>
      <c r="AJ19" s="476">
        <v>1</v>
      </c>
      <c r="AK19" s="475">
        <v>1</v>
      </c>
      <c r="AL19" s="476">
        <v>1</v>
      </c>
      <c r="AM19" s="475">
        <v>1</v>
      </c>
      <c r="AN19" s="476">
        <v>1</v>
      </c>
      <c r="AO19" s="475">
        <v>1</v>
      </c>
      <c r="AP19" s="476">
        <v>1</v>
      </c>
      <c r="AQ19" s="475">
        <v>1</v>
      </c>
      <c r="AR19" s="476">
        <v>1</v>
      </c>
      <c r="AS19" s="477">
        <v>1</v>
      </c>
    </row>
    <row r="20" spans="1:45" outlineLevel="1">
      <c r="B20" s="436" t="s">
        <v>709</v>
      </c>
      <c r="C20" s="450">
        <v>0.03</v>
      </c>
      <c r="D20" s="450">
        <v>0.03</v>
      </c>
      <c r="E20" s="450">
        <v>0.03</v>
      </c>
      <c r="F20" s="450">
        <v>0.03</v>
      </c>
      <c r="G20" s="478"/>
      <c r="H20" s="478"/>
      <c r="I20" s="478"/>
      <c r="J20" s="478"/>
      <c r="K20" s="479"/>
      <c r="L20" s="440">
        <v>2</v>
      </c>
      <c r="M20" s="423"/>
      <c r="N20" s="423"/>
    </row>
    <row r="21" spans="1:45" outlineLevel="1">
      <c r="B21" s="436" t="s">
        <v>711</v>
      </c>
      <c r="C21" s="450">
        <v>0.17</v>
      </c>
      <c r="D21" s="450">
        <v>0.17</v>
      </c>
      <c r="E21" s="450">
        <v>0.17</v>
      </c>
      <c r="F21" s="450">
        <v>0.17</v>
      </c>
      <c r="G21" s="478"/>
      <c r="H21" s="478"/>
      <c r="I21" s="478"/>
      <c r="J21" s="478"/>
      <c r="K21" s="479"/>
      <c r="L21" s="440">
        <v>2</v>
      </c>
      <c r="M21" s="480"/>
      <c r="N21" s="423"/>
    </row>
    <row r="22" spans="1:45" outlineLevel="1">
      <c r="B22" s="481" t="s">
        <v>12</v>
      </c>
      <c r="C22" s="459"/>
      <c r="D22" s="459"/>
      <c r="E22" s="459"/>
      <c r="F22" s="459"/>
      <c r="G22" s="482"/>
      <c r="H22" s="482"/>
      <c r="I22" s="482"/>
      <c r="J22" s="482"/>
      <c r="K22" s="483"/>
      <c r="L22" s="484"/>
      <c r="M22" s="480"/>
      <c r="N22" s="480"/>
      <c r="T22" s="239" t="s">
        <v>1432</v>
      </c>
    </row>
    <row r="23" spans="1:45" ht="38.25" customHeight="1" outlineLevel="1">
      <c r="B23" s="443" t="s">
        <v>968</v>
      </c>
      <c r="C23" s="1077" t="s">
        <v>714</v>
      </c>
      <c r="D23" s="1078"/>
      <c r="E23" s="1078"/>
      <c r="F23" s="1079"/>
      <c r="G23" s="482"/>
      <c r="H23" s="485"/>
      <c r="I23" s="485"/>
      <c r="J23" s="485"/>
      <c r="K23" s="486"/>
      <c r="L23" s="487"/>
      <c r="M23" s="488"/>
      <c r="N23" s="488"/>
    </row>
    <row r="24" spans="1:45" outlineLevel="1">
      <c r="B24" s="443" t="s">
        <v>874</v>
      </c>
      <c r="C24" s="1080"/>
      <c r="D24" s="1081"/>
      <c r="E24" s="1081"/>
      <c r="F24" s="1082"/>
      <c r="G24" s="485"/>
      <c r="H24" s="485"/>
      <c r="I24" s="485"/>
      <c r="J24" s="485"/>
      <c r="K24" s="483"/>
      <c r="L24" s="487"/>
      <c r="M24" s="488"/>
      <c r="N24" s="488"/>
    </row>
    <row r="25" spans="1:45" outlineLevel="1">
      <c r="B25" s="443" t="s">
        <v>969</v>
      </c>
      <c r="C25" s="1080"/>
      <c r="D25" s="1081"/>
      <c r="E25" s="1081"/>
      <c r="F25" s="1082"/>
      <c r="G25" s="485"/>
      <c r="H25" s="485"/>
      <c r="I25" s="485"/>
      <c r="J25" s="485"/>
      <c r="K25" s="483"/>
      <c r="L25" s="487"/>
      <c r="M25" s="488"/>
      <c r="N25" s="488"/>
    </row>
    <row r="26" spans="1:45" outlineLevel="1">
      <c r="B26" s="443" t="s">
        <v>366</v>
      </c>
      <c r="C26" s="1080"/>
      <c r="D26" s="1081"/>
      <c r="E26" s="1081"/>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571">
        <v>0.08</v>
      </c>
      <c r="D29" s="572">
        <v>7.0000000000000007E-2</v>
      </c>
      <c r="E29" s="572">
        <v>7.0000000000000007E-2</v>
      </c>
      <c r="F29" s="573">
        <v>7.0000000000000007E-2</v>
      </c>
      <c r="G29" s="485"/>
      <c r="H29" s="485"/>
      <c r="I29" s="485"/>
      <c r="J29" s="485"/>
      <c r="K29" s="486" t="s">
        <v>963</v>
      </c>
      <c r="L29" s="500" t="s">
        <v>1086</v>
      </c>
      <c r="M29" s="480"/>
      <c r="N29" s="480"/>
    </row>
    <row r="30" spans="1:45" outlineLevel="1">
      <c r="B30" s="501" t="s">
        <v>964</v>
      </c>
      <c r="C30" s="502">
        <v>85</v>
      </c>
      <c r="D30" s="502">
        <v>85</v>
      </c>
      <c r="E30" s="502">
        <v>85</v>
      </c>
      <c r="F30" s="502">
        <v>85</v>
      </c>
      <c r="G30" s="485"/>
      <c r="H30" s="485"/>
      <c r="I30" s="485"/>
      <c r="J30" s="485"/>
      <c r="K30" s="504"/>
      <c r="L30" s="433">
        <v>1</v>
      </c>
      <c r="M30" s="71"/>
      <c r="N30" s="480"/>
    </row>
    <row r="31" spans="1:45" outlineLevel="1">
      <c r="B31" s="501" t="s">
        <v>965</v>
      </c>
      <c r="C31" s="502">
        <v>15</v>
      </c>
      <c r="D31" s="502">
        <v>15</v>
      </c>
      <c r="E31" s="502">
        <v>15</v>
      </c>
      <c r="F31" s="502">
        <v>15</v>
      </c>
      <c r="G31" s="485"/>
      <c r="H31" s="485"/>
      <c r="I31" s="485"/>
      <c r="J31" s="485"/>
      <c r="K31" s="504"/>
      <c r="L31" s="433">
        <v>1</v>
      </c>
      <c r="M31" s="480"/>
      <c r="N31" s="480"/>
    </row>
    <row r="32" spans="1:45" outlineLevel="1">
      <c r="B32" s="443" t="s">
        <v>966</v>
      </c>
      <c r="C32" s="505">
        <v>1070</v>
      </c>
      <c r="D32" s="506">
        <v>1020</v>
      </c>
      <c r="E32" s="506">
        <v>970</v>
      </c>
      <c r="F32" s="507">
        <v>920</v>
      </c>
      <c r="G32" s="485"/>
      <c r="H32" s="485"/>
      <c r="I32" s="485"/>
      <c r="J32" s="485"/>
      <c r="K32" s="508"/>
      <c r="L32" s="433">
        <v>1</v>
      </c>
      <c r="M32" s="480"/>
      <c r="N32" s="480"/>
    </row>
    <row r="33" spans="2:30" ht="37.200000000000003" customHeight="1" outlineLevel="1" thickBot="1">
      <c r="B33" s="443" t="s">
        <v>724</v>
      </c>
      <c r="C33" s="509">
        <f>C34+C35</f>
        <v>0.86499999999999999</v>
      </c>
      <c r="D33" s="509">
        <f t="shared" ref="D33:F33" si="1">D34+D35</f>
        <v>0.875</v>
      </c>
      <c r="E33" s="509">
        <f t="shared" si="1"/>
        <v>0.78</v>
      </c>
      <c r="F33" s="509">
        <f t="shared" si="1"/>
        <v>0.78</v>
      </c>
      <c r="G33" s="485"/>
      <c r="H33" s="485"/>
      <c r="I33" s="485"/>
      <c r="J33" s="485"/>
      <c r="K33" s="508"/>
      <c r="L33" s="433"/>
      <c r="M33" s="510"/>
      <c r="N33" s="421"/>
      <c r="P33" s="999">
        <f>C33</f>
        <v>0.86499999999999999</v>
      </c>
      <c r="Q33" s="977"/>
      <c r="R33" s="977"/>
      <c r="S33" s="977"/>
      <c r="T33" s="977"/>
      <c r="U33" s="1000"/>
    </row>
    <row r="34" spans="2:30" ht="15.75" customHeight="1" outlineLevel="1" thickBot="1">
      <c r="B34" s="511" t="s">
        <v>883</v>
      </c>
      <c r="C34" s="512">
        <f>C13/100*73</f>
        <v>0.36499999999999999</v>
      </c>
      <c r="D34" s="512">
        <f>D13/100*75</f>
        <v>0.375</v>
      </c>
      <c r="E34" s="512">
        <f>E13/100*76</f>
        <v>0.38</v>
      </c>
      <c r="F34" s="512">
        <f>F13/100*76</f>
        <v>0.38</v>
      </c>
      <c r="G34" s="513"/>
      <c r="H34" s="513"/>
      <c r="I34" s="513"/>
      <c r="J34" s="513"/>
      <c r="K34" s="439" t="s">
        <v>20</v>
      </c>
      <c r="L34" s="440"/>
      <c r="M34" s="510"/>
      <c r="N34" s="421"/>
      <c r="P34" s="1001">
        <f>C34</f>
        <v>0.36499999999999999</v>
      </c>
      <c r="Q34" s="1002"/>
      <c r="R34" s="1002"/>
      <c r="S34" s="1002"/>
      <c r="T34" s="1002"/>
      <c r="U34" s="1003"/>
    </row>
    <row r="35" spans="2:30" outlineLevel="1">
      <c r="B35" s="511" t="s">
        <v>884</v>
      </c>
      <c r="C35" s="715">
        <v>0.5</v>
      </c>
      <c r="D35" s="715">
        <v>0.5</v>
      </c>
      <c r="E35" s="715">
        <v>0.4</v>
      </c>
      <c r="F35" s="715">
        <v>0.4</v>
      </c>
      <c r="G35" s="513"/>
      <c r="H35" s="513"/>
      <c r="I35" s="513"/>
      <c r="J35" s="513"/>
      <c r="K35" s="515"/>
      <c r="L35" s="440">
        <v>1</v>
      </c>
      <c r="M35" s="423"/>
      <c r="N35" s="423"/>
      <c r="P35" s="53" t="s">
        <v>357</v>
      </c>
    </row>
    <row r="36" spans="2:30" ht="27.6" outlineLevel="1">
      <c r="B36" s="501"/>
      <c r="C36" s="702"/>
      <c r="D36" s="702"/>
      <c r="E36" s="702"/>
      <c r="F36" s="702"/>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703" t="s">
        <v>36</v>
      </c>
      <c r="D39" s="703" t="s">
        <v>36</v>
      </c>
      <c r="E39" s="703" t="s">
        <v>36</v>
      </c>
      <c r="F39" s="703" t="s">
        <v>36</v>
      </c>
      <c r="G39" s="703"/>
      <c r="H39" s="703"/>
      <c r="I39" s="703"/>
      <c r="J39" s="703"/>
      <c r="K39" s="703" t="s">
        <v>76</v>
      </c>
      <c r="L39" s="524"/>
      <c r="M39" s="423"/>
      <c r="N39" s="423"/>
      <c r="O39" s="525">
        <f>C12</f>
        <v>99</v>
      </c>
      <c r="P39" s="526">
        <f>C8</f>
        <v>2020</v>
      </c>
      <c r="Q39" s="58">
        <f>P39</f>
        <v>2020</v>
      </c>
      <c r="R39" s="526">
        <f>O39/100</f>
        <v>0.99</v>
      </c>
      <c r="S39" s="58"/>
      <c r="T39" s="526">
        <f>C16</f>
        <v>25</v>
      </c>
      <c r="U39" s="527">
        <f>C46</f>
        <v>596</v>
      </c>
      <c r="V39" s="527">
        <f>C48</f>
        <v>7.9714999999999998</v>
      </c>
      <c r="W39" s="527">
        <f>C49</f>
        <v>1.7900694444444445</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t="s">
        <v>76</v>
      </c>
      <c r="L40" s="524"/>
      <c r="M40" s="423"/>
      <c r="N40" s="423"/>
      <c r="O40" s="525">
        <f>D12</f>
        <v>99</v>
      </c>
      <c r="P40" s="526">
        <f>D8</f>
        <v>2030</v>
      </c>
      <c r="Q40" s="58"/>
      <c r="R40" s="526">
        <f>O40/100</f>
        <v>0.99</v>
      </c>
      <c r="S40" s="58"/>
      <c r="T40" s="526">
        <f>D16</f>
        <v>25</v>
      </c>
      <c r="U40" s="527">
        <f>D46</f>
        <v>521.50000000000011</v>
      </c>
      <c r="V40" s="527">
        <f>D48</f>
        <v>7.5990000000000002</v>
      </c>
      <c r="W40" s="527">
        <f>D49</f>
        <v>1.8107638888888888</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99</v>
      </c>
      <c r="P41" s="526">
        <f>E8</f>
        <v>2040</v>
      </c>
      <c r="Q41" s="58"/>
      <c r="R41" s="526">
        <f>O41/100</f>
        <v>0.99</v>
      </c>
      <c r="S41" s="58"/>
      <c r="T41" s="526">
        <f>E16</f>
        <v>25</v>
      </c>
      <c r="U41" s="527">
        <f>E46</f>
        <v>521.50000000000011</v>
      </c>
      <c r="V41" s="527">
        <f>E48</f>
        <v>7.2264999999999997</v>
      </c>
      <c r="W41" s="527">
        <f>E49</f>
        <v>1.6141666666666665</v>
      </c>
      <c r="X41" s="58"/>
      <c r="Y41" s="58"/>
      <c r="Z41" s="526">
        <f>E23</f>
        <v>0</v>
      </c>
      <c r="AA41" s="528">
        <f>E25</f>
        <v>0</v>
      </c>
      <c r="AB41" s="528">
        <f>E26</f>
        <v>0</v>
      </c>
      <c r="AC41" s="528">
        <f>E27</f>
        <v>0</v>
      </c>
      <c r="AD41" s="528">
        <f>E24</f>
        <v>0</v>
      </c>
    </row>
    <row r="42" spans="2:30" ht="14.7" customHeight="1" outlineLevel="1">
      <c r="B42" s="436" t="s">
        <v>890</v>
      </c>
      <c r="C42" s="1086" t="s">
        <v>714</v>
      </c>
      <c r="D42" s="1087"/>
      <c r="E42" s="1087"/>
      <c r="F42" s="1088"/>
      <c r="G42" s="534"/>
      <c r="H42" s="534"/>
      <c r="I42" s="534"/>
      <c r="J42" s="534"/>
      <c r="K42" s="534"/>
      <c r="L42" s="440"/>
      <c r="M42" s="423"/>
      <c r="N42" s="423"/>
      <c r="O42" s="525">
        <f>F12</f>
        <v>99</v>
      </c>
      <c r="P42" s="526">
        <f>F8</f>
        <v>2050</v>
      </c>
      <c r="Q42" s="58"/>
      <c r="R42" s="526">
        <f>O42/100</f>
        <v>0.99</v>
      </c>
      <c r="S42" s="58"/>
      <c r="T42" s="526">
        <f>F16</f>
        <v>25</v>
      </c>
      <c r="U42" s="527">
        <f>F46</f>
        <v>521.50000000000011</v>
      </c>
      <c r="V42" s="527">
        <f>F48</f>
        <v>6.8540000000000001</v>
      </c>
      <c r="W42" s="527">
        <f>F49</f>
        <v>1.6141666666666665</v>
      </c>
      <c r="X42" s="58"/>
      <c r="Y42" s="58"/>
      <c r="Z42" s="526">
        <f>F23</f>
        <v>0</v>
      </c>
      <c r="AA42" s="528">
        <f>F25</f>
        <v>0</v>
      </c>
      <c r="AB42" s="528">
        <f>F26</f>
        <v>0</v>
      </c>
      <c r="AC42" s="528">
        <f>F27</f>
        <v>0</v>
      </c>
      <c r="AD42" s="528">
        <f>F24</f>
        <v>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704" t="s">
        <v>36</v>
      </c>
      <c r="D45" s="705" t="s">
        <v>36</v>
      </c>
      <c r="E45" s="705" t="s">
        <v>36</v>
      </c>
      <c r="F45" s="706" t="s">
        <v>36</v>
      </c>
      <c r="G45" s="541"/>
      <c r="H45" s="541"/>
      <c r="I45" s="541"/>
      <c r="J45" s="541"/>
      <c r="K45" s="541"/>
      <c r="L45" s="542"/>
      <c r="M45" s="423"/>
      <c r="N45" s="423"/>
    </row>
    <row r="46" spans="2:30" ht="57.6" outlineLevel="1">
      <c r="B46" s="521" t="s">
        <v>894</v>
      </c>
      <c r="C46" s="543">
        <f>C29*$F$4*1000</f>
        <v>596</v>
      </c>
      <c r="D46" s="543">
        <f t="shared" ref="D46:F46" si="2">D29*$F$4*1000</f>
        <v>521.50000000000011</v>
      </c>
      <c r="E46" s="543">
        <f t="shared" si="2"/>
        <v>521.50000000000011</v>
      </c>
      <c r="F46" s="543">
        <f t="shared" si="2"/>
        <v>521.50000000000011</v>
      </c>
      <c r="G46" s="543"/>
      <c r="H46" s="544"/>
      <c r="I46" s="480" t="s">
        <v>332</v>
      </c>
      <c r="J46" s="480"/>
      <c r="K46" s="544"/>
      <c r="L46" s="544"/>
      <c r="N46" s="480"/>
    </row>
    <row r="47" spans="2:30" outlineLevel="1">
      <c r="B47" s="545" t="s">
        <v>895</v>
      </c>
      <c r="C47" s="546">
        <f>C46*$I47</f>
        <v>298000</v>
      </c>
      <c r="D47" s="546">
        <f>D46*$I47</f>
        <v>260750.00000000006</v>
      </c>
      <c r="E47" s="546">
        <f>E46*$I47</f>
        <v>260750.00000000006</v>
      </c>
      <c r="F47" s="546">
        <f>F46*$I47</f>
        <v>260750.00000000006</v>
      </c>
      <c r="G47" s="546"/>
      <c r="H47" s="544"/>
      <c r="I47" s="71">
        <v>500</v>
      </c>
      <c r="J47" s="480" t="s">
        <v>330</v>
      </c>
      <c r="K47" s="544"/>
      <c r="L47" s="544"/>
      <c r="N47" s="480"/>
    </row>
    <row r="48" spans="2:30" ht="43.2" outlineLevel="1">
      <c r="B48" s="521" t="s">
        <v>970</v>
      </c>
      <c r="C48" s="419">
        <f>C32*$F$4/1000</f>
        <v>7.9714999999999998</v>
      </c>
      <c r="D48" s="419">
        <f t="shared" ref="D48:F48" si="3">D32*$F$4/1000</f>
        <v>7.5990000000000002</v>
      </c>
      <c r="E48" s="419">
        <f t="shared" si="3"/>
        <v>7.2264999999999997</v>
      </c>
      <c r="F48" s="419">
        <f t="shared" si="3"/>
        <v>6.8540000000000001</v>
      </c>
      <c r="G48" s="419"/>
      <c r="I48" s="480" t="s">
        <v>333</v>
      </c>
      <c r="J48" s="480"/>
      <c r="N48" s="480"/>
    </row>
    <row r="49" spans="2:14" ht="43.2" outlineLevel="1">
      <c r="B49" s="521" t="s">
        <v>971</v>
      </c>
      <c r="C49" s="547">
        <f>C33*$F$4/3.6</f>
        <v>1.7900694444444445</v>
      </c>
      <c r="D49" s="547">
        <f t="shared" ref="D49:F49" si="4">D33*$F$4/3.6</f>
        <v>1.8107638888888888</v>
      </c>
      <c r="E49" s="547">
        <f t="shared" si="4"/>
        <v>1.6141666666666665</v>
      </c>
      <c r="F49" s="547">
        <f t="shared" si="4"/>
        <v>1.6141666666666665</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709" t="s">
        <v>898</v>
      </c>
      <c r="C55" s="417"/>
      <c r="D55" s="417"/>
      <c r="E55" s="417"/>
      <c r="F55" s="417"/>
      <c r="G55" s="417"/>
      <c r="H55" s="417"/>
      <c r="I55" s="417"/>
      <c r="J55" s="417"/>
      <c r="K55" s="417"/>
      <c r="L55" s="417"/>
    </row>
    <row r="56" spans="2:14" outlineLevel="1">
      <c r="B56" s="737">
        <v>1</v>
      </c>
      <c r="C56" s="550" t="s">
        <v>975</v>
      </c>
      <c r="D56" s="550"/>
      <c r="F56" s="417"/>
      <c r="G56" s="417"/>
      <c r="H56" s="417"/>
      <c r="I56" s="417"/>
      <c r="J56" s="417"/>
      <c r="K56" s="417"/>
      <c r="L56" s="417"/>
    </row>
    <row r="57" spans="2:14" outlineLevel="1">
      <c r="B57" s="737">
        <v>2</v>
      </c>
      <c r="C57" s="695" t="s">
        <v>1087</v>
      </c>
      <c r="D57" s="550"/>
      <c r="F57" s="417"/>
      <c r="G57" s="417"/>
      <c r="H57" s="417"/>
      <c r="I57" s="417"/>
      <c r="J57" s="417"/>
      <c r="K57" s="417"/>
      <c r="L57" s="417"/>
    </row>
    <row r="58" spans="2:14" outlineLevel="1">
      <c r="B58" s="737">
        <v>3</v>
      </c>
      <c r="C58" s="695" t="s">
        <v>1088</v>
      </c>
      <c r="D58" s="550"/>
      <c r="F58" s="417"/>
      <c r="G58" s="417"/>
      <c r="H58" s="417"/>
      <c r="I58" s="417"/>
      <c r="J58" s="417"/>
      <c r="K58" s="417"/>
      <c r="L58" s="417"/>
    </row>
    <row r="59" spans="2:14" outlineLevel="1">
      <c r="B59" s="417" t="s">
        <v>908</v>
      </c>
      <c r="C59" s="417"/>
      <c r="D59" s="550"/>
      <c r="F59" s="417"/>
      <c r="G59" s="417"/>
      <c r="H59" s="417"/>
      <c r="I59" s="417"/>
      <c r="J59" s="417"/>
      <c r="K59" s="417"/>
      <c r="L59" s="417"/>
    </row>
    <row r="60" spans="2:14" outlineLevel="1">
      <c r="B60" s="738" t="s">
        <v>6</v>
      </c>
      <c r="C60" s="550" t="s">
        <v>1089</v>
      </c>
      <c r="D60" s="550"/>
      <c r="F60" s="417"/>
      <c r="G60" s="417"/>
      <c r="H60" s="417"/>
      <c r="I60" s="417"/>
      <c r="J60" s="417"/>
      <c r="K60" s="417"/>
      <c r="L60" s="417"/>
    </row>
    <row r="61" spans="2:14" outlineLevel="1">
      <c r="B61" s="738" t="s">
        <v>59</v>
      </c>
      <c r="C61" s="695" t="s">
        <v>1090</v>
      </c>
      <c r="D61" s="550"/>
      <c r="F61" s="417"/>
      <c r="G61" s="417"/>
      <c r="H61" s="417"/>
      <c r="I61" s="417"/>
      <c r="J61" s="417"/>
      <c r="K61" s="417"/>
      <c r="L61" s="417"/>
    </row>
    <row r="62" spans="2:14" outlineLevel="1">
      <c r="B62" s="739" t="s">
        <v>16</v>
      </c>
      <c r="C62" s="550" t="s">
        <v>1091</v>
      </c>
      <c r="D62" s="550"/>
      <c r="F62" s="417"/>
      <c r="G62" s="417"/>
      <c r="H62" s="417"/>
      <c r="I62" s="417"/>
      <c r="J62" s="417"/>
      <c r="K62" s="417"/>
      <c r="L62" s="417"/>
    </row>
    <row r="63" spans="2:14" outlineLevel="1">
      <c r="B63" s="738" t="s">
        <v>20</v>
      </c>
      <c r="C63" s="549" t="s">
        <v>913</v>
      </c>
      <c r="D63" s="550"/>
      <c r="F63" s="417"/>
      <c r="G63" s="417"/>
      <c r="H63" s="417"/>
      <c r="I63" s="417"/>
      <c r="J63" s="417"/>
      <c r="K63" s="417"/>
      <c r="L63" s="417"/>
    </row>
    <row r="64" spans="2:14" outlineLevel="1">
      <c r="B64" s="738" t="s">
        <v>76</v>
      </c>
      <c r="C64" s="550" t="s">
        <v>914</v>
      </c>
      <c r="D64" s="550"/>
      <c r="F64" s="417"/>
      <c r="G64" s="417"/>
      <c r="H64" s="417"/>
      <c r="I64" s="417"/>
      <c r="J64" s="417"/>
      <c r="K64" s="417"/>
      <c r="L64" s="417"/>
    </row>
    <row r="65" spans="2:12" outlineLevel="1">
      <c r="B65" s="716"/>
      <c r="C65" s="549"/>
      <c r="D65" s="417"/>
      <c r="F65" s="417"/>
      <c r="G65" s="417"/>
      <c r="H65" s="417"/>
      <c r="I65" s="417"/>
      <c r="J65" s="417"/>
      <c r="K65" s="417"/>
      <c r="L65" s="417"/>
    </row>
    <row r="66" spans="2:12" outlineLevel="1">
      <c r="F66" s="417"/>
      <c r="G66" s="417"/>
      <c r="H66" s="417"/>
      <c r="I66" s="417"/>
      <c r="J66" s="417"/>
      <c r="K66" s="417"/>
      <c r="L66" s="417"/>
    </row>
    <row r="67" spans="2:12" outlineLevel="1">
      <c r="B67" s="716"/>
      <c r="C67" s="550"/>
      <c r="D67" s="417"/>
      <c r="F67" s="417"/>
      <c r="G67" s="417"/>
      <c r="H67" s="417"/>
      <c r="I67" s="417"/>
      <c r="J67" s="417"/>
      <c r="K67" s="417"/>
      <c r="L67" s="417"/>
    </row>
    <row r="68" spans="2:12" outlineLevel="1">
      <c r="B68" s="716"/>
      <c r="C68" s="550"/>
      <c r="D68" s="417"/>
      <c r="F68" s="417"/>
      <c r="G68" s="417"/>
      <c r="H68" s="417"/>
      <c r="I68" s="417"/>
      <c r="J68" s="417"/>
      <c r="K68" s="417"/>
      <c r="L68" s="417"/>
    </row>
    <row r="69" spans="2:12" outlineLevel="1">
      <c r="F69" s="417"/>
      <c r="G69" s="417"/>
      <c r="H69" s="417"/>
      <c r="I69" s="417"/>
      <c r="J69" s="417"/>
      <c r="K69" s="417"/>
      <c r="L69" s="417"/>
    </row>
    <row r="70" spans="2:12" outlineLevel="1">
      <c r="G70" s="417"/>
      <c r="H70" s="417"/>
      <c r="I70" s="417"/>
      <c r="J70" s="417"/>
      <c r="K70" s="417"/>
      <c r="L70" s="417"/>
    </row>
    <row r="71" spans="2:12" outlineLevel="1">
      <c r="E71" s="550"/>
      <c r="F71" s="550"/>
    </row>
    <row r="72" spans="2:12" outlineLevel="1">
      <c r="E72" s="550"/>
      <c r="F72" s="550"/>
    </row>
    <row r="73" spans="2:12" outlineLevel="1">
      <c r="E73" s="550"/>
      <c r="F73" s="550"/>
    </row>
    <row r="74" spans="2:12" outlineLevel="1">
      <c r="E74" s="550"/>
      <c r="F74" s="550"/>
    </row>
    <row r="75" spans="2:12" outlineLevel="1">
      <c r="E75" s="550"/>
      <c r="F75" s="550"/>
    </row>
    <row r="76" spans="2:12" outlineLevel="1">
      <c r="E76" s="550"/>
      <c r="F76" s="550"/>
    </row>
    <row r="77" spans="2:12" outlineLevel="1">
      <c r="E77" s="550"/>
      <c r="F77" s="550"/>
    </row>
    <row r="78" spans="2:12" outlineLevel="1">
      <c r="E78" s="550"/>
      <c r="F78" s="550"/>
    </row>
    <row r="79" spans="2:12" outlineLevel="1"/>
    <row r="80" spans="2:12" outlineLevel="1">
      <c r="B80" s="556"/>
      <c r="C80" s="549"/>
      <c r="D80" s="549"/>
    </row>
    <row r="81" spans="1:44" outlineLevel="1">
      <c r="B81" s="698" t="str">
        <f>C86</f>
        <v>Electric boiler, 10 kV, hot water</v>
      </c>
    </row>
    <row r="84" spans="1:44">
      <c r="A84" s="420" t="s">
        <v>1097</v>
      </c>
      <c r="B84" s="976"/>
      <c r="C84" s="977"/>
      <c r="D84" s="977"/>
      <c r="E84" s="977"/>
      <c r="F84" s="977"/>
      <c r="G84" s="977"/>
      <c r="H84" s="977"/>
      <c r="I84" s="977"/>
      <c r="J84" s="977"/>
      <c r="K84" s="977"/>
      <c r="L84" s="977"/>
      <c r="M84" s="977"/>
      <c r="N84" s="421"/>
      <c r="P84" s="977"/>
      <c r="Q84" s="977"/>
      <c r="R84" s="977"/>
      <c r="S84" s="977"/>
      <c r="T84" s="977"/>
      <c r="U84" s="977"/>
    </row>
    <row r="85" spans="1:44" ht="15" outlineLevel="1" thickBot="1">
      <c r="B85" s="976"/>
      <c r="C85" s="977"/>
      <c r="D85" s="977"/>
      <c r="E85" s="977"/>
      <c r="F85" s="977"/>
      <c r="G85" s="977"/>
      <c r="H85" s="977"/>
      <c r="I85" s="977"/>
      <c r="J85" s="977"/>
      <c r="K85" s="977"/>
      <c r="L85" s="977"/>
      <c r="M85" s="977"/>
      <c r="N85" s="421"/>
      <c r="P85" s="752">
        <v>1</v>
      </c>
      <c r="Q85" s="752">
        <v>2</v>
      </c>
      <c r="R85" s="752">
        <v>3</v>
      </c>
      <c r="S85" s="752">
        <v>4</v>
      </c>
      <c r="T85" s="752">
        <v>5</v>
      </c>
      <c r="U85" s="752">
        <v>6</v>
      </c>
      <c r="V85" s="752">
        <v>7</v>
      </c>
      <c r="W85" s="752">
        <v>8</v>
      </c>
      <c r="X85" s="752">
        <v>9</v>
      </c>
      <c r="Y85" s="752">
        <v>10</v>
      </c>
      <c r="Z85" s="752">
        <v>11</v>
      </c>
      <c r="AA85" s="752">
        <v>12</v>
      </c>
      <c r="AB85" s="752">
        <v>13</v>
      </c>
      <c r="AC85" s="752">
        <v>14</v>
      </c>
    </row>
    <row r="86" spans="1:44" ht="20.7" customHeight="1" outlineLevel="1" thickBot="1">
      <c r="B86" s="422" t="s">
        <v>0</v>
      </c>
      <c r="C86" s="1018" t="s">
        <v>1096</v>
      </c>
      <c r="D86" s="1019"/>
      <c r="E86" s="1019"/>
      <c r="F86" s="1019"/>
      <c r="G86" s="1019"/>
      <c r="H86" s="1019"/>
      <c r="I86" s="1019"/>
      <c r="J86" s="1019"/>
      <c r="K86" s="1019"/>
      <c r="L86" s="1020"/>
      <c r="M86" s="423"/>
      <c r="N86" s="423"/>
      <c r="P86" s="424" t="s">
        <v>838</v>
      </c>
      <c r="Q86" s="425"/>
      <c r="R86" s="426"/>
      <c r="S86" s="985" t="s">
        <v>839</v>
      </c>
      <c r="T86" s="989" t="s">
        <v>840</v>
      </c>
      <c r="U86" s="990"/>
      <c r="V86" s="989" t="s">
        <v>841</v>
      </c>
      <c r="W86" s="990"/>
      <c r="X86" s="989" t="s">
        <v>842</v>
      </c>
      <c r="Y86" s="990"/>
      <c r="Z86" s="989" t="s">
        <v>843</v>
      </c>
      <c r="AA86" s="990"/>
      <c r="AB86" s="989" t="s">
        <v>844</v>
      </c>
      <c r="AC86" s="990"/>
      <c r="AE86" s="424" t="s">
        <v>845</v>
      </c>
      <c r="AF86" s="425"/>
      <c r="AG86" s="426"/>
      <c r="AH86" s="985" t="s">
        <v>839</v>
      </c>
      <c r="AI86" s="989" t="s">
        <v>840</v>
      </c>
      <c r="AJ86" s="990"/>
      <c r="AK86" s="989" t="s">
        <v>841</v>
      </c>
      <c r="AL86" s="990"/>
      <c r="AM86" s="989" t="s">
        <v>842</v>
      </c>
      <c r="AN86" s="990"/>
      <c r="AO86" s="989" t="s">
        <v>843</v>
      </c>
      <c r="AP86" s="990"/>
      <c r="AQ86" s="989" t="s">
        <v>844</v>
      </c>
      <c r="AR86" s="990"/>
    </row>
    <row r="87" spans="1:44" ht="15" customHeight="1" outlineLevel="1" thickBot="1">
      <c r="B87" s="1010" t="s">
        <v>4</v>
      </c>
      <c r="C87" s="1012">
        <v>2020</v>
      </c>
      <c r="D87" s="1012">
        <v>2030</v>
      </c>
      <c r="E87" s="1012">
        <v>2040</v>
      </c>
      <c r="F87" s="1012">
        <v>2050</v>
      </c>
      <c r="G87" s="1014" t="s">
        <v>846</v>
      </c>
      <c r="H87" s="1015"/>
      <c r="I87" s="1014" t="s">
        <v>693</v>
      </c>
      <c r="J87" s="1015"/>
      <c r="K87" s="1016" t="s">
        <v>2</v>
      </c>
      <c r="L87" s="1016" t="s">
        <v>3</v>
      </c>
      <c r="M87" s="427"/>
      <c r="N87" s="427"/>
      <c r="P87" s="993" t="s">
        <v>0</v>
      </c>
      <c r="Q87" s="428"/>
      <c r="R87" s="428"/>
      <c r="S87" s="986"/>
      <c r="T87" s="991"/>
      <c r="U87" s="992"/>
      <c r="V87" s="991"/>
      <c r="W87" s="992"/>
      <c r="X87" s="991"/>
      <c r="Y87" s="992"/>
      <c r="Z87" s="991"/>
      <c r="AA87" s="992"/>
      <c r="AB87" s="991"/>
      <c r="AC87" s="992"/>
      <c r="AE87" s="993" t="s">
        <v>0</v>
      </c>
      <c r="AF87" s="428"/>
      <c r="AG87" s="428"/>
      <c r="AH87" s="986"/>
      <c r="AI87" s="991"/>
      <c r="AJ87" s="992"/>
      <c r="AK87" s="991"/>
      <c r="AL87" s="992"/>
      <c r="AM87" s="991"/>
      <c r="AN87" s="992"/>
      <c r="AO87" s="991"/>
      <c r="AP87" s="992"/>
      <c r="AQ87" s="991"/>
      <c r="AR87" s="992"/>
    </row>
    <row r="88" spans="1:44" ht="15" customHeight="1" outlineLevel="1" thickBot="1">
      <c r="B88" s="1011"/>
      <c r="C88" s="1013"/>
      <c r="D88" s="1013"/>
      <c r="E88" s="1013"/>
      <c r="F88" s="1013"/>
      <c r="G88" s="559" t="s">
        <v>694</v>
      </c>
      <c r="H88" s="559" t="s">
        <v>695</v>
      </c>
      <c r="I88" s="559" t="s">
        <v>694</v>
      </c>
      <c r="J88" s="559" t="s">
        <v>695</v>
      </c>
      <c r="K88" s="1017"/>
      <c r="L88" s="1017"/>
      <c r="M88" s="430"/>
      <c r="N88" s="430"/>
      <c r="P88" s="994"/>
      <c r="Q88" s="996" t="s">
        <v>847</v>
      </c>
      <c r="R88" s="997" t="s">
        <v>848</v>
      </c>
      <c r="S88" s="987"/>
      <c r="T88" s="991"/>
      <c r="U88" s="992"/>
      <c r="V88" s="991"/>
      <c r="W88" s="992"/>
      <c r="X88" s="991"/>
      <c r="Y88" s="992"/>
      <c r="Z88" s="991"/>
      <c r="AA88" s="992"/>
      <c r="AB88" s="991"/>
      <c r="AC88" s="992"/>
      <c r="AE88" s="994"/>
      <c r="AF88" s="1040" t="s">
        <v>847</v>
      </c>
      <c r="AG88" s="997" t="s">
        <v>848</v>
      </c>
      <c r="AH88" s="987"/>
      <c r="AI88" s="991"/>
      <c r="AJ88" s="992"/>
      <c r="AK88" s="991"/>
      <c r="AL88" s="992"/>
      <c r="AM88" s="991"/>
      <c r="AN88" s="992"/>
      <c r="AO88" s="991"/>
      <c r="AP88" s="992"/>
      <c r="AQ88" s="991"/>
      <c r="AR88" s="992"/>
    </row>
    <row r="89" spans="1:44" ht="29.4" outlineLevel="1" thickBot="1">
      <c r="B89" s="431" t="s">
        <v>696</v>
      </c>
      <c r="C89" s="432">
        <v>15</v>
      </c>
      <c r="D89" s="432">
        <v>15</v>
      </c>
      <c r="E89" s="432">
        <v>15</v>
      </c>
      <c r="F89" s="432">
        <v>15</v>
      </c>
      <c r="G89" s="432">
        <v>10</v>
      </c>
      <c r="H89" s="432">
        <v>60</v>
      </c>
      <c r="I89" s="432">
        <v>10</v>
      </c>
      <c r="J89" s="432">
        <v>60</v>
      </c>
      <c r="K89" s="432" t="s">
        <v>6</v>
      </c>
      <c r="L89" s="433"/>
      <c r="M89" s="430"/>
      <c r="N89" s="430"/>
      <c r="O89" s="74"/>
      <c r="P89" s="995"/>
      <c r="Q89" s="988"/>
      <c r="R89" s="998"/>
      <c r="S89" s="988"/>
      <c r="T89" s="434" t="s">
        <v>851</v>
      </c>
      <c r="U89" s="435" t="s">
        <v>852</v>
      </c>
      <c r="V89" s="434" t="s">
        <v>851</v>
      </c>
      <c r="W89" s="435" t="s">
        <v>852</v>
      </c>
      <c r="X89" s="434" t="s">
        <v>851</v>
      </c>
      <c r="Y89" s="435" t="s">
        <v>852</v>
      </c>
      <c r="Z89" s="434" t="s">
        <v>851</v>
      </c>
      <c r="AA89" s="435" t="s">
        <v>852</v>
      </c>
      <c r="AB89" s="434" t="s">
        <v>851</v>
      </c>
      <c r="AC89" s="435" t="s">
        <v>852</v>
      </c>
      <c r="AE89" s="995"/>
      <c r="AF89" s="1041"/>
      <c r="AG89" s="998"/>
      <c r="AH89" s="988"/>
      <c r="AI89" s="434" t="s">
        <v>851</v>
      </c>
      <c r="AJ89" s="435" t="s">
        <v>852</v>
      </c>
      <c r="AK89" s="434" t="s">
        <v>851</v>
      </c>
      <c r="AL89" s="435" t="s">
        <v>852</v>
      </c>
      <c r="AM89" s="434" t="s">
        <v>851</v>
      </c>
      <c r="AN89" s="435" t="s">
        <v>852</v>
      </c>
      <c r="AO89" s="434" t="s">
        <v>851</v>
      </c>
      <c r="AP89" s="435" t="s">
        <v>852</v>
      </c>
      <c r="AQ89" s="434" t="s">
        <v>851</v>
      </c>
      <c r="AR89" s="435" t="s">
        <v>852</v>
      </c>
    </row>
    <row r="90" spans="1:44" ht="15" customHeight="1" outlineLevel="1">
      <c r="B90" s="560" t="s">
        <v>853</v>
      </c>
      <c r="C90" s="561">
        <v>99</v>
      </c>
      <c r="D90" s="561">
        <v>99</v>
      </c>
      <c r="E90" s="562">
        <v>99</v>
      </c>
      <c r="F90" s="561">
        <v>99</v>
      </c>
      <c r="G90" s="561">
        <v>98</v>
      </c>
      <c r="H90" s="561">
        <v>100</v>
      </c>
      <c r="I90" s="561">
        <v>98</v>
      </c>
      <c r="J90" s="561">
        <v>100</v>
      </c>
      <c r="K90" s="563"/>
      <c r="L90" s="564" t="s">
        <v>1086</v>
      </c>
      <c r="M90" s="430"/>
      <c r="N90" s="430"/>
      <c r="P90" s="1042" t="str">
        <f>C86</f>
        <v>Electric boiler, 10 kV, hot water</v>
      </c>
      <c r="Q90" s="1030" t="s">
        <v>855</v>
      </c>
      <c r="R90" s="441" t="s">
        <v>856</v>
      </c>
      <c r="S90" s="442" t="s">
        <v>967</v>
      </c>
      <c r="T90" s="1033">
        <v>0</v>
      </c>
      <c r="U90" s="1021">
        <v>0</v>
      </c>
      <c r="V90" s="1024">
        <v>0</v>
      </c>
      <c r="W90" s="1021">
        <v>0</v>
      </c>
      <c r="X90" s="1024">
        <v>0</v>
      </c>
      <c r="Y90" s="1021">
        <v>0</v>
      </c>
      <c r="Z90" s="1024">
        <v>0</v>
      </c>
      <c r="AA90" s="1021">
        <v>0</v>
      </c>
      <c r="AB90" s="1024">
        <v>0</v>
      </c>
      <c r="AC90" s="1021">
        <v>0</v>
      </c>
      <c r="AE90" s="1027" t="str">
        <f>P90</f>
        <v>Electric boiler, 10 kV, hot water</v>
      </c>
      <c r="AF90" s="1030" t="s">
        <v>855</v>
      </c>
      <c r="AG90" s="441" t="s">
        <v>856</v>
      </c>
      <c r="AH90" s="442" t="str">
        <f t="shared" ref="AH90:AR91" si="5">S90</f>
        <v/>
      </c>
      <c r="AI90" s="1033">
        <f t="shared" si="5"/>
        <v>0</v>
      </c>
      <c r="AJ90" s="1021">
        <f t="shared" si="5"/>
        <v>0</v>
      </c>
      <c r="AK90" s="1024">
        <f t="shared" si="5"/>
        <v>0</v>
      </c>
      <c r="AL90" s="1021">
        <f t="shared" si="5"/>
        <v>0</v>
      </c>
      <c r="AM90" s="1024">
        <f t="shared" si="5"/>
        <v>0</v>
      </c>
      <c r="AN90" s="1021">
        <f t="shared" si="5"/>
        <v>0</v>
      </c>
      <c r="AO90" s="1024">
        <f t="shared" si="5"/>
        <v>0</v>
      </c>
      <c r="AP90" s="1021">
        <f t="shared" si="5"/>
        <v>0</v>
      </c>
      <c r="AQ90" s="1024">
        <f t="shared" si="5"/>
        <v>0</v>
      </c>
      <c r="AR90" s="1021">
        <f t="shared" si="5"/>
        <v>0</v>
      </c>
    </row>
    <row r="91" spans="1:44" outlineLevel="1">
      <c r="B91" s="443" t="s">
        <v>857</v>
      </c>
      <c r="C91" s="637">
        <v>99</v>
      </c>
      <c r="D91" s="637">
        <v>99</v>
      </c>
      <c r="E91" s="637">
        <v>99</v>
      </c>
      <c r="F91" s="637">
        <v>99</v>
      </c>
      <c r="G91" s="636">
        <v>98</v>
      </c>
      <c r="H91" s="636">
        <v>99</v>
      </c>
      <c r="I91" s="636">
        <v>98</v>
      </c>
      <c r="J91" s="636">
        <v>99</v>
      </c>
      <c r="K91" s="432"/>
      <c r="L91" s="433" t="s">
        <v>1086</v>
      </c>
      <c r="M91" s="430"/>
      <c r="N91" s="430"/>
      <c r="O91" s="71"/>
      <c r="P91" s="1028"/>
      <c r="Q91" s="1031"/>
      <c r="R91" s="448" t="s">
        <v>858</v>
      </c>
      <c r="S91" s="449" t="s">
        <v>967</v>
      </c>
      <c r="T91" s="1034"/>
      <c r="U91" s="1022"/>
      <c r="V91" s="1025"/>
      <c r="W91" s="1022"/>
      <c r="X91" s="1025"/>
      <c r="Y91" s="1022"/>
      <c r="Z91" s="1025"/>
      <c r="AA91" s="1022"/>
      <c r="AB91" s="1025"/>
      <c r="AC91" s="1022"/>
      <c r="AE91" s="1028"/>
      <c r="AF91" s="1031"/>
      <c r="AG91" s="448" t="s">
        <v>858</v>
      </c>
      <c r="AH91" s="449" t="str">
        <f t="shared" si="5"/>
        <v/>
      </c>
      <c r="AI91" s="1034"/>
      <c r="AJ91" s="1022"/>
      <c r="AK91" s="1025"/>
      <c r="AL91" s="1022"/>
      <c r="AM91" s="1025"/>
      <c r="AN91" s="1022"/>
      <c r="AO91" s="1025"/>
      <c r="AP91" s="1022"/>
      <c r="AQ91" s="1025"/>
      <c r="AR91" s="1022"/>
    </row>
    <row r="92" spans="1:44" ht="15" outlineLevel="1" thickBot="1">
      <c r="B92" s="560" t="s">
        <v>859</v>
      </c>
      <c r="C92" s="566">
        <v>0.5</v>
      </c>
      <c r="D92" s="567">
        <v>0.5</v>
      </c>
      <c r="E92" s="567">
        <v>0.5</v>
      </c>
      <c r="F92" s="568">
        <v>0.5</v>
      </c>
      <c r="G92" s="567">
        <v>0.1</v>
      </c>
      <c r="H92" s="567">
        <v>0.5</v>
      </c>
      <c r="I92" s="567">
        <v>0.1</v>
      </c>
      <c r="J92" s="567">
        <v>0.5</v>
      </c>
      <c r="K92" s="563"/>
      <c r="L92" s="564" t="s">
        <v>1086</v>
      </c>
      <c r="M92" s="430"/>
      <c r="N92" s="430"/>
      <c r="O92" s="71"/>
      <c r="P92" s="1028"/>
      <c r="Q92" s="1032"/>
      <c r="R92" s="453" t="s">
        <v>860</v>
      </c>
      <c r="S92" s="454"/>
      <c r="T92" s="1035"/>
      <c r="U92" s="1023"/>
      <c r="V92" s="1026"/>
      <c r="W92" s="1023"/>
      <c r="X92" s="1026"/>
      <c r="Y92" s="1023"/>
      <c r="Z92" s="1026"/>
      <c r="AA92" s="1023"/>
      <c r="AB92" s="1026"/>
      <c r="AC92" s="1023"/>
      <c r="AE92" s="1028"/>
      <c r="AF92" s="1032"/>
      <c r="AG92" s="453" t="s">
        <v>860</v>
      </c>
      <c r="AH92" s="454"/>
      <c r="AI92" s="1035"/>
      <c r="AJ92" s="1023"/>
      <c r="AK92" s="1026"/>
      <c r="AL92" s="1023"/>
      <c r="AM92" s="1026"/>
      <c r="AN92" s="1023"/>
      <c r="AO92" s="1026"/>
      <c r="AP92" s="1023"/>
      <c r="AQ92" s="1026"/>
      <c r="AR92" s="1023"/>
    </row>
    <row r="93" spans="1:44" ht="15" customHeight="1" outlineLevel="1">
      <c r="B93" s="560" t="s">
        <v>702</v>
      </c>
      <c r="C93" s="566">
        <v>1</v>
      </c>
      <c r="D93" s="566">
        <v>1</v>
      </c>
      <c r="E93" s="566">
        <v>1</v>
      </c>
      <c r="F93" s="566">
        <v>1</v>
      </c>
      <c r="G93" s="566">
        <v>0.5</v>
      </c>
      <c r="H93" s="566">
        <v>1</v>
      </c>
      <c r="I93" s="566">
        <v>0.5</v>
      </c>
      <c r="J93" s="566">
        <v>1</v>
      </c>
      <c r="K93" s="563"/>
      <c r="L93" s="564" t="s">
        <v>1086</v>
      </c>
      <c r="M93" s="430"/>
      <c r="N93" s="430"/>
      <c r="O93" s="71"/>
      <c r="P93" s="1028"/>
      <c r="Q93" s="1030" t="s">
        <v>861</v>
      </c>
      <c r="R93" s="455" t="s">
        <v>862</v>
      </c>
      <c r="S93" s="456" t="s">
        <v>863</v>
      </c>
      <c r="T93" s="1033">
        <v>0</v>
      </c>
      <c r="U93" s="1033">
        <v>0.67</v>
      </c>
      <c r="V93" s="1033">
        <v>0</v>
      </c>
      <c r="W93" s="1033">
        <v>0.56999999999999995</v>
      </c>
      <c r="X93" s="1033">
        <v>0</v>
      </c>
      <c r="Y93" s="1033">
        <v>0.5</v>
      </c>
      <c r="Z93" s="1033">
        <v>0</v>
      </c>
      <c r="AA93" s="1033">
        <v>0.51</v>
      </c>
      <c r="AB93" s="1033">
        <v>0</v>
      </c>
      <c r="AC93" s="1021">
        <v>0.41</v>
      </c>
      <c r="AE93" s="1028"/>
      <c r="AF93" s="1030" t="s">
        <v>861</v>
      </c>
      <c r="AG93" s="455" t="s">
        <v>862</v>
      </c>
      <c r="AH93" s="456" t="str">
        <f>S93</f>
        <v>x</v>
      </c>
      <c r="AI93" s="1033">
        <f>T93</f>
        <v>0</v>
      </c>
      <c r="AJ93" s="1033">
        <f>U93/4</f>
        <v>0.16750000000000001</v>
      </c>
      <c r="AK93" s="1033">
        <f>V93</f>
        <v>0</v>
      </c>
      <c r="AL93" s="1033">
        <f>W93/4</f>
        <v>0.14249999999999999</v>
      </c>
      <c r="AM93" s="1033">
        <f>X93</f>
        <v>0</v>
      </c>
      <c r="AN93" s="1033">
        <f>Y93/4</f>
        <v>0.125</v>
      </c>
      <c r="AO93" s="1033">
        <f>Z93</f>
        <v>0</v>
      </c>
      <c r="AP93" s="1033">
        <f>AA93/4</f>
        <v>0.1275</v>
      </c>
      <c r="AQ93" s="1033">
        <f>AB93</f>
        <v>0</v>
      </c>
      <c r="AR93" s="1021">
        <f>AC93/4</f>
        <v>0.10249999999999999</v>
      </c>
    </row>
    <row r="94" spans="1:44" outlineLevel="1">
      <c r="B94" s="560" t="s">
        <v>703</v>
      </c>
      <c r="C94" s="566">
        <v>0.2</v>
      </c>
      <c r="D94" s="566">
        <v>0.2</v>
      </c>
      <c r="E94" s="566">
        <v>0.2</v>
      </c>
      <c r="F94" s="566">
        <v>0.2</v>
      </c>
      <c r="G94" s="566">
        <v>0.2</v>
      </c>
      <c r="H94" s="566">
        <v>0.2</v>
      </c>
      <c r="I94" s="566">
        <v>0.2</v>
      </c>
      <c r="J94" s="566">
        <v>0.2</v>
      </c>
      <c r="K94" s="563"/>
      <c r="L94" s="564">
        <v>1</v>
      </c>
      <c r="M94" s="427"/>
      <c r="N94" s="427"/>
      <c r="O94" s="71"/>
      <c r="P94" s="1028"/>
      <c r="Q94" s="1031"/>
      <c r="R94" s="455" t="s">
        <v>864</v>
      </c>
      <c r="S94" s="456" t="s">
        <v>863</v>
      </c>
      <c r="T94" s="1036"/>
      <c r="U94" s="1036"/>
      <c r="V94" s="1036"/>
      <c r="W94" s="1036"/>
      <c r="X94" s="1036"/>
      <c r="Y94" s="1036"/>
      <c r="Z94" s="1036"/>
      <c r="AA94" s="1036"/>
      <c r="AB94" s="1036"/>
      <c r="AC94" s="1038"/>
      <c r="AE94" s="1028"/>
      <c r="AF94" s="1031"/>
      <c r="AG94" s="455" t="s">
        <v>864</v>
      </c>
      <c r="AH94" s="456" t="str">
        <f>S94</f>
        <v>x</v>
      </c>
      <c r="AI94" s="1036"/>
      <c r="AJ94" s="1036"/>
      <c r="AK94" s="1036"/>
      <c r="AL94" s="1036"/>
      <c r="AM94" s="1036"/>
      <c r="AN94" s="1036"/>
      <c r="AO94" s="1036"/>
      <c r="AP94" s="1036"/>
      <c r="AQ94" s="1036"/>
      <c r="AR94" s="1038"/>
    </row>
    <row r="95" spans="1:44" outlineLevel="1">
      <c r="B95" s="443" t="s">
        <v>11</v>
      </c>
      <c r="C95" s="457">
        <v>25</v>
      </c>
      <c r="D95" s="457">
        <v>25</v>
      </c>
      <c r="E95" s="457">
        <v>25</v>
      </c>
      <c r="F95" s="457">
        <v>25</v>
      </c>
      <c r="G95" s="459">
        <v>20</v>
      </c>
      <c r="H95" s="459">
        <v>25</v>
      </c>
      <c r="I95" s="459">
        <v>20</v>
      </c>
      <c r="J95" s="459">
        <v>25</v>
      </c>
      <c r="K95" s="432"/>
      <c r="L95" s="433">
        <v>2</v>
      </c>
      <c r="M95" s="423"/>
      <c r="N95" s="423"/>
      <c r="P95" s="1028"/>
      <c r="Q95" s="1031"/>
      <c r="R95" s="455" t="s">
        <v>866</v>
      </c>
      <c r="S95" s="456" t="s">
        <v>863</v>
      </c>
      <c r="T95" s="1036"/>
      <c r="U95" s="1036"/>
      <c r="V95" s="1036"/>
      <c r="W95" s="1036"/>
      <c r="X95" s="1036"/>
      <c r="Y95" s="1036"/>
      <c r="Z95" s="1036"/>
      <c r="AA95" s="1036"/>
      <c r="AB95" s="1036"/>
      <c r="AC95" s="1038"/>
      <c r="AE95" s="1028"/>
      <c r="AF95" s="1031"/>
      <c r="AG95" s="455" t="s">
        <v>866</v>
      </c>
      <c r="AH95" s="689" t="str">
        <f>S95</f>
        <v>x</v>
      </c>
      <c r="AI95" s="1036"/>
      <c r="AJ95" s="1036"/>
      <c r="AK95" s="1036"/>
      <c r="AL95" s="1036"/>
      <c r="AM95" s="1036"/>
      <c r="AN95" s="1036"/>
      <c r="AO95" s="1036"/>
      <c r="AP95" s="1036"/>
      <c r="AQ95" s="1036"/>
      <c r="AR95" s="1038"/>
    </row>
    <row r="96" spans="1:44" ht="15" outlineLevel="1" thickBot="1">
      <c r="B96" s="560" t="s">
        <v>273</v>
      </c>
      <c r="C96" s="566">
        <v>0.5</v>
      </c>
      <c r="D96" s="566">
        <v>0.5</v>
      </c>
      <c r="E96" s="566">
        <v>0.5</v>
      </c>
      <c r="F96" s="566">
        <v>0.5</v>
      </c>
      <c r="G96" s="566">
        <v>0.5</v>
      </c>
      <c r="H96" s="566">
        <v>1</v>
      </c>
      <c r="I96" s="566">
        <v>0.5</v>
      </c>
      <c r="J96" s="566">
        <v>1</v>
      </c>
      <c r="K96" s="432"/>
      <c r="L96" s="460">
        <v>1</v>
      </c>
      <c r="M96" s="423"/>
      <c r="N96" s="423"/>
      <c r="P96" s="1028"/>
      <c r="Q96" s="1031"/>
      <c r="R96" s="455" t="s">
        <v>867</v>
      </c>
      <c r="S96" s="456" t="s">
        <v>863</v>
      </c>
      <c r="T96" s="1036"/>
      <c r="U96" s="1036"/>
      <c r="V96" s="1036"/>
      <c r="W96" s="1036"/>
      <c r="X96" s="1036"/>
      <c r="Y96" s="1036"/>
      <c r="Z96" s="1036"/>
      <c r="AA96" s="1036"/>
      <c r="AB96" s="1036"/>
      <c r="AC96" s="1038"/>
      <c r="AE96" s="1028"/>
      <c r="AF96" s="1031"/>
      <c r="AG96" s="455" t="s">
        <v>867</v>
      </c>
      <c r="AH96" s="456" t="str">
        <f>S96</f>
        <v>x</v>
      </c>
      <c r="AI96" s="1036"/>
      <c r="AJ96" s="1036"/>
      <c r="AK96" s="1036"/>
      <c r="AL96" s="1036"/>
      <c r="AM96" s="1036"/>
      <c r="AN96" s="1036"/>
      <c r="AO96" s="1036"/>
      <c r="AP96" s="1036"/>
      <c r="AQ96" s="1036"/>
      <c r="AR96" s="1038"/>
    </row>
    <row r="97" spans="1:44" ht="15" outlineLevel="1" thickBot="1">
      <c r="B97" s="461" t="s">
        <v>868</v>
      </c>
      <c r="C97" s="462"/>
      <c r="D97" s="463"/>
      <c r="E97" s="464"/>
      <c r="F97" s="465"/>
      <c r="G97" s="466"/>
      <c r="H97" s="466"/>
      <c r="I97" s="466"/>
      <c r="J97" s="466"/>
      <c r="K97" s="467"/>
      <c r="L97" s="468"/>
      <c r="M97" s="423"/>
      <c r="N97" s="423"/>
      <c r="P97" s="1028"/>
      <c r="Q97" s="1032"/>
      <c r="R97" s="469" t="s">
        <v>988</v>
      </c>
      <c r="S97" s="470" t="s">
        <v>863</v>
      </c>
      <c r="T97" s="1037"/>
      <c r="U97" s="1037"/>
      <c r="V97" s="1037"/>
      <c r="W97" s="1037"/>
      <c r="X97" s="1037"/>
      <c r="Y97" s="1037"/>
      <c r="Z97" s="1037"/>
      <c r="AA97" s="1037"/>
      <c r="AB97" s="1037"/>
      <c r="AC97" s="1039"/>
      <c r="AE97" s="1028"/>
      <c r="AF97" s="1032"/>
      <c r="AG97" s="469" t="s">
        <v>988</v>
      </c>
      <c r="AH97" s="470" t="str">
        <f>S97</f>
        <v>x</v>
      </c>
      <c r="AI97" s="1037"/>
      <c r="AJ97" s="1037"/>
      <c r="AK97" s="1037"/>
      <c r="AL97" s="1037"/>
      <c r="AM97" s="1037"/>
      <c r="AN97" s="1037"/>
      <c r="AO97" s="1037"/>
      <c r="AP97" s="1037"/>
      <c r="AQ97" s="1037"/>
      <c r="AR97" s="1039"/>
    </row>
    <row r="98" spans="1:44" ht="29.4" outlineLevel="1" thickBot="1">
      <c r="B98" s="560" t="s">
        <v>708</v>
      </c>
      <c r="C98" s="566">
        <v>5</v>
      </c>
      <c r="D98" s="566">
        <v>5</v>
      </c>
      <c r="E98" s="566">
        <v>5</v>
      </c>
      <c r="F98" s="566">
        <v>5</v>
      </c>
      <c r="G98" s="567"/>
      <c r="H98" s="567"/>
      <c r="I98" s="567"/>
      <c r="J98" s="567"/>
      <c r="K98" s="563"/>
      <c r="L98" s="564">
        <v>1</v>
      </c>
      <c r="M98" s="423"/>
      <c r="N98" s="423"/>
      <c r="P98" s="1029"/>
      <c r="Q98" s="471" t="s">
        <v>870</v>
      </c>
      <c r="R98" s="472" t="s">
        <v>871</v>
      </c>
      <c r="S98" s="690" t="s">
        <v>863</v>
      </c>
      <c r="T98" s="476">
        <v>1</v>
      </c>
      <c r="U98" s="475">
        <v>1</v>
      </c>
      <c r="V98" s="476">
        <v>1</v>
      </c>
      <c r="W98" s="475">
        <v>1</v>
      </c>
      <c r="X98" s="476">
        <v>1</v>
      </c>
      <c r="Y98" s="475">
        <v>1</v>
      </c>
      <c r="Z98" s="476">
        <v>1</v>
      </c>
      <c r="AA98" s="475">
        <v>1</v>
      </c>
      <c r="AB98" s="476">
        <v>1</v>
      </c>
      <c r="AC98" s="477">
        <v>1</v>
      </c>
      <c r="AE98" s="1029"/>
      <c r="AF98" s="471" t="s">
        <v>870</v>
      </c>
      <c r="AG98" s="691" t="s">
        <v>871</v>
      </c>
      <c r="AH98" s="692" t="s">
        <v>863</v>
      </c>
      <c r="AI98" s="476">
        <v>1</v>
      </c>
      <c r="AJ98" s="475">
        <v>1</v>
      </c>
      <c r="AK98" s="476">
        <v>1</v>
      </c>
      <c r="AL98" s="475">
        <v>1</v>
      </c>
      <c r="AM98" s="476">
        <v>1</v>
      </c>
      <c r="AN98" s="475">
        <v>1</v>
      </c>
      <c r="AO98" s="476">
        <v>1</v>
      </c>
      <c r="AP98" s="475">
        <v>1</v>
      </c>
      <c r="AQ98" s="476">
        <v>1</v>
      </c>
      <c r="AR98" s="477">
        <v>1</v>
      </c>
    </row>
    <row r="99" spans="1:44" outlineLevel="1">
      <c r="B99" s="560" t="s">
        <v>709</v>
      </c>
      <c r="C99" s="566">
        <v>8.0000000000000002E-3</v>
      </c>
      <c r="D99" s="566">
        <v>8.0000000000000002E-3</v>
      </c>
      <c r="E99" s="566">
        <v>8.0000000000000002E-3</v>
      </c>
      <c r="F99" s="566">
        <v>8.0000000000000002E-3</v>
      </c>
      <c r="G99" s="569"/>
      <c r="H99" s="569"/>
      <c r="I99" s="569"/>
      <c r="J99" s="569"/>
      <c r="K99" s="570"/>
      <c r="L99" s="564">
        <v>1</v>
      </c>
      <c r="M99" s="423"/>
      <c r="N99" s="423"/>
    </row>
    <row r="100" spans="1:44" outlineLevel="1">
      <c r="B100" s="560" t="s">
        <v>711</v>
      </c>
      <c r="C100" s="566">
        <v>0.08</v>
      </c>
      <c r="D100" s="566">
        <v>0.08</v>
      </c>
      <c r="E100" s="566">
        <v>0.08</v>
      </c>
      <c r="F100" s="566">
        <v>0.08</v>
      </c>
      <c r="G100" s="569"/>
      <c r="H100" s="569"/>
      <c r="I100" s="569"/>
      <c r="J100" s="569"/>
      <c r="K100" s="570"/>
      <c r="L100" s="564">
        <v>1</v>
      </c>
      <c r="M100" s="480"/>
      <c r="N100" s="423"/>
    </row>
    <row r="101" spans="1:44" outlineLevel="1">
      <c r="B101" s="481" t="s">
        <v>12</v>
      </c>
      <c r="C101" s="459"/>
      <c r="D101" s="459"/>
      <c r="E101" s="459"/>
      <c r="F101" s="459"/>
      <c r="G101" s="482"/>
      <c r="H101" s="482"/>
      <c r="I101" s="482"/>
      <c r="J101" s="482"/>
      <c r="K101" s="483"/>
      <c r="L101" s="484"/>
      <c r="M101" s="480"/>
      <c r="N101" s="480"/>
    </row>
    <row r="102" spans="1:44" ht="39.6" outlineLevel="1">
      <c r="B102" s="443" t="s">
        <v>968</v>
      </c>
      <c r="C102" s="457" t="s">
        <v>714</v>
      </c>
      <c r="D102" s="457"/>
      <c r="E102" s="457"/>
      <c r="F102" s="457"/>
      <c r="G102" s="482"/>
      <c r="H102" s="485"/>
      <c r="I102" s="485"/>
      <c r="J102" s="485"/>
      <c r="K102" s="486"/>
      <c r="L102" s="487"/>
      <c r="M102" s="488"/>
      <c r="N102" s="488"/>
    </row>
    <row r="103" spans="1:44" outlineLevel="1">
      <c r="B103" s="443" t="s">
        <v>874</v>
      </c>
      <c r="C103" s="457"/>
      <c r="D103" s="457"/>
      <c r="E103" s="457"/>
      <c r="F103" s="457"/>
      <c r="G103" s="485"/>
      <c r="H103" s="485"/>
      <c r="I103" s="485"/>
      <c r="J103" s="485"/>
      <c r="K103" s="483"/>
      <c r="L103" s="487"/>
      <c r="M103" s="488"/>
      <c r="N103" s="488"/>
    </row>
    <row r="104" spans="1:44" outlineLevel="1">
      <c r="B104" s="443" t="s">
        <v>969</v>
      </c>
      <c r="C104" s="457"/>
      <c r="D104" s="457"/>
      <c r="E104" s="457"/>
      <c r="F104" s="457"/>
      <c r="G104" s="485"/>
      <c r="H104" s="485"/>
      <c r="I104" s="485"/>
      <c r="J104" s="485"/>
      <c r="K104" s="483"/>
      <c r="L104" s="487"/>
      <c r="M104" s="488"/>
      <c r="N104" s="488"/>
    </row>
    <row r="105" spans="1:44" outlineLevel="1">
      <c r="B105" s="443" t="s">
        <v>366</v>
      </c>
      <c r="C105" s="457"/>
      <c r="D105" s="457"/>
      <c r="E105" s="457"/>
      <c r="F105" s="457"/>
      <c r="G105" s="485"/>
      <c r="H105" s="485"/>
      <c r="I105" s="485"/>
      <c r="J105" s="485"/>
      <c r="K105" s="483"/>
      <c r="L105" s="487"/>
      <c r="M105" s="488"/>
      <c r="N105" s="488"/>
    </row>
    <row r="106" spans="1:44" ht="15" outlineLevel="1" thickBot="1">
      <c r="B106" s="489" t="s">
        <v>367</v>
      </c>
      <c r="C106" s="490"/>
      <c r="D106" s="490"/>
      <c r="E106" s="490"/>
      <c r="F106" s="490"/>
      <c r="G106" s="485"/>
      <c r="H106" s="485"/>
      <c r="I106" s="485"/>
      <c r="J106" s="485"/>
      <c r="K106" s="483"/>
      <c r="L106" s="487"/>
      <c r="M106" s="488"/>
      <c r="N106" s="488"/>
    </row>
    <row r="107" spans="1:44" ht="15" outlineLevel="1" thickBot="1">
      <c r="B107" s="491" t="s">
        <v>719</v>
      </c>
      <c r="C107" s="492"/>
      <c r="D107" s="463"/>
      <c r="E107" s="463"/>
      <c r="F107" s="493"/>
      <c r="G107" s="494"/>
      <c r="H107" s="466"/>
      <c r="I107" s="466"/>
      <c r="J107" s="466"/>
      <c r="K107" s="467"/>
      <c r="L107" s="468"/>
      <c r="M107" s="488"/>
      <c r="N107" s="488"/>
    </row>
    <row r="108" spans="1:44" ht="14.7" customHeight="1" outlineLevel="1">
      <c r="A108" s="495"/>
      <c r="B108" s="496" t="s">
        <v>1035</v>
      </c>
      <c r="C108" s="571">
        <v>7.0000000000000007E-2</v>
      </c>
      <c r="D108" s="572">
        <v>0.06</v>
      </c>
      <c r="E108" s="572">
        <v>0.06</v>
      </c>
      <c r="F108" s="573">
        <v>0.06</v>
      </c>
      <c r="G108" s="485"/>
      <c r="H108" s="485"/>
      <c r="I108" s="485"/>
      <c r="J108" s="485"/>
      <c r="K108" s="486" t="s">
        <v>963</v>
      </c>
      <c r="L108" s="500" t="s">
        <v>1086</v>
      </c>
      <c r="M108" s="480"/>
      <c r="N108" s="480"/>
    </row>
    <row r="109" spans="1:44" outlineLevel="1">
      <c r="B109" s="501" t="s">
        <v>964</v>
      </c>
      <c r="C109" s="502">
        <v>85</v>
      </c>
      <c r="D109" s="502">
        <v>85</v>
      </c>
      <c r="E109" s="502">
        <v>85</v>
      </c>
      <c r="F109" s="502">
        <v>85</v>
      </c>
      <c r="G109" s="485"/>
      <c r="H109" s="485"/>
      <c r="I109" s="485"/>
      <c r="J109" s="485"/>
      <c r="K109" s="504"/>
      <c r="L109" s="433">
        <v>1</v>
      </c>
      <c r="M109" s="71"/>
      <c r="N109" s="480"/>
    </row>
    <row r="110" spans="1:44" outlineLevel="1">
      <c r="B110" s="501" t="s">
        <v>965</v>
      </c>
      <c r="C110" s="502">
        <v>15</v>
      </c>
      <c r="D110" s="502">
        <v>15</v>
      </c>
      <c r="E110" s="502">
        <v>15</v>
      </c>
      <c r="F110" s="502">
        <v>15</v>
      </c>
      <c r="G110" s="485"/>
      <c r="H110" s="485"/>
      <c r="I110" s="485"/>
      <c r="J110" s="485"/>
      <c r="K110" s="504"/>
      <c r="L110" s="433">
        <v>1</v>
      </c>
      <c r="M110" s="480"/>
      <c r="N110" s="480"/>
    </row>
    <row r="111" spans="1:44" outlineLevel="1">
      <c r="B111" s="443" t="s">
        <v>966</v>
      </c>
      <c r="C111" s="505">
        <v>1070</v>
      </c>
      <c r="D111" s="506">
        <v>1020</v>
      </c>
      <c r="E111" s="506">
        <v>970</v>
      </c>
      <c r="F111" s="507">
        <v>920</v>
      </c>
      <c r="G111" s="485"/>
      <c r="H111" s="485"/>
      <c r="I111" s="485"/>
      <c r="J111" s="485"/>
      <c r="K111" s="508"/>
      <c r="L111" s="433">
        <v>1</v>
      </c>
      <c r="M111" s="480"/>
      <c r="N111" s="480"/>
    </row>
    <row r="112" spans="1:44" outlineLevel="1">
      <c r="B112" s="443" t="s">
        <v>724</v>
      </c>
      <c r="C112" s="509">
        <f>C113+C114</f>
        <v>0.86499999999999999</v>
      </c>
      <c r="D112" s="509">
        <f t="shared" ref="D112:F112" si="6">D113+D114</f>
        <v>0.875</v>
      </c>
      <c r="E112" s="509">
        <f t="shared" si="6"/>
        <v>0.78</v>
      </c>
      <c r="F112" s="509">
        <f t="shared" si="6"/>
        <v>0.78</v>
      </c>
      <c r="G112" s="485"/>
      <c r="H112" s="485"/>
      <c r="I112" s="485"/>
      <c r="J112" s="485"/>
      <c r="K112" s="508"/>
      <c r="L112" s="433"/>
      <c r="M112" s="510"/>
      <c r="N112" s="421"/>
      <c r="P112" s="999">
        <f>C112</f>
        <v>0.86499999999999999</v>
      </c>
      <c r="Q112" s="977"/>
      <c r="R112" s="977"/>
      <c r="S112" s="977"/>
      <c r="T112" s="977"/>
      <c r="U112" s="1000"/>
    </row>
    <row r="113" spans="2:30" ht="15" outlineLevel="1" thickBot="1">
      <c r="B113" s="560" t="s">
        <v>883</v>
      </c>
      <c r="C113" s="574">
        <f>C92/100*73</f>
        <v>0.36499999999999999</v>
      </c>
      <c r="D113" s="574">
        <f>D92/100*75</f>
        <v>0.375</v>
      </c>
      <c r="E113" s="574">
        <f>E92/100*76</f>
        <v>0.38</v>
      </c>
      <c r="F113" s="574">
        <f>F92/100*76</f>
        <v>0.38</v>
      </c>
      <c r="G113" s="575"/>
      <c r="H113" s="575"/>
      <c r="I113" s="575"/>
      <c r="J113" s="575"/>
      <c r="K113" s="563" t="s">
        <v>20</v>
      </c>
      <c r="L113" s="564"/>
      <c r="M113" s="510"/>
      <c r="N113" s="421"/>
      <c r="P113" s="1001">
        <f>C113</f>
        <v>0.36499999999999999</v>
      </c>
      <c r="Q113" s="1002"/>
      <c r="R113" s="1002"/>
      <c r="S113" s="1002"/>
      <c r="T113" s="1002"/>
      <c r="U113" s="1003"/>
    </row>
    <row r="114" spans="2:30" outlineLevel="1">
      <c r="B114" s="560" t="s">
        <v>884</v>
      </c>
      <c r="C114" s="740">
        <v>0.5</v>
      </c>
      <c r="D114" s="740">
        <v>0.5</v>
      </c>
      <c r="E114" s="740">
        <v>0.4</v>
      </c>
      <c r="F114" s="740">
        <v>0.4</v>
      </c>
      <c r="G114" s="575"/>
      <c r="H114" s="575"/>
      <c r="I114" s="575"/>
      <c r="J114" s="575"/>
      <c r="K114" s="577"/>
      <c r="L114" s="564">
        <v>1</v>
      </c>
      <c r="M114" s="423"/>
      <c r="N114" s="423"/>
      <c r="P114" s="53" t="s">
        <v>357</v>
      </c>
    </row>
    <row r="115" spans="2:30" ht="27.6" outlineLevel="1">
      <c r="B115" s="501"/>
      <c r="C115" s="741"/>
      <c r="D115" s="741"/>
      <c r="E115" s="741"/>
      <c r="F115" s="741"/>
      <c r="G115" s="485"/>
      <c r="H115" s="485"/>
      <c r="I115" s="485"/>
      <c r="J115" s="485"/>
      <c r="K115" s="504"/>
      <c r="L115" s="484"/>
      <c r="M115" s="427"/>
      <c r="N115" s="42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79"/>
      <c r="C116" s="502"/>
      <c r="D116" s="580"/>
      <c r="E116" s="580"/>
      <c r="F116" s="581"/>
      <c r="G116" s="485"/>
      <c r="H116" s="485"/>
      <c r="I116" s="485"/>
      <c r="J116" s="485"/>
      <c r="K116" s="508"/>
      <c r="L116" s="484"/>
      <c r="M116" s="423"/>
      <c r="N116" s="423"/>
      <c r="P116" s="50"/>
      <c r="Q116" s="50"/>
      <c r="R116" s="51"/>
      <c r="S116" s="51"/>
      <c r="T116" s="51"/>
      <c r="U116" s="51" t="s">
        <v>885</v>
      </c>
      <c r="V116" s="50" t="s">
        <v>886</v>
      </c>
      <c r="W116" s="50"/>
      <c r="X116" s="50"/>
      <c r="Y116" s="50"/>
      <c r="Z116" s="50"/>
      <c r="AA116" s="50"/>
      <c r="AB116" s="50"/>
      <c r="AC116" s="50"/>
      <c r="AD116" s="50"/>
    </row>
    <row r="117" spans="2:30" ht="43.8" outlineLevel="1" thickBot="1">
      <c r="B117" s="461" t="s">
        <v>727</v>
      </c>
      <c r="C117" s="462"/>
      <c r="D117" s="463"/>
      <c r="E117" s="464"/>
      <c r="F117" s="465"/>
      <c r="G117" s="466"/>
      <c r="H117" s="466"/>
      <c r="I117" s="466"/>
      <c r="J117" s="466"/>
      <c r="K117" s="519"/>
      <c r="L117" s="520"/>
      <c r="M117" s="423"/>
      <c r="N117" s="423"/>
      <c r="O117" s="521" t="s">
        <v>857</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82" t="s">
        <v>887</v>
      </c>
      <c r="C118" s="730">
        <f>C108*0.5</f>
        <v>3.5000000000000003E-2</v>
      </c>
      <c r="D118" s="730">
        <f t="shared" ref="D118:F118" si="7">D108*0.5</f>
        <v>0.03</v>
      </c>
      <c r="E118" s="730">
        <f t="shared" si="7"/>
        <v>0.03</v>
      </c>
      <c r="F118" s="730">
        <f t="shared" si="7"/>
        <v>0.03</v>
      </c>
      <c r="G118" s="731"/>
      <c r="H118" s="731"/>
      <c r="I118" s="731"/>
      <c r="J118" s="731"/>
      <c r="K118" s="731" t="s">
        <v>76</v>
      </c>
      <c r="L118" s="585"/>
      <c r="M118" s="423"/>
      <c r="N118" s="423"/>
      <c r="O118" s="525">
        <f>C91</f>
        <v>99</v>
      </c>
      <c r="P118" s="526">
        <f>C87</f>
        <v>2020</v>
      </c>
      <c r="Q118" s="58">
        <f>P118</f>
        <v>2020</v>
      </c>
      <c r="R118" s="526">
        <f>O118/100</f>
        <v>0.99</v>
      </c>
      <c r="S118" s="58"/>
      <c r="T118" s="526">
        <f>C95</f>
        <v>25</v>
      </c>
      <c r="U118" s="527">
        <f>C125</f>
        <v>521.50000000000011</v>
      </c>
      <c r="V118" s="527">
        <f>C127</f>
        <v>7.9714999999999998</v>
      </c>
      <c r="W118" s="527">
        <f>C128</f>
        <v>1.7900694444444445</v>
      </c>
      <c r="X118" s="58"/>
      <c r="Y118" s="58"/>
      <c r="Z118" s="526" t="str">
        <f>C102</f>
        <v>Cf. the utilized electricity</v>
      </c>
      <c r="AA118" s="528">
        <f>C104</f>
        <v>0</v>
      </c>
      <c r="AB118" s="528">
        <f>C105</f>
        <v>0</v>
      </c>
      <c r="AC118" s="528">
        <f>C106</f>
        <v>0</v>
      </c>
      <c r="AD118" s="528">
        <f>C103</f>
        <v>0</v>
      </c>
    </row>
    <row r="119" spans="2:30" outlineLevel="1">
      <c r="B119" s="560" t="s">
        <v>888</v>
      </c>
      <c r="C119" s="586" t="s">
        <v>36</v>
      </c>
      <c r="D119" s="587" t="s">
        <v>36</v>
      </c>
      <c r="E119" s="587" t="s">
        <v>36</v>
      </c>
      <c r="F119" s="588" t="s">
        <v>36</v>
      </c>
      <c r="G119" s="588"/>
      <c r="H119" s="588"/>
      <c r="I119" s="588"/>
      <c r="J119" s="588"/>
      <c r="K119" s="589" t="s">
        <v>76</v>
      </c>
      <c r="L119" s="585"/>
      <c r="M119" s="423"/>
      <c r="N119" s="423"/>
      <c r="O119" s="525">
        <f>D91</f>
        <v>99</v>
      </c>
      <c r="P119" s="526">
        <f>D87</f>
        <v>2030</v>
      </c>
      <c r="Q119" s="58"/>
      <c r="R119" s="526">
        <f>O119/100</f>
        <v>0.99</v>
      </c>
      <c r="S119" s="58"/>
      <c r="T119" s="526">
        <f>D95</f>
        <v>25</v>
      </c>
      <c r="U119" s="527">
        <f>D125</f>
        <v>447</v>
      </c>
      <c r="V119" s="527">
        <f>D127</f>
        <v>7.5990000000000002</v>
      </c>
      <c r="W119" s="527">
        <f>D128</f>
        <v>1.8107638888888888</v>
      </c>
      <c r="X119" s="58"/>
      <c r="Y119" s="58"/>
      <c r="Z119" s="526">
        <f>D102</f>
        <v>0</v>
      </c>
      <c r="AA119" s="528">
        <f>D104</f>
        <v>0</v>
      </c>
      <c r="AB119" s="528">
        <f>D105</f>
        <v>0</v>
      </c>
      <c r="AC119" s="528">
        <f>D106</f>
        <v>0</v>
      </c>
      <c r="AD119" s="528">
        <f>D103</f>
        <v>0</v>
      </c>
    </row>
    <row r="120" spans="2:30" outlineLevel="1">
      <c r="B120" s="560" t="s">
        <v>889</v>
      </c>
      <c r="C120" s="586" t="s">
        <v>36</v>
      </c>
      <c r="D120" s="587" t="s">
        <v>36</v>
      </c>
      <c r="E120" s="587" t="s">
        <v>36</v>
      </c>
      <c r="F120" s="588" t="s">
        <v>36</v>
      </c>
      <c r="G120" s="575"/>
      <c r="H120" s="575"/>
      <c r="I120" s="575"/>
      <c r="J120" s="575"/>
      <c r="K120" s="575"/>
      <c r="L120" s="564"/>
      <c r="M120" s="423"/>
      <c r="N120" s="423"/>
      <c r="O120" s="525">
        <f>E91</f>
        <v>99</v>
      </c>
      <c r="P120" s="526">
        <f>E87</f>
        <v>2040</v>
      </c>
      <c r="Q120" s="58"/>
      <c r="R120" s="526">
        <f>O120/100</f>
        <v>0.99</v>
      </c>
      <c r="S120" s="58"/>
      <c r="T120" s="526">
        <f>E95</f>
        <v>25</v>
      </c>
      <c r="U120" s="527">
        <f>E125</f>
        <v>447</v>
      </c>
      <c r="V120" s="527">
        <f>E127</f>
        <v>7.2264999999999997</v>
      </c>
      <c r="W120" s="527">
        <f>E128</f>
        <v>1.6141666666666665</v>
      </c>
      <c r="X120" s="58"/>
      <c r="Y120" s="58"/>
      <c r="Z120" s="526">
        <f>E102</f>
        <v>0</v>
      </c>
      <c r="AA120" s="528">
        <f>E104</f>
        <v>0</v>
      </c>
      <c r="AB120" s="528">
        <f>E105</f>
        <v>0</v>
      </c>
      <c r="AC120" s="528">
        <f>E106</f>
        <v>0</v>
      </c>
      <c r="AD120" s="528">
        <f>E103</f>
        <v>0</v>
      </c>
    </row>
    <row r="121" spans="2:30" outlineLevel="1">
      <c r="B121" s="560" t="s">
        <v>890</v>
      </c>
      <c r="C121" s="745" t="s">
        <v>714</v>
      </c>
      <c r="D121" s="590"/>
      <c r="E121" s="590"/>
      <c r="F121" s="590"/>
      <c r="G121" s="591"/>
      <c r="H121" s="591"/>
      <c r="I121" s="591"/>
      <c r="J121" s="591"/>
      <c r="K121" s="591"/>
      <c r="L121" s="564"/>
      <c r="M121" s="423"/>
      <c r="N121" s="423"/>
      <c r="O121" s="525">
        <f>F91</f>
        <v>99</v>
      </c>
      <c r="P121" s="526">
        <f>F87</f>
        <v>2050</v>
      </c>
      <c r="Q121" s="58"/>
      <c r="R121" s="526">
        <f>O121/100</f>
        <v>0.99</v>
      </c>
      <c r="S121" s="58"/>
      <c r="T121" s="526">
        <f>F95</f>
        <v>25</v>
      </c>
      <c r="U121" s="527">
        <f>F125</f>
        <v>447</v>
      </c>
      <c r="V121" s="527">
        <f>F127</f>
        <v>6.8540000000000001</v>
      </c>
      <c r="W121" s="527">
        <f>F128</f>
        <v>1.6141666666666665</v>
      </c>
      <c r="X121" s="58"/>
      <c r="Y121" s="58"/>
      <c r="Z121" s="526">
        <f>F102</f>
        <v>0</v>
      </c>
      <c r="AA121" s="528">
        <f>F104</f>
        <v>0</v>
      </c>
      <c r="AB121" s="528">
        <f>F105</f>
        <v>0</v>
      </c>
      <c r="AC121" s="528">
        <f>F106</f>
        <v>0</v>
      </c>
      <c r="AD121" s="528">
        <f>F103</f>
        <v>0</v>
      </c>
    </row>
    <row r="122" spans="2:30" outlineLevel="1">
      <c r="B122" s="592" t="s">
        <v>891</v>
      </c>
      <c r="C122" s="586" t="s">
        <v>36</v>
      </c>
      <c r="D122" s="587" t="s">
        <v>36</v>
      </c>
      <c r="E122" s="587" t="s">
        <v>36</v>
      </c>
      <c r="F122" s="588" t="s">
        <v>36</v>
      </c>
      <c r="G122" s="591"/>
      <c r="H122" s="591"/>
      <c r="I122" s="591"/>
      <c r="J122" s="591"/>
      <c r="K122" s="591"/>
      <c r="L122" s="593"/>
      <c r="M122" s="427"/>
      <c r="N122" s="427"/>
    </row>
    <row r="123" spans="2:30" outlineLevel="1">
      <c r="B123" s="592" t="s">
        <v>892</v>
      </c>
      <c r="C123" s="586" t="s">
        <v>36</v>
      </c>
      <c r="D123" s="587" t="s">
        <v>36</v>
      </c>
      <c r="E123" s="587" t="s">
        <v>36</v>
      </c>
      <c r="F123" s="588" t="s">
        <v>36</v>
      </c>
      <c r="G123" s="591"/>
      <c r="H123" s="591"/>
      <c r="I123" s="591"/>
      <c r="J123" s="591"/>
      <c r="K123" s="591"/>
      <c r="L123" s="593"/>
      <c r="M123" s="423"/>
      <c r="N123" s="423"/>
    </row>
    <row r="124" spans="2:30" ht="15" outlineLevel="1" thickBot="1">
      <c r="B124" s="594" t="s">
        <v>893</v>
      </c>
      <c r="C124" s="742" t="s">
        <v>36</v>
      </c>
      <c r="D124" s="743" t="s">
        <v>36</v>
      </c>
      <c r="E124" s="743" t="s">
        <v>36</v>
      </c>
      <c r="F124" s="744" t="s">
        <v>36</v>
      </c>
      <c r="G124" s="598"/>
      <c r="H124" s="598"/>
      <c r="I124" s="598"/>
      <c r="J124" s="598"/>
      <c r="K124" s="598"/>
      <c r="L124" s="599"/>
      <c r="M124" s="423"/>
      <c r="N124" s="423"/>
    </row>
    <row r="125" spans="2:30" ht="57.6" outlineLevel="1">
      <c r="B125" s="521" t="s">
        <v>894</v>
      </c>
      <c r="C125" s="543">
        <f>C108*$F$4*1000</f>
        <v>521.50000000000011</v>
      </c>
      <c r="D125" s="543">
        <f t="shared" ref="D125:F125" si="8">D108*$F$4*1000</f>
        <v>447</v>
      </c>
      <c r="E125" s="543">
        <f t="shared" si="8"/>
        <v>447</v>
      </c>
      <c r="F125" s="543">
        <f t="shared" si="8"/>
        <v>447</v>
      </c>
      <c r="G125" s="543"/>
      <c r="H125" s="544"/>
      <c r="I125" s="480" t="s">
        <v>332</v>
      </c>
      <c r="J125" s="480"/>
      <c r="K125" s="544"/>
      <c r="L125" s="544"/>
      <c r="N125" s="480"/>
    </row>
    <row r="126" spans="2:30" outlineLevel="1">
      <c r="B126" s="545" t="s">
        <v>895</v>
      </c>
      <c r="C126" s="546">
        <f>C125*$I126</f>
        <v>260750.00000000006</v>
      </c>
      <c r="D126" s="546">
        <f>D125*$I126</f>
        <v>223500</v>
      </c>
      <c r="E126" s="546">
        <f>E125*$I126</f>
        <v>223500</v>
      </c>
      <c r="F126" s="546">
        <f>F125*$I126</f>
        <v>223500</v>
      </c>
      <c r="G126" s="546"/>
      <c r="H126" s="544"/>
      <c r="I126" s="71">
        <v>500</v>
      </c>
      <c r="J126" s="480" t="s">
        <v>330</v>
      </c>
      <c r="K126" s="544"/>
      <c r="L126" s="544"/>
      <c r="N126" s="480"/>
    </row>
    <row r="127" spans="2:30" ht="43.2" outlineLevel="1">
      <c r="B127" s="521" t="s">
        <v>970</v>
      </c>
      <c r="C127" s="419">
        <f>C111*$F$4/1000</f>
        <v>7.9714999999999998</v>
      </c>
      <c r="D127" s="419">
        <f t="shared" ref="D127:F127" si="9">D111*$F$4/1000</f>
        <v>7.5990000000000002</v>
      </c>
      <c r="E127" s="419">
        <f t="shared" si="9"/>
        <v>7.2264999999999997</v>
      </c>
      <c r="F127" s="419">
        <f t="shared" si="9"/>
        <v>6.8540000000000001</v>
      </c>
      <c r="G127" s="419"/>
      <c r="I127" s="480" t="s">
        <v>333</v>
      </c>
      <c r="J127" s="480"/>
      <c r="N127" s="480"/>
    </row>
    <row r="128" spans="2:30" ht="43.2" outlineLevel="1">
      <c r="B128" s="521" t="s">
        <v>971</v>
      </c>
      <c r="C128" s="547">
        <f>C112*$F$4/3.6</f>
        <v>1.7900694444444445</v>
      </c>
      <c r="D128" s="547">
        <f t="shared" ref="D128:F128" si="10">D112*$F$4/3.6</f>
        <v>1.8107638888888888</v>
      </c>
      <c r="E128" s="547">
        <f t="shared" si="10"/>
        <v>1.6141666666666665</v>
      </c>
      <c r="F128" s="547">
        <f t="shared" si="10"/>
        <v>1.6141666666666665</v>
      </c>
      <c r="G128" s="419"/>
      <c r="M128" s="480"/>
      <c r="N128" s="480"/>
    </row>
    <row r="129" spans="2:6" outlineLevel="1"/>
    <row r="130" spans="2:6" outlineLevel="1"/>
    <row r="131" spans="2:6" outlineLevel="1"/>
    <row r="132" spans="2:6" outlineLevel="1"/>
    <row r="133" spans="2:6" outlineLevel="1">
      <c r="B133" s="548"/>
      <c r="C133" s="549"/>
      <c r="D133" s="550"/>
      <c r="E133" s="550"/>
      <c r="F133" s="550"/>
    </row>
    <row r="134" spans="2:6" outlineLevel="1">
      <c r="B134" s="551"/>
      <c r="C134" s="552"/>
      <c r="E134" s="550"/>
      <c r="F134" s="550"/>
    </row>
    <row r="135" spans="2:6" outlineLevel="1">
      <c r="B135" s="551"/>
      <c r="C135" s="553"/>
      <c r="E135" s="550"/>
      <c r="F135" s="550"/>
    </row>
    <row r="136" spans="2:6" outlineLevel="1">
      <c r="B136" s="551"/>
      <c r="C136" s="553"/>
      <c r="E136" s="550"/>
      <c r="F136" s="550"/>
    </row>
    <row r="137" spans="2:6" outlineLevel="1">
      <c r="B137" s="551"/>
      <c r="C137" s="553"/>
      <c r="E137" s="550"/>
      <c r="F137" s="550"/>
    </row>
    <row r="138" spans="2:6" outlineLevel="1">
      <c r="B138" s="417"/>
      <c r="C138" s="554"/>
      <c r="D138" s="550"/>
      <c r="E138" s="550"/>
      <c r="F138" s="550"/>
    </row>
    <row r="139" spans="2:6" outlineLevel="1">
      <c r="B139" s="417"/>
      <c r="C139" s="552"/>
      <c r="D139" s="550"/>
      <c r="E139" s="550"/>
      <c r="F139" s="550"/>
    </row>
    <row r="140" spans="2:6" outlineLevel="1">
      <c r="B140" s="417"/>
      <c r="C140" s="555"/>
      <c r="D140" s="550"/>
      <c r="E140" s="550"/>
      <c r="F140" s="550"/>
    </row>
    <row r="141" spans="2:6" outlineLevel="1">
      <c r="B141" s="417"/>
      <c r="C141" s="555"/>
      <c r="D141" s="550"/>
      <c r="E141" s="550"/>
      <c r="F141" s="550"/>
    </row>
    <row r="142" spans="2:6" outlineLevel="1">
      <c r="B142" s="417"/>
      <c r="C142" s="549"/>
      <c r="D142" s="550"/>
      <c r="E142" s="550"/>
      <c r="F142" s="550"/>
    </row>
    <row r="143" spans="2:6" outlineLevel="1">
      <c r="B143" s="417"/>
      <c r="C143" s="550"/>
      <c r="D143" s="550"/>
      <c r="E143" s="550"/>
      <c r="F143" s="550"/>
    </row>
    <row r="144" spans="2:6" outlineLevel="1">
      <c r="B144" s="548"/>
      <c r="C144" s="549"/>
      <c r="D144" s="550"/>
      <c r="E144" s="550"/>
      <c r="F144" s="550"/>
    </row>
    <row r="145" spans="1:44" outlineLevel="1">
      <c r="B145" s="556"/>
      <c r="C145" s="557"/>
      <c r="E145" s="550"/>
      <c r="F145" s="550"/>
    </row>
    <row r="146" spans="1:44" outlineLevel="1">
      <c r="B146" s="556" t="s">
        <v>59</v>
      </c>
      <c r="C146" s="549" t="s">
        <v>910</v>
      </c>
      <c r="E146" s="550"/>
      <c r="F146" s="550"/>
    </row>
    <row r="147" spans="1:44" outlineLevel="1">
      <c r="B147" s="556" t="s">
        <v>16</v>
      </c>
      <c r="C147" s="549" t="s">
        <v>911</v>
      </c>
      <c r="E147" s="550"/>
      <c r="F147" s="550"/>
    </row>
    <row r="148" spans="1:44" outlineLevel="1">
      <c r="B148" s="556" t="s">
        <v>20</v>
      </c>
      <c r="C148" s="549" t="s">
        <v>912</v>
      </c>
      <c r="E148" s="550"/>
      <c r="F148" s="550"/>
    </row>
    <row r="149" spans="1:44" outlineLevel="1">
      <c r="B149" s="556" t="s">
        <v>76</v>
      </c>
      <c r="C149" s="558" t="s">
        <v>913</v>
      </c>
      <c r="E149" s="550"/>
      <c r="F149" s="550"/>
    </row>
    <row r="150" spans="1:44" outlineLevel="1">
      <c r="B150" s="556" t="s">
        <v>25</v>
      </c>
      <c r="C150" s="549" t="s">
        <v>914</v>
      </c>
      <c r="E150" s="550"/>
      <c r="F150" s="550"/>
    </row>
    <row r="151" spans="1:44" outlineLevel="1"/>
    <row r="152" spans="1:44" outlineLevel="1">
      <c r="M152" s="226"/>
    </row>
    <row r="153" spans="1:44" outlineLevel="1"/>
    <row r="156" spans="1:44">
      <c r="A156" s="420"/>
      <c r="B156" s="976"/>
      <c r="C156" s="977"/>
      <c r="D156" s="977"/>
      <c r="E156" s="977"/>
      <c r="F156" s="977"/>
      <c r="G156" s="977"/>
      <c r="H156" s="977"/>
      <c r="I156" s="977"/>
      <c r="J156" s="977"/>
      <c r="K156" s="977"/>
      <c r="L156" s="977"/>
      <c r="M156" s="977"/>
      <c r="N156" s="421"/>
      <c r="P156" s="977"/>
      <c r="Q156" s="977"/>
      <c r="R156" s="977"/>
      <c r="S156" s="977"/>
      <c r="T156" s="977"/>
      <c r="U156" s="977"/>
    </row>
    <row r="157" spans="1:44" ht="15" outlineLevel="1" thickBot="1">
      <c r="B157" s="976"/>
      <c r="C157" s="977"/>
      <c r="D157" s="977"/>
      <c r="E157" s="977"/>
      <c r="F157" s="977"/>
      <c r="G157" s="977"/>
      <c r="H157" s="977"/>
      <c r="I157" s="977"/>
      <c r="J157" s="977"/>
      <c r="K157" s="977"/>
      <c r="L157" s="977"/>
      <c r="M157" s="977"/>
      <c r="N157" s="421"/>
      <c r="P157" s="977"/>
      <c r="Q157" s="977"/>
      <c r="R157" s="977"/>
      <c r="S157" s="977"/>
      <c r="T157" s="977"/>
      <c r="U157" s="977"/>
    </row>
    <row r="158" spans="1:44" ht="20.7" customHeight="1" outlineLevel="1" thickBot="1">
      <c r="B158" s="422"/>
      <c r="C158" s="1043"/>
      <c r="D158" s="1019"/>
      <c r="E158" s="1019"/>
      <c r="F158" s="1019"/>
      <c r="G158" s="1019"/>
      <c r="H158" s="1019"/>
      <c r="I158" s="1019"/>
      <c r="J158" s="1019"/>
      <c r="K158" s="1019"/>
      <c r="L158" s="1020"/>
      <c r="M158" s="423"/>
      <c r="N158" s="423"/>
      <c r="P158" s="424"/>
      <c r="Q158" s="425"/>
      <c r="R158" s="426"/>
      <c r="S158" s="985"/>
      <c r="T158" s="989"/>
      <c r="U158" s="990"/>
      <c r="V158" s="989"/>
      <c r="W158" s="990"/>
      <c r="X158" s="989"/>
      <c r="Y158" s="990"/>
      <c r="Z158" s="989"/>
      <c r="AA158" s="990"/>
      <c r="AB158" s="989"/>
      <c r="AC158" s="990"/>
      <c r="AE158" s="424"/>
      <c r="AF158" s="425"/>
      <c r="AG158" s="426"/>
      <c r="AH158" s="985"/>
      <c r="AI158" s="989"/>
      <c r="AJ158" s="990"/>
      <c r="AK158" s="989"/>
      <c r="AL158" s="990"/>
      <c r="AM158" s="989"/>
      <c r="AN158" s="990"/>
      <c r="AO158" s="989"/>
      <c r="AP158" s="990"/>
      <c r="AQ158" s="989"/>
      <c r="AR158" s="990"/>
    </row>
    <row r="159" spans="1:44" ht="15" customHeight="1" outlineLevel="1" thickBot="1">
      <c r="B159" s="1010"/>
      <c r="C159" s="1012"/>
      <c r="D159" s="1012"/>
      <c r="E159" s="1012"/>
      <c r="F159" s="1012"/>
      <c r="G159" s="1057"/>
      <c r="H159" s="1058"/>
      <c r="I159" s="1057"/>
      <c r="J159" s="1058"/>
      <c r="K159" s="1046"/>
      <c r="L159" s="1046"/>
      <c r="M159" s="427"/>
      <c r="N159" s="427"/>
      <c r="P159" s="993"/>
      <c r="Q159" s="428"/>
      <c r="R159" s="428"/>
      <c r="S159" s="986"/>
      <c r="T159" s="991"/>
      <c r="U159" s="992"/>
      <c r="V159" s="991"/>
      <c r="W159" s="992"/>
      <c r="X159" s="991"/>
      <c r="Y159" s="992"/>
      <c r="Z159" s="991"/>
      <c r="AA159" s="992"/>
      <c r="AB159" s="991"/>
      <c r="AC159" s="992"/>
      <c r="AE159" s="993"/>
      <c r="AF159" s="428"/>
      <c r="AG159" s="428"/>
      <c r="AH159" s="986"/>
      <c r="AI159" s="991"/>
      <c r="AJ159" s="992"/>
      <c r="AK159" s="991"/>
      <c r="AL159" s="992"/>
      <c r="AM159" s="991"/>
      <c r="AN159" s="992"/>
      <c r="AO159" s="991"/>
      <c r="AP159" s="992"/>
      <c r="AQ159" s="991"/>
      <c r="AR159" s="992"/>
    </row>
    <row r="160" spans="1:44" ht="15" customHeight="1" outlineLevel="1" thickBot="1">
      <c r="B160" s="1011"/>
      <c r="C160" s="1013"/>
      <c r="D160" s="1013"/>
      <c r="E160" s="1013"/>
      <c r="F160" s="1013"/>
      <c r="G160" s="600"/>
      <c r="H160" s="600"/>
      <c r="I160" s="600"/>
      <c r="J160" s="600"/>
      <c r="K160" s="1047"/>
      <c r="L160" s="1047"/>
      <c r="M160" s="430"/>
      <c r="N160" s="430"/>
      <c r="P160" s="994"/>
      <c r="Q160" s="996"/>
      <c r="R160" s="997"/>
      <c r="S160" s="987"/>
      <c r="T160" s="991"/>
      <c r="U160" s="992"/>
      <c r="V160" s="991"/>
      <c r="W160" s="992"/>
      <c r="X160" s="991"/>
      <c r="Y160" s="992"/>
      <c r="Z160" s="991"/>
      <c r="AA160" s="992"/>
      <c r="AB160" s="991"/>
      <c r="AC160" s="992"/>
      <c r="AE160" s="994"/>
      <c r="AF160" s="1040"/>
      <c r="AG160" s="997"/>
      <c r="AH160" s="987"/>
      <c r="AI160" s="991"/>
      <c r="AJ160" s="992"/>
      <c r="AK160" s="991"/>
      <c r="AL160" s="992"/>
      <c r="AM160" s="991"/>
      <c r="AN160" s="992"/>
      <c r="AO160" s="991"/>
      <c r="AP160" s="992"/>
      <c r="AQ160" s="991"/>
      <c r="AR160" s="992"/>
    </row>
    <row r="161" spans="2:44" ht="15" outlineLevel="1" thickBot="1">
      <c r="B161" s="431"/>
      <c r="C161" s="432"/>
      <c r="D161" s="432"/>
      <c r="E161" s="432"/>
      <c r="F161" s="432"/>
      <c r="G161" s="432"/>
      <c r="H161" s="432"/>
      <c r="I161" s="432"/>
      <c r="J161" s="432"/>
      <c r="K161" s="432"/>
      <c r="L161" s="433"/>
      <c r="M161" s="430"/>
      <c r="N161" s="430"/>
      <c r="O161" s="74"/>
      <c r="P161" s="995"/>
      <c r="Q161" s="988"/>
      <c r="R161" s="998"/>
      <c r="S161" s="988"/>
      <c r="T161" s="434"/>
      <c r="U161" s="435"/>
      <c r="V161" s="434"/>
      <c r="W161" s="435"/>
      <c r="X161" s="434"/>
      <c r="Y161" s="435"/>
      <c r="Z161" s="434"/>
      <c r="AA161" s="435"/>
      <c r="AB161" s="434"/>
      <c r="AC161" s="435"/>
      <c r="AE161" s="995"/>
      <c r="AF161" s="1041"/>
      <c r="AG161" s="998"/>
      <c r="AH161" s="988"/>
      <c r="AI161" s="434"/>
      <c r="AJ161" s="435"/>
      <c r="AK161" s="434"/>
      <c r="AL161" s="435"/>
      <c r="AM161" s="434"/>
      <c r="AN161" s="435"/>
      <c r="AO161" s="434"/>
      <c r="AP161" s="435"/>
      <c r="AQ161" s="434"/>
      <c r="AR161" s="435"/>
    </row>
    <row r="162" spans="2:44" ht="14.7" customHeight="1" outlineLevel="1">
      <c r="B162" s="601"/>
      <c r="C162" s="602"/>
      <c r="D162" s="602"/>
      <c r="E162" s="603"/>
      <c r="F162" s="602"/>
      <c r="G162" s="602"/>
      <c r="H162" s="602"/>
      <c r="I162" s="602"/>
      <c r="J162" s="602"/>
      <c r="K162" s="432"/>
      <c r="L162" s="433"/>
      <c r="M162" s="430"/>
      <c r="N162" s="430"/>
      <c r="P162" s="1027"/>
      <c r="Q162" s="1030"/>
      <c r="R162" s="441"/>
      <c r="S162" s="442"/>
      <c r="T162" s="1033"/>
      <c r="U162" s="1021"/>
      <c r="V162" s="1033"/>
      <c r="W162" s="1021"/>
      <c r="X162" s="1033"/>
      <c r="Y162" s="1021"/>
      <c r="Z162" s="1033"/>
      <c r="AA162" s="1021"/>
      <c r="AB162" s="1033"/>
      <c r="AC162" s="1021"/>
      <c r="AE162" s="1027"/>
      <c r="AF162" s="1030"/>
      <c r="AG162" s="441"/>
      <c r="AH162" s="442"/>
      <c r="AI162" s="1033"/>
      <c r="AJ162" s="1021"/>
      <c r="AK162" s="1033"/>
      <c r="AL162" s="1021"/>
      <c r="AM162" s="1033"/>
      <c r="AN162" s="1021"/>
      <c r="AO162" s="1033"/>
      <c r="AP162" s="1021"/>
      <c r="AQ162" s="1033"/>
      <c r="AR162" s="1021"/>
    </row>
    <row r="163" spans="2:44" outlineLevel="1">
      <c r="B163" s="443"/>
      <c r="C163" s="444"/>
      <c r="D163" s="444"/>
      <c r="E163" s="444"/>
      <c r="F163" s="444"/>
      <c r="G163" s="565"/>
      <c r="H163" s="565"/>
      <c r="I163" s="565"/>
      <c r="J163" s="565"/>
      <c r="K163" s="432"/>
      <c r="L163" s="433"/>
      <c r="M163" s="430"/>
      <c r="N163" s="430"/>
      <c r="O163" s="71"/>
      <c r="P163" s="1028"/>
      <c r="Q163" s="1031"/>
      <c r="R163" s="448"/>
      <c r="S163" s="449"/>
      <c r="T163" s="1034"/>
      <c r="U163" s="1022"/>
      <c r="V163" s="1034"/>
      <c r="W163" s="1022"/>
      <c r="X163" s="1034"/>
      <c r="Y163" s="1022"/>
      <c r="Z163" s="1034"/>
      <c r="AA163" s="1022"/>
      <c r="AB163" s="1034"/>
      <c r="AC163" s="1022"/>
      <c r="AE163" s="1028"/>
      <c r="AF163" s="1031"/>
      <c r="AG163" s="448"/>
      <c r="AH163" s="449"/>
      <c r="AI163" s="1034"/>
      <c r="AJ163" s="1022"/>
      <c r="AK163" s="1034"/>
      <c r="AL163" s="1022"/>
      <c r="AM163" s="1034"/>
      <c r="AN163" s="1022"/>
      <c r="AO163" s="1034"/>
      <c r="AP163" s="1022"/>
      <c r="AQ163" s="1034"/>
      <c r="AR163" s="1022"/>
    </row>
    <row r="164" spans="2:44" ht="15" outlineLevel="1" thickBot="1">
      <c r="B164" s="601"/>
      <c r="C164" s="604"/>
      <c r="D164" s="605"/>
      <c r="E164" s="605"/>
      <c r="F164" s="606"/>
      <c r="G164" s="605"/>
      <c r="H164" s="605"/>
      <c r="I164" s="605"/>
      <c r="J164" s="605"/>
      <c r="K164" s="607"/>
      <c r="L164" s="608"/>
      <c r="M164" s="430"/>
      <c r="N164" s="430"/>
      <c r="O164" s="71"/>
      <c r="P164" s="1028"/>
      <c r="Q164" s="1032"/>
      <c r="R164" s="453"/>
      <c r="S164" s="454"/>
      <c r="T164" s="1035"/>
      <c r="U164" s="1023"/>
      <c r="V164" s="1035"/>
      <c r="W164" s="1023"/>
      <c r="X164" s="1035"/>
      <c r="Y164" s="1023"/>
      <c r="Z164" s="1035"/>
      <c r="AA164" s="1023"/>
      <c r="AB164" s="1035"/>
      <c r="AC164" s="1023"/>
      <c r="AE164" s="1028"/>
      <c r="AF164" s="1032"/>
      <c r="AG164" s="453"/>
      <c r="AH164" s="454"/>
      <c r="AI164" s="1035"/>
      <c r="AJ164" s="1023"/>
      <c r="AK164" s="1035"/>
      <c r="AL164" s="1023"/>
      <c r="AM164" s="1035"/>
      <c r="AN164" s="1023"/>
      <c r="AO164" s="1035"/>
      <c r="AP164" s="1023"/>
      <c r="AQ164" s="1035"/>
      <c r="AR164" s="1023"/>
    </row>
    <row r="165" spans="2:44" ht="14.7" customHeight="1" outlineLevel="1">
      <c r="B165" s="601"/>
      <c r="C165" s="604"/>
      <c r="D165" s="604"/>
      <c r="E165" s="604"/>
      <c r="F165" s="604"/>
      <c r="G165" s="604"/>
      <c r="H165" s="604"/>
      <c r="I165" s="604"/>
      <c r="J165" s="604"/>
      <c r="K165" s="607"/>
      <c r="L165" s="608"/>
      <c r="M165" s="430"/>
      <c r="N165" s="430"/>
      <c r="O165" s="71"/>
      <c r="P165" s="1028"/>
      <c r="Q165" s="1030"/>
      <c r="R165" s="455"/>
      <c r="S165" s="456"/>
      <c r="T165" s="1033"/>
      <c r="U165" s="1033"/>
      <c r="V165" s="1033"/>
      <c r="W165" s="1033"/>
      <c r="X165" s="1033"/>
      <c r="Y165" s="1033"/>
      <c r="Z165" s="1033"/>
      <c r="AA165" s="1033"/>
      <c r="AB165" s="1033"/>
      <c r="AC165" s="1033"/>
      <c r="AE165" s="1028"/>
      <c r="AF165" s="1030"/>
      <c r="AG165" s="455"/>
      <c r="AH165" s="456"/>
      <c r="AI165" s="1033"/>
      <c r="AJ165" s="1033"/>
      <c r="AK165" s="1033"/>
      <c r="AL165" s="1033"/>
      <c r="AM165" s="1033"/>
      <c r="AN165" s="1033"/>
      <c r="AO165" s="1033"/>
      <c r="AP165" s="1033"/>
      <c r="AQ165" s="1033"/>
      <c r="AR165" s="1033"/>
    </row>
    <row r="166" spans="2:44" outlineLevel="1">
      <c r="B166" s="601"/>
      <c r="C166" s="604"/>
      <c r="D166" s="604"/>
      <c r="E166" s="604"/>
      <c r="F166" s="604"/>
      <c r="G166" s="604"/>
      <c r="H166" s="604"/>
      <c r="I166" s="604"/>
      <c r="J166" s="604"/>
      <c r="K166" s="607"/>
      <c r="L166" s="608"/>
      <c r="M166" s="427"/>
      <c r="N166" s="427"/>
      <c r="O166" s="71"/>
      <c r="P166" s="1028"/>
      <c r="Q166" s="1031"/>
      <c r="R166" s="455"/>
      <c r="S166" s="456"/>
      <c r="T166" s="1050"/>
      <c r="U166" s="1050"/>
      <c r="V166" s="1050"/>
      <c r="W166" s="1050"/>
      <c r="X166" s="1050"/>
      <c r="Y166" s="1050"/>
      <c r="Z166" s="1050"/>
      <c r="AA166" s="1050"/>
      <c r="AB166" s="1050"/>
      <c r="AC166" s="1050"/>
      <c r="AE166" s="1028"/>
      <c r="AF166" s="1031"/>
      <c r="AG166" s="455"/>
      <c r="AH166" s="456"/>
      <c r="AI166" s="1050"/>
      <c r="AJ166" s="1050"/>
      <c r="AK166" s="1050"/>
      <c r="AL166" s="1050"/>
      <c r="AM166" s="1050"/>
      <c r="AN166" s="1050"/>
      <c r="AO166" s="1050"/>
      <c r="AP166" s="1050"/>
      <c r="AQ166" s="1050"/>
      <c r="AR166" s="1050"/>
    </row>
    <row r="167" spans="2:44" outlineLevel="1">
      <c r="B167" s="443"/>
      <c r="C167" s="457"/>
      <c r="D167" s="457"/>
      <c r="E167" s="457"/>
      <c r="F167" s="459"/>
      <c r="G167" s="459"/>
      <c r="H167" s="459"/>
      <c r="I167" s="459"/>
      <c r="J167" s="459"/>
      <c r="K167" s="432"/>
      <c r="L167" s="433"/>
      <c r="M167" s="423"/>
      <c r="N167" s="423"/>
      <c r="P167" s="1028"/>
      <c r="Q167" s="1031"/>
      <c r="R167" s="455"/>
      <c r="S167" s="456"/>
      <c r="T167" s="1050"/>
      <c r="U167" s="1050"/>
      <c r="V167" s="1050"/>
      <c r="W167" s="1050"/>
      <c r="X167" s="1050"/>
      <c r="Y167" s="1050"/>
      <c r="Z167" s="1050"/>
      <c r="AA167" s="1050"/>
      <c r="AB167" s="1050"/>
      <c r="AC167" s="1050"/>
      <c r="AE167" s="1028"/>
      <c r="AF167" s="1031"/>
      <c r="AG167" s="455"/>
      <c r="AH167" s="456"/>
      <c r="AI167" s="1050"/>
      <c r="AJ167" s="1050"/>
      <c r="AK167" s="1050"/>
      <c r="AL167" s="1050"/>
      <c r="AM167" s="1050"/>
      <c r="AN167" s="1050"/>
      <c r="AO167" s="1050"/>
      <c r="AP167" s="1050"/>
      <c r="AQ167" s="1050"/>
      <c r="AR167" s="1050"/>
    </row>
    <row r="168" spans="2:44" ht="15" outlineLevel="1" thickBot="1">
      <c r="B168" s="601"/>
      <c r="C168" s="604"/>
      <c r="D168" s="604"/>
      <c r="E168" s="604"/>
      <c r="F168" s="604"/>
      <c r="G168" s="604"/>
      <c r="H168" s="604"/>
      <c r="I168" s="604"/>
      <c r="J168" s="604"/>
      <c r="K168" s="432"/>
      <c r="L168" s="460"/>
      <c r="M168" s="423"/>
      <c r="N168" s="423"/>
      <c r="P168" s="1028"/>
      <c r="Q168" s="1031"/>
      <c r="R168" s="455"/>
      <c r="S168" s="456"/>
      <c r="T168" s="1050"/>
      <c r="U168" s="1050"/>
      <c r="V168" s="1050"/>
      <c r="W168" s="1050"/>
      <c r="X168" s="1050"/>
      <c r="Y168" s="1050"/>
      <c r="Z168" s="1050"/>
      <c r="AA168" s="1050"/>
      <c r="AB168" s="1050"/>
      <c r="AC168" s="1050"/>
      <c r="AE168" s="1028"/>
      <c r="AF168" s="1031"/>
      <c r="AG168" s="455"/>
      <c r="AH168" s="456"/>
      <c r="AI168" s="1050"/>
      <c r="AJ168" s="1050"/>
      <c r="AK168" s="1050"/>
      <c r="AL168" s="1050"/>
      <c r="AM168" s="1050"/>
      <c r="AN168" s="1050"/>
      <c r="AO168" s="1050"/>
      <c r="AP168" s="1050"/>
      <c r="AQ168" s="1050"/>
      <c r="AR168" s="1050"/>
    </row>
    <row r="169" spans="2:44" ht="15" outlineLevel="1" thickBot="1">
      <c r="B169" s="461"/>
      <c r="C169" s="462"/>
      <c r="D169" s="463"/>
      <c r="E169" s="464"/>
      <c r="F169" s="465"/>
      <c r="G169" s="466"/>
      <c r="H169" s="466"/>
      <c r="I169" s="466"/>
      <c r="J169" s="466"/>
      <c r="K169" s="467"/>
      <c r="L169" s="468"/>
      <c r="M169" s="423"/>
      <c r="N169" s="423"/>
      <c r="P169" s="1028"/>
      <c r="Q169" s="1031"/>
      <c r="R169" s="469"/>
      <c r="S169" s="470"/>
      <c r="T169" s="1051"/>
      <c r="U169" s="1051"/>
      <c r="V169" s="1051"/>
      <c r="W169" s="1051"/>
      <c r="X169" s="1051"/>
      <c r="Y169" s="1051"/>
      <c r="Z169" s="1051"/>
      <c r="AA169" s="1051"/>
      <c r="AB169" s="1051"/>
      <c r="AC169" s="1051"/>
      <c r="AE169" s="1028"/>
      <c r="AF169" s="1031"/>
      <c r="AG169" s="469"/>
      <c r="AH169" s="470"/>
      <c r="AI169" s="1051"/>
      <c r="AJ169" s="1051"/>
      <c r="AK169" s="1051"/>
      <c r="AL169" s="1051"/>
      <c r="AM169" s="1051"/>
      <c r="AN169" s="1051"/>
      <c r="AO169" s="1051"/>
      <c r="AP169" s="1051"/>
      <c r="AQ169" s="1051"/>
      <c r="AR169" s="1051"/>
    </row>
    <row r="170" spans="2:44" ht="15" outlineLevel="1" thickBot="1">
      <c r="B170" s="601"/>
      <c r="C170" s="604"/>
      <c r="D170" s="604"/>
      <c r="E170" s="604"/>
      <c r="F170" s="604"/>
      <c r="G170" s="605"/>
      <c r="H170" s="605"/>
      <c r="I170" s="605"/>
      <c r="J170" s="605"/>
      <c r="K170" s="607"/>
      <c r="L170" s="608"/>
      <c r="M170" s="423"/>
      <c r="N170" s="423"/>
      <c r="P170" s="1029"/>
      <c r="Q170" s="471"/>
      <c r="R170" s="472"/>
      <c r="S170" s="473"/>
      <c r="T170" s="474"/>
      <c r="U170" s="475"/>
      <c r="V170" s="476"/>
      <c r="W170" s="475"/>
      <c r="X170" s="476"/>
      <c r="Y170" s="475"/>
      <c r="Z170" s="476"/>
      <c r="AA170" s="475"/>
      <c r="AB170" s="476"/>
      <c r="AC170" s="477"/>
      <c r="AE170" s="1029"/>
      <c r="AF170" s="471"/>
      <c r="AG170" s="472"/>
      <c r="AH170" s="473"/>
      <c r="AI170" s="474"/>
      <c r="AJ170" s="475"/>
      <c r="AK170" s="476"/>
      <c r="AL170" s="475"/>
      <c r="AM170" s="476"/>
      <c r="AN170" s="475"/>
      <c r="AO170" s="476"/>
      <c r="AP170" s="475"/>
      <c r="AQ170" s="476"/>
      <c r="AR170" s="477"/>
    </row>
    <row r="171" spans="2:44" outlineLevel="1">
      <c r="B171" s="601"/>
      <c r="C171" s="604"/>
      <c r="D171" s="604"/>
      <c r="E171" s="604"/>
      <c r="F171" s="604"/>
      <c r="G171" s="609"/>
      <c r="H171" s="609"/>
      <c r="I171" s="609"/>
      <c r="J171" s="609"/>
      <c r="K171" s="610"/>
      <c r="L171" s="608"/>
      <c r="M171" s="423"/>
      <c r="N171" s="423"/>
    </row>
    <row r="172" spans="2:44" outlineLevel="1">
      <c r="B172" s="601"/>
      <c r="C172" s="604"/>
      <c r="D172" s="604"/>
      <c r="E172" s="604"/>
      <c r="F172" s="604"/>
      <c r="G172" s="609"/>
      <c r="H172" s="609"/>
      <c r="I172" s="609"/>
      <c r="J172" s="609"/>
      <c r="K172" s="610"/>
      <c r="L172" s="608"/>
      <c r="M172" s="480"/>
      <c r="N172" s="423"/>
    </row>
    <row r="173" spans="2:44" outlineLevel="1">
      <c r="B173" s="481"/>
      <c r="C173" s="459"/>
      <c r="D173" s="459"/>
      <c r="E173" s="459"/>
      <c r="F173" s="459"/>
      <c r="G173" s="482"/>
      <c r="H173" s="482"/>
      <c r="I173" s="482"/>
      <c r="J173" s="482"/>
      <c r="K173" s="483"/>
      <c r="L173" s="484"/>
      <c r="M173" s="480"/>
      <c r="N173" s="480"/>
    </row>
    <row r="174" spans="2:44" outlineLevel="1">
      <c r="B174" s="443"/>
      <c r="C174" s="457"/>
      <c r="D174" s="457"/>
      <c r="E174" s="457"/>
      <c r="F174" s="457"/>
      <c r="G174" s="482"/>
      <c r="H174" s="485"/>
      <c r="I174" s="485"/>
      <c r="J174" s="485"/>
      <c r="K174" s="486"/>
      <c r="L174" s="487"/>
      <c r="M174" s="488"/>
      <c r="N174" s="488"/>
    </row>
    <row r="175" spans="2:44" outlineLevel="1">
      <c r="B175" s="443"/>
      <c r="C175" s="457"/>
      <c r="D175" s="457"/>
      <c r="E175" s="457"/>
      <c r="F175" s="457"/>
      <c r="G175" s="485"/>
      <c r="H175" s="485"/>
      <c r="I175" s="485"/>
      <c r="J175" s="485"/>
      <c r="K175" s="483"/>
      <c r="L175" s="487"/>
      <c r="M175" s="488"/>
      <c r="N175" s="488"/>
    </row>
    <row r="176" spans="2:44" outlineLevel="1">
      <c r="B176" s="443"/>
      <c r="C176" s="457"/>
      <c r="D176" s="457"/>
      <c r="E176" s="457"/>
      <c r="F176" s="457"/>
      <c r="G176" s="485"/>
      <c r="H176" s="485"/>
      <c r="I176" s="485"/>
      <c r="J176" s="485"/>
      <c r="K176" s="483"/>
      <c r="L176" s="487"/>
      <c r="M176" s="488"/>
      <c r="N176" s="488"/>
    </row>
    <row r="177" spans="1:30" outlineLevel="1">
      <c r="B177" s="443"/>
      <c r="C177" s="457"/>
      <c r="D177" s="457"/>
      <c r="E177" s="457"/>
      <c r="F177" s="457"/>
      <c r="G177" s="485"/>
      <c r="H177" s="485"/>
      <c r="I177" s="485"/>
      <c r="J177" s="485"/>
      <c r="K177" s="483"/>
      <c r="L177" s="487"/>
      <c r="M177" s="488"/>
      <c r="N177" s="488"/>
    </row>
    <row r="178" spans="1:30" ht="15" outlineLevel="1" thickBot="1">
      <c r="B178" s="489"/>
      <c r="C178" s="490"/>
      <c r="D178" s="490"/>
      <c r="E178" s="490"/>
      <c r="F178" s="490"/>
      <c r="G178" s="485"/>
      <c r="H178" s="485"/>
      <c r="I178" s="485"/>
      <c r="J178" s="485"/>
      <c r="K178" s="483"/>
      <c r="L178" s="487"/>
      <c r="M178" s="488"/>
      <c r="N178" s="488"/>
    </row>
    <row r="179" spans="1:30" ht="15" outlineLevel="1" thickBot="1">
      <c r="B179" s="491"/>
      <c r="C179" s="492"/>
      <c r="D179" s="463"/>
      <c r="E179" s="463"/>
      <c r="F179" s="493"/>
      <c r="G179" s="494"/>
      <c r="H179" s="466"/>
      <c r="I179" s="466"/>
      <c r="J179" s="466"/>
      <c r="K179" s="467"/>
      <c r="L179" s="468"/>
      <c r="M179" s="488"/>
      <c r="N179" s="488"/>
    </row>
    <row r="180" spans="1:30" outlineLevel="1">
      <c r="A180" s="495"/>
      <c r="B180" s="496"/>
      <c r="C180" s="611"/>
      <c r="D180" s="498"/>
      <c r="E180" s="498"/>
      <c r="F180" s="499"/>
      <c r="G180" s="485"/>
      <c r="H180" s="485"/>
      <c r="I180" s="485"/>
      <c r="J180" s="485"/>
      <c r="K180" s="486"/>
      <c r="L180" s="500"/>
      <c r="M180" s="480"/>
      <c r="N180" s="480"/>
    </row>
    <row r="181" spans="1:30" outlineLevel="1">
      <c r="B181" s="501"/>
      <c r="C181" s="502"/>
      <c r="D181" s="503"/>
      <c r="E181" s="503"/>
      <c r="F181" s="503"/>
      <c r="G181" s="485"/>
      <c r="H181" s="485"/>
      <c r="I181" s="485"/>
      <c r="J181" s="485"/>
      <c r="K181" s="504"/>
      <c r="L181" s="433"/>
      <c r="M181" s="71"/>
      <c r="N181" s="480"/>
    </row>
    <row r="182" spans="1:30" outlineLevel="1">
      <c r="B182" s="501"/>
      <c r="C182" s="502"/>
      <c r="D182" s="502"/>
      <c r="E182" s="502"/>
      <c r="F182" s="502"/>
      <c r="G182" s="485"/>
      <c r="H182" s="485"/>
      <c r="I182" s="485"/>
      <c r="J182" s="485"/>
      <c r="K182" s="504"/>
      <c r="L182" s="433"/>
      <c r="M182" s="480"/>
      <c r="N182" s="480"/>
    </row>
    <row r="183" spans="1:30" outlineLevel="1">
      <c r="B183" s="443"/>
      <c r="C183" s="505"/>
      <c r="D183" s="506"/>
      <c r="E183" s="506"/>
      <c r="F183" s="507"/>
      <c r="G183" s="485"/>
      <c r="H183" s="485"/>
      <c r="I183" s="485"/>
      <c r="J183" s="485"/>
      <c r="K183" s="508"/>
      <c r="L183" s="433"/>
      <c r="M183" s="480"/>
      <c r="N183" s="480"/>
    </row>
    <row r="184" spans="1:30" outlineLevel="1">
      <c r="B184" s="443"/>
      <c r="C184" s="509"/>
      <c r="D184" s="509"/>
      <c r="E184" s="509"/>
      <c r="F184" s="509"/>
      <c r="G184" s="485"/>
      <c r="H184" s="485"/>
      <c r="I184" s="485"/>
      <c r="J184" s="485"/>
      <c r="K184" s="508"/>
      <c r="L184" s="433"/>
      <c r="M184" s="510"/>
      <c r="N184" s="421"/>
      <c r="P184" s="999"/>
      <c r="Q184" s="977"/>
      <c r="R184" s="977"/>
      <c r="S184" s="977"/>
      <c r="T184" s="977"/>
      <c r="U184" s="1000"/>
    </row>
    <row r="185" spans="1:30" ht="15" outlineLevel="1" thickBot="1">
      <c r="B185" s="601"/>
      <c r="C185" s="612"/>
      <c r="D185" s="612"/>
      <c r="E185" s="612"/>
      <c r="F185" s="612"/>
      <c r="G185" s="613"/>
      <c r="H185" s="613"/>
      <c r="I185" s="613"/>
      <c r="J185" s="613"/>
      <c r="K185" s="607"/>
      <c r="L185" s="608"/>
      <c r="M185" s="510"/>
      <c r="N185" s="421"/>
      <c r="P185" s="1001"/>
      <c r="Q185" s="1002"/>
      <c r="R185" s="1002"/>
      <c r="S185" s="1002"/>
      <c r="T185" s="1002"/>
      <c r="U185" s="1003"/>
    </row>
    <row r="186" spans="1:30" outlineLevel="1">
      <c r="B186" s="601"/>
      <c r="C186" s="614"/>
      <c r="D186" s="614"/>
      <c r="E186" s="614"/>
      <c r="F186" s="614"/>
      <c r="G186" s="613"/>
      <c r="H186" s="613"/>
      <c r="I186" s="613"/>
      <c r="J186" s="613"/>
      <c r="K186" s="615"/>
      <c r="L186" s="608"/>
      <c r="M186" s="423"/>
      <c r="N186" s="423"/>
      <c r="P186" s="53"/>
    </row>
    <row r="187" spans="1:30" outlineLevel="1">
      <c r="B187" s="501"/>
      <c r="C187" s="516"/>
      <c r="D187" s="516"/>
      <c r="E187" s="516"/>
      <c r="F187" s="516"/>
      <c r="G187" s="485"/>
      <c r="H187" s="485"/>
      <c r="I187" s="485"/>
      <c r="J187" s="485"/>
      <c r="K187" s="504"/>
      <c r="L187" s="484"/>
      <c r="M187" s="427"/>
      <c r="N187" s="427"/>
      <c r="P187" s="46"/>
      <c r="Q187" s="46"/>
      <c r="R187" s="47"/>
      <c r="S187" s="47"/>
      <c r="T187" s="47"/>
      <c r="U187" s="48"/>
      <c r="V187" s="49"/>
      <c r="W187" s="49"/>
      <c r="X187" s="49"/>
      <c r="Y187" s="49"/>
      <c r="Z187" s="49"/>
      <c r="AA187" s="49"/>
      <c r="AB187" s="49"/>
      <c r="AC187" s="49"/>
      <c r="AD187" s="49"/>
    </row>
    <row r="188" spans="1:30" ht="15" outlineLevel="1" thickBot="1">
      <c r="B188" s="501"/>
      <c r="C188" s="502"/>
      <c r="D188" s="517"/>
      <c r="E188" s="517"/>
      <c r="F188" s="518"/>
      <c r="G188" s="485"/>
      <c r="H188" s="485"/>
      <c r="I188" s="485"/>
      <c r="J188" s="485"/>
      <c r="K188" s="508"/>
      <c r="L188" s="484"/>
      <c r="M188" s="423"/>
      <c r="N188" s="423"/>
      <c r="P188" s="50"/>
      <c r="Q188" s="50"/>
      <c r="R188" s="51"/>
      <c r="S188" s="51"/>
      <c r="T188" s="51"/>
      <c r="U188" s="51"/>
      <c r="V188" s="50"/>
      <c r="W188" s="50"/>
      <c r="X188" s="50"/>
      <c r="Y188" s="50"/>
      <c r="Z188" s="50"/>
      <c r="AA188" s="50"/>
      <c r="AB188" s="50"/>
      <c r="AC188" s="50"/>
      <c r="AD188" s="50"/>
    </row>
    <row r="189" spans="1:30" ht="15" outlineLevel="1" thickBot="1">
      <c r="B189" s="461"/>
      <c r="C189" s="462"/>
      <c r="D189" s="463"/>
      <c r="E189" s="464"/>
      <c r="F189" s="465"/>
      <c r="G189" s="466"/>
      <c r="H189" s="466"/>
      <c r="I189" s="466"/>
      <c r="J189" s="466"/>
      <c r="K189" s="519"/>
      <c r="L189" s="520"/>
      <c r="M189" s="423"/>
      <c r="N189" s="423"/>
      <c r="O189" s="521"/>
      <c r="P189" s="56"/>
      <c r="Q189" s="56"/>
      <c r="R189" s="57"/>
      <c r="S189" s="57"/>
      <c r="T189" s="57"/>
      <c r="U189" s="56"/>
      <c r="V189" s="56"/>
      <c r="W189" s="56"/>
      <c r="X189" s="56"/>
      <c r="Y189" s="56"/>
      <c r="Z189" s="56"/>
      <c r="AA189" s="56"/>
      <c r="AB189" s="56"/>
      <c r="AC189" s="56"/>
      <c r="AD189" s="56"/>
    </row>
    <row r="190" spans="1:30" outlineLevel="1">
      <c r="B190" s="616"/>
      <c r="C190" s="617"/>
      <c r="D190" s="617"/>
      <c r="E190" s="617"/>
      <c r="F190" s="617"/>
      <c r="G190" s="618"/>
      <c r="H190" s="618"/>
      <c r="I190" s="618"/>
      <c r="J190" s="618"/>
      <c r="K190" s="618"/>
      <c r="L190" s="619"/>
      <c r="M190" s="423"/>
      <c r="N190" s="423"/>
      <c r="O190" s="525"/>
      <c r="P190" s="526"/>
      <c r="Q190" s="58"/>
      <c r="R190" s="526"/>
      <c r="S190" s="58"/>
      <c r="T190" s="526"/>
      <c r="U190" s="527"/>
      <c r="V190" s="527"/>
      <c r="W190" s="527"/>
      <c r="X190" s="58"/>
      <c r="Y190" s="58"/>
      <c r="Z190" s="526"/>
      <c r="AA190" s="528"/>
      <c r="AB190" s="528"/>
      <c r="AC190" s="528"/>
      <c r="AD190" s="528"/>
    </row>
    <row r="191" spans="1:30" outlineLevel="1">
      <c r="B191" s="601"/>
      <c r="C191" s="620"/>
      <c r="D191" s="621"/>
      <c r="E191" s="621"/>
      <c r="F191" s="622"/>
      <c r="G191" s="622"/>
      <c r="H191" s="622"/>
      <c r="I191" s="622"/>
      <c r="J191" s="622"/>
      <c r="K191" s="623"/>
      <c r="L191" s="619"/>
      <c r="M191" s="423"/>
      <c r="N191" s="423"/>
      <c r="O191" s="525"/>
      <c r="P191" s="526"/>
      <c r="Q191" s="58"/>
      <c r="R191" s="526"/>
      <c r="S191" s="58"/>
      <c r="T191" s="526"/>
      <c r="U191" s="527"/>
      <c r="V191" s="527"/>
      <c r="W191" s="527"/>
      <c r="X191" s="58"/>
      <c r="Y191" s="58"/>
      <c r="Z191" s="526"/>
      <c r="AA191" s="528"/>
      <c r="AB191" s="528"/>
      <c r="AC191" s="528"/>
      <c r="AD191" s="528"/>
    </row>
    <row r="192" spans="1:30" outlineLevel="1">
      <c r="B192" s="601"/>
      <c r="C192" s="620"/>
      <c r="D192" s="621"/>
      <c r="E192" s="621"/>
      <c r="F192" s="622"/>
      <c r="G192" s="622"/>
      <c r="H192" s="622"/>
      <c r="I192" s="622"/>
      <c r="J192" s="622"/>
      <c r="K192" s="623"/>
      <c r="L192" s="619"/>
      <c r="M192" s="423"/>
      <c r="N192" s="423"/>
      <c r="O192" s="525"/>
      <c r="P192" s="526"/>
      <c r="Q192" s="58"/>
      <c r="R192" s="526"/>
      <c r="S192" s="58"/>
      <c r="T192" s="526"/>
      <c r="U192" s="527"/>
      <c r="V192" s="527"/>
      <c r="W192" s="527"/>
      <c r="X192" s="58"/>
      <c r="Y192" s="58"/>
      <c r="Z192" s="526"/>
      <c r="AA192" s="528"/>
      <c r="AB192" s="528"/>
      <c r="AC192" s="528"/>
      <c r="AD192" s="528"/>
    </row>
    <row r="193" spans="1:30" outlineLevel="1">
      <c r="B193" s="601"/>
      <c r="C193" s="624"/>
      <c r="D193" s="624"/>
      <c r="E193" s="624"/>
      <c r="F193" s="624"/>
      <c r="G193" s="625"/>
      <c r="H193" s="625"/>
      <c r="I193" s="625"/>
      <c r="J193" s="625"/>
      <c r="K193" s="625"/>
      <c r="L193" s="608"/>
      <c r="M193" s="423"/>
      <c r="N193" s="423"/>
      <c r="O193" s="525"/>
      <c r="P193" s="526"/>
      <c r="Q193" s="58"/>
      <c r="R193" s="526"/>
      <c r="S193" s="58"/>
      <c r="T193" s="526"/>
      <c r="U193" s="527"/>
      <c r="V193" s="527"/>
      <c r="W193" s="527"/>
      <c r="X193" s="58"/>
      <c r="Y193" s="58"/>
      <c r="Z193" s="526"/>
      <c r="AA193" s="528"/>
      <c r="AB193" s="528"/>
      <c r="AC193" s="528"/>
      <c r="AD193" s="528"/>
    </row>
    <row r="194" spans="1:30" outlineLevel="1">
      <c r="B194" s="626"/>
      <c r="C194" s="620"/>
      <c r="D194" s="621"/>
      <c r="E194" s="621"/>
      <c r="F194" s="622"/>
      <c r="G194" s="622"/>
      <c r="H194" s="622"/>
      <c r="I194" s="622"/>
      <c r="J194" s="622"/>
      <c r="K194" s="623"/>
      <c r="L194" s="619"/>
      <c r="M194" s="427"/>
      <c r="N194" s="427"/>
    </row>
    <row r="195" spans="1:30" outlineLevel="1">
      <c r="B195" s="626"/>
      <c r="C195" s="620"/>
      <c r="D195" s="621"/>
      <c r="E195" s="621"/>
      <c r="F195" s="622"/>
      <c r="G195" s="622"/>
      <c r="H195" s="622"/>
      <c r="I195" s="622"/>
      <c r="J195" s="622"/>
      <c r="K195" s="623"/>
      <c r="L195" s="619"/>
      <c r="M195" s="423"/>
      <c r="N195" s="423"/>
    </row>
    <row r="196" spans="1:30" ht="15" outlineLevel="1" thickBot="1">
      <c r="B196" s="627"/>
      <c r="C196" s="628"/>
      <c r="D196" s="628"/>
      <c r="E196" s="628"/>
      <c r="F196" s="628"/>
      <c r="G196" s="628"/>
      <c r="H196" s="628"/>
      <c r="I196" s="628"/>
      <c r="J196" s="628"/>
      <c r="K196" s="628"/>
      <c r="L196" s="629"/>
      <c r="M196" s="423"/>
      <c r="N196" s="423"/>
    </row>
    <row r="197" spans="1:30" outlineLevel="1">
      <c r="B197" s="521"/>
      <c r="C197" s="543"/>
      <c r="D197" s="543"/>
      <c r="E197" s="543"/>
      <c r="F197" s="543"/>
      <c r="G197" s="543"/>
      <c r="H197" s="544"/>
      <c r="I197" s="480"/>
      <c r="J197" s="480"/>
      <c r="K197" s="544"/>
      <c r="L197" s="544"/>
      <c r="N197" s="480"/>
    </row>
    <row r="198" spans="1:30" outlineLevel="1">
      <c r="B198" s="545"/>
      <c r="C198" s="546"/>
      <c r="D198" s="546"/>
      <c r="E198" s="546"/>
      <c r="F198" s="546"/>
      <c r="G198" s="546"/>
      <c r="H198" s="544"/>
      <c r="I198" s="71"/>
      <c r="J198" s="480"/>
      <c r="K198" s="544"/>
      <c r="L198" s="544"/>
      <c r="N198" s="480"/>
    </row>
    <row r="199" spans="1:30" outlineLevel="1">
      <c r="B199" s="521"/>
      <c r="C199" s="419"/>
      <c r="D199" s="419"/>
      <c r="E199" s="419"/>
      <c r="F199" s="419"/>
      <c r="G199" s="419"/>
      <c r="I199" s="480"/>
      <c r="J199" s="480"/>
      <c r="N199" s="480"/>
    </row>
    <row r="200" spans="1:30" outlineLevel="1">
      <c r="B200" s="521"/>
      <c r="C200" s="547"/>
      <c r="D200" s="547"/>
      <c r="E200" s="547"/>
      <c r="F200" s="547"/>
      <c r="G200" s="419"/>
      <c r="M200" s="480"/>
      <c r="N200" s="480"/>
    </row>
    <row r="201" spans="1:30" outlineLevel="1"/>
    <row r="202" spans="1:30" outlineLevel="1">
      <c r="A202" s="548"/>
      <c r="B202" s="549"/>
      <c r="D202" s="550"/>
      <c r="E202" s="550"/>
      <c r="F202" s="550"/>
      <c r="G202" s="417"/>
      <c r="H202" s="417"/>
      <c r="I202" s="417"/>
      <c r="J202" s="417"/>
      <c r="K202" s="417"/>
      <c r="L202" s="417"/>
      <c r="N202" s="630"/>
      <c r="O202" s="549"/>
      <c r="P202" s="550"/>
    </row>
    <row r="203" spans="1:30" outlineLevel="1">
      <c r="A203" s="551"/>
      <c r="B203" s="552"/>
      <c r="D203" s="550"/>
      <c r="E203" s="550"/>
      <c r="F203" s="550"/>
      <c r="G203" s="417"/>
      <c r="H203" s="417"/>
      <c r="I203" s="417"/>
      <c r="J203" s="417"/>
      <c r="K203" s="417"/>
      <c r="L203" s="417"/>
      <c r="N203" s="630"/>
      <c r="O203" s="549"/>
      <c r="P203" s="550"/>
    </row>
    <row r="204" spans="1:30" outlineLevel="1">
      <c r="A204" s="551"/>
      <c r="B204" s="553"/>
      <c r="D204" s="550"/>
      <c r="E204" s="550"/>
      <c r="F204" s="550"/>
      <c r="G204" s="417"/>
      <c r="H204" s="417"/>
      <c r="I204" s="417"/>
      <c r="J204" s="417"/>
      <c r="K204" s="417"/>
      <c r="L204" s="417"/>
      <c r="N204" s="630"/>
      <c r="O204" s="549"/>
      <c r="P204" s="550"/>
    </row>
    <row r="205" spans="1:30" outlineLevel="1">
      <c r="A205" s="551"/>
      <c r="B205" s="553"/>
      <c r="D205" s="550"/>
      <c r="E205" s="550"/>
      <c r="F205" s="550"/>
      <c r="G205" s="417"/>
      <c r="H205" s="417"/>
      <c r="I205" s="417"/>
      <c r="J205" s="417"/>
      <c r="K205" s="417"/>
      <c r="L205" s="417"/>
      <c r="N205" s="630"/>
      <c r="O205" s="549"/>
      <c r="P205" s="550"/>
    </row>
    <row r="206" spans="1:30" outlineLevel="1">
      <c r="A206" s="551"/>
      <c r="B206" s="553"/>
      <c r="D206" s="550"/>
      <c r="E206" s="550"/>
      <c r="F206" s="550"/>
      <c r="G206" s="417"/>
      <c r="H206" s="417"/>
      <c r="I206" s="417"/>
      <c r="J206" s="417"/>
      <c r="K206" s="417"/>
      <c r="L206" s="417"/>
      <c r="N206" s="630"/>
      <c r="O206" s="549"/>
      <c r="P206" s="550"/>
    </row>
    <row r="207" spans="1:30" outlineLevel="1">
      <c r="A207" s="417"/>
      <c r="B207" s="554"/>
      <c r="D207" s="550"/>
      <c r="E207" s="550"/>
      <c r="F207" s="550"/>
      <c r="G207" s="417"/>
      <c r="H207" s="417"/>
      <c r="I207" s="417"/>
      <c r="J207" s="417"/>
      <c r="K207" s="417"/>
      <c r="L207" s="417"/>
    </row>
    <row r="208" spans="1:30" outlineLevel="1">
      <c r="A208" s="417"/>
      <c r="B208" s="552"/>
      <c r="D208" s="550"/>
      <c r="E208" s="550"/>
      <c r="F208" s="550"/>
      <c r="G208" s="417"/>
      <c r="H208" s="417"/>
      <c r="I208" s="417"/>
      <c r="J208" s="417"/>
      <c r="K208" s="417"/>
      <c r="L208" s="417"/>
    </row>
    <row r="209" spans="1:16" outlineLevel="1">
      <c r="A209" s="417"/>
      <c r="B209" s="555"/>
      <c r="D209" s="550"/>
      <c r="E209" s="550"/>
      <c r="F209" s="550"/>
      <c r="G209" s="417"/>
      <c r="H209" s="417"/>
      <c r="I209" s="417"/>
      <c r="J209" s="417"/>
      <c r="K209" s="417"/>
      <c r="L209" s="417"/>
    </row>
    <row r="210" spans="1:16" outlineLevel="1">
      <c r="A210" s="417"/>
      <c r="B210" s="555"/>
      <c r="D210" s="550"/>
      <c r="E210" s="550"/>
      <c r="F210" s="550"/>
      <c r="G210" s="417"/>
      <c r="H210" s="417"/>
      <c r="I210" s="417"/>
      <c r="J210" s="417"/>
      <c r="K210" s="417"/>
      <c r="L210" s="417"/>
    </row>
    <row r="211" spans="1:16" outlineLevel="1">
      <c r="A211" s="417"/>
      <c r="B211" s="549"/>
      <c r="D211" s="550"/>
      <c r="E211" s="550"/>
      <c r="F211" s="550"/>
      <c r="G211" s="417"/>
      <c r="H211" s="417"/>
      <c r="I211" s="417"/>
      <c r="J211" s="417"/>
      <c r="K211" s="417"/>
      <c r="L211" s="417"/>
    </row>
    <row r="212" spans="1:16" outlineLevel="1">
      <c r="A212" s="417"/>
      <c r="B212" s="550"/>
      <c r="D212" s="550"/>
      <c r="E212" s="550"/>
      <c r="F212" s="550"/>
      <c r="G212" s="417"/>
      <c r="H212" s="417"/>
      <c r="I212" s="417"/>
      <c r="J212" s="417"/>
      <c r="K212" s="417"/>
      <c r="L212" s="417"/>
    </row>
    <row r="213" spans="1:16" outlineLevel="1">
      <c r="A213" s="548"/>
      <c r="B213" s="549"/>
      <c r="D213" s="550"/>
      <c r="E213" s="550"/>
      <c r="F213" s="550"/>
      <c r="G213" s="417"/>
      <c r="H213" s="417"/>
      <c r="I213" s="417"/>
      <c r="J213" s="417"/>
      <c r="K213" s="417"/>
      <c r="L213" s="417"/>
    </row>
    <row r="214" spans="1:16" outlineLevel="1">
      <c r="A214" s="556"/>
      <c r="B214" s="557"/>
      <c r="C214" s="550"/>
      <c r="D214" s="550"/>
      <c r="E214" s="550"/>
      <c r="F214" s="550"/>
      <c r="G214" s="417"/>
      <c r="H214" s="417"/>
      <c r="I214" s="417"/>
      <c r="J214" s="417"/>
      <c r="K214" s="417"/>
      <c r="L214" s="417"/>
      <c r="N214" s="630"/>
      <c r="O214" s="549"/>
      <c r="P214" s="550"/>
    </row>
    <row r="215" spans="1:16" outlineLevel="1">
      <c r="A215" s="556"/>
      <c r="B215" s="549"/>
      <c r="C215" s="550"/>
      <c r="D215" s="550"/>
      <c r="E215" s="550"/>
      <c r="F215" s="550"/>
      <c r="G215" s="417"/>
      <c r="H215" s="417"/>
      <c r="I215" s="417"/>
      <c r="J215" s="417"/>
      <c r="K215" s="417"/>
      <c r="L215" s="417"/>
      <c r="N215" s="631"/>
      <c r="O215" s="549"/>
      <c r="P215" s="550"/>
    </row>
    <row r="216" spans="1:16" outlineLevel="1">
      <c r="A216" s="556"/>
      <c r="B216" s="549"/>
      <c r="C216" s="550"/>
      <c r="D216" s="550"/>
      <c r="E216" s="550"/>
      <c r="F216" s="550"/>
      <c r="G216" s="417"/>
      <c r="H216" s="417"/>
      <c r="I216" s="417"/>
      <c r="J216" s="417"/>
      <c r="K216" s="417"/>
      <c r="L216" s="417"/>
      <c r="N216" s="632"/>
      <c r="O216" s="549"/>
      <c r="P216" s="550"/>
    </row>
    <row r="217" spans="1:16" outlineLevel="1">
      <c r="A217" s="556"/>
      <c r="B217" s="549"/>
      <c r="C217" s="550"/>
      <c r="D217" s="550"/>
      <c r="E217" s="550"/>
      <c r="F217" s="550"/>
      <c r="G217" s="417"/>
      <c r="H217" s="417"/>
      <c r="I217" s="417"/>
      <c r="J217" s="417"/>
      <c r="K217" s="417"/>
      <c r="L217" s="417"/>
      <c r="N217" s="633"/>
      <c r="O217" s="549"/>
      <c r="P217" s="550"/>
    </row>
    <row r="218" spans="1:16" outlineLevel="1">
      <c r="A218" s="556"/>
      <c r="B218" s="558"/>
      <c r="C218" s="550"/>
      <c r="D218" s="550"/>
      <c r="E218" s="550"/>
      <c r="F218" s="550"/>
      <c r="G218" s="417"/>
      <c r="H218" s="417"/>
      <c r="I218" s="417"/>
      <c r="J218" s="417"/>
      <c r="K218" s="417"/>
      <c r="L218" s="417"/>
      <c r="N218" s="633"/>
      <c r="O218" s="550"/>
      <c r="P218" s="550"/>
    </row>
    <row r="219" spans="1:16" outlineLevel="1">
      <c r="A219" s="556"/>
      <c r="B219" s="549"/>
      <c r="C219" s="550"/>
      <c r="D219" s="550"/>
      <c r="E219" s="550"/>
      <c r="F219" s="550"/>
      <c r="G219" s="417"/>
      <c r="H219" s="417"/>
      <c r="I219" s="417"/>
      <c r="J219" s="417"/>
      <c r="K219" s="417"/>
      <c r="L219" s="417"/>
      <c r="N219" s="549"/>
      <c r="O219" s="550"/>
      <c r="P219" s="550"/>
    </row>
    <row r="220" spans="1:16" outlineLevel="1">
      <c r="A220" s="556"/>
      <c r="B220" s="549"/>
      <c r="C220" s="550"/>
      <c r="D220" s="550"/>
      <c r="E220" s="550"/>
      <c r="F220" s="550"/>
      <c r="G220" s="417"/>
      <c r="H220" s="417"/>
      <c r="I220" s="417"/>
      <c r="J220" s="417"/>
      <c r="K220" s="417"/>
      <c r="L220" s="417"/>
      <c r="N220" s="550"/>
      <c r="O220" s="550"/>
      <c r="P220" s="550"/>
    </row>
    <row r="221" spans="1:16" outlineLevel="1"/>
    <row r="222" spans="1:16" outlineLevel="1"/>
    <row r="224" spans="1:16" ht="15" thickBot="1">
      <c r="A224" s="420"/>
    </row>
    <row r="225" spans="2:44" ht="20.7" customHeight="1" outlineLevel="1" thickBot="1">
      <c r="B225" s="422"/>
      <c r="C225" s="1043"/>
      <c r="D225" s="1019"/>
      <c r="E225" s="1019"/>
      <c r="F225" s="1019"/>
      <c r="G225" s="1019"/>
      <c r="H225" s="1019"/>
      <c r="I225" s="1019"/>
      <c r="J225" s="1019"/>
      <c r="K225" s="1019"/>
      <c r="L225" s="1020"/>
      <c r="M225" s="423"/>
      <c r="N225" s="423"/>
      <c r="P225" s="424"/>
      <c r="Q225" s="425"/>
      <c r="R225" s="426"/>
      <c r="S225" s="985"/>
      <c r="T225" s="989"/>
      <c r="U225" s="990"/>
      <c r="V225" s="989"/>
      <c r="W225" s="990"/>
      <c r="X225" s="989"/>
      <c r="Y225" s="990"/>
      <c r="Z225" s="989"/>
      <c r="AA225" s="990"/>
      <c r="AB225" s="989"/>
      <c r="AC225" s="990"/>
      <c r="AE225" s="424"/>
      <c r="AF225" s="425"/>
      <c r="AG225" s="426"/>
      <c r="AH225" s="985"/>
      <c r="AI225" s="989"/>
      <c r="AJ225" s="990"/>
      <c r="AK225" s="989"/>
      <c r="AL225" s="990"/>
      <c r="AM225" s="989"/>
      <c r="AN225" s="990"/>
      <c r="AO225" s="989"/>
      <c r="AP225" s="990"/>
      <c r="AQ225" s="989"/>
      <c r="AR225" s="990"/>
    </row>
    <row r="226" spans="2:44" ht="15" customHeight="1" outlineLevel="1" thickBot="1">
      <c r="B226" s="1010"/>
      <c r="C226" s="1012"/>
      <c r="D226" s="1012"/>
      <c r="E226" s="1012"/>
      <c r="F226" s="1012"/>
      <c r="G226" s="1048"/>
      <c r="H226" s="1049"/>
      <c r="I226" s="1048"/>
      <c r="J226" s="1049"/>
      <c r="K226" s="1046"/>
      <c r="L226" s="1046"/>
      <c r="M226" s="427"/>
      <c r="N226" s="427"/>
      <c r="P226" s="993"/>
      <c r="Q226" s="428"/>
      <c r="R226" s="428"/>
      <c r="S226" s="986"/>
      <c r="T226" s="991"/>
      <c r="U226" s="992"/>
      <c r="V226" s="991"/>
      <c r="W226" s="992"/>
      <c r="X226" s="991"/>
      <c r="Y226" s="992"/>
      <c r="Z226" s="991"/>
      <c r="AA226" s="992"/>
      <c r="AB226" s="991"/>
      <c r="AC226" s="992"/>
      <c r="AE226" s="993"/>
      <c r="AF226" s="428"/>
      <c r="AG226" s="428"/>
      <c r="AH226" s="986"/>
      <c r="AI226" s="991"/>
      <c r="AJ226" s="992"/>
      <c r="AK226" s="991"/>
      <c r="AL226" s="992"/>
      <c r="AM226" s="991"/>
      <c r="AN226" s="992"/>
      <c r="AO226" s="991"/>
      <c r="AP226" s="992"/>
      <c r="AQ226" s="991"/>
      <c r="AR226" s="992"/>
    </row>
    <row r="227" spans="2:44" ht="15" customHeight="1" outlineLevel="1" thickBot="1">
      <c r="B227" s="1011"/>
      <c r="C227" s="1013"/>
      <c r="D227" s="1013"/>
      <c r="E227" s="1013"/>
      <c r="F227" s="1013"/>
      <c r="G227" s="466"/>
      <c r="H227" s="466"/>
      <c r="I227" s="466"/>
      <c r="J227" s="466"/>
      <c r="K227" s="1047"/>
      <c r="L227" s="1047"/>
      <c r="M227" s="430"/>
      <c r="N227" s="430"/>
      <c r="P227" s="994"/>
      <c r="Q227" s="996"/>
      <c r="R227" s="997"/>
      <c r="S227" s="987"/>
      <c r="T227" s="991"/>
      <c r="U227" s="992"/>
      <c r="V227" s="991"/>
      <c r="W227" s="992"/>
      <c r="X227" s="991"/>
      <c r="Y227" s="992"/>
      <c r="Z227" s="991"/>
      <c r="AA227" s="992"/>
      <c r="AB227" s="991"/>
      <c r="AC227" s="992"/>
      <c r="AE227" s="994"/>
      <c r="AF227" s="1040"/>
      <c r="AG227" s="997"/>
      <c r="AH227" s="987"/>
      <c r="AI227" s="991"/>
      <c r="AJ227" s="992"/>
      <c r="AK227" s="991"/>
      <c r="AL227" s="992"/>
      <c r="AM227" s="991"/>
      <c r="AN227" s="992"/>
      <c r="AO227" s="991"/>
      <c r="AP227" s="992"/>
      <c r="AQ227" s="991"/>
      <c r="AR227" s="992"/>
    </row>
    <row r="228" spans="2:44" ht="15" outlineLevel="1" thickBot="1">
      <c r="B228" s="431"/>
      <c r="C228" s="432"/>
      <c r="D228" s="432"/>
      <c r="E228" s="432"/>
      <c r="F228" s="432"/>
      <c r="G228" s="432"/>
      <c r="H228" s="432"/>
      <c r="I228" s="432"/>
      <c r="J228" s="432"/>
      <c r="K228" s="432"/>
      <c r="L228" s="433"/>
      <c r="M228" s="430"/>
      <c r="N228" s="430"/>
      <c r="O228" s="74"/>
      <c r="P228" s="995"/>
      <c r="Q228" s="988"/>
      <c r="R228" s="998"/>
      <c r="S228" s="988"/>
      <c r="T228" s="434"/>
      <c r="U228" s="435"/>
      <c r="V228" s="434"/>
      <c r="W228" s="435"/>
      <c r="X228" s="434"/>
      <c r="Y228" s="435"/>
      <c r="Z228" s="434"/>
      <c r="AA228" s="435"/>
      <c r="AB228" s="434"/>
      <c r="AC228" s="435"/>
      <c r="AE228" s="995"/>
      <c r="AF228" s="1041"/>
      <c r="AG228" s="998"/>
      <c r="AH228" s="988"/>
      <c r="AI228" s="434"/>
      <c r="AJ228" s="435"/>
      <c r="AK228" s="434"/>
      <c r="AL228" s="435"/>
      <c r="AM228" s="434"/>
      <c r="AN228" s="435"/>
      <c r="AO228" s="434"/>
      <c r="AP228" s="435"/>
      <c r="AQ228" s="434"/>
      <c r="AR228" s="435"/>
    </row>
    <row r="229" spans="2:44" ht="14.7" customHeight="1" outlineLevel="1">
      <c r="B229" s="601"/>
      <c r="C229" s="602"/>
      <c r="D229" s="602"/>
      <c r="E229" s="603"/>
      <c r="F229" s="602"/>
      <c r="G229" s="602"/>
      <c r="H229" s="602"/>
      <c r="I229" s="602"/>
      <c r="J229" s="602"/>
      <c r="K229" s="607"/>
      <c r="L229" s="608"/>
      <c r="M229" s="430"/>
      <c r="N229" s="430"/>
      <c r="P229" s="1027"/>
      <c r="Q229" s="1030"/>
      <c r="R229" s="441"/>
      <c r="S229" s="442"/>
      <c r="T229" s="1033"/>
      <c r="U229" s="1021"/>
      <c r="V229" s="1033"/>
      <c r="W229" s="1021"/>
      <c r="X229" s="1033"/>
      <c r="Y229" s="1021"/>
      <c r="Z229" s="1033"/>
      <c r="AA229" s="1021"/>
      <c r="AB229" s="1033"/>
      <c r="AC229" s="1021"/>
      <c r="AE229" s="1027"/>
      <c r="AF229" s="1030"/>
      <c r="AG229" s="441"/>
      <c r="AH229" s="442"/>
      <c r="AI229" s="1033"/>
      <c r="AJ229" s="1021"/>
      <c r="AK229" s="1033"/>
      <c r="AL229" s="1021"/>
      <c r="AM229" s="1033"/>
      <c r="AN229" s="1021"/>
      <c r="AO229" s="1033"/>
      <c r="AP229" s="1021"/>
      <c r="AQ229" s="1033"/>
      <c r="AR229" s="1021"/>
    </row>
    <row r="230" spans="2:44" outlineLevel="1">
      <c r="B230" s="443"/>
      <c r="C230" s="444"/>
      <c r="D230" s="444"/>
      <c r="E230" s="444"/>
      <c r="F230" s="444"/>
      <c r="G230" s="565"/>
      <c r="H230" s="565"/>
      <c r="I230" s="565"/>
      <c r="J230" s="565"/>
      <c r="K230" s="432"/>
      <c r="L230" s="433"/>
      <c r="M230" s="430"/>
      <c r="N230" s="430"/>
      <c r="O230" s="71"/>
      <c r="P230" s="1028"/>
      <c r="Q230" s="1031"/>
      <c r="R230" s="448"/>
      <c r="S230" s="449"/>
      <c r="T230" s="1034"/>
      <c r="U230" s="1022"/>
      <c r="V230" s="1034"/>
      <c r="W230" s="1022"/>
      <c r="X230" s="1034"/>
      <c r="Y230" s="1022"/>
      <c r="Z230" s="1034"/>
      <c r="AA230" s="1022"/>
      <c r="AB230" s="1034"/>
      <c r="AC230" s="1022"/>
      <c r="AE230" s="1028"/>
      <c r="AF230" s="1031"/>
      <c r="AG230" s="448"/>
      <c r="AH230" s="449"/>
      <c r="AI230" s="1034"/>
      <c r="AJ230" s="1022"/>
      <c r="AK230" s="1034"/>
      <c r="AL230" s="1022"/>
      <c r="AM230" s="1034"/>
      <c r="AN230" s="1022"/>
      <c r="AO230" s="1034"/>
      <c r="AP230" s="1022"/>
      <c r="AQ230" s="1034"/>
      <c r="AR230" s="1022"/>
    </row>
    <row r="231" spans="2:44" ht="15" outlineLevel="1" thickBot="1">
      <c r="B231" s="601"/>
      <c r="C231" s="604"/>
      <c r="D231" s="605"/>
      <c r="E231" s="605"/>
      <c r="F231" s="606"/>
      <c r="G231" s="605"/>
      <c r="H231" s="605"/>
      <c r="I231" s="605"/>
      <c r="J231" s="605"/>
      <c r="K231" s="607"/>
      <c r="L231" s="608"/>
      <c r="M231" s="430"/>
      <c r="N231" s="430"/>
      <c r="O231" s="71"/>
      <c r="P231" s="1028"/>
      <c r="Q231" s="1032"/>
      <c r="R231" s="453"/>
      <c r="S231" s="454"/>
      <c r="T231" s="1035"/>
      <c r="U231" s="1023"/>
      <c r="V231" s="1035"/>
      <c r="W231" s="1023"/>
      <c r="X231" s="1035"/>
      <c r="Y231" s="1023"/>
      <c r="Z231" s="1035"/>
      <c r="AA231" s="1023"/>
      <c r="AB231" s="1035"/>
      <c r="AC231" s="1023"/>
      <c r="AE231" s="1028"/>
      <c r="AF231" s="1032"/>
      <c r="AG231" s="453"/>
      <c r="AH231" s="454"/>
      <c r="AI231" s="1035"/>
      <c r="AJ231" s="1023"/>
      <c r="AK231" s="1035"/>
      <c r="AL231" s="1023"/>
      <c r="AM231" s="1035"/>
      <c r="AN231" s="1023"/>
      <c r="AO231" s="1035"/>
      <c r="AP231" s="1023"/>
      <c r="AQ231" s="1035"/>
      <c r="AR231" s="1023"/>
    </row>
    <row r="232" spans="2:44" ht="14.7" customHeight="1" outlineLevel="1">
      <c r="B232" s="601"/>
      <c r="C232" s="604"/>
      <c r="D232" s="604"/>
      <c r="E232" s="604"/>
      <c r="F232" s="604"/>
      <c r="G232" s="604"/>
      <c r="H232" s="604"/>
      <c r="I232" s="604"/>
      <c r="J232" s="604"/>
      <c r="K232" s="607"/>
      <c r="L232" s="608"/>
      <c r="M232" s="430"/>
      <c r="N232" s="430"/>
      <c r="O232" s="71"/>
      <c r="P232" s="1028"/>
      <c r="Q232" s="1030"/>
      <c r="R232" s="455"/>
      <c r="S232" s="456"/>
      <c r="T232" s="1033"/>
      <c r="U232" s="1033"/>
      <c r="V232" s="1033"/>
      <c r="W232" s="1033"/>
      <c r="X232" s="1033"/>
      <c r="Y232" s="1033"/>
      <c r="Z232" s="1033"/>
      <c r="AA232" s="1033"/>
      <c r="AB232" s="1033"/>
      <c r="AC232" s="1033"/>
      <c r="AE232" s="1028"/>
      <c r="AF232" s="1030"/>
      <c r="AG232" s="455"/>
      <c r="AH232" s="456"/>
      <c r="AI232" s="1033"/>
      <c r="AJ232" s="1033"/>
      <c r="AK232" s="1033"/>
      <c r="AL232" s="1033"/>
      <c r="AM232" s="1033"/>
      <c r="AN232" s="1033"/>
      <c r="AO232" s="1033"/>
      <c r="AP232" s="1033"/>
      <c r="AQ232" s="1033"/>
      <c r="AR232" s="1033"/>
    </row>
    <row r="233" spans="2:44" outlineLevel="1">
      <c r="B233" s="601"/>
      <c r="C233" s="604"/>
      <c r="D233" s="604"/>
      <c r="E233" s="604"/>
      <c r="F233" s="604"/>
      <c r="G233" s="604"/>
      <c r="H233" s="604"/>
      <c r="I233" s="604"/>
      <c r="J233" s="604"/>
      <c r="K233" s="607"/>
      <c r="L233" s="608"/>
      <c r="M233" s="427"/>
      <c r="N233" s="427"/>
      <c r="O233" s="71"/>
      <c r="P233" s="1028"/>
      <c r="Q233" s="1031"/>
      <c r="R233" s="455"/>
      <c r="S233" s="456"/>
      <c r="T233" s="1050"/>
      <c r="U233" s="1050"/>
      <c r="V233" s="1050"/>
      <c r="W233" s="1050"/>
      <c r="X233" s="1050"/>
      <c r="Y233" s="1050"/>
      <c r="Z233" s="1050"/>
      <c r="AA233" s="1050"/>
      <c r="AB233" s="1050"/>
      <c r="AC233" s="1050"/>
      <c r="AE233" s="1028"/>
      <c r="AF233" s="1031"/>
      <c r="AG233" s="455"/>
      <c r="AH233" s="456"/>
      <c r="AI233" s="1050"/>
      <c r="AJ233" s="1050"/>
      <c r="AK233" s="1050"/>
      <c r="AL233" s="1050"/>
      <c r="AM233" s="1050"/>
      <c r="AN233" s="1050"/>
      <c r="AO233" s="1050"/>
      <c r="AP233" s="1050"/>
      <c r="AQ233" s="1050"/>
      <c r="AR233" s="1050"/>
    </row>
    <row r="234" spans="2:44" outlineLevel="1">
      <c r="B234" s="443"/>
      <c r="C234" s="457"/>
      <c r="D234" s="457"/>
      <c r="E234" s="457"/>
      <c r="F234" s="457"/>
      <c r="G234" s="459"/>
      <c r="H234" s="459"/>
      <c r="I234" s="459"/>
      <c r="J234" s="459"/>
      <c r="K234" s="432"/>
      <c r="L234" s="433"/>
      <c r="M234" s="423"/>
      <c r="N234" s="423"/>
      <c r="P234" s="1028"/>
      <c r="Q234" s="1031"/>
      <c r="R234" s="455"/>
      <c r="S234" s="456"/>
      <c r="T234" s="1050"/>
      <c r="U234" s="1050"/>
      <c r="V234" s="1050"/>
      <c r="W234" s="1050"/>
      <c r="X234" s="1050"/>
      <c r="Y234" s="1050"/>
      <c r="Z234" s="1050"/>
      <c r="AA234" s="1050"/>
      <c r="AB234" s="1050"/>
      <c r="AC234" s="1050"/>
      <c r="AE234" s="1028"/>
      <c r="AF234" s="1031"/>
      <c r="AG234" s="455"/>
      <c r="AH234" s="456"/>
      <c r="AI234" s="1050"/>
      <c r="AJ234" s="1050"/>
      <c r="AK234" s="1050"/>
      <c r="AL234" s="1050"/>
      <c r="AM234" s="1050"/>
      <c r="AN234" s="1050"/>
      <c r="AO234" s="1050"/>
      <c r="AP234" s="1050"/>
      <c r="AQ234" s="1050"/>
      <c r="AR234" s="1050"/>
    </row>
    <row r="235" spans="2:44" ht="15" outlineLevel="1" thickBot="1">
      <c r="B235" s="601"/>
      <c r="C235" s="604"/>
      <c r="D235" s="604"/>
      <c r="E235" s="604"/>
      <c r="F235" s="604"/>
      <c r="G235" s="604"/>
      <c r="H235" s="604"/>
      <c r="I235" s="604"/>
      <c r="J235" s="604"/>
      <c r="K235" s="607"/>
      <c r="L235" s="619"/>
      <c r="M235" s="423"/>
      <c r="N235" s="423"/>
      <c r="P235" s="1028"/>
      <c r="Q235" s="1031"/>
      <c r="R235" s="455"/>
      <c r="S235" s="456"/>
      <c r="T235" s="1050"/>
      <c r="U235" s="1050"/>
      <c r="V235" s="1050"/>
      <c r="W235" s="1050"/>
      <c r="X235" s="1050"/>
      <c r="Y235" s="1050"/>
      <c r="Z235" s="1050"/>
      <c r="AA235" s="1050"/>
      <c r="AB235" s="1050"/>
      <c r="AC235" s="1050"/>
      <c r="AE235" s="1028"/>
      <c r="AF235" s="1031"/>
      <c r="AG235" s="455"/>
      <c r="AH235" s="456"/>
      <c r="AI235" s="1050"/>
      <c r="AJ235" s="1050"/>
      <c r="AK235" s="1050"/>
      <c r="AL235" s="1050"/>
      <c r="AM235" s="1050"/>
      <c r="AN235" s="1050"/>
      <c r="AO235" s="1050"/>
      <c r="AP235" s="1050"/>
      <c r="AQ235" s="1050"/>
      <c r="AR235" s="1050"/>
    </row>
    <row r="236" spans="2:44" ht="15" outlineLevel="1" thickBot="1">
      <c r="B236" s="461"/>
      <c r="C236" s="462"/>
      <c r="D236" s="463"/>
      <c r="E236" s="464"/>
      <c r="F236" s="465"/>
      <c r="G236" s="466"/>
      <c r="H236" s="466"/>
      <c r="I236" s="466"/>
      <c r="J236" s="466"/>
      <c r="K236" s="467"/>
      <c r="L236" s="468"/>
      <c r="M236" s="423"/>
      <c r="N236" s="423"/>
      <c r="P236" s="1028"/>
      <c r="Q236" s="1031"/>
      <c r="R236" s="469"/>
      <c r="S236" s="470"/>
      <c r="T236" s="1051"/>
      <c r="U236" s="1051"/>
      <c r="V236" s="1051"/>
      <c r="W236" s="1051"/>
      <c r="X236" s="1051"/>
      <c r="Y236" s="1051"/>
      <c r="Z236" s="1051"/>
      <c r="AA236" s="1051"/>
      <c r="AB236" s="1051"/>
      <c r="AC236" s="1051"/>
      <c r="AE236" s="1028"/>
      <c r="AF236" s="1031"/>
      <c r="AG236" s="469"/>
      <c r="AH236" s="470"/>
      <c r="AI236" s="1051"/>
      <c r="AJ236" s="1051"/>
      <c r="AK236" s="1051"/>
      <c r="AL236" s="1051"/>
      <c r="AM236" s="1051"/>
      <c r="AN236" s="1051"/>
      <c r="AO236" s="1051"/>
      <c r="AP236" s="1051"/>
      <c r="AQ236" s="1051"/>
      <c r="AR236" s="1051"/>
    </row>
    <row r="237" spans="2:44" ht="15" outlineLevel="1" thickBot="1">
      <c r="B237" s="601"/>
      <c r="C237" s="604"/>
      <c r="D237" s="604"/>
      <c r="E237" s="604"/>
      <c r="F237" s="604"/>
      <c r="G237" s="605"/>
      <c r="H237" s="605"/>
      <c r="I237" s="605"/>
      <c r="J237" s="605"/>
      <c r="K237" s="607"/>
      <c r="L237" s="608"/>
      <c r="M237" s="423"/>
      <c r="N237" s="423"/>
      <c r="P237" s="1029"/>
      <c r="Q237" s="471"/>
      <c r="R237" s="472"/>
      <c r="S237" s="473"/>
      <c r="T237" s="474"/>
      <c r="U237" s="475"/>
      <c r="V237" s="474"/>
      <c r="W237" s="475"/>
      <c r="X237" s="474"/>
      <c r="Y237" s="475"/>
      <c r="Z237" s="474"/>
      <c r="AA237" s="475"/>
      <c r="AB237" s="474"/>
      <c r="AC237" s="477"/>
      <c r="AE237" s="1029"/>
      <c r="AF237" s="471"/>
      <c r="AG237" s="472"/>
      <c r="AH237" s="473"/>
      <c r="AI237" s="474"/>
      <c r="AJ237" s="475"/>
      <c r="AK237" s="474"/>
      <c r="AL237" s="475"/>
      <c r="AM237" s="474"/>
      <c r="AN237" s="475"/>
      <c r="AO237" s="474"/>
      <c r="AP237" s="475"/>
      <c r="AQ237" s="474"/>
      <c r="AR237" s="477"/>
    </row>
    <row r="238" spans="2:44" outlineLevel="1">
      <c r="B238" s="601"/>
      <c r="C238" s="604"/>
      <c r="D238" s="604"/>
      <c r="E238" s="604"/>
      <c r="F238" s="604"/>
      <c r="G238" s="609"/>
      <c r="H238" s="609"/>
      <c r="I238" s="609"/>
      <c r="J238" s="609"/>
      <c r="K238" s="610"/>
      <c r="L238" s="608"/>
      <c r="M238" s="423"/>
      <c r="N238" s="423"/>
    </row>
    <row r="239" spans="2:44" outlineLevel="1">
      <c r="B239" s="601"/>
      <c r="C239" s="604"/>
      <c r="D239" s="604"/>
      <c r="E239" s="604"/>
      <c r="F239" s="604"/>
      <c r="G239" s="609"/>
      <c r="H239" s="609"/>
      <c r="I239" s="609"/>
      <c r="J239" s="609"/>
      <c r="K239" s="610"/>
      <c r="L239" s="608"/>
      <c r="M239" s="480"/>
      <c r="N239" s="423"/>
    </row>
    <row r="240" spans="2:44" outlineLevel="1">
      <c r="B240" s="481"/>
      <c r="C240" s="459"/>
      <c r="D240" s="459"/>
      <c r="E240" s="459"/>
      <c r="F240" s="459"/>
      <c r="G240" s="482"/>
      <c r="H240" s="482"/>
      <c r="I240" s="482"/>
      <c r="J240" s="482"/>
      <c r="K240" s="483"/>
      <c r="L240" s="484"/>
      <c r="M240" s="480"/>
      <c r="N240" s="480"/>
    </row>
    <row r="241" spans="1:30" outlineLevel="1">
      <c r="B241" s="443"/>
      <c r="C241" s="457"/>
      <c r="D241" s="457"/>
      <c r="E241" s="457"/>
      <c r="F241" s="457"/>
      <c r="G241" s="482"/>
      <c r="H241" s="485"/>
      <c r="I241" s="485"/>
      <c r="J241" s="485"/>
      <c r="K241" s="486"/>
      <c r="L241" s="487"/>
      <c r="M241" s="488"/>
      <c r="N241" s="488"/>
    </row>
    <row r="242" spans="1:30" outlineLevel="1">
      <c r="B242" s="443"/>
      <c r="C242" s="457"/>
      <c r="D242" s="457"/>
      <c r="E242" s="457"/>
      <c r="F242" s="457"/>
      <c r="G242" s="485"/>
      <c r="H242" s="485"/>
      <c r="I242" s="485"/>
      <c r="J242" s="485"/>
      <c r="K242" s="483"/>
      <c r="L242" s="487"/>
      <c r="M242" s="488"/>
      <c r="N242" s="488"/>
    </row>
    <row r="243" spans="1:30" outlineLevel="1">
      <c r="B243" s="443"/>
      <c r="C243" s="457"/>
      <c r="D243" s="457"/>
      <c r="E243" s="457"/>
      <c r="F243" s="457"/>
      <c r="G243" s="485"/>
      <c r="H243" s="485"/>
      <c r="I243" s="485"/>
      <c r="J243" s="485"/>
      <c r="K243" s="483"/>
      <c r="L243" s="487"/>
      <c r="M243" s="488"/>
      <c r="N243" s="488"/>
    </row>
    <row r="244" spans="1:30" outlineLevel="1">
      <c r="B244" s="443"/>
      <c r="C244" s="457"/>
      <c r="D244" s="457"/>
      <c r="E244" s="457"/>
      <c r="F244" s="457"/>
      <c r="G244" s="485"/>
      <c r="H244" s="485"/>
      <c r="I244" s="485"/>
      <c r="J244" s="485"/>
      <c r="K244" s="483"/>
      <c r="L244" s="487"/>
      <c r="M244" s="488"/>
      <c r="N244" s="488"/>
    </row>
    <row r="245" spans="1:30" ht="15" outlineLevel="1" thickBot="1">
      <c r="B245" s="489"/>
      <c r="C245" s="490"/>
      <c r="D245" s="490"/>
      <c r="E245" s="490"/>
      <c r="F245" s="490"/>
      <c r="G245" s="485"/>
      <c r="H245" s="485"/>
      <c r="I245" s="485"/>
      <c r="J245" s="485"/>
      <c r="K245" s="483"/>
      <c r="L245" s="487"/>
      <c r="M245" s="488"/>
      <c r="N245" s="488"/>
    </row>
    <row r="246" spans="1:30" ht="15" outlineLevel="1" thickBot="1">
      <c r="B246" s="491"/>
      <c r="C246" s="492"/>
      <c r="D246" s="463"/>
      <c r="E246" s="463"/>
      <c r="F246" s="493"/>
      <c r="G246" s="494"/>
      <c r="H246" s="466"/>
      <c r="I246" s="466"/>
      <c r="J246" s="466"/>
      <c r="K246" s="467"/>
      <c r="L246" s="468"/>
      <c r="M246" s="488"/>
      <c r="N246" s="488"/>
    </row>
    <row r="247" spans="1:30" outlineLevel="1">
      <c r="A247" s="495"/>
      <c r="B247" s="496"/>
      <c r="C247" s="611"/>
      <c r="D247" s="572"/>
      <c r="E247" s="572"/>
      <c r="F247" s="573"/>
      <c r="G247" s="485"/>
      <c r="H247" s="485"/>
      <c r="I247" s="485"/>
      <c r="J247" s="485"/>
      <c r="K247" s="486"/>
      <c r="L247" s="500"/>
      <c r="M247" s="480"/>
      <c r="N247" s="480"/>
    </row>
    <row r="248" spans="1:30" outlineLevel="1">
      <c r="B248" s="501"/>
      <c r="C248" s="503"/>
      <c r="D248" s="502"/>
      <c r="E248" s="502"/>
      <c r="F248" s="502"/>
      <c r="G248" s="485"/>
      <c r="H248" s="485"/>
      <c r="I248" s="485"/>
      <c r="J248" s="485"/>
      <c r="K248" s="504"/>
      <c r="L248" s="433"/>
      <c r="M248" s="71"/>
      <c r="N248" s="480"/>
    </row>
    <row r="249" spans="1:30" outlineLevel="1">
      <c r="B249" s="501"/>
      <c r="C249" s="503"/>
      <c r="D249" s="503"/>
      <c r="E249" s="503"/>
      <c r="F249" s="503"/>
      <c r="G249" s="485"/>
      <c r="H249" s="485"/>
      <c r="I249" s="485"/>
      <c r="J249" s="485"/>
      <c r="K249" s="504"/>
      <c r="L249" s="433"/>
      <c r="M249" s="480"/>
      <c r="N249" s="480"/>
    </row>
    <row r="250" spans="1:30" outlineLevel="1">
      <c r="B250" s="443"/>
      <c r="C250" s="505"/>
      <c r="D250" s="506"/>
      <c r="E250" s="506"/>
      <c r="F250" s="507"/>
      <c r="G250" s="485"/>
      <c r="H250" s="485"/>
      <c r="I250" s="485"/>
      <c r="J250" s="485"/>
      <c r="K250" s="508"/>
      <c r="L250" s="433"/>
      <c r="M250" s="480"/>
      <c r="N250" s="480"/>
    </row>
    <row r="251" spans="1:30" outlineLevel="1">
      <c r="B251" s="443"/>
      <c r="C251" s="509"/>
      <c r="D251" s="509"/>
      <c r="E251" s="509"/>
      <c r="F251" s="509"/>
      <c r="G251" s="485"/>
      <c r="H251" s="485"/>
      <c r="I251" s="485"/>
      <c r="J251" s="485"/>
      <c r="K251" s="508"/>
      <c r="L251" s="433"/>
      <c r="M251" s="510"/>
      <c r="N251" s="421"/>
      <c r="P251" s="999"/>
      <c r="Q251" s="977"/>
      <c r="R251" s="977"/>
      <c r="S251" s="977"/>
      <c r="T251" s="977"/>
      <c r="U251" s="1000"/>
    </row>
    <row r="252" spans="1:30" ht="15" outlineLevel="1" thickBot="1">
      <c r="B252" s="601"/>
      <c r="C252" s="612"/>
      <c r="D252" s="612"/>
      <c r="E252" s="612"/>
      <c r="F252" s="612"/>
      <c r="G252" s="485"/>
      <c r="H252" s="485"/>
      <c r="I252" s="485"/>
      <c r="J252" s="485"/>
      <c r="K252" s="504"/>
      <c r="L252" s="433"/>
      <c r="M252" s="510"/>
      <c r="N252" s="421"/>
      <c r="P252" s="1001"/>
      <c r="Q252" s="1002"/>
      <c r="R252" s="1002"/>
      <c r="S252" s="1002"/>
      <c r="T252" s="1002"/>
      <c r="U252" s="1003"/>
    </row>
    <row r="253" spans="1:30" outlineLevel="1">
      <c r="B253" s="601"/>
      <c r="C253" s="614"/>
      <c r="D253" s="614"/>
      <c r="E253" s="614"/>
      <c r="F253" s="614"/>
      <c r="G253" s="485"/>
      <c r="H253" s="485"/>
      <c r="I253" s="485"/>
      <c r="J253" s="485"/>
      <c r="K253" s="508"/>
      <c r="L253" s="433"/>
      <c r="M253" s="423"/>
      <c r="N253" s="423"/>
      <c r="P253" s="53"/>
    </row>
    <row r="254" spans="1:30" outlineLevel="1">
      <c r="B254" s="501"/>
      <c r="C254" s="578"/>
      <c r="D254" s="578"/>
      <c r="E254" s="578"/>
      <c r="F254" s="578"/>
      <c r="G254" s="485"/>
      <c r="H254" s="485"/>
      <c r="I254" s="485"/>
      <c r="J254" s="485"/>
      <c r="K254" s="504"/>
      <c r="L254" s="484"/>
      <c r="M254" s="427"/>
      <c r="N254" s="427"/>
      <c r="P254" s="46"/>
      <c r="Q254" s="46"/>
      <c r="R254" s="47"/>
      <c r="S254" s="47"/>
      <c r="T254" s="47"/>
      <c r="U254" s="48"/>
      <c r="V254" s="49"/>
      <c r="W254" s="49"/>
      <c r="X254" s="49"/>
      <c r="Y254" s="49"/>
      <c r="Z254" s="49"/>
      <c r="AA254" s="49"/>
      <c r="AB254" s="49"/>
      <c r="AC254" s="49"/>
      <c r="AD254" s="49"/>
    </row>
    <row r="255" spans="1:30" ht="15" outlineLevel="1" thickBot="1">
      <c r="B255" s="579"/>
      <c r="C255" s="502"/>
      <c r="D255" s="580"/>
      <c r="E255" s="580"/>
      <c r="F255" s="581"/>
      <c r="G255" s="485"/>
      <c r="H255" s="485"/>
      <c r="I255" s="485"/>
      <c r="J255" s="485"/>
      <c r="K255" s="508"/>
      <c r="L255" s="484"/>
      <c r="M255" s="423"/>
      <c r="N255" s="423"/>
      <c r="P255" s="50"/>
      <c r="Q255" s="50"/>
      <c r="R255" s="51"/>
      <c r="S255" s="51"/>
      <c r="T255" s="51"/>
      <c r="U255" s="51"/>
      <c r="V255" s="50"/>
      <c r="W255" s="50"/>
      <c r="X255" s="50"/>
      <c r="Y255" s="50"/>
      <c r="Z255" s="50"/>
      <c r="AA255" s="50"/>
      <c r="AB255" s="50"/>
      <c r="AC255" s="50"/>
      <c r="AD255" s="50"/>
    </row>
    <row r="256" spans="1:30" ht="15" outlineLevel="1" thickBot="1">
      <c r="B256" s="461"/>
      <c r="C256" s="462"/>
      <c r="D256" s="463"/>
      <c r="E256" s="464"/>
      <c r="F256" s="465"/>
      <c r="G256" s="466"/>
      <c r="H256" s="466"/>
      <c r="I256" s="466"/>
      <c r="J256" s="466"/>
      <c r="K256" s="519"/>
      <c r="L256" s="520"/>
      <c r="M256" s="423"/>
      <c r="N256" s="423"/>
      <c r="O256" s="521"/>
      <c r="P256" s="56"/>
      <c r="Q256" s="56"/>
      <c r="R256" s="57"/>
      <c r="S256" s="57"/>
      <c r="T256" s="57"/>
      <c r="U256" s="56"/>
      <c r="V256" s="56"/>
      <c r="W256" s="56"/>
      <c r="X256" s="56"/>
      <c r="Y256" s="56"/>
      <c r="Z256" s="56"/>
      <c r="AA256" s="56"/>
      <c r="AB256" s="56"/>
      <c r="AC256" s="56"/>
      <c r="AD256" s="56"/>
    </row>
    <row r="257" spans="1:30" outlineLevel="1">
      <c r="B257" s="616"/>
      <c r="C257" s="617"/>
      <c r="D257" s="617"/>
      <c r="E257" s="617"/>
      <c r="F257" s="617"/>
      <c r="G257" s="618"/>
      <c r="H257" s="618"/>
      <c r="I257" s="618"/>
      <c r="J257" s="618"/>
      <c r="K257" s="618"/>
      <c r="L257" s="619"/>
      <c r="M257" s="423"/>
      <c r="N257" s="423"/>
      <c r="O257" s="525"/>
      <c r="P257" s="526"/>
      <c r="Q257" s="58"/>
      <c r="R257" s="526"/>
      <c r="S257" s="58"/>
      <c r="T257" s="526"/>
      <c r="U257" s="527"/>
      <c r="V257" s="527"/>
      <c r="W257" s="527"/>
      <c r="X257" s="58"/>
      <c r="Y257" s="58"/>
      <c r="Z257" s="526"/>
      <c r="AA257" s="528"/>
      <c r="AB257" s="528"/>
      <c r="AC257" s="528"/>
      <c r="AD257" s="528"/>
    </row>
    <row r="258" spans="1:30" outlineLevel="1">
      <c r="B258" s="601"/>
      <c r="C258" s="620"/>
      <c r="D258" s="621"/>
      <c r="E258" s="621"/>
      <c r="F258" s="622"/>
      <c r="G258" s="622"/>
      <c r="H258" s="622"/>
      <c r="I258" s="622"/>
      <c r="J258" s="622"/>
      <c r="K258" s="623"/>
      <c r="L258" s="619"/>
      <c r="M258" s="423"/>
      <c r="N258" s="423"/>
      <c r="O258" s="525"/>
      <c r="P258" s="526"/>
      <c r="Q258" s="58"/>
      <c r="R258" s="526"/>
      <c r="S258" s="58"/>
      <c r="T258" s="526"/>
      <c r="U258" s="527"/>
      <c r="V258" s="527"/>
      <c r="W258" s="527"/>
      <c r="X258" s="58"/>
      <c r="Y258" s="58"/>
      <c r="Z258" s="526"/>
      <c r="AA258" s="528"/>
      <c r="AB258" s="528"/>
      <c r="AC258" s="528"/>
      <c r="AD258" s="528"/>
    </row>
    <row r="259" spans="1:30" outlineLevel="1">
      <c r="B259" s="601"/>
      <c r="C259" s="620"/>
      <c r="D259" s="621"/>
      <c r="E259" s="621"/>
      <c r="F259" s="622"/>
      <c r="G259" s="622"/>
      <c r="H259" s="622"/>
      <c r="I259" s="622"/>
      <c r="J259" s="622"/>
      <c r="K259" s="623"/>
      <c r="L259" s="619"/>
      <c r="M259" s="423"/>
      <c r="N259" s="423"/>
      <c r="O259" s="525"/>
      <c r="P259" s="526"/>
      <c r="Q259" s="58"/>
      <c r="R259" s="526"/>
      <c r="S259" s="58"/>
      <c r="T259" s="526"/>
      <c r="U259" s="527"/>
      <c r="V259" s="527"/>
      <c r="W259" s="527"/>
      <c r="X259" s="58"/>
      <c r="Y259" s="58"/>
      <c r="Z259" s="526"/>
      <c r="AA259" s="528"/>
      <c r="AB259" s="528"/>
      <c r="AC259" s="528"/>
      <c r="AD259" s="528"/>
    </row>
    <row r="260" spans="1:30" outlineLevel="1">
      <c r="B260" s="601"/>
      <c r="C260" s="624"/>
      <c r="D260" s="624"/>
      <c r="E260" s="624"/>
      <c r="F260" s="624"/>
      <c r="G260" s="625"/>
      <c r="H260" s="625"/>
      <c r="I260" s="625"/>
      <c r="J260" s="625"/>
      <c r="K260" s="625"/>
      <c r="L260" s="608"/>
      <c r="M260" s="423"/>
      <c r="N260" s="423"/>
      <c r="O260" s="525"/>
      <c r="P260" s="526"/>
      <c r="Q260" s="58"/>
      <c r="R260" s="526"/>
      <c r="S260" s="58"/>
      <c r="T260" s="526"/>
      <c r="U260" s="527"/>
      <c r="V260" s="527"/>
      <c r="W260" s="527"/>
      <c r="X260" s="58"/>
      <c r="Y260" s="58"/>
      <c r="Z260" s="526"/>
      <c r="AA260" s="528"/>
      <c r="AB260" s="528"/>
      <c r="AC260" s="528"/>
      <c r="AD260" s="528"/>
    </row>
    <row r="261" spans="1:30" outlineLevel="1">
      <c r="B261" s="626"/>
      <c r="C261" s="620"/>
      <c r="D261" s="621"/>
      <c r="E261" s="621"/>
      <c r="F261" s="622"/>
      <c r="G261" s="622"/>
      <c r="H261" s="622"/>
      <c r="I261" s="622"/>
      <c r="J261" s="622"/>
      <c r="K261" s="623"/>
      <c r="L261" s="619"/>
      <c r="M261" s="427"/>
      <c r="N261" s="427"/>
    </row>
    <row r="262" spans="1:30" outlineLevel="1">
      <c r="B262" s="626"/>
      <c r="C262" s="620"/>
      <c r="D262" s="621"/>
      <c r="E262" s="621"/>
      <c r="F262" s="622"/>
      <c r="G262" s="622"/>
      <c r="H262" s="622"/>
      <c r="I262" s="622"/>
      <c r="J262" s="622"/>
      <c r="K262" s="623"/>
      <c r="L262" s="619"/>
      <c r="M262" s="423"/>
      <c r="N262" s="423"/>
    </row>
    <row r="263" spans="1:30" ht="15" outlineLevel="1" thickBot="1">
      <c r="B263" s="627"/>
      <c r="C263" s="628"/>
      <c r="D263" s="628"/>
      <c r="E263" s="628"/>
      <c r="F263" s="628"/>
      <c r="G263" s="628"/>
      <c r="H263" s="628"/>
      <c r="I263" s="628"/>
      <c r="J263" s="628"/>
      <c r="K263" s="628"/>
      <c r="L263" s="629"/>
      <c r="M263" s="423"/>
      <c r="N263" s="423"/>
    </row>
    <row r="264" spans="1:30" outlineLevel="1">
      <c r="B264" s="521"/>
      <c r="C264" s="543"/>
      <c r="D264" s="543"/>
      <c r="E264" s="543"/>
      <c r="F264" s="543"/>
      <c r="G264" s="543"/>
      <c r="H264" s="544"/>
      <c r="I264" s="480"/>
      <c r="J264" s="480"/>
      <c r="K264" s="544"/>
      <c r="L264" s="544"/>
      <c r="N264" s="480"/>
    </row>
    <row r="265" spans="1:30" outlineLevel="1">
      <c r="B265" s="545"/>
      <c r="C265" s="546"/>
      <c r="D265" s="546"/>
      <c r="E265" s="546"/>
      <c r="F265" s="546"/>
      <c r="G265" s="546"/>
      <c r="H265" s="544"/>
      <c r="I265" s="71"/>
      <c r="J265" s="480"/>
      <c r="K265" s="544"/>
      <c r="L265" s="544"/>
      <c r="N265" s="480"/>
    </row>
    <row r="266" spans="1:30" outlineLevel="1">
      <c r="B266" s="521"/>
      <c r="C266" s="419"/>
      <c r="D266" s="419"/>
      <c r="E266" s="419"/>
      <c r="F266" s="419"/>
      <c r="G266" s="419"/>
      <c r="I266" s="480"/>
      <c r="J266" s="480"/>
      <c r="N266" s="480"/>
    </row>
    <row r="267" spans="1:30" outlineLevel="1">
      <c r="B267" s="521"/>
      <c r="C267" s="547"/>
      <c r="D267" s="547"/>
      <c r="E267" s="547"/>
      <c r="F267" s="547"/>
      <c r="G267" s="419"/>
      <c r="M267" s="480"/>
      <c r="N267" s="480"/>
    </row>
    <row r="268" spans="1:30" outlineLevel="1"/>
    <row r="269" spans="1:30" outlineLevel="1">
      <c r="A269" s="548"/>
      <c r="B269" s="549"/>
      <c r="D269" s="550"/>
      <c r="E269" s="550"/>
      <c r="F269" s="550"/>
      <c r="G269" s="417"/>
      <c r="H269" s="417"/>
      <c r="I269" s="417"/>
      <c r="J269" s="417"/>
      <c r="K269" s="417"/>
      <c r="L269" s="417"/>
    </row>
    <row r="270" spans="1:30" outlineLevel="1">
      <c r="A270" s="551"/>
      <c r="B270" s="552"/>
      <c r="D270" s="550"/>
      <c r="E270" s="550"/>
      <c r="F270" s="550"/>
      <c r="G270" s="417"/>
      <c r="H270" s="417"/>
      <c r="I270" s="417"/>
      <c r="J270" s="417"/>
      <c r="K270" s="417"/>
      <c r="L270" s="417"/>
    </row>
    <row r="271" spans="1:30" outlineLevel="1">
      <c r="A271" s="551"/>
      <c r="B271" s="553"/>
      <c r="D271" s="550"/>
      <c r="E271" s="550"/>
      <c r="F271" s="550"/>
      <c r="G271" s="417"/>
      <c r="H271" s="417"/>
      <c r="I271" s="417"/>
      <c r="J271" s="417"/>
      <c r="K271" s="417"/>
      <c r="L271" s="417"/>
    </row>
    <row r="272" spans="1:30" outlineLevel="1">
      <c r="A272" s="551"/>
      <c r="B272" s="553"/>
      <c r="D272" s="550"/>
      <c r="E272" s="550"/>
      <c r="F272" s="550"/>
      <c r="G272" s="417"/>
      <c r="H272" s="417"/>
      <c r="I272" s="417"/>
      <c r="J272" s="417"/>
      <c r="K272" s="417"/>
      <c r="L272" s="417"/>
    </row>
    <row r="273" spans="1:15" outlineLevel="1">
      <c r="A273" s="551"/>
      <c r="B273" s="553"/>
      <c r="D273" s="550"/>
      <c r="E273" s="550"/>
      <c r="F273" s="550"/>
      <c r="G273" s="417"/>
      <c r="H273" s="417"/>
      <c r="I273" s="417"/>
      <c r="J273" s="417"/>
      <c r="K273" s="417"/>
      <c r="L273" s="417"/>
    </row>
    <row r="274" spans="1:15" outlineLevel="1">
      <c r="A274" s="417"/>
      <c r="B274" s="554"/>
      <c r="D274" s="550"/>
      <c r="E274" s="550"/>
      <c r="F274" s="550"/>
      <c r="G274" s="417"/>
      <c r="H274" s="417"/>
      <c r="I274" s="417"/>
      <c r="J274" s="417"/>
      <c r="K274" s="417"/>
      <c r="L274" s="417"/>
      <c r="M274" s="630"/>
      <c r="N274" s="549"/>
      <c r="O274" s="550"/>
    </row>
    <row r="275" spans="1:15" outlineLevel="1">
      <c r="A275" s="417"/>
      <c r="B275" s="552"/>
      <c r="D275" s="550"/>
      <c r="E275" s="550"/>
      <c r="F275" s="550"/>
      <c r="G275" s="417"/>
      <c r="H275" s="417"/>
      <c r="I275" s="417"/>
      <c r="J275" s="417"/>
      <c r="K275" s="417"/>
      <c r="L275" s="417"/>
      <c r="O275" s="550"/>
    </row>
    <row r="276" spans="1:15" outlineLevel="1">
      <c r="A276" s="417"/>
      <c r="B276" s="555"/>
      <c r="D276" s="550"/>
      <c r="E276" s="550"/>
      <c r="F276" s="550"/>
      <c r="G276" s="417"/>
      <c r="H276" s="417"/>
      <c r="I276" s="417"/>
      <c r="J276" s="417"/>
      <c r="K276" s="417"/>
      <c r="L276" s="417"/>
      <c r="O276" s="550"/>
    </row>
    <row r="277" spans="1:15" outlineLevel="1">
      <c r="A277" s="417"/>
      <c r="B277" s="555"/>
      <c r="D277" s="550"/>
      <c r="E277" s="550"/>
      <c r="F277" s="550"/>
      <c r="G277" s="417"/>
      <c r="H277" s="417"/>
      <c r="I277" s="417"/>
      <c r="J277" s="417"/>
      <c r="K277" s="417"/>
      <c r="L277" s="417"/>
      <c r="O277" s="550"/>
    </row>
    <row r="278" spans="1:15" outlineLevel="1">
      <c r="A278" s="417"/>
      <c r="B278" s="549"/>
      <c r="D278" s="550"/>
      <c r="E278" s="550"/>
      <c r="F278" s="550"/>
      <c r="G278" s="417"/>
      <c r="H278" s="417"/>
      <c r="I278" s="417"/>
      <c r="J278" s="417"/>
      <c r="K278" s="417"/>
      <c r="L278" s="417"/>
      <c r="O278" s="550"/>
    </row>
    <row r="279" spans="1:15" outlineLevel="1">
      <c r="A279" s="417"/>
      <c r="B279" s="550"/>
      <c r="D279" s="550"/>
      <c r="E279" s="550"/>
      <c r="F279" s="550"/>
      <c r="G279" s="417"/>
      <c r="H279" s="417"/>
      <c r="I279" s="417"/>
      <c r="J279" s="417"/>
      <c r="K279" s="417"/>
      <c r="L279" s="417"/>
      <c r="O279" s="550"/>
    </row>
    <row r="280" spans="1:15" outlineLevel="1">
      <c r="A280" s="548"/>
      <c r="B280" s="549"/>
      <c r="D280" s="550"/>
      <c r="E280" s="550"/>
      <c r="F280" s="550"/>
      <c r="G280" s="417"/>
      <c r="H280" s="417"/>
      <c r="I280" s="417"/>
      <c r="J280" s="417"/>
      <c r="K280" s="417"/>
      <c r="L280" s="417"/>
      <c r="O280" s="550"/>
    </row>
    <row r="281" spans="1:15" outlineLevel="1">
      <c r="A281" s="556"/>
      <c r="B281" s="557"/>
      <c r="D281" s="550"/>
      <c r="E281" s="550"/>
      <c r="F281" s="550"/>
      <c r="G281" s="417"/>
      <c r="H281" s="417"/>
      <c r="I281" s="417"/>
      <c r="J281" s="417"/>
      <c r="K281" s="417"/>
      <c r="L281" s="417"/>
      <c r="M281" s="630"/>
      <c r="N281" s="549"/>
      <c r="O281" s="550"/>
    </row>
    <row r="282" spans="1:15" outlineLevel="1">
      <c r="A282" s="556"/>
      <c r="B282" s="549"/>
      <c r="D282" s="550"/>
      <c r="E282" s="550"/>
      <c r="F282" s="550"/>
      <c r="G282" s="417"/>
      <c r="H282" s="417"/>
      <c r="I282" s="417"/>
      <c r="J282" s="417"/>
      <c r="K282" s="417"/>
      <c r="L282" s="417"/>
      <c r="M282" s="631"/>
      <c r="N282" s="549"/>
      <c r="O282" s="550"/>
    </row>
    <row r="283" spans="1:15" outlineLevel="1">
      <c r="A283" s="556"/>
      <c r="B283" s="549"/>
      <c r="D283" s="550"/>
      <c r="E283" s="550"/>
      <c r="F283" s="550"/>
      <c r="G283" s="417"/>
      <c r="H283" s="417"/>
      <c r="I283" s="417"/>
      <c r="J283" s="417"/>
      <c r="K283" s="417"/>
      <c r="L283" s="417"/>
      <c r="M283" s="632"/>
      <c r="N283" s="549"/>
      <c r="O283" s="550"/>
    </row>
    <row r="284" spans="1:15" outlineLevel="1">
      <c r="A284" s="556"/>
      <c r="B284" s="558"/>
      <c r="D284" s="550"/>
      <c r="E284" s="550"/>
      <c r="F284" s="550"/>
      <c r="G284" s="417"/>
      <c r="H284" s="417"/>
      <c r="I284" s="417"/>
      <c r="J284" s="417"/>
      <c r="K284" s="417"/>
      <c r="L284" s="417"/>
      <c r="M284" s="633"/>
      <c r="N284" s="549"/>
      <c r="O284" s="550"/>
    </row>
    <row r="285" spans="1:15" outlineLevel="1">
      <c r="A285" s="556"/>
      <c r="B285" s="549"/>
      <c r="D285" s="550"/>
      <c r="E285" s="550"/>
      <c r="F285" s="550"/>
      <c r="G285" s="417"/>
      <c r="H285" s="417"/>
      <c r="I285" s="417"/>
      <c r="J285" s="417"/>
      <c r="K285" s="417"/>
      <c r="L285" s="417"/>
      <c r="M285" s="633"/>
      <c r="N285" s="550"/>
      <c r="O285" s="550"/>
    </row>
    <row r="286" spans="1:15" outlineLevel="1">
      <c r="A286" s="556"/>
      <c r="B286" s="549"/>
      <c r="D286" s="550"/>
      <c r="E286" s="550"/>
      <c r="F286" s="550"/>
      <c r="G286" s="417"/>
      <c r="H286" s="417"/>
      <c r="I286" s="417"/>
      <c r="J286" s="417"/>
      <c r="K286" s="417"/>
      <c r="L286" s="417"/>
      <c r="M286" s="549"/>
      <c r="N286" s="550"/>
      <c r="O286" s="550"/>
    </row>
    <row r="287" spans="1:15" outlineLevel="1"/>
    <row r="290" spans="1:44" ht="15" thickBot="1">
      <c r="A290" s="420"/>
    </row>
    <row r="291" spans="1:44" ht="20.7" customHeight="1" thickBot="1">
      <c r="B291" s="422"/>
      <c r="C291" s="1043"/>
      <c r="D291" s="1044"/>
      <c r="E291" s="1044"/>
      <c r="F291" s="1044"/>
      <c r="G291" s="1044"/>
      <c r="H291" s="1044"/>
      <c r="I291" s="1044"/>
      <c r="J291" s="1044"/>
      <c r="K291" s="1044"/>
      <c r="L291" s="1045"/>
      <c r="M291" s="423"/>
      <c r="N291" s="423"/>
      <c r="P291" s="424"/>
      <c r="Q291" s="425"/>
      <c r="R291" s="426"/>
      <c r="S291" s="985"/>
      <c r="T291" s="989"/>
      <c r="U291" s="990"/>
      <c r="V291" s="989"/>
      <c r="W291" s="990"/>
      <c r="X291" s="989"/>
      <c r="Y291" s="990"/>
      <c r="Z291" s="989"/>
      <c r="AA291" s="990"/>
      <c r="AB291" s="989"/>
      <c r="AC291" s="990"/>
      <c r="AE291" s="424"/>
      <c r="AF291" s="425"/>
      <c r="AG291" s="426"/>
      <c r="AH291" s="985"/>
      <c r="AI291" s="989"/>
      <c r="AJ291" s="990"/>
      <c r="AK291" s="989"/>
      <c r="AL291" s="990"/>
      <c r="AM291" s="989"/>
      <c r="AN291" s="990"/>
      <c r="AO291" s="989"/>
      <c r="AP291" s="990"/>
      <c r="AQ291" s="989"/>
      <c r="AR291" s="990"/>
    </row>
    <row r="292" spans="1:44" ht="15" customHeight="1" thickBot="1">
      <c r="B292" s="1010"/>
      <c r="C292" s="1012"/>
      <c r="D292" s="1012"/>
      <c r="E292" s="1012"/>
      <c r="F292" s="1012"/>
      <c r="G292" s="1048"/>
      <c r="H292" s="1049"/>
      <c r="I292" s="1048"/>
      <c r="J292" s="1049"/>
      <c r="K292" s="1046"/>
      <c r="L292" s="1046"/>
      <c r="M292" s="427"/>
      <c r="N292" s="427"/>
      <c r="P292" s="993"/>
      <c r="Q292" s="428"/>
      <c r="R292" s="428"/>
      <c r="S292" s="986"/>
      <c r="T292" s="991"/>
      <c r="U292" s="992"/>
      <c r="V292" s="991"/>
      <c r="W292" s="992"/>
      <c r="X292" s="991"/>
      <c r="Y292" s="992"/>
      <c r="Z292" s="991"/>
      <c r="AA292" s="992"/>
      <c r="AB292" s="991"/>
      <c r="AC292" s="992"/>
      <c r="AE292" s="993"/>
      <c r="AF292" s="428"/>
      <c r="AG292" s="428"/>
      <c r="AH292" s="986"/>
      <c r="AI292" s="991"/>
      <c r="AJ292" s="992"/>
      <c r="AK292" s="991"/>
      <c r="AL292" s="992"/>
      <c r="AM292" s="991"/>
      <c r="AN292" s="992"/>
      <c r="AO292" s="991"/>
      <c r="AP292" s="992"/>
      <c r="AQ292" s="991"/>
      <c r="AR292" s="992"/>
    </row>
    <row r="293" spans="1:44" ht="15" customHeight="1" thickBot="1">
      <c r="B293" s="1011"/>
      <c r="C293" s="1013"/>
      <c r="D293" s="1013"/>
      <c r="E293" s="1013"/>
      <c r="F293" s="1013"/>
      <c r="G293" s="466"/>
      <c r="H293" s="466"/>
      <c r="I293" s="466"/>
      <c r="J293" s="466"/>
      <c r="K293" s="1047"/>
      <c r="L293" s="1047"/>
      <c r="M293" s="430"/>
      <c r="N293" s="430"/>
      <c r="P293" s="994"/>
      <c r="Q293" s="996"/>
      <c r="R293" s="997"/>
      <c r="S293" s="987"/>
      <c r="T293" s="991"/>
      <c r="U293" s="992"/>
      <c r="V293" s="991"/>
      <c r="W293" s="992"/>
      <c r="X293" s="991"/>
      <c r="Y293" s="992"/>
      <c r="Z293" s="991"/>
      <c r="AA293" s="992"/>
      <c r="AB293" s="991"/>
      <c r="AC293" s="992"/>
      <c r="AE293" s="994"/>
      <c r="AF293" s="996"/>
      <c r="AG293" s="997"/>
      <c r="AH293" s="987"/>
      <c r="AI293" s="991"/>
      <c r="AJ293" s="992"/>
      <c r="AK293" s="991"/>
      <c r="AL293" s="992"/>
      <c r="AM293" s="991"/>
      <c r="AN293" s="992"/>
      <c r="AO293" s="991"/>
      <c r="AP293" s="992"/>
      <c r="AQ293" s="991"/>
      <c r="AR293" s="992"/>
    </row>
    <row r="294" spans="1:44" ht="15" thickBot="1">
      <c r="B294" s="431"/>
      <c r="C294" s="432"/>
      <c r="D294" s="432"/>
      <c r="E294" s="432"/>
      <c r="F294" s="432"/>
      <c r="G294" s="432"/>
      <c r="H294" s="432"/>
      <c r="I294" s="432"/>
      <c r="J294" s="432"/>
      <c r="K294" s="432"/>
      <c r="L294" s="433"/>
      <c r="M294" s="430"/>
      <c r="N294" s="430"/>
      <c r="O294" s="74"/>
      <c r="P294" s="995"/>
      <c r="Q294" s="988"/>
      <c r="R294" s="998"/>
      <c r="S294" s="988"/>
      <c r="T294" s="434"/>
      <c r="U294" s="435"/>
      <c r="V294" s="434"/>
      <c r="W294" s="435"/>
      <c r="X294" s="434"/>
      <c r="Y294" s="435"/>
      <c r="Z294" s="434"/>
      <c r="AA294" s="435"/>
      <c r="AB294" s="434"/>
      <c r="AC294" s="435"/>
      <c r="AE294" s="995"/>
      <c r="AF294" s="988"/>
      <c r="AG294" s="998"/>
      <c r="AH294" s="988"/>
      <c r="AI294" s="434"/>
      <c r="AJ294" s="435"/>
      <c r="AK294" s="434"/>
      <c r="AL294" s="435"/>
      <c r="AM294" s="434"/>
      <c r="AN294" s="435"/>
      <c r="AO294" s="434"/>
      <c r="AP294" s="435"/>
      <c r="AQ294" s="434"/>
      <c r="AR294" s="435"/>
    </row>
    <row r="295" spans="1:44" ht="14.7" customHeight="1">
      <c r="B295" s="634"/>
      <c r="C295" s="635"/>
      <c r="D295" s="635"/>
      <c r="E295" s="635"/>
      <c r="F295" s="635"/>
      <c r="G295" s="636"/>
      <c r="H295" s="636"/>
      <c r="I295" s="636"/>
      <c r="J295" s="636"/>
      <c r="K295" s="432"/>
      <c r="L295" s="433"/>
      <c r="M295" s="430"/>
      <c r="N295" s="430"/>
      <c r="P295" s="1027"/>
      <c r="Q295" s="1030"/>
      <c r="R295" s="441"/>
      <c r="S295" s="442"/>
      <c r="T295" s="1033"/>
      <c r="U295" s="1021"/>
      <c r="V295" s="1033"/>
      <c r="W295" s="1021"/>
      <c r="X295" s="1033"/>
      <c r="Y295" s="1021"/>
      <c r="Z295" s="1033"/>
      <c r="AA295" s="1021"/>
      <c r="AB295" s="1024"/>
      <c r="AC295" s="1021"/>
      <c r="AE295" s="1027"/>
      <c r="AF295" s="1030"/>
      <c r="AG295" s="441"/>
      <c r="AH295" s="442"/>
      <c r="AI295" s="1033"/>
      <c r="AJ295" s="1021"/>
      <c r="AK295" s="1033"/>
      <c r="AL295" s="1021"/>
      <c r="AM295" s="1033"/>
      <c r="AN295" s="1021"/>
      <c r="AO295" s="1033"/>
      <c r="AP295" s="1021"/>
      <c r="AQ295" s="1024"/>
      <c r="AR295" s="1021"/>
    </row>
    <row r="296" spans="1:44">
      <c r="B296" s="443"/>
      <c r="C296" s="637"/>
      <c r="D296" s="637"/>
      <c r="E296" s="637"/>
      <c r="F296" s="637"/>
      <c r="G296" s="636"/>
      <c r="H296" s="636"/>
      <c r="I296" s="636"/>
      <c r="J296" s="636"/>
      <c r="K296" s="432"/>
      <c r="L296" s="433"/>
      <c r="M296" s="430"/>
      <c r="N296" s="430"/>
      <c r="O296" s="71"/>
      <c r="P296" s="1052"/>
      <c r="Q296" s="1031"/>
      <c r="R296" s="448"/>
      <c r="S296" s="449"/>
      <c r="T296" s="1034"/>
      <c r="U296" s="1022"/>
      <c r="V296" s="1034"/>
      <c r="W296" s="1022"/>
      <c r="X296" s="1034"/>
      <c r="Y296" s="1022"/>
      <c r="Z296" s="1034"/>
      <c r="AA296" s="1022"/>
      <c r="AB296" s="1025"/>
      <c r="AC296" s="1022"/>
      <c r="AE296" s="1052"/>
      <c r="AF296" s="1031"/>
      <c r="AG296" s="448"/>
      <c r="AH296" s="449"/>
      <c r="AI296" s="1034"/>
      <c r="AJ296" s="1022"/>
      <c r="AK296" s="1034"/>
      <c r="AL296" s="1022"/>
      <c r="AM296" s="1034"/>
      <c r="AN296" s="1022"/>
      <c r="AO296" s="1034"/>
      <c r="AP296" s="1022"/>
      <c r="AQ296" s="1025"/>
      <c r="AR296" s="1022"/>
    </row>
    <row r="297" spans="1:44" ht="15" thickBot="1">
      <c r="B297" s="634"/>
      <c r="C297" s="638"/>
      <c r="D297" s="638"/>
      <c r="E297" s="638"/>
      <c r="F297" s="638"/>
      <c r="G297" s="638"/>
      <c r="H297" s="638"/>
      <c r="I297" s="638"/>
      <c r="J297" s="638"/>
      <c r="K297" s="639"/>
      <c r="L297" s="640"/>
      <c r="M297" s="430"/>
      <c r="N297" s="430"/>
      <c r="O297" s="71"/>
      <c r="P297" s="1052"/>
      <c r="Q297" s="1032"/>
      <c r="R297" s="453"/>
      <c r="S297" s="454"/>
      <c r="T297" s="1035"/>
      <c r="U297" s="1023"/>
      <c r="V297" s="1035"/>
      <c r="W297" s="1023"/>
      <c r="X297" s="1035"/>
      <c r="Y297" s="1023"/>
      <c r="Z297" s="1035"/>
      <c r="AA297" s="1023"/>
      <c r="AB297" s="1026"/>
      <c r="AC297" s="1023"/>
      <c r="AE297" s="1052"/>
      <c r="AF297" s="1032"/>
      <c r="AG297" s="453"/>
      <c r="AH297" s="454"/>
      <c r="AI297" s="1035"/>
      <c r="AJ297" s="1023"/>
      <c r="AK297" s="1035"/>
      <c r="AL297" s="1023"/>
      <c r="AM297" s="1035"/>
      <c r="AN297" s="1023"/>
      <c r="AO297" s="1035"/>
      <c r="AP297" s="1023"/>
      <c r="AQ297" s="1026"/>
      <c r="AR297" s="1023"/>
    </row>
    <row r="298" spans="1:44" ht="14.7" customHeight="1">
      <c r="B298" s="634"/>
      <c r="C298" s="641"/>
      <c r="D298" s="641"/>
      <c r="E298" s="641"/>
      <c r="F298" s="641"/>
      <c r="G298" s="641"/>
      <c r="H298" s="641"/>
      <c r="I298" s="641"/>
      <c r="J298" s="641"/>
      <c r="K298" s="639"/>
      <c r="L298" s="640"/>
      <c r="M298" s="430"/>
      <c r="N298" s="430"/>
      <c r="O298" s="71"/>
      <c r="P298" s="1052"/>
      <c r="Q298" s="1054"/>
      <c r="R298" s="455"/>
      <c r="S298" s="456"/>
      <c r="T298" s="1033"/>
      <c r="U298" s="1033"/>
      <c r="V298" s="1033"/>
      <c r="W298" s="1033"/>
      <c r="X298" s="1033"/>
      <c r="Y298" s="1033"/>
      <c r="Z298" s="1033"/>
      <c r="AA298" s="1033"/>
      <c r="AB298" s="1033"/>
      <c r="AC298" s="1033"/>
      <c r="AE298" s="1052"/>
      <c r="AF298" s="1054"/>
      <c r="AG298" s="455"/>
      <c r="AH298" s="456"/>
      <c r="AI298" s="1033"/>
      <c r="AJ298" s="1033"/>
      <c r="AK298" s="1033"/>
      <c r="AL298" s="1033"/>
      <c r="AM298" s="1033"/>
      <c r="AN298" s="1033"/>
      <c r="AO298" s="1033"/>
      <c r="AP298" s="1033"/>
      <c r="AQ298" s="1033"/>
      <c r="AR298" s="1033"/>
    </row>
    <row r="299" spans="1:44">
      <c r="B299" s="634"/>
      <c r="C299" s="642"/>
      <c r="D299" s="642"/>
      <c r="E299" s="642"/>
      <c r="F299" s="642"/>
      <c r="G299" s="642"/>
      <c r="H299" s="642"/>
      <c r="I299" s="642"/>
      <c r="J299" s="642"/>
      <c r="K299" s="639"/>
      <c r="L299" s="640"/>
      <c r="M299" s="427"/>
      <c r="N299" s="427"/>
      <c r="O299" s="71"/>
      <c r="P299" s="1052"/>
      <c r="Q299" s="1055"/>
      <c r="R299" s="455"/>
      <c r="S299" s="456"/>
      <c r="T299" s="1050"/>
      <c r="U299" s="1050"/>
      <c r="V299" s="1050"/>
      <c r="W299" s="1050"/>
      <c r="X299" s="1050"/>
      <c r="Y299" s="1050"/>
      <c r="Z299" s="1050"/>
      <c r="AA299" s="1050"/>
      <c r="AB299" s="1034"/>
      <c r="AC299" s="1050"/>
      <c r="AE299" s="1052"/>
      <c r="AF299" s="1055"/>
      <c r="AG299" s="455"/>
      <c r="AH299" s="456"/>
      <c r="AI299" s="1050"/>
      <c r="AJ299" s="1050"/>
      <c r="AK299" s="1050"/>
      <c r="AL299" s="1050"/>
      <c r="AM299" s="1050"/>
      <c r="AN299" s="1050"/>
      <c r="AO299" s="1050"/>
      <c r="AP299" s="1050"/>
      <c r="AQ299" s="1034"/>
      <c r="AR299" s="1050"/>
    </row>
    <row r="300" spans="1:44">
      <c r="B300" s="443"/>
      <c r="C300" s="457"/>
      <c r="D300" s="457"/>
      <c r="E300" s="457"/>
      <c r="F300" s="457"/>
      <c r="G300" s="458"/>
      <c r="H300" s="458"/>
      <c r="I300" s="458"/>
      <c r="J300" s="458"/>
      <c r="K300" s="432"/>
      <c r="L300" s="433"/>
      <c r="M300" s="423"/>
      <c r="N300" s="423"/>
      <c r="P300" s="1052"/>
      <c r="Q300" s="1055"/>
      <c r="R300" s="455"/>
      <c r="S300" s="456"/>
      <c r="T300" s="1050"/>
      <c r="U300" s="1050"/>
      <c r="V300" s="1050"/>
      <c r="W300" s="1050"/>
      <c r="X300" s="1050"/>
      <c r="Y300" s="1050"/>
      <c r="Z300" s="1050"/>
      <c r="AA300" s="1050"/>
      <c r="AB300" s="1034"/>
      <c r="AC300" s="1050"/>
      <c r="AE300" s="1052"/>
      <c r="AF300" s="1055"/>
      <c r="AG300" s="455"/>
      <c r="AH300" s="456"/>
      <c r="AI300" s="1050"/>
      <c r="AJ300" s="1050"/>
      <c r="AK300" s="1050"/>
      <c r="AL300" s="1050"/>
      <c r="AM300" s="1050"/>
      <c r="AN300" s="1050"/>
      <c r="AO300" s="1050"/>
      <c r="AP300" s="1050"/>
      <c r="AQ300" s="1034"/>
      <c r="AR300" s="1050"/>
    </row>
    <row r="301" spans="1:44" ht="15" thickBot="1">
      <c r="B301" s="634"/>
      <c r="C301" s="642"/>
      <c r="D301" s="642"/>
      <c r="E301" s="642"/>
      <c r="F301" s="642"/>
      <c r="G301" s="642"/>
      <c r="H301" s="642"/>
      <c r="I301" s="642"/>
      <c r="J301" s="642"/>
      <c r="K301" s="432"/>
      <c r="L301" s="433"/>
      <c r="M301" s="423"/>
      <c r="N301" s="423"/>
      <c r="P301" s="1052"/>
      <c r="Q301" s="1055"/>
      <c r="R301" s="455"/>
      <c r="S301" s="456"/>
      <c r="T301" s="1050"/>
      <c r="U301" s="1050"/>
      <c r="V301" s="1050"/>
      <c r="W301" s="1050"/>
      <c r="X301" s="1050"/>
      <c r="Y301" s="1050"/>
      <c r="Z301" s="1050"/>
      <c r="AA301" s="1050"/>
      <c r="AB301" s="1034"/>
      <c r="AC301" s="1050"/>
      <c r="AE301" s="1052"/>
      <c r="AF301" s="1055"/>
      <c r="AG301" s="455"/>
      <c r="AH301" s="456"/>
      <c r="AI301" s="1050"/>
      <c r="AJ301" s="1050"/>
      <c r="AK301" s="1050"/>
      <c r="AL301" s="1050"/>
      <c r="AM301" s="1050"/>
      <c r="AN301" s="1050"/>
      <c r="AO301" s="1050"/>
      <c r="AP301" s="1050"/>
      <c r="AQ301" s="1034"/>
      <c r="AR301" s="1050"/>
    </row>
    <row r="302" spans="1:44" ht="15" thickBot="1">
      <c r="B302" s="461"/>
      <c r="C302" s="643"/>
      <c r="D302" s="644"/>
      <c r="E302" s="645"/>
      <c r="F302" s="646"/>
      <c r="G302" s="466"/>
      <c r="H302" s="466"/>
      <c r="I302" s="466"/>
      <c r="J302" s="466"/>
      <c r="K302" s="467"/>
      <c r="L302" s="647"/>
      <c r="M302" s="423"/>
      <c r="N302" s="423"/>
      <c r="P302" s="1052"/>
      <c r="Q302" s="1056"/>
      <c r="R302" s="469"/>
      <c r="S302" s="470"/>
      <c r="T302" s="1051"/>
      <c r="U302" s="1051"/>
      <c r="V302" s="1051"/>
      <c r="W302" s="1051"/>
      <c r="X302" s="1051"/>
      <c r="Y302" s="1051"/>
      <c r="Z302" s="1051"/>
      <c r="AA302" s="1051"/>
      <c r="AB302" s="1035"/>
      <c r="AC302" s="1051"/>
      <c r="AE302" s="1052"/>
      <c r="AF302" s="1056"/>
      <c r="AG302" s="469"/>
      <c r="AH302" s="470"/>
      <c r="AI302" s="1051"/>
      <c r="AJ302" s="1051"/>
      <c r="AK302" s="1051"/>
      <c r="AL302" s="1051"/>
      <c r="AM302" s="1051"/>
      <c r="AN302" s="1051"/>
      <c r="AO302" s="1051"/>
      <c r="AP302" s="1051"/>
      <c r="AQ302" s="1035"/>
      <c r="AR302" s="1051"/>
    </row>
    <row r="303" spans="1:44" ht="15" thickBot="1">
      <c r="B303" s="634"/>
      <c r="C303" s="648"/>
      <c r="D303" s="648"/>
      <c r="E303" s="648"/>
      <c r="F303" s="648"/>
      <c r="G303" s="649"/>
      <c r="H303" s="649"/>
      <c r="I303" s="650"/>
      <c r="J303" s="650"/>
      <c r="K303" s="639"/>
      <c r="L303" s="640"/>
      <c r="M303" s="423"/>
      <c r="N303" s="423"/>
      <c r="P303" s="1053"/>
      <c r="Q303" s="471"/>
      <c r="R303" s="472"/>
      <c r="S303" s="473"/>
      <c r="T303" s="651"/>
      <c r="U303" s="652"/>
      <c r="V303" s="653"/>
      <c r="W303" s="652"/>
      <c r="X303" s="653"/>
      <c r="Y303" s="652"/>
      <c r="Z303" s="653"/>
      <c r="AA303" s="652"/>
      <c r="AB303" s="653"/>
      <c r="AC303" s="654"/>
      <c r="AE303" s="1053"/>
      <c r="AF303" s="471"/>
      <c r="AG303" s="472"/>
      <c r="AH303" s="473"/>
      <c r="AI303" s="651"/>
      <c r="AJ303" s="652"/>
      <c r="AK303" s="653"/>
      <c r="AL303" s="652"/>
      <c r="AM303" s="653"/>
      <c r="AN303" s="652"/>
      <c r="AO303" s="653"/>
      <c r="AP303" s="652"/>
      <c r="AQ303" s="653"/>
      <c r="AR303" s="654"/>
    </row>
    <row r="304" spans="1:44">
      <c r="B304" s="634"/>
      <c r="C304" s="642"/>
      <c r="D304" s="642"/>
      <c r="E304" s="642"/>
      <c r="F304" s="642"/>
      <c r="G304" s="655"/>
      <c r="H304" s="655"/>
      <c r="I304" s="655"/>
      <c r="J304" s="655"/>
      <c r="K304" s="656"/>
      <c r="L304" s="640"/>
      <c r="M304" s="423"/>
      <c r="N304" s="423"/>
    </row>
    <row r="305" spans="1:30">
      <c r="B305" s="634"/>
      <c r="C305" s="642"/>
      <c r="D305" s="642"/>
      <c r="E305" s="642"/>
      <c r="F305" s="642"/>
      <c r="G305" s="655"/>
      <c r="H305" s="655"/>
      <c r="I305" s="655"/>
      <c r="J305" s="655"/>
      <c r="K305" s="656"/>
      <c r="L305" s="640"/>
      <c r="M305" s="480"/>
      <c r="N305" s="423"/>
    </row>
    <row r="306" spans="1:30">
      <c r="B306" s="481"/>
      <c r="C306" s="459"/>
      <c r="D306" s="459"/>
      <c r="E306" s="459"/>
      <c r="F306" s="459"/>
      <c r="G306" s="482"/>
      <c r="H306" s="482"/>
      <c r="I306" s="482"/>
      <c r="J306" s="482"/>
      <c r="K306" s="483"/>
      <c r="L306" s="657"/>
      <c r="M306" s="480"/>
      <c r="N306" s="480"/>
    </row>
    <row r="307" spans="1:30">
      <c r="B307" s="443"/>
      <c r="C307" s="457"/>
      <c r="D307" s="457"/>
      <c r="E307" s="457"/>
      <c r="F307" s="457"/>
      <c r="G307" s="482"/>
      <c r="H307" s="485"/>
      <c r="I307" s="485"/>
      <c r="J307" s="485"/>
      <c r="K307" s="486"/>
      <c r="L307" s="487"/>
      <c r="M307" s="488"/>
      <c r="N307" s="488"/>
    </row>
    <row r="308" spans="1:30">
      <c r="B308" s="443"/>
      <c r="C308" s="457"/>
      <c r="D308" s="457"/>
      <c r="E308" s="457"/>
      <c r="F308" s="457"/>
      <c r="G308" s="485"/>
      <c r="H308" s="485"/>
      <c r="I308" s="485"/>
      <c r="J308" s="485"/>
      <c r="K308" s="483"/>
      <c r="L308" s="487"/>
      <c r="M308" s="488"/>
      <c r="N308" s="488"/>
    </row>
    <row r="309" spans="1:30">
      <c r="B309" s="443"/>
      <c r="C309" s="457"/>
      <c r="D309" s="457"/>
      <c r="E309" s="457"/>
      <c r="F309" s="457"/>
      <c r="G309" s="485"/>
      <c r="H309" s="485"/>
      <c r="I309" s="485"/>
      <c r="J309" s="485"/>
      <c r="K309" s="483"/>
      <c r="L309" s="487"/>
      <c r="M309" s="488"/>
      <c r="N309" s="488"/>
    </row>
    <row r="310" spans="1:30">
      <c r="B310" s="443"/>
      <c r="C310" s="457"/>
      <c r="D310" s="457"/>
      <c r="E310" s="457"/>
      <c r="F310" s="457"/>
      <c r="G310" s="485"/>
      <c r="H310" s="485"/>
      <c r="I310" s="485"/>
      <c r="J310" s="485"/>
      <c r="K310" s="483"/>
      <c r="L310" s="487"/>
      <c r="M310" s="488"/>
      <c r="N310" s="488"/>
    </row>
    <row r="311" spans="1:30" ht="15" thickBot="1">
      <c r="B311" s="489"/>
      <c r="C311" s="457"/>
      <c r="D311" s="457"/>
      <c r="E311" s="457"/>
      <c r="F311" s="457"/>
      <c r="G311" s="485"/>
      <c r="H311" s="485"/>
      <c r="I311" s="485"/>
      <c r="J311" s="485"/>
      <c r="K311" s="483"/>
      <c r="L311" s="487"/>
      <c r="M311" s="488"/>
      <c r="N311" s="488"/>
    </row>
    <row r="312" spans="1:30" ht="15" thickBot="1">
      <c r="B312" s="491"/>
      <c r="C312" s="658"/>
      <c r="D312" s="644"/>
      <c r="E312" s="644"/>
      <c r="F312" s="659"/>
      <c r="G312" s="494"/>
      <c r="H312" s="466"/>
      <c r="I312" s="466"/>
      <c r="J312" s="466"/>
      <c r="K312" s="467"/>
      <c r="L312" s="647"/>
      <c r="M312" s="488"/>
      <c r="N312" s="488"/>
    </row>
    <row r="313" spans="1:30">
      <c r="A313" s="495"/>
      <c r="B313" s="496"/>
      <c r="C313" s="660"/>
      <c r="D313" s="660"/>
      <c r="E313" s="660"/>
      <c r="F313" s="660"/>
      <c r="G313" s="485"/>
      <c r="H313" s="485"/>
      <c r="I313" s="485"/>
      <c r="J313" s="485"/>
      <c r="K313" s="486"/>
      <c r="L313" s="500"/>
      <c r="M313" s="480"/>
      <c r="N313" s="480"/>
    </row>
    <row r="314" spans="1:30">
      <c r="B314" s="501"/>
      <c r="C314" s="661"/>
      <c r="D314" s="661"/>
      <c r="E314" s="661"/>
      <c r="F314" s="661"/>
      <c r="G314" s="485"/>
      <c r="H314" s="485"/>
      <c r="I314" s="485"/>
      <c r="J314" s="485"/>
      <c r="K314" s="504"/>
      <c r="L314" s="433"/>
      <c r="M314" s="71"/>
      <c r="N314" s="480"/>
    </row>
    <row r="315" spans="1:30">
      <c r="B315" s="501"/>
      <c r="C315" s="661"/>
      <c r="D315" s="661"/>
      <c r="E315" s="661"/>
      <c r="F315" s="661"/>
      <c r="G315" s="485"/>
      <c r="H315" s="485"/>
      <c r="I315" s="485"/>
      <c r="J315" s="485"/>
      <c r="K315" s="504"/>
      <c r="L315" s="433"/>
      <c r="M315" s="480"/>
      <c r="N315" s="480"/>
    </row>
    <row r="316" spans="1:30">
      <c r="B316" s="443"/>
      <c r="C316" s="662"/>
      <c r="D316" s="663"/>
      <c r="E316" s="663"/>
      <c r="F316" s="664"/>
      <c r="G316" s="485"/>
      <c r="H316" s="485"/>
      <c r="I316" s="485"/>
      <c r="J316" s="485"/>
      <c r="K316" s="504"/>
      <c r="L316" s="433"/>
      <c r="M316" s="480"/>
      <c r="N316" s="480"/>
    </row>
    <row r="317" spans="1:30">
      <c r="B317" s="443"/>
      <c r="C317" s="665"/>
      <c r="D317" s="665"/>
      <c r="E317" s="665"/>
      <c r="F317" s="665"/>
      <c r="G317" s="485"/>
      <c r="H317" s="485"/>
      <c r="I317" s="485"/>
      <c r="J317" s="485"/>
      <c r="K317" s="504"/>
      <c r="L317" s="433"/>
      <c r="M317" s="510"/>
      <c r="N317" s="421"/>
      <c r="P317" s="999"/>
      <c r="Q317" s="977"/>
      <c r="R317" s="977"/>
      <c r="S317" s="977"/>
      <c r="T317" s="977"/>
      <c r="U317" s="1000"/>
    </row>
    <row r="318" spans="1:30" ht="15" thickBot="1">
      <c r="B318" s="601"/>
      <c r="C318" s="612"/>
      <c r="D318" s="612"/>
      <c r="E318" s="612"/>
      <c r="F318" s="612"/>
      <c r="G318" s="613"/>
      <c r="H318" s="613"/>
      <c r="I318" s="613"/>
      <c r="J318" s="613"/>
      <c r="K318" s="607"/>
      <c r="L318" s="608"/>
      <c r="M318" s="510"/>
      <c r="N318" s="421"/>
      <c r="P318" s="1001"/>
      <c r="Q318" s="1002"/>
      <c r="R318" s="1002"/>
      <c r="S318" s="1002"/>
      <c r="T318" s="1002"/>
      <c r="U318" s="1003"/>
    </row>
    <row r="319" spans="1:30">
      <c r="B319" s="601"/>
      <c r="C319" s="666"/>
      <c r="D319" s="666"/>
      <c r="E319" s="666"/>
      <c r="F319" s="666"/>
      <c r="G319" s="613"/>
      <c r="H319" s="613"/>
      <c r="I319" s="613"/>
      <c r="J319" s="613"/>
      <c r="K319" s="607"/>
      <c r="L319" s="608"/>
      <c r="M319" s="423"/>
      <c r="N319" s="423"/>
      <c r="P319" s="53"/>
    </row>
    <row r="320" spans="1:30">
      <c r="B320" s="601"/>
      <c r="C320" s="667"/>
      <c r="D320" s="607"/>
      <c r="E320" s="607"/>
      <c r="F320" s="623"/>
      <c r="G320" s="610"/>
      <c r="H320" s="610"/>
      <c r="I320" s="610"/>
      <c r="J320" s="610"/>
      <c r="K320" s="607"/>
      <c r="L320" s="668"/>
      <c r="M320" s="427"/>
      <c r="N320" s="427"/>
      <c r="P320" s="46"/>
      <c r="Q320" s="46"/>
      <c r="R320" s="47"/>
      <c r="S320" s="47"/>
      <c r="T320" s="47"/>
      <c r="U320" s="48"/>
      <c r="V320" s="49"/>
      <c r="W320" s="49"/>
      <c r="X320" s="49"/>
      <c r="Y320" s="49"/>
      <c r="Z320" s="49"/>
      <c r="AA320" s="49"/>
      <c r="AB320" s="49"/>
      <c r="AC320" s="49"/>
      <c r="AD320" s="49"/>
    </row>
    <row r="321" spans="1:30" ht="15" thickBot="1">
      <c r="B321" s="626"/>
      <c r="C321" s="667"/>
      <c r="D321" s="669"/>
      <c r="E321" s="669"/>
      <c r="F321" s="670"/>
      <c r="G321" s="610"/>
      <c r="H321" s="610"/>
      <c r="I321" s="610"/>
      <c r="J321" s="610"/>
      <c r="K321" s="607"/>
      <c r="L321" s="668"/>
      <c r="M321" s="423"/>
      <c r="N321" s="423"/>
      <c r="O321" s="71"/>
      <c r="P321" s="50"/>
      <c r="Q321" s="50"/>
      <c r="R321" s="51"/>
      <c r="S321" s="51"/>
      <c r="T321" s="51"/>
      <c r="U321" s="51"/>
      <c r="V321" s="50"/>
      <c r="W321" s="50"/>
      <c r="X321" s="50"/>
      <c r="Y321" s="50"/>
      <c r="Z321" s="50"/>
      <c r="AA321" s="50"/>
      <c r="AB321" s="50"/>
      <c r="AC321" s="50"/>
      <c r="AD321" s="50"/>
    </row>
    <row r="322" spans="1:30" ht="15" thickBot="1">
      <c r="B322" s="671"/>
      <c r="C322" s="672"/>
      <c r="D322" s="673"/>
      <c r="E322" s="674"/>
      <c r="F322" s="675"/>
      <c r="G322" s="600"/>
      <c r="H322" s="600"/>
      <c r="I322" s="600"/>
      <c r="J322" s="600"/>
      <c r="K322" s="676"/>
      <c r="L322" s="677"/>
      <c r="M322" s="423"/>
      <c r="N322" s="423"/>
      <c r="O322" s="521"/>
      <c r="P322" s="56"/>
      <c r="Q322" s="56"/>
      <c r="R322" s="57"/>
      <c r="S322" s="57"/>
      <c r="T322" s="57"/>
      <c r="U322" s="56"/>
      <c r="V322" s="56"/>
      <c r="W322" s="56"/>
      <c r="X322" s="56"/>
      <c r="Y322" s="56"/>
      <c r="Z322" s="56"/>
      <c r="AA322" s="56"/>
      <c r="AB322" s="56"/>
      <c r="AC322" s="56"/>
      <c r="AD322" s="56"/>
    </row>
    <row r="323" spans="1:30">
      <c r="B323" s="616"/>
      <c r="C323" s="678"/>
      <c r="D323" s="678"/>
      <c r="E323" s="678"/>
      <c r="F323" s="678"/>
      <c r="G323" s="678"/>
      <c r="H323" s="678"/>
      <c r="I323" s="678"/>
      <c r="J323" s="678"/>
      <c r="K323" s="678"/>
      <c r="L323" s="679"/>
      <c r="M323" s="423"/>
      <c r="N323" s="423"/>
      <c r="O323" s="680"/>
      <c r="P323" s="526"/>
      <c r="Q323" s="58"/>
      <c r="R323" s="526"/>
      <c r="S323" s="58"/>
      <c r="T323" s="526"/>
      <c r="U323" s="527"/>
      <c r="V323" s="527"/>
      <c r="W323" s="527"/>
      <c r="X323" s="58"/>
      <c r="Y323" s="58"/>
      <c r="Z323" s="526"/>
      <c r="AA323" s="528"/>
      <c r="AB323" s="528"/>
      <c r="AC323" s="528"/>
      <c r="AD323" s="528"/>
    </row>
    <row r="324" spans="1:30">
      <c r="B324" s="601"/>
      <c r="C324" s="618"/>
      <c r="D324" s="618"/>
      <c r="E324" s="618"/>
      <c r="F324" s="618"/>
      <c r="G324" s="623"/>
      <c r="H324" s="623"/>
      <c r="I324" s="623"/>
      <c r="J324" s="623"/>
      <c r="K324" s="623"/>
      <c r="L324" s="608"/>
      <c r="M324" s="423"/>
      <c r="N324" s="423"/>
      <c r="O324" s="680"/>
      <c r="P324" s="526"/>
      <c r="Q324" s="58"/>
      <c r="R324" s="526"/>
      <c r="S324" s="58"/>
      <c r="T324" s="526"/>
      <c r="U324" s="527"/>
      <c r="V324" s="527"/>
      <c r="W324" s="527"/>
      <c r="X324" s="58"/>
      <c r="Y324" s="58"/>
      <c r="Z324" s="526"/>
      <c r="AA324" s="528"/>
      <c r="AB324" s="528"/>
      <c r="AC324" s="528"/>
      <c r="AD324" s="528"/>
    </row>
    <row r="325" spans="1:30">
      <c r="B325" s="601"/>
      <c r="C325" s="618"/>
      <c r="D325" s="618"/>
      <c r="E325" s="618"/>
      <c r="F325" s="618"/>
      <c r="G325" s="623"/>
      <c r="H325" s="623"/>
      <c r="I325" s="623"/>
      <c r="J325" s="623"/>
      <c r="K325" s="623"/>
      <c r="L325" s="608"/>
      <c r="M325" s="423"/>
      <c r="N325" s="423"/>
      <c r="O325" s="680"/>
      <c r="P325" s="526"/>
      <c r="Q325" s="58"/>
      <c r="R325" s="526"/>
      <c r="S325" s="58"/>
      <c r="T325" s="526"/>
      <c r="U325" s="527"/>
      <c r="V325" s="527"/>
      <c r="W325" s="527"/>
      <c r="X325" s="58"/>
      <c r="Y325" s="58"/>
      <c r="Z325" s="526"/>
      <c r="AA325" s="528"/>
      <c r="AB325" s="528"/>
      <c r="AC325" s="528"/>
      <c r="AD325" s="528"/>
    </row>
    <row r="326" spans="1:30">
      <c r="B326" s="601"/>
      <c r="C326" s="624"/>
      <c r="D326" s="624"/>
      <c r="E326" s="624"/>
      <c r="F326" s="624"/>
      <c r="G326" s="681"/>
      <c r="H326" s="681"/>
      <c r="I326" s="681"/>
      <c r="J326" s="681"/>
      <c r="K326" s="681"/>
      <c r="L326" s="608"/>
      <c r="M326" s="423"/>
      <c r="N326" s="423"/>
      <c r="O326" s="680"/>
      <c r="P326" s="526"/>
      <c r="Q326" s="58"/>
      <c r="R326" s="526"/>
      <c r="S326" s="58"/>
      <c r="T326" s="526"/>
      <c r="U326" s="527"/>
      <c r="V326" s="527"/>
      <c r="W326" s="527"/>
      <c r="X326" s="58"/>
      <c r="Y326" s="58"/>
      <c r="Z326" s="526"/>
      <c r="AA326" s="528"/>
      <c r="AB326" s="528"/>
      <c r="AC326" s="528"/>
      <c r="AD326" s="528"/>
    </row>
    <row r="327" spans="1:30">
      <c r="B327" s="626"/>
      <c r="C327" s="618"/>
      <c r="D327" s="618"/>
      <c r="E327" s="618"/>
      <c r="F327" s="618"/>
      <c r="G327" s="623"/>
      <c r="H327" s="623"/>
      <c r="I327" s="623"/>
      <c r="J327" s="623"/>
      <c r="K327" s="623"/>
      <c r="L327" s="608"/>
      <c r="M327" s="427"/>
      <c r="N327" s="427"/>
    </row>
    <row r="328" spans="1:30">
      <c r="B328" s="626"/>
      <c r="C328" s="618"/>
      <c r="D328" s="618"/>
      <c r="E328" s="618"/>
      <c r="F328" s="618"/>
      <c r="G328" s="623"/>
      <c r="H328" s="623"/>
      <c r="I328" s="623"/>
      <c r="J328" s="623"/>
      <c r="K328" s="623"/>
      <c r="L328" s="608"/>
      <c r="M328" s="423"/>
      <c r="N328" s="423"/>
    </row>
    <row r="329" spans="1:30" ht="15" thickBot="1">
      <c r="B329" s="627"/>
      <c r="C329" s="682"/>
      <c r="D329" s="682"/>
      <c r="E329" s="682"/>
      <c r="F329" s="682"/>
      <c r="G329" s="683"/>
      <c r="H329" s="683"/>
      <c r="I329" s="683"/>
      <c r="J329" s="683"/>
      <c r="K329" s="683"/>
      <c r="L329" s="684"/>
      <c r="M329" s="423"/>
      <c r="N329" s="423"/>
    </row>
    <row r="330" spans="1:30">
      <c r="B330" s="521"/>
      <c r="C330" s="543"/>
      <c r="D330" s="543"/>
      <c r="E330" s="543"/>
      <c r="F330" s="543"/>
      <c r="G330" s="543"/>
      <c r="H330" s="544"/>
      <c r="I330" s="480"/>
      <c r="J330" s="480"/>
      <c r="K330" s="544"/>
      <c r="L330" s="544"/>
      <c r="N330" s="480"/>
    </row>
    <row r="331" spans="1:30">
      <c r="B331" s="545"/>
      <c r="C331" s="546"/>
      <c r="D331" s="546"/>
      <c r="E331" s="546"/>
      <c r="F331" s="546"/>
      <c r="G331" s="546"/>
      <c r="H331" s="544"/>
      <c r="I331" s="71"/>
      <c r="J331" s="480"/>
      <c r="K331" s="544"/>
      <c r="L331" s="544"/>
      <c r="N331" s="480"/>
    </row>
    <row r="332" spans="1:30">
      <c r="B332" s="521"/>
      <c r="C332" s="419"/>
      <c r="D332" s="419"/>
      <c r="E332" s="419"/>
      <c r="F332" s="419"/>
      <c r="G332" s="419"/>
      <c r="I332" s="480"/>
      <c r="J332" s="480"/>
      <c r="N332" s="480"/>
    </row>
    <row r="333" spans="1:30">
      <c r="B333" s="521"/>
      <c r="C333" s="547"/>
      <c r="D333" s="547"/>
      <c r="E333" s="547"/>
      <c r="F333" s="547"/>
      <c r="G333" s="419"/>
      <c r="M333" s="480"/>
      <c r="N333" s="480"/>
    </row>
    <row r="336" spans="1:30">
      <c r="A336" s="548"/>
      <c r="B336" s="549"/>
      <c r="D336" s="417"/>
      <c r="E336" s="417"/>
      <c r="F336" s="417"/>
      <c r="G336" s="417"/>
      <c r="H336" s="417"/>
      <c r="I336" s="417"/>
      <c r="J336" s="417"/>
      <c r="K336" s="417"/>
    </row>
    <row r="337" spans="1:11">
      <c r="A337" s="417"/>
      <c r="B337" s="550"/>
      <c r="E337" s="417"/>
      <c r="F337" s="417"/>
      <c r="G337" s="417"/>
      <c r="H337" s="417"/>
      <c r="I337" s="417"/>
      <c r="J337" s="417"/>
      <c r="K337" s="417"/>
    </row>
    <row r="338" spans="1:11">
      <c r="A338" s="417"/>
      <c r="B338" s="550"/>
      <c r="E338" s="417"/>
      <c r="F338" s="417"/>
      <c r="G338" s="417"/>
      <c r="H338" s="417"/>
      <c r="I338" s="417"/>
      <c r="J338" s="417"/>
      <c r="K338" s="417"/>
    </row>
    <row r="339" spans="1:11">
      <c r="A339" s="417"/>
      <c r="B339" s="550"/>
      <c r="E339" s="417"/>
      <c r="F339" s="417"/>
      <c r="G339" s="417"/>
      <c r="H339" s="417"/>
      <c r="I339" s="417"/>
      <c r="J339" s="417"/>
      <c r="K339" s="417"/>
    </row>
    <row r="340" spans="1:11">
      <c r="A340" s="417"/>
      <c r="B340" s="550"/>
      <c r="E340" s="417"/>
      <c r="F340" s="417"/>
      <c r="G340" s="417"/>
      <c r="H340" s="417"/>
      <c r="I340" s="417"/>
      <c r="J340" s="417"/>
      <c r="K340" s="417"/>
    </row>
    <row r="341" spans="1:11">
      <c r="A341" s="417"/>
      <c r="B341" s="550"/>
      <c r="E341" s="417"/>
      <c r="F341" s="417"/>
      <c r="G341" s="417"/>
      <c r="H341" s="417"/>
      <c r="I341" s="417"/>
      <c r="J341" s="417"/>
      <c r="K341" s="417"/>
    </row>
    <row r="342" spans="1:11">
      <c r="A342" s="417"/>
      <c r="B342" s="550"/>
      <c r="E342" s="417"/>
      <c r="F342" s="417"/>
      <c r="G342" s="417"/>
      <c r="H342" s="417"/>
      <c r="I342" s="417"/>
      <c r="J342" s="417"/>
      <c r="K342" s="417"/>
    </row>
    <row r="343" spans="1:11">
      <c r="A343" s="417"/>
      <c r="B343" s="550"/>
      <c r="E343" s="417"/>
      <c r="F343" s="417"/>
      <c r="G343" s="417"/>
      <c r="H343" s="417"/>
      <c r="I343" s="417"/>
      <c r="J343" s="417"/>
      <c r="K343" s="417"/>
    </row>
    <row r="344" spans="1:11">
      <c r="A344" s="417"/>
      <c r="B344" s="685"/>
      <c r="E344" s="417"/>
      <c r="F344" s="417"/>
      <c r="G344" s="417"/>
      <c r="H344" s="417"/>
      <c r="I344" s="417"/>
      <c r="J344" s="417"/>
      <c r="K344" s="417"/>
    </row>
    <row r="345" spans="1:11">
      <c r="A345" s="417"/>
      <c r="B345" s="550"/>
      <c r="E345" s="417"/>
      <c r="F345" s="417"/>
      <c r="G345" s="417"/>
      <c r="H345" s="417"/>
      <c r="I345" s="417"/>
      <c r="J345" s="417"/>
      <c r="K345" s="417"/>
    </row>
    <row r="346" spans="1:11">
      <c r="A346" s="548"/>
      <c r="B346" s="549"/>
      <c r="E346" s="417"/>
      <c r="F346" s="417"/>
      <c r="G346" s="417"/>
      <c r="H346" s="417"/>
      <c r="I346" s="417"/>
      <c r="J346" s="417"/>
      <c r="K346" s="417"/>
    </row>
    <row r="347" spans="1:11">
      <c r="A347" s="556"/>
      <c r="B347" s="550"/>
      <c r="C347" s="549"/>
      <c r="E347" s="417"/>
      <c r="F347" s="417"/>
      <c r="G347" s="417"/>
      <c r="H347" s="417"/>
      <c r="I347" s="417"/>
      <c r="J347" s="417"/>
      <c r="K347" s="417"/>
    </row>
    <row r="348" spans="1:11">
      <c r="A348" s="556"/>
      <c r="B348" s="550"/>
      <c r="C348" s="549"/>
      <c r="E348" s="417"/>
      <c r="F348" s="417"/>
      <c r="G348" s="417"/>
      <c r="H348" s="417"/>
      <c r="I348" s="417"/>
      <c r="J348" s="417"/>
      <c r="K348" s="417"/>
    </row>
    <row r="349" spans="1:11">
      <c r="A349" s="556"/>
      <c r="B349" s="550"/>
      <c r="C349" s="549"/>
      <c r="E349" s="417"/>
      <c r="F349" s="417"/>
      <c r="G349" s="417"/>
      <c r="H349" s="417"/>
      <c r="I349" s="417"/>
      <c r="J349" s="417"/>
      <c r="K349" s="417"/>
    </row>
    <row r="350" spans="1:11">
      <c r="A350" s="556"/>
      <c r="B350" s="550"/>
      <c r="C350" s="549"/>
      <c r="E350" s="417"/>
      <c r="F350" s="417"/>
      <c r="G350" s="417"/>
      <c r="H350" s="417"/>
      <c r="I350" s="417"/>
      <c r="J350" s="417"/>
      <c r="K350" s="417"/>
    </row>
    <row r="351" spans="1:11" ht="15.75" customHeight="1">
      <c r="A351" s="556"/>
      <c r="B351" s="550"/>
      <c r="C351" s="549"/>
      <c r="E351" s="417"/>
      <c r="F351" s="417"/>
      <c r="G351" s="417"/>
      <c r="H351" s="417"/>
      <c r="I351" s="417"/>
      <c r="J351" s="417"/>
      <c r="K351" s="417"/>
    </row>
    <row r="352" spans="1:11" ht="15.75" customHeight="1">
      <c r="A352" s="556"/>
      <c r="B352" s="550"/>
      <c r="C352" s="549"/>
      <c r="E352" s="417"/>
      <c r="F352" s="417"/>
      <c r="G352" s="417"/>
      <c r="H352" s="417"/>
      <c r="I352" s="417"/>
      <c r="J352" s="417"/>
      <c r="K352" s="417"/>
    </row>
  </sheetData>
  <mergeCells count="400">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58:AA160"/>
    <mergeCell ref="P159:P161"/>
    <mergeCell ref="Q160:Q161"/>
    <mergeCell ref="R160:R161"/>
    <mergeCell ref="P112:U112"/>
    <mergeCell ref="P113:U113"/>
    <mergeCell ref="B156:B157"/>
    <mergeCell ref="C156:M156"/>
    <mergeCell ref="P156:U156"/>
    <mergeCell ref="C157:M157"/>
    <mergeCell ref="P157:U157"/>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P162:P170"/>
    <mergeCell ref="Q162:Q164"/>
    <mergeCell ref="T162:T164"/>
    <mergeCell ref="U162:U164"/>
    <mergeCell ref="V162:V164"/>
    <mergeCell ref="W162:W164"/>
    <mergeCell ref="Q165:Q169"/>
    <mergeCell ref="T165:T169"/>
    <mergeCell ref="U165:U169"/>
    <mergeCell ref="V165:V169"/>
    <mergeCell ref="W165:W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P184:U184"/>
    <mergeCell ref="P185:U185"/>
    <mergeCell ref="C225:L225"/>
    <mergeCell ref="S225:S228"/>
    <mergeCell ref="T225:U227"/>
    <mergeCell ref="V225:W227"/>
    <mergeCell ref="K226:K227"/>
    <mergeCell ref="L226:L227"/>
    <mergeCell ref="P226:P228"/>
    <mergeCell ref="Q227:Q228"/>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A232:AA236"/>
    <mergeCell ref="AB232:AB236"/>
    <mergeCell ref="AC232:AC236"/>
    <mergeCell ref="P229:P237"/>
    <mergeCell ref="Q229:Q231"/>
    <mergeCell ref="T229:T231"/>
    <mergeCell ref="U229:U231"/>
    <mergeCell ref="V229:V231"/>
    <mergeCell ref="W229:W231"/>
    <mergeCell ref="X229:X231"/>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41F8-B94B-452E-99FA-E2C51E106595}">
  <sheetPr>
    <tabColor theme="3"/>
  </sheetPr>
  <dimension ref="A2:AS345"/>
  <sheetViews>
    <sheetView topLeftCell="Q1" zoomScale="80" zoomScaleNormal="80" workbookViewId="0">
      <selection activeCell="Y20" sqref="Y20"/>
    </sheetView>
  </sheetViews>
  <sheetFormatPr defaultColWidth="8.6640625" defaultRowHeight="14.4" outlineLevelRow="1"/>
  <cols>
    <col min="1" max="1" width="20.5546875" style="239" customWidth="1"/>
    <col min="2" max="2" width="63.44140625" style="239" bestFit="1" customWidth="1"/>
    <col min="3" max="6" width="11" style="239" bestFit="1" customWidth="1"/>
    <col min="7" max="12" width="11" style="239" customWidth="1"/>
    <col min="13" max="13" width="8.6640625" style="239"/>
    <col min="14" max="14" width="4.44140625" style="239" customWidth="1"/>
    <col min="15" max="15" width="15.6640625" style="239" customWidth="1"/>
    <col min="16" max="16384" width="8.6640625" style="239"/>
  </cols>
  <sheetData>
    <row r="2" spans="1:45">
      <c r="B2" s="8" t="s">
        <v>951</v>
      </c>
    </row>
    <row r="4" spans="1:45" ht="25.2" customHeight="1">
      <c r="E4" s="239" t="s">
        <v>358</v>
      </c>
      <c r="F4" s="419">
        <v>7.45</v>
      </c>
      <c r="G4" s="419" t="s">
        <v>328</v>
      </c>
    </row>
    <row r="5" spans="1:45" ht="15" customHeight="1">
      <c r="A5" s="420" t="s">
        <v>952</v>
      </c>
      <c r="B5" s="976"/>
      <c r="C5" s="977"/>
      <c r="D5" s="977"/>
      <c r="E5" s="977"/>
      <c r="F5" s="977"/>
      <c r="G5" s="977"/>
      <c r="H5" s="977"/>
      <c r="I5" s="977"/>
      <c r="J5" s="977"/>
      <c r="K5" s="977"/>
      <c r="L5" s="977"/>
      <c r="M5" s="977"/>
      <c r="N5" s="421"/>
      <c r="P5" s="977"/>
      <c r="Q5" s="977"/>
      <c r="R5" s="977"/>
      <c r="S5" s="977"/>
      <c r="T5" s="977"/>
      <c r="U5" s="977"/>
    </row>
    <row r="6" spans="1:45" ht="15.75" customHeight="1" outlineLevel="1" thickBot="1">
      <c r="B6" s="976"/>
      <c r="C6" s="977"/>
      <c r="D6" s="977"/>
      <c r="E6" s="977"/>
      <c r="F6" s="977"/>
      <c r="G6" s="977"/>
      <c r="H6" s="977"/>
      <c r="I6" s="977"/>
      <c r="J6" s="977"/>
      <c r="K6" s="977"/>
      <c r="L6" s="977"/>
      <c r="M6" s="977"/>
      <c r="N6" s="421"/>
      <c r="P6" s="752">
        <v>1</v>
      </c>
      <c r="Q6" s="752">
        <v>2</v>
      </c>
      <c r="R6" s="752">
        <v>3</v>
      </c>
      <c r="S6" s="752">
        <v>4</v>
      </c>
      <c r="T6" s="752">
        <v>5</v>
      </c>
      <c r="U6" s="752">
        <v>6</v>
      </c>
      <c r="V6" s="752">
        <v>7</v>
      </c>
      <c r="W6" s="752">
        <v>8</v>
      </c>
      <c r="X6" s="752">
        <v>9</v>
      </c>
      <c r="Y6" s="752">
        <v>10</v>
      </c>
      <c r="Z6" s="752">
        <v>11</v>
      </c>
      <c r="AA6" s="752">
        <v>12</v>
      </c>
      <c r="AB6" s="752">
        <v>13</v>
      </c>
      <c r="AC6" s="752">
        <v>14</v>
      </c>
      <c r="AD6" s="752">
        <v>15</v>
      </c>
      <c r="AE6" s="239">
        <v>16</v>
      </c>
    </row>
    <row r="7" spans="1:45" ht="20.25" customHeight="1" outlineLevel="1" thickBot="1">
      <c r="B7" s="422" t="s">
        <v>0</v>
      </c>
      <c r="C7" s="1043" t="s">
        <v>953</v>
      </c>
      <c r="D7" s="1044"/>
      <c r="E7" s="1044"/>
      <c r="F7" s="1044"/>
      <c r="G7" s="1044"/>
      <c r="H7" s="1044"/>
      <c r="I7" s="1044"/>
      <c r="J7" s="1044"/>
      <c r="K7" s="1044"/>
      <c r="L7" s="1045"/>
      <c r="M7" s="423"/>
      <c r="N7" s="423"/>
      <c r="P7" s="424" t="s">
        <v>838</v>
      </c>
      <c r="Q7" s="425"/>
      <c r="R7" s="426"/>
      <c r="S7" s="985" t="s">
        <v>839</v>
      </c>
      <c r="T7" s="989" t="s">
        <v>840</v>
      </c>
      <c r="U7" s="990"/>
      <c r="V7" s="989" t="s">
        <v>841</v>
      </c>
      <c r="W7" s="990"/>
      <c r="X7" s="989" t="s">
        <v>842</v>
      </c>
      <c r="Y7" s="990"/>
      <c r="Z7" s="989" t="s">
        <v>843</v>
      </c>
      <c r="AA7" s="990"/>
      <c r="AB7" s="989" t="s">
        <v>844</v>
      </c>
      <c r="AC7" s="990"/>
      <c r="AD7" s="989" t="s">
        <v>1431</v>
      </c>
      <c r="AE7" s="990"/>
      <c r="AF7" s="424" t="s">
        <v>845</v>
      </c>
      <c r="AG7" s="425"/>
      <c r="AH7" s="426"/>
      <c r="AI7" s="985" t="s">
        <v>839</v>
      </c>
      <c r="AJ7" s="989" t="s">
        <v>840</v>
      </c>
      <c r="AK7" s="990"/>
      <c r="AL7" s="989" t="s">
        <v>841</v>
      </c>
      <c r="AM7" s="990"/>
      <c r="AN7" s="989" t="s">
        <v>842</v>
      </c>
      <c r="AO7" s="990"/>
      <c r="AP7" s="989" t="s">
        <v>843</v>
      </c>
      <c r="AQ7" s="990"/>
      <c r="AR7" s="989" t="s">
        <v>844</v>
      </c>
      <c r="AS7" s="990"/>
    </row>
    <row r="8" spans="1:45" ht="15" outlineLevel="1" thickBot="1">
      <c r="B8" s="1010" t="s">
        <v>4</v>
      </c>
      <c r="C8" s="1012">
        <v>2020</v>
      </c>
      <c r="D8" s="1012">
        <v>2030</v>
      </c>
      <c r="E8" s="1012">
        <v>2040</v>
      </c>
      <c r="F8" s="1012">
        <v>2050</v>
      </c>
      <c r="G8" s="1065" t="s">
        <v>846</v>
      </c>
      <c r="H8" s="1066"/>
      <c r="I8" s="1065" t="s">
        <v>693</v>
      </c>
      <c r="J8" s="1066"/>
      <c r="K8" s="1067" t="s">
        <v>2</v>
      </c>
      <c r="L8" s="1067" t="s">
        <v>3</v>
      </c>
      <c r="M8" s="427"/>
      <c r="N8" s="427"/>
      <c r="P8" s="993" t="s">
        <v>0</v>
      </c>
      <c r="Q8" s="428"/>
      <c r="R8" s="428"/>
      <c r="S8" s="986"/>
      <c r="T8" s="991"/>
      <c r="U8" s="992"/>
      <c r="V8" s="991"/>
      <c r="W8" s="992"/>
      <c r="X8" s="991"/>
      <c r="Y8" s="992"/>
      <c r="Z8" s="991"/>
      <c r="AA8" s="992"/>
      <c r="AB8" s="991"/>
      <c r="AC8" s="992"/>
      <c r="AD8" s="991"/>
      <c r="AE8" s="992"/>
      <c r="AF8" s="993" t="s">
        <v>0</v>
      </c>
      <c r="AG8" s="428"/>
      <c r="AH8" s="428"/>
      <c r="AI8" s="986"/>
      <c r="AJ8" s="991"/>
      <c r="AK8" s="992"/>
      <c r="AL8" s="991"/>
      <c r="AM8" s="992"/>
      <c r="AN8" s="991"/>
      <c r="AO8" s="992"/>
      <c r="AP8" s="991"/>
      <c r="AQ8" s="992"/>
      <c r="AR8" s="991"/>
      <c r="AS8" s="992"/>
    </row>
    <row r="9" spans="1:45" ht="15" outlineLevel="1" thickBot="1">
      <c r="B9" s="1011"/>
      <c r="C9" s="1013"/>
      <c r="D9" s="1013"/>
      <c r="E9" s="1013"/>
      <c r="F9" s="1013"/>
      <c r="G9" s="429" t="s">
        <v>694</v>
      </c>
      <c r="H9" s="429" t="s">
        <v>695</v>
      </c>
      <c r="I9" s="429" t="s">
        <v>694</v>
      </c>
      <c r="J9" s="429" t="s">
        <v>695</v>
      </c>
      <c r="K9" s="1068"/>
      <c r="L9" s="1068"/>
      <c r="M9" s="430"/>
      <c r="N9" s="430"/>
      <c r="P9" s="994"/>
      <c r="Q9" s="996" t="s">
        <v>847</v>
      </c>
      <c r="R9" s="997" t="s">
        <v>848</v>
      </c>
      <c r="S9" s="987"/>
      <c r="T9" s="991"/>
      <c r="U9" s="992"/>
      <c r="V9" s="991"/>
      <c r="W9" s="992"/>
      <c r="X9" s="991"/>
      <c r="Y9" s="992"/>
      <c r="Z9" s="991"/>
      <c r="AA9" s="992"/>
      <c r="AB9" s="991"/>
      <c r="AC9" s="992"/>
      <c r="AD9" s="991"/>
      <c r="AE9" s="992"/>
      <c r="AF9" s="994"/>
      <c r="AG9" s="1040" t="s">
        <v>847</v>
      </c>
      <c r="AH9" s="997" t="s">
        <v>848</v>
      </c>
      <c r="AI9" s="987"/>
      <c r="AJ9" s="991"/>
      <c r="AK9" s="992"/>
      <c r="AL9" s="991"/>
      <c r="AM9" s="992"/>
      <c r="AN9" s="991"/>
      <c r="AO9" s="992"/>
      <c r="AP9" s="991"/>
      <c r="AQ9" s="992"/>
      <c r="AR9" s="991"/>
      <c r="AS9" s="992"/>
    </row>
    <row r="10" spans="1:45" ht="54.6" customHeight="1" outlineLevel="1" thickBot="1">
      <c r="B10" s="431" t="s">
        <v>849</v>
      </c>
      <c r="C10" s="432">
        <v>5000</v>
      </c>
      <c r="D10" s="432">
        <v>5000</v>
      </c>
      <c r="E10" s="432">
        <v>5000</v>
      </c>
      <c r="F10" s="432">
        <v>5000</v>
      </c>
      <c r="G10" s="432">
        <v>1000</v>
      </c>
      <c r="H10" s="432">
        <v>10000</v>
      </c>
      <c r="I10" s="432">
        <v>1000</v>
      </c>
      <c r="J10" s="432">
        <v>10000</v>
      </c>
      <c r="K10" s="432"/>
      <c r="L10" s="433">
        <v>4</v>
      </c>
      <c r="M10" s="430"/>
      <c r="N10" s="430"/>
      <c r="O10" s="74"/>
      <c r="P10" s="995"/>
      <c r="Q10" s="988"/>
      <c r="R10" s="998"/>
      <c r="S10" s="988"/>
      <c r="T10" s="434" t="s">
        <v>851</v>
      </c>
      <c r="U10" s="435" t="s">
        <v>852</v>
      </c>
      <c r="V10" s="434" t="s">
        <v>851</v>
      </c>
      <c r="W10" s="435" t="s">
        <v>852</v>
      </c>
      <c r="X10" s="434" t="s">
        <v>851</v>
      </c>
      <c r="Y10" s="435" t="s">
        <v>852</v>
      </c>
      <c r="Z10" s="434" t="s">
        <v>851</v>
      </c>
      <c r="AA10" s="435" t="s">
        <v>852</v>
      </c>
      <c r="AB10" s="434" t="s">
        <v>851</v>
      </c>
      <c r="AC10" s="435" t="s">
        <v>852</v>
      </c>
      <c r="AD10" s="434" t="s">
        <v>851</v>
      </c>
      <c r="AE10" s="435" t="s">
        <v>852</v>
      </c>
      <c r="AF10" s="995"/>
      <c r="AG10" s="1041"/>
      <c r="AH10" s="998"/>
      <c r="AI10" s="988"/>
      <c r="AJ10" s="434" t="s">
        <v>851</v>
      </c>
      <c r="AK10" s="435" t="s">
        <v>852</v>
      </c>
      <c r="AL10" s="434" t="s">
        <v>851</v>
      </c>
      <c r="AM10" s="435" t="s">
        <v>852</v>
      </c>
      <c r="AN10" s="434" t="s">
        <v>851</v>
      </c>
      <c r="AO10" s="435" t="s">
        <v>852</v>
      </c>
      <c r="AP10" s="434" t="s">
        <v>851</v>
      </c>
      <c r="AQ10" s="435" t="s">
        <v>852</v>
      </c>
      <c r="AR10" s="434" t="s">
        <v>851</v>
      </c>
      <c r="AS10" s="435" t="s">
        <v>852</v>
      </c>
    </row>
    <row r="11" spans="1:45" ht="24.6" customHeight="1" outlineLevel="1">
      <c r="B11" s="436" t="s">
        <v>853</v>
      </c>
      <c r="C11" s="437">
        <v>100</v>
      </c>
      <c r="D11" s="437">
        <v>100</v>
      </c>
      <c r="E11" s="438">
        <v>100</v>
      </c>
      <c r="F11" s="437">
        <v>100</v>
      </c>
      <c r="G11" s="437">
        <v>100</v>
      </c>
      <c r="H11" s="437">
        <v>100</v>
      </c>
      <c r="I11" s="437">
        <v>100</v>
      </c>
      <c r="J11" s="437">
        <v>100</v>
      </c>
      <c r="K11" s="439" t="s">
        <v>6</v>
      </c>
      <c r="L11" s="440">
        <v>2</v>
      </c>
      <c r="M11" s="430"/>
      <c r="N11" s="430"/>
      <c r="P11" s="1042" t="str">
        <f>C7</f>
        <v>Direct Firing, Electricity</v>
      </c>
      <c r="Q11" s="1030" t="s">
        <v>855</v>
      </c>
      <c r="R11" s="441" t="s">
        <v>856</v>
      </c>
      <c r="S11" s="442"/>
      <c r="T11" s="1033">
        <v>1</v>
      </c>
      <c r="U11" s="1021">
        <v>0</v>
      </c>
      <c r="V11" s="1033">
        <v>1</v>
      </c>
      <c r="W11" s="1021">
        <v>0</v>
      </c>
      <c r="X11" s="1033">
        <v>0</v>
      </c>
      <c r="Y11" s="1021">
        <v>0</v>
      </c>
      <c r="Z11" s="1033">
        <v>0.2</v>
      </c>
      <c r="AA11" s="1021">
        <v>0</v>
      </c>
      <c r="AB11" s="1033">
        <v>0.05</v>
      </c>
      <c r="AC11" s="1021">
        <v>0</v>
      </c>
      <c r="AD11" s="1033">
        <f>AB11</f>
        <v>0.05</v>
      </c>
      <c r="AE11" s="1021">
        <f>AC11</f>
        <v>0</v>
      </c>
      <c r="AF11" s="1027" t="str">
        <f>P11</f>
        <v>Direct Firing, Electricity</v>
      </c>
      <c r="AG11" s="1030" t="s">
        <v>855</v>
      </c>
      <c r="AH11" s="441" t="s">
        <v>856</v>
      </c>
      <c r="AI11" s="442"/>
      <c r="AJ11" s="1033">
        <v>0.5</v>
      </c>
      <c r="AK11" s="1021">
        <v>0</v>
      </c>
      <c r="AL11" s="1033">
        <v>0.5</v>
      </c>
      <c r="AM11" s="1021">
        <v>0</v>
      </c>
      <c r="AN11" s="1033">
        <v>0</v>
      </c>
      <c r="AO11" s="1021">
        <v>0</v>
      </c>
      <c r="AP11" s="1033">
        <v>0.2</v>
      </c>
      <c r="AQ11" s="1021">
        <v>0</v>
      </c>
      <c r="AR11" s="1033">
        <v>0</v>
      </c>
      <c r="AS11" s="1021">
        <v>0</v>
      </c>
    </row>
    <row r="12" spans="1:45" ht="32.700000000000003" customHeight="1" outlineLevel="1">
      <c r="B12" s="443" t="s">
        <v>857</v>
      </c>
      <c r="C12" s="444">
        <v>100</v>
      </c>
      <c r="D12" s="444">
        <v>100</v>
      </c>
      <c r="E12" s="444">
        <v>100</v>
      </c>
      <c r="F12" s="444">
        <v>100</v>
      </c>
      <c r="G12" s="445">
        <v>100</v>
      </c>
      <c r="H12" s="445">
        <v>100</v>
      </c>
      <c r="I12" s="445">
        <v>100</v>
      </c>
      <c r="J12" s="445">
        <v>100</v>
      </c>
      <c r="K12" s="446" t="s">
        <v>6</v>
      </c>
      <c r="L12" s="447">
        <v>2</v>
      </c>
      <c r="M12" s="430"/>
      <c r="N12" s="430"/>
      <c r="O12" s="71"/>
      <c r="P12" s="1028"/>
      <c r="Q12" s="1031"/>
      <c r="R12" s="448" t="s">
        <v>858</v>
      </c>
      <c r="S12" s="449"/>
      <c r="T12" s="1034"/>
      <c r="U12" s="1022"/>
      <c r="V12" s="1034"/>
      <c r="W12" s="1022"/>
      <c r="X12" s="1034"/>
      <c r="Y12" s="1022"/>
      <c r="Z12" s="1034"/>
      <c r="AA12" s="1022"/>
      <c r="AB12" s="1034"/>
      <c r="AC12" s="1022"/>
      <c r="AD12" s="1034"/>
      <c r="AE12" s="1022"/>
      <c r="AF12" s="1028"/>
      <c r="AG12" s="1031"/>
      <c r="AH12" s="448" t="s">
        <v>858</v>
      </c>
      <c r="AI12" s="449"/>
      <c r="AJ12" s="1034"/>
      <c r="AK12" s="1022"/>
      <c r="AL12" s="1034"/>
      <c r="AM12" s="1022"/>
      <c r="AN12" s="1034"/>
      <c r="AO12" s="1022"/>
      <c r="AP12" s="1034"/>
      <c r="AQ12" s="1022"/>
      <c r="AR12" s="1034"/>
      <c r="AS12" s="1022"/>
    </row>
    <row r="13" spans="1:45" ht="15" outlineLevel="1" thickBot="1">
      <c r="B13" s="436" t="s">
        <v>859</v>
      </c>
      <c r="C13" s="450">
        <v>0.25</v>
      </c>
      <c r="D13" s="451">
        <v>0.25</v>
      </c>
      <c r="E13" s="451">
        <v>0.25</v>
      </c>
      <c r="F13" s="452">
        <v>0.25</v>
      </c>
      <c r="G13" s="451">
        <v>0.1</v>
      </c>
      <c r="H13" s="451">
        <v>1</v>
      </c>
      <c r="I13" s="451">
        <v>0.1</v>
      </c>
      <c r="J13" s="451">
        <v>1</v>
      </c>
      <c r="K13" s="439" t="s">
        <v>59</v>
      </c>
      <c r="L13" s="440" t="s">
        <v>954</v>
      </c>
      <c r="M13" s="430"/>
      <c r="N13" s="430"/>
      <c r="O13" s="71"/>
      <c r="P13" s="1028"/>
      <c r="Q13" s="1032"/>
      <c r="R13" s="453" t="s">
        <v>860</v>
      </c>
      <c r="S13" s="454"/>
      <c r="T13" s="1035"/>
      <c r="U13" s="1023"/>
      <c r="V13" s="1035"/>
      <c r="W13" s="1023"/>
      <c r="X13" s="1035"/>
      <c r="Y13" s="1023"/>
      <c r="Z13" s="1035"/>
      <c r="AA13" s="1023"/>
      <c r="AB13" s="1035"/>
      <c r="AC13" s="1023"/>
      <c r="AD13" s="1035"/>
      <c r="AE13" s="1023"/>
      <c r="AF13" s="1028"/>
      <c r="AG13" s="1032"/>
      <c r="AH13" s="453" t="s">
        <v>860</v>
      </c>
      <c r="AI13" s="454"/>
      <c r="AJ13" s="1035"/>
      <c r="AK13" s="1023"/>
      <c r="AL13" s="1035"/>
      <c r="AM13" s="1023"/>
      <c r="AN13" s="1035"/>
      <c r="AO13" s="1023"/>
      <c r="AP13" s="1035"/>
      <c r="AQ13" s="1023"/>
      <c r="AR13" s="1035"/>
      <c r="AS13" s="1023"/>
    </row>
    <row r="14" spans="1:45" ht="15" customHeight="1" outlineLevel="1">
      <c r="B14" s="436" t="s">
        <v>702</v>
      </c>
      <c r="C14" s="450">
        <v>0</v>
      </c>
      <c r="D14" s="450">
        <v>0</v>
      </c>
      <c r="E14" s="450">
        <v>0</v>
      </c>
      <c r="F14" s="450">
        <v>0</v>
      </c>
      <c r="G14" s="450">
        <v>0</v>
      </c>
      <c r="H14" s="450">
        <v>0.5</v>
      </c>
      <c r="I14" s="450">
        <v>0</v>
      </c>
      <c r="J14" s="450">
        <v>0.5</v>
      </c>
      <c r="K14" s="439" t="s">
        <v>25</v>
      </c>
      <c r="L14" s="440">
        <v>4</v>
      </c>
      <c r="M14" s="430"/>
      <c r="N14" s="430"/>
      <c r="O14" s="71"/>
      <c r="P14" s="1028"/>
      <c r="Q14" s="1030" t="s">
        <v>861</v>
      </c>
      <c r="R14" s="455" t="s">
        <v>862</v>
      </c>
      <c r="S14" s="456" t="s">
        <v>863</v>
      </c>
      <c r="T14" s="1033">
        <v>1</v>
      </c>
      <c r="U14" s="1033">
        <v>0</v>
      </c>
      <c r="V14" s="1033">
        <v>1</v>
      </c>
      <c r="W14" s="1033">
        <v>0</v>
      </c>
      <c r="X14" s="1033">
        <v>0.5</v>
      </c>
      <c r="Y14" s="1033">
        <v>0</v>
      </c>
      <c r="Z14" s="1033">
        <v>1</v>
      </c>
      <c r="AA14" s="1033">
        <v>0</v>
      </c>
      <c r="AB14" s="1033">
        <v>0</v>
      </c>
      <c r="AC14" s="1033">
        <v>0</v>
      </c>
      <c r="AD14" s="1033">
        <f>AB14</f>
        <v>0</v>
      </c>
      <c r="AE14" s="1033">
        <f>AC14</f>
        <v>0</v>
      </c>
      <c r="AF14" s="1028"/>
      <c r="AG14" s="1030" t="s">
        <v>861</v>
      </c>
      <c r="AH14" s="455" t="s">
        <v>862</v>
      </c>
      <c r="AI14" s="456" t="s">
        <v>863</v>
      </c>
      <c r="AJ14" s="1033">
        <v>0.5</v>
      </c>
      <c r="AK14" s="1033">
        <v>0</v>
      </c>
      <c r="AL14" s="1033">
        <v>0.5</v>
      </c>
      <c r="AM14" s="1033">
        <v>0</v>
      </c>
      <c r="AN14" s="1033">
        <v>0.25</v>
      </c>
      <c r="AO14" s="1033">
        <v>0</v>
      </c>
      <c r="AP14" s="1033">
        <v>0.4</v>
      </c>
      <c r="AQ14" s="1033">
        <v>0</v>
      </c>
      <c r="AR14" s="1033">
        <v>0</v>
      </c>
      <c r="AS14" s="1033">
        <v>0</v>
      </c>
    </row>
    <row r="15" spans="1:45" outlineLevel="1">
      <c r="B15" s="436" t="s">
        <v>703</v>
      </c>
      <c r="C15" s="450">
        <v>0</v>
      </c>
      <c r="D15" s="450">
        <v>0</v>
      </c>
      <c r="E15" s="450">
        <v>0</v>
      </c>
      <c r="F15" s="450">
        <v>0</v>
      </c>
      <c r="G15" s="450">
        <v>0</v>
      </c>
      <c r="H15" s="450">
        <v>1</v>
      </c>
      <c r="I15" s="450">
        <v>0</v>
      </c>
      <c r="J15" s="450">
        <v>1</v>
      </c>
      <c r="K15" s="439" t="s">
        <v>25</v>
      </c>
      <c r="L15" s="440">
        <v>4</v>
      </c>
      <c r="M15" s="427"/>
      <c r="N15" s="427"/>
      <c r="O15" s="71"/>
      <c r="P15" s="1028"/>
      <c r="Q15" s="1031"/>
      <c r="R15" s="455" t="s">
        <v>864</v>
      </c>
      <c r="S15" s="456" t="s">
        <v>863</v>
      </c>
      <c r="T15" s="1050"/>
      <c r="U15" s="1050"/>
      <c r="V15" s="1050"/>
      <c r="W15" s="1050"/>
      <c r="X15" s="1050"/>
      <c r="Y15" s="1050"/>
      <c r="Z15" s="1050"/>
      <c r="AA15" s="1050"/>
      <c r="AB15" s="1050"/>
      <c r="AC15" s="1050"/>
      <c r="AD15" s="1050"/>
      <c r="AE15" s="1050"/>
      <c r="AF15" s="1028"/>
      <c r="AG15" s="1031"/>
      <c r="AH15" s="455" t="s">
        <v>864</v>
      </c>
      <c r="AI15" s="456" t="s">
        <v>863</v>
      </c>
      <c r="AJ15" s="1050"/>
      <c r="AK15" s="1050"/>
      <c r="AL15" s="1050"/>
      <c r="AM15" s="1050"/>
      <c r="AN15" s="1050"/>
      <c r="AO15" s="1050"/>
      <c r="AP15" s="1050"/>
      <c r="AQ15" s="1050"/>
      <c r="AR15" s="1050"/>
      <c r="AS15" s="1050"/>
    </row>
    <row r="16" spans="1:45" outlineLevel="1">
      <c r="B16" s="443" t="s">
        <v>11</v>
      </c>
      <c r="C16" s="457">
        <v>12.5</v>
      </c>
      <c r="D16" s="457">
        <v>12.5</v>
      </c>
      <c r="E16" s="457">
        <v>12.5</v>
      </c>
      <c r="F16" s="457">
        <v>12.5</v>
      </c>
      <c r="G16" s="458">
        <v>10</v>
      </c>
      <c r="H16" s="458">
        <v>15</v>
      </c>
      <c r="I16" s="458">
        <v>10</v>
      </c>
      <c r="J16" s="458">
        <v>15</v>
      </c>
      <c r="K16" s="432"/>
      <c r="L16" s="433">
        <v>4</v>
      </c>
      <c r="M16" s="423"/>
      <c r="N16" s="423"/>
      <c r="P16" s="1028"/>
      <c r="Q16" s="1031"/>
      <c r="R16" s="455" t="s">
        <v>866</v>
      </c>
      <c r="S16" s="456" t="s">
        <v>863</v>
      </c>
      <c r="T16" s="1050"/>
      <c r="U16" s="1050"/>
      <c r="V16" s="1050"/>
      <c r="W16" s="1050"/>
      <c r="X16" s="1050"/>
      <c r="Y16" s="1050"/>
      <c r="Z16" s="1050"/>
      <c r="AA16" s="1050"/>
      <c r="AB16" s="1050"/>
      <c r="AC16" s="1050"/>
      <c r="AD16" s="1050"/>
      <c r="AE16" s="1050"/>
      <c r="AF16" s="1028"/>
      <c r="AG16" s="1031"/>
      <c r="AH16" s="455" t="s">
        <v>866</v>
      </c>
      <c r="AI16" s="456" t="s">
        <v>863</v>
      </c>
      <c r="AJ16" s="1050"/>
      <c r="AK16" s="1050"/>
      <c r="AL16" s="1050"/>
      <c r="AM16" s="1050"/>
      <c r="AN16" s="1050"/>
      <c r="AO16" s="1050"/>
      <c r="AP16" s="1050"/>
      <c r="AQ16" s="1050"/>
      <c r="AR16" s="1050"/>
      <c r="AS16" s="1050"/>
    </row>
    <row r="17" spans="1:45" ht="15" outlineLevel="1" thickBot="1">
      <c r="B17" s="436" t="s">
        <v>273</v>
      </c>
      <c r="C17" s="459">
        <v>0.04</v>
      </c>
      <c r="D17" s="459">
        <v>0.04</v>
      </c>
      <c r="E17" s="459">
        <v>0.04</v>
      </c>
      <c r="F17" s="459">
        <v>0.04</v>
      </c>
      <c r="G17" s="459">
        <v>0.02</v>
      </c>
      <c r="H17" s="459">
        <v>0.06</v>
      </c>
      <c r="I17" s="459">
        <v>0.02</v>
      </c>
      <c r="J17" s="459">
        <v>0.06</v>
      </c>
      <c r="K17" s="432"/>
      <c r="L17" s="460">
        <v>5</v>
      </c>
      <c r="M17" s="423"/>
      <c r="N17" s="423"/>
      <c r="P17" s="1028"/>
      <c r="Q17" s="1031"/>
      <c r="R17" s="455" t="s">
        <v>867</v>
      </c>
      <c r="S17" s="456" t="s">
        <v>863</v>
      </c>
      <c r="T17" s="1050"/>
      <c r="U17" s="1050"/>
      <c r="V17" s="1050"/>
      <c r="W17" s="1050"/>
      <c r="X17" s="1050"/>
      <c r="Y17" s="1050"/>
      <c r="Z17" s="1050"/>
      <c r="AA17" s="1050"/>
      <c r="AB17" s="1050"/>
      <c r="AC17" s="1050"/>
      <c r="AD17" s="1050"/>
      <c r="AE17" s="1050"/>
      <c r="AF17" s="1028"/>
      <c r="AG17" s="1031"/>
      <c r="AH17" s="455" t="s">
        <v>867</v>
      </c>
      <c r="AI17" s="456" t="s">
        <v>863</v>
      </c>
      <c r="AJ17" s="1050"/>
      <c r="AK17" s="1050"/>
      <c r="AL17" s="1050"/>
      <c r="AM17" s="1050"/>
      <c r="AN17" s="1050"/>
      <c r="AO17" s="1050"/>
      <c r="AP17" s="1050"/>
      <c r="AQ17" s="1050"/>
      <c r="AR17" s="1050"/>
      <c r="AS17" s="1050"/>
    </row>
    <row r="18" spans="1:45" ht="15" outlineLevel="1" thickBot="1">
      <c r="B18" s="461" t="s">
        <v>868</v>
      </c>
      <c r="C18" s="462"/>
      <c r="D18" s="463"/>
      <c r="E18" s="464"/>
      <c r="F18" s="465"/>
      <c r="G18" s="466"/>
      <c r="H18" s="466"/>
      <c r="I18" s="466"/>
      <c r="J18" s="466"/>
      <c r="K18" s="467"/>
      <c r="L18" s="468"/>
      <c r="M18" s="423"/>
      <c r="N18" s="423"/>
      <c r="P18" s="1028"/>
      <c r="Q18" s="1031"/>
      <c r="R18" s="469" t="s">
        <v>869</v>
      </c>
      <c r="S18" s="470" t="s">
        <v>863</v>
      </c>
      <c r="T18" s="1051"/>
      <c r="U18" s="1051"/>
      <c r="V18" s="1051"/>
      <c r="W18" s="1051"/>
      <c r="X18" s="1051"/>
      <c r="Y18" s="1051"/>
      <c r="Z18" s="1051"/>
      <c r="AA18" s="1051"/>
      <c r="AB18" s="1051"/>
      <c r="AC18" s="1051"/>
      <c r="AD18" s="1051"/>
      <c r="AE18" s="1051"/>
      <c r="AF18" s="1028"/>
      <c r="AG18" s="1031"/>
      <c r="AH18" s="469" t="s">
        <v>869</v>
      </c>
      <c r="AI18" s="470" t="s">
        <v>863</v>
      </c>
      <c r="AJ18" s="1051"/>
      <c r="AK18" s="1051"/>
      <c r="AL18" s="1051"/>
      <c r="AM18" s="1051"/>
      <c r="AN18" s="1051"/>
      <c r="AO18" s="1051"/>
      <c r="AP18" s="1051"/>
      <c r="AQ18" s="1051"/>
      <c r="AR18" s="1051"/>
      <c r="AS18" s="1051"/>
    </row>
    <row r="19" spans="1:45" ht="29.4" outlineLevel="1" thickBot="1">
      <c r="B19" s="436" t="s">
        <v>708</v>
      </c>
      <c r="C19" s="450">
        <v>15</v>
      </c>
      <c r="D19" s="450">
        <v>15</v>
      </c>
      <c r="E19" s="450">
        <v>15</v>
      </c>
      <c r="F19" s="450">
        <v>15</v>
      </c>
      <c r="G19" s="451"/>
      <c r="H19" s="451"/>
      <c r="I19" s="451"/>
      <c r="J19" s="451"/>
      <c r="K19" s="439" t="s">
        <v>16</v>
      </c>
      <c r="L19" s="440">
        <v>4</v>
      </c>
      <c r="M19" s="423"/>
      <c r="N19" s="423"/>
      <c r="P19" s="1029"/>
      <c r="Q19" s="471" t="s">
        <v>870</v>
      </c>
      <c r="R19" s="472" t="s">
        <v>871</v>
      </c>
      <c r="S19" s="473" t="s">
        <v>863</v>
      </c>
      <c r="T19" s="474">
        <v>0</v>
      </c>
      <c r="U19" s="475">
        <v>0</v>
      </c>
      <c r="V19" s="476">
        <v>0</v>
      </c>
      <c r="W19" s="475">
        <v>0</v>
      </c>
      <c r="X19" s="476">
        <v>0</v>
      </c>
      <c r="Y19" s="475">
        <v>0</v>
      </c>
      <c r="Z19" s="476">
        <v>0</v>
      </c>
      <c r="AA19" s="475">
        <v>0</v>
      </c>
      <c r="AB19" s="476">
        <v>0</v>
      </c>
      <c r="AC19" s="477">
        <v>0</v>
      </c>
      <c r="AD19" s="476">
        <f>AB19</f>
        <v>0</v>
      </c>
      <c r="AE19" s="477">
        <f>AC19</f>
        <v>0</v>
      </c>
      <c r="AF19" s="1029"/>
      <c r="AG19" s="471" t="s">
        <v>870</v>
      </c>
      <c r="AH19" s="472" t="s">
        <v>871</v>
      </c>
      <c r="AI19" s="473" t="s">
        <v>863</v>
      </c>
      <c r="AJ19" s="474">
        <v>0</v>
      </c>
      <c r="AK19" s="475">
        <v>0</v>
      </c>
      <c r="AL19" s="476">
        <v>0</v>
      </c>
      <c r="AM19" s="475">
        <v>0</v>
      </c>
      <c r="AN19" s="476">
        <v>0</v>
      </c>
      <c r="AO19" s="475">
        <v>0</v>
      </c>
      <c r="AP19" s="476">
        <v>0</v>
      </c>
      <c r="AQ19" s="475">
        <v>0</v>
      </c>
      <c r="AR19" s="476">
        <v>0</v>
      </c>
      <c r="AS19" s="477">
        <v>0</v>
      </c>
    </row>
    <row r="20" spans="1:45" outlineLevel="1">
      <c r="B20" s="436" t="s">
        <v>709</v>
      </c>
      <c r="C20" s="450">
        <v>0.01</v>
      </c>
      <c r="D20" s="450">
        <v>0.01</v>
      </c>
      <c r="E20" s="450">
        <v>0.01</v>
      </c>
      <c r="F20" s="450">
        <v>0.01</v>
      </c>
      <c r="G20" s="478"/>
      <c r="H20" s="478"/>
      <c r="I20" s="478"/>
      <c r="J20" s="478"/>
      <c r="K20" s="479"/>
      <c r="L20" s="440">
        <v>5</v>
      </c>
      <c r="M20" s="423"/>
      <c r="N20" s="423"/>
    </row>
    <row r="21" spans="1:45" outlineLevel="1">
      <c r="B21" s="436" t="s">
        <v>711</v>
      </c>
      <c r="C21" s="450">
        <v>0.01</v>
      </c>
      <c r="D21" s="450">
        <v>0.01</v>
      </c>
      <c r="E21" s="450">
        <v>0.01</v>
      </c>
      <c r="F21" s="450">
        <v>0.01</v>
      </c>
      <c r="G21" s="478"/>
      <c r="H21" s="478"/>
      <c r="I21" s="478"/>
      <c r="J21" s="478"/>
      <c r="K21" s="479"/>
      <c r="L21" s="440">
        <v>5</v>
      </c>
      <c r="M21" s="480"/>
      <c r="N21" s="423"/>
    </row>
    <row r="22" spans="1:45" outlineLevel="1">
      <c r="B22" s="481" t="s">
        <v>12</v>
      </c>
      <c r="C22" s="459"/>
      <c r="D22" s="459"/>
      <c r="E22" s="459"/>
      <c r="F22" s="459"/>
      <c r="G22" s="482"/>
      <c r="H22" s="482"/>
      <c r="I22" s="482"/>
      <c r="J22" s="482"/>
      <c r="K22" s="483"/>
      <c r="L22" s="484"/>
      <c r="M22" s="480"/>
      <c r="N22" s="480"/>
    </row>
    <row r="23" spans="1:45" ht="38.25" customHeight="1" outlineLevel="1">
      <c r="B23" s="443" t="s">
        <v>872</v>
      </c>
      <c r="C23" s="1077" t="s">
        <v>714</v>
      </c>
      <c r="D23" s="1078"/>
      <c r="E23" s="1078"/>
      <c r="F23" s="1079"/>
      <c r="G23" s="482"/>
      <c r="H23" s="485"/>
      <c r="I23" s="485"/>
      <c r="J23" s="485"/>
      <c r="K23" s="486"/>
      <c r="L23" s="487"/>
      <c r="M23" s="488"/>
      <c r="N23" s="488"/>
    </row>
    <row r="24" spans="1:45" outlineLevel="1">
      <c r="B24" s="443" t="s">
        <v>874</v>
      </c>
      <c r="C24" s="1080"/>
      <c r="D24" s="1110"/>
      <c r="E24" s="1110"/>
      <c r="F24" s="1082"/>
      <c r="G24" s="485"/>
      <c r="H24" s="485"/>
      <c r="I24" s="485"/>
      <c r="J24" s="485"/>
      <c r="K24" s="483"/>
      <c r="L24" s="487"/>
      <c r="M24" s="488"/>
      <c r="N24" s="488"/>
    </row>
    <row r="25" spans="1:45" ht="15.6" outlineLevel="1">
      <c r="B25" s="443" t="s">
        <v>875</v>
      </c>
      <c r="C25" s="1080"/>
      <c r="D25" s="1110"/>
      <c r="E25" s="1110"/>
      <c r="F25" s="1082"/>
      <c r="G25" s="485"/>
      <c r="H25" s="485"/>
      <c r="I25" s="485"/>
      <c r="J25" s="485"/>
      <c r="K25" s="483"/>
      <c r="L25" s="487"/>
      <c r="M25" s="488"/>
      <c r="N25" s="488"/>
    </row>
    <row r="26" spans="1:45" outlineLevel="1">
      <c r="B26" s="443" t="s">
        <v>366</v>
      </c>
      <c r="C26" s="1080"/>
      <c r="D26" s="1110"/>
      <c r="E26" s="1110"/>
      <c r="F26" s="1082"/>
      <c r="G26" s="485"/>
      <c r="H26" s="485"/>
      <c r="I26" s="485"/>
      <c r="J26" s="485"/>
      <c r="K26" s="483"/>
      <c r="L26" s="487"/>
      <c r="M26" s="488"/>
      <c r="N26" s="488"/>
    </row>
    <row r="27" spans="1:45" ht="15" outlineLevel="1" thickBot="1">
      <c r="B27" s="489" t="s">
        <v>367</v>
      </c>
      <c r="C27" s="1083"/>
      <c r="D27" s="1084"/>
      <c r="E27" s="1084"/>
      <c r="F27" s="1085"/>
      <c r="G27" s="485"/>
      <c r="H27" s="485"/>
      <c r="I27" s="485"/>
      <c r="J27" s="485"/>
      <c r="K27" s="483"/>
      <c r="L27" s="487"/>
      <c r="M27" s="488"/>
      <c r="N27" s="488"/>
    </row>
    <row r="28" spans="1:45" ht="15" outlineLevel="1" thickBot="1">
      <c r="B28" s="491" t="s">
        <v>719</v>
      </c>
      <c r="C28" s="492"/>
      <c r="D28" s="463"/>
      <c r="E28" s="463"/>
      <c r="F28" s="493"/>
      <c r="G28" s="494"/>
      <c r="H28" s="466"/>
      <c r="I28" s="466"/>
      <c r="J28" s="466"/>
      <c r="K28" s="467"/>
      <c r="L28" s="468"/>
      <c r="M28" s="488"/>
      <c r="N28" s="488"/>
    </row>
    <row r="29" spans="1:45" ht="52.2" customHeight="1" outlineLevel="1">
      <c r="A29" s="495"/>
      <c r="B29" s="496" t="s">
        <v>876</v>
      </c>
      <c r="C29" s="497">
        <v>0.06</v>
      </c>
      <c r="D29" s="498">
        <v>0.06</v>
      </c>
      <c r="E29" s="498">
        <v>0.06</v>
      </c>
      <c r="F29" s="499">
        <v>0.06</v>
      </c>
      <c r="G29" s="485"/>
      <c r="H29" s="485"/>
      <c r="I29" s="485"/>
      <c r="J29" s="485"/>
      <c r="K29" s="486" t="s">
        <v>76</v>
      </c>
      <c r="L29" s="500" t="s">
        <v>67</v>
      </c>
      <c r="M29" s="480"/>
      <c r="N29" s="480"/>
    </row>
    <row r="30" spans="1:45" outlineLevel="1">
      <c r="B30" s="501" t="s">
        <v>879</v>
      </c>
      <c r="C30" s="687">
        <v>66.666666666666657</v>
      </c>
      <c r="D30" s="503">
        <v>66.666666666666657</v>
      </c>
      <c r="E30" s="503">
        <v>66.666666666666657</v>
      </c>
      <c r="F30" s="503">
        <v>66.666666666666657</v>
      </c>
      <c r="G30" s="485"/>
      <c r="H30" s="485"/>
      <c r="I30" s="485"/>
      <c r="J30" s="485"/>
      <c r="K30" s="504"/>
      <c r="L30" s="433">
        <v>5</v>
      </c>
      <c r="M30" s="71"/>
      <c r="N30" s="480"/>
    </row>
    <row r="31" spans="1:45" outlineLevel="1">
      <c r="B31" s="501" t="s">
        <v>880</v>
      </c>
      <c r="C31" s="687">
        <v>33.333333333333343</v>
      </c>
      <c r="D31" s="687">
        <v>33.333333333333343</v>
      </c>
      <c r="E31" s="687">
        <v>33.333333333333343</v>
      </c>
      <c r="F31" s="687">
        <v>33.333333333333343</v>
      </c>
      <c r="G31" s="485"/>
      <c r="H31" s="485"/>
      <c r="I31" s="485"/>
      <c r="J31" s="485"/>
      <c r="K31" s="504"/>
      <c r="L31" s="433">
        <v>5</v>
      </c>
      <c r="M31" s="480"/>
      <c r="N31" s="480"/>
    </row>
    <row r="32" spans="1:45" ht="26.4" outlineLevel="1">
      <c r="B32" s="443" t="s">
        <v>881</v>
      </c>
      <c r="C32" s="505">
        <f>0/1000</f>
        <v>0</v>
      </c>
      <c r="D32" s="506">
        <f>0/1000</f>
        <v>0</v>
      </c>
      <c r="E32" s="506">
        <f>0/1000</f>
        <v>0</v>
      </c>
      <c r="F32" s="507">
        <f>0/1000</f>
        <v>0</v>
      </c>
      <c r="G32" s="485"/>
      <c r="H32" s="485"/>
      <c r="I32" s="485"/>
      <c r="J32" s="485"/>
      <c r="K32" s="508" t="s">
        <v>25</v>
      </c>
      <c r="L32" s="433">
        <v>4</v>
      </c>
      <c r="M32" s="480"/>
      <c r="N32" s="480"/>
    </row>
    <row r="33" spans="2:30" ht="37.200000000000003" customHeight="1" outlineLevel="1" thickBot="1">
      <c r="B33" s="443" t="s">
        <v>882</v>
      </c>
      <c r="C33" s="509">
        <f>0.1825/3.6</f>
        <v>5.0694444444444445E-2</v>
      </c>
      <c r="D33" s="509">
        <f>0.1875/3.6</f>
        <v>5.2083333333333329E-2</v>
      </c>
      <c r="E33" s="509">
        <f>0.19/3.6</f>
        <v>5.2777777777777778E-2</v>
      </c>
      <c r="F33" s="509">
        <f>0.19/3.6</f>
        <v>5.2777777777777778E-2</v>
      </c>
      <c r="G33" s="485"/>
      <c r="H33" s="485"/>
      <c r="I33" s="485"/>
      <c r="J33" s="485"/>
      <c r="K33" s="508"/>
      <c r="L33" s="433" t="s">
        <v>69</v>
      </c>
      <c r="M33" s="510"/>
      <c r="N33" s="421"/>
      <c r="P33" s="999">
        <f>C33</f>
        <v>5.0694444444444445E-2</v>
      </c>
      <c r="Q33" s="977"/>
      <c r="R33" s="977"/>
      <c r="S33" s="977"/>
      <c r="T33" s="977"/>
      <c r="U33" s="1000"/>
    </row>
    <row r="34" spans="2:30" ht="15.75" customHeight="1" outlineLevel="1" thickBot="1">
      <c r="B34" s="511" t="s">
        <v>883</v>
      </c>
      <c r="C34" s="512">
        <v>0.1825</v>
      </c>
      <c r="D34" s="512">
        <v>0.1875</v>
      </c>
      <c r="E34" s="512">
        <v>0.19</v>
      </c>
      <c r="F34" s="512">
        <v>0.19</v>
      </c>
      <c r="G34" s="513"/>
      <c r="H34" s="513"/>
      <c r="I34" s="513"/>
      <c r="J34" s="513"/>
      <c r="K34" s="439" t="s">
        <v>20</v>
      </c>
      <c r="L34" s="440">
        <v>5</v>
      </c>
      <c r="M34" s="510"/>
      <c r="N34" s="421"/>
      <c r="P34" s="1001">
        <f>C34</f>
        <v>0.1825</v>
      </c>
      <c r="Q34" s="1002"/>
      <c r="R34" s="1002"/>
      <c r="S34" s="1002"/>
      <c r="T34" s="1002"/>
      <c r="U34" s="1003"/>
    </row>
    <row r="35" spans="2:30" outlineLevel="1">
      <c r="B35" s="511" t="s">
        <v>884</v>
      </c>
      <c r="C35" s="514">
        <v>0</v>
      </c>
      <c r="D35" s="514">
        <v>0</v>
      </c>
      <c r="E35" s="514">
        <v>0</v>
      </c>
      <c r="F35" s="514">
        <v>0</v>
      </c>
      <c r="G35" s="513"/>
      <c r="H35" s="513"/>
      <c r="I35" s="513"/>
      <c r="J35" s="513"/>
      <c r="K35" s="515" t="s">
        <v>25</v>
      </c>
      <c r="L35" s="440">
        <v>4</v>
      </c>
      <c r="M35" s="423"/>
      <c r="N35" s="423"/>
      <c r="P35" s="53" t="s">
        <v>357</v>
      </c>
    </row>
    <row r="36" spans="2:30" ht="27.6" outlineLevel="1">
      <c r="B36" s="501"/>
      <c r="C36" s="516"/>
      <c r="D36" s="516"/>
      <c r="E36" s="516"/>
      <c r="F36" s="516"/>
      <c r="G36" s="485"/>
      <c r="H36" s="485"/>
      <c r="I36" s="485"/>
      <c r="J36" s="485"/>
      <c r="K36" s="504"/>
      <c r="L36" s="484"/>
      <c r="M36" s="427"/>
      <c r="N36" s="42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501"/>
      <c r="C37" s="502"/>
      <c r="D37" s="517"/>
      <c r="E37" s="517"/>
      <c r="F37" s="518"/>
      <c r="G37" s="485"/>
      <c r="H37" s="485"/>
      <c r="I37" s="485"/>
      <c r="J37" s="485"/>
      <c r="K37" s="508"/>
      <c r="L37" s="484"/>
      <c r="M37" s="423"/>
      <c r="N37" s="423"/>
      <c r="P37" s="50"/>
      <c r="Q37" s="50"/>
      <c r="R37" s="51"/>
      <c r="S37" s="51"/>
      <c r="T37" s="51"/>
      <c r="U37" s="51" t="s">
        <v>885</v>
      </c>
      <c r="V37" s="50" t="s">
        <v>886</v>
      </c>
      <c r="W37" s="50"/>
      <c r="X37" s="50"/>
      <c r="Y37" s="50"/>
      <c r="Z37" s="50"/>
      <c r="AA37" s="50"/>
      <c r="AB37" s="50"/>
      <c r="AC37" s="50"/>
      <c r="AD37" s="50"/>
    </row>
    <row r="38" spans="2:30" ht="73.2" customHeight="1" outlineLevel="1" thickBot="1">
      <c r="B38" s="461" t="s">
        <v>727</v>
      </c>
      <c r="C38" s="462"/>
      <c r="D38" s="463"/>
      <c r="E38" s="464"/>
      <c r="F38" s="465"/>
      <c r="G38" s="466"/>
      <c r="H38" s="466"/>
      <c r="I38" s="466"/>
      <c r="J38" s="466"/>
      <c r="K38" s="519"/>
      <c r="L38" s="520"/>
      <c r="M38" s="423"/>
      <c r="N38" s="423"/>
      <c r="O38" s="521" t="s">
        <v>857</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511" t="s">
        <v>887</v>
      </c>
      <c r="C39" s="522" t="s">
        <v>36</v>
      </c>
      <c r="D39" s="522" t="s">
        <v>36</v>
      </c>
      <c r="E39" s="522" t="s">
        <v>36</v>
      </c>
      <c r="F39" s="522" t="s">
        <v>36</v>
      </c>
      <c r="G39" s="523"/>
      <c r="H39" s="523"/>
      <c r="I39" s="523"/>
      <c r="J39" s="523"/>
      <c r="K39" s="523" t="s">
        <v>33</v>
      </c>
      <c r="L39" s="524"/>
      <c r="M39" s="423"/>
      <c r="N39" s="423"/>
      <c r="O39" s="525">
        <f>C12</f>
        <v>100</v>
      </c>
      <c r="P39" s="526">
        <f>C8</f>
        <v>2020</v>
      </c>
      <c r="Q39" s="58">
        <f>P39</f>
        <v>2020</v>
      </c>
      <c r="R39" s="526">
        <f>O39/100</f>
        <v>1</v>
      </c>
      <c r="S39" s="58"/>
      <c r="T39" s="526">
        <f>C16</f>
        <v>12.5</v>
      </c>
      <c r="U39" s="527">
        <f>C46</f>
        <v>447</v>
      </c>
      <c r="V39" s="527">
        <f>C48</f>
        <v>0</v>
      </c>
      <c r="W39" s="750">
        <f>C49</f>
        <v>0.37767361111111114</v>
      </c>
      <c r="X39" s="58"/>
      <c r="Y39" s="58"/>
      <c r="Z39" s="526" t="str">
        <f>C23</f>
        <v>Cf. the utilized electricity</v>
      </c>
      <c r="AA39" s="528">
        <f>C25</f>
        <v>0</v>
      </c>
      <c r="AB39" s="528">
        <f>C26</f>
        <v>0</v>
      </c>
      <c r="AC39" s="528">
        <f>C27</f>
        <v>0</v>
      </c>
      <c r="AD39" s="528">
        <f>C24</f>
        <v>0</v>
      </c>
    </row>
    <row r="40" spans="2:30" ht="14.7" customHeight="1" outlineLevel="1">
      <c r="B40" s="436" t="s">
        <v>888</v>
      </c>
      <c r="C40" s="529" t="s">
        <v>36</v>
      </c>
      <c r="D40" s="530" t="s">
        <v>36</v>
      </c>
      <c r="E40" s="530" t="s">
        <v>36</v>
      </c>
      <c r="F40" s="531" t="s">
        <v>36</v>
      </c>
      <c r="G40" s="531"/>
      <c r="H40" s="531"/>
      <c r="I40" s="531"/>
      <c r="J40" s="531"/>
      <c r="K40" s="532"/>
      <c r="L40" s="524"/>
      <c r="M40" s="423"/>
      <c r="N40" s="423"/>
      <c r="O40" s="525">
        <f>D12</f>
        <v>100</v>
      </c>
      <c r="P40" s="526">
        <f>D8</f>
        <v>2030</v>
      </c>
      <c r="Q40" s="58"/>
      <c r="R40" s="526">
        <f>O40/100</f>
        <v>1</v>
      </c>
      <c r="S40" s="58"/>
      <c r="T40" s="526">
        <f>D16</f>
        <v>12.5</v>
      </c>
      <c r="U40" s="527">
        <f>D46</f>
        <v>447</v>
      </c>
      <c r="V40" s="527">
        <f>D48</f>
        <v>0</v>
      </c>
      <c r="W40" s="750">
        <f>D49</f>
        <v>0.38802083333333331</v>
      </c>
      <c r="X40" s="58"/>
      <c r="Y40" s="58"/>
      <c r="Z40" s="526">
        <f>D23</f>
        <v>0</v>
      </c>
      <c r="AA40" s="528">
        <f>D25</f>
        <v>0</v>
      </c>
      <c r="AB40" s="528">
        <f>D26</f>
        <v>0</v>
      </c>
      <c r="AC40" s="528">
        <f>D27</f>
        <v>0</v>
      </c>
      <c r="AD40" s="528">
        <f>D24</f>
        <v>0</v>
      </c>
    </row>
    <row r="41" spans="2:30" outlineLevel="1">
      <c r="B41" s="436" t="s">
        <v>889</v>
      </c>
      <c r="C41" s="529" t="s">
        <v>36</v>
      </c>
      <c r="D41" s="530" t="s">
        <v>36</v>
      </c>
      <c r="E41" s="530" t="s">
        <v>36</v>
      </c>
      <c r="F41" s="531" t="s">
        <v>36</v>
      </c>
      <c r="G41" s="513"/>
      <c r="H41" s="513"/>
      <c r="I41" s="513"/>
      <c r="J41" s="513"/>
      <c r="K41" s="513"/>
      <c r="L41" s="440"/>
      <c r="M41" s="423"/>
      <c r="N41" s="423"/>
      <c r="O41" s="525">
        <f>E12</f>
        <v>100</v>
      </c>
      <c r="P41" s="526">
        <f>E8</f>
        <v>2040</v>
      </c>
      <c r="Q41" s="58"/>
      <c r="R41" s="526">
        <f>O41/100</f>
        <v>1</v>
      </c>
      <c r="S41" s="58"/>
      <c r="T41" s="526">
        <f>E16</f>
        <v>12.5</v>
      </c>
      <c r="U41" s="527">
        <f>E46</f>
        <v>447</v>
      </c>
      <c r="V41" s="527">
        <f>E48</f>
        <v>0</v>
      </c>
      <c r="W41" s="750">
        <f>E49</f>
        <v>0.39319444444444446</v>
      </c>
      <c r="X41" s="58"/>
      <c r="Y41" s="58"/>
      <c r="Z41" s="526">
        <f>E23</f>
        <v>0</v>
      </c>
      <c r="AA41" s="528">
        <f>E25</f>
        <v>0</v>
      </c>
      <c r="AB41" s="528">
        <f>E26</f>
        <v>0</v>
      </c>
      <c r="AC41" s="528">
        <f>E27</f>
        <v>0</v>
      </c>
      <c r="AD41" s="528">
        <f>E24</f>
        <v>0</v>
      </c>
    </row>
    <row r="42" spans="2:30" outlineLevel="1">
      <c r="B42" s="436" t="s">
        <v>890</v>
      </c>
      <c r="C42" s="1086" t="s">
        <v>714</v>
      </c>
      <c r="D42" s="1087"/>
      <c r="E42" s="1087"/>
      <c r="F42" s="1088"/>
      <c r="G42" s="534"/>
      <c r="H42" s="534"/>
      <c r="I42" s="534"/>
      <c r="J42" s="534"/>
      <c r="K42" s="534"/>
      <c r="L42" s="440"/>
      <c r="M42" s="423"/>
      <c r="N42" s="423"/>
      <c r="O42" s="525">
        <f>F12</f>
        <v>100</v>
      </c>
      <c r="P42" s="526">
        <f>F8</f>
        <v>2050</v>
      </c>
      <c r="Q42" s="58"/>
      <c r="R42" s="526">
        <f>O42/100</f>
        <v>1</v>
      </c>
      <c r="S42" s="58"/>
      <c r="T42" s="526">
        <f>F16</f>
        <v>12.5</v>
      </c>
      <c r="U42" s="527">
        <f>F46</f>
        <v>447</v>
      </c>
      <c r="V42" s="527">
        <f>F48</f>
        <v>0</v>
      </c>
      <c r="W42" s="750">
        <f>F49</f>
        <v>0.39319444444444446</v>
      </c>
      <c r="X42" s="58"/>
      <c r="Y42" s="58"/>
      <c r="Z42" s="526">
        <f>F23</f>
        <v>0</v>
      </c>
      <c r="AA42" s="528">
        <f>F25</f>
        <v>0</v>
      </c>
      <c r="AB42" s="528">
        <f>F26</f>
        <v>0</v>
      </c>
      <c r="AC42" s="528">
        <f>F27</f>
        <v>0</v>
      </c>
      <c r="AD42" s="528">
        <f>F24</f>
        <v>0</v>
      </c>
    </row>
    <row r="43" spans="2:30" outlineLevel="1">
      <c r="B43" s="535" t="s">
        <v>891</v>
      </c>
      <c r="C43" s="529" t="s">
        <v>36</v>
      </c>
      <c r="D43" s="530" t="s">
        <v>36</v>
      </c>
      <c r="E43" s="530" t="s">
        <v>36</v>
      </c>
      <c r="F43" s="531" t="s">
        <v>36</v>
      </c>
      <c r="G43" s="534"/>
      <c r="H43" s="534"/>
      <c r="I43" s="534"/>
      <c r="J43" s="534"/>
      <c r="K43" s="534"/>
      <c r="L43" s="536"/>
      <c r="M43" s="427"/>
      <c r="N43" s="427"/>
    </row>
    <row r="44" spans="2:30" outlineLevel="1">
      <c r="B44" s="535" t="s">
        <v>892</v>
      </c>
      <c r="C44" s="529" t="s">
        <v>36</v>
      </c>
      <c r="D44" s="530" t="s">
        <v>36</v>
      </c>
      <c r="E44" s="530" t="s">
        <v>36</v>
      </c>
      <c r="F44" s="531" t="s">
        <v>36</v>
      </c>
      <c r="G44" s="534"/>
      <c r="H44" s="534"/>
      <c r="I44" s="534"/>
      <c r="J44" s="534"/>
      <c r="K44" s="534"/>
      <c r="L44" s="536"/>
      <c r="M44" s="423"/>
      <c r="N44" s="423"/>
    </row>
    <row r="45" spans="2:30" ht="15" outlineLevel="1" thickBot="1">
      <c r="B45" s="537" t="s">
        <v>893</v>
      </c>
      <c r="C45" s="538" t="s">
        <v>36</v>
      </c>
      <c r="D45" s="539" t="s">
        <v>36</v>
      </c>
      <c r="E45" s="539" t="s">
        <v>36</v>
      </c>
      <c r="F45" s="540" t="s">
        <v>36</v>
      </c>
      <c r="G45" s="541"/>
      <c r="H45" s="541"/>
      <c r="I45" s="541"/>
      <c r="J45" s="541"/>
      <c r="K45" s="541"/>
      <c r="L45" s="542"/>
      <c r="M45" s="423"/>
      <c r="N45" s="423"/>
    </row>
    <row r="46" spans="2:30" ht="57.6" outlineLevel="1">
      <c r="B46" s="521" t="s">
        <v>894</v>
      </c>
      <c r="C46" s="543">
        <f>C29*$F$4*1000</f>
        <v>447</v>
      </c>
      <c r="D46" s="543">
        <f t="shared" ref="D46:F46" si="0">D29*$F$4*1000</f>
        <v>447</v>
      </c>
      <c r="E46" s="543">
        <f t="shared" si="0"/>
        <v>447</v>
      </c>
      <c r="F46" s="543">
        <f t="shared" si="0"/>
        <v>447</v>
      </c>
      <c r="G46" s="543"/>
      <c r="H46" s="544"/>
      <c r="I46" s="480" t="s">
        <v>332</v>
      </c>
      <c r="J46" s="480"/>
      <c r="K46" s="544"/>
      <c r="L46" s="544"/>
      <c r="N46" s="480"/>
    </row>
    <row r="47" spans="2:30" outlineLevel="1">
      <c r="B47" s="545" t="s">
        <v>895</v>
      </c>
      <c r="C47" s="546">
        <f>C46*$I47</f>
        <v>223500</v>
      </c>
      <c r="D47" s="546">
        <f>D46*$I47</f>
        <v>223500</v>
      </c>
      <c r="E47" s="546">
        <f>E46*$I47</f>
        <v>223500</v>
      </c>
      <c r="F47" s="546">
        <f>F46*$I47</f>
        <v>223500</v>
      </c>
      <c r="G47" s="546"/>
      <c r="H47" s="544"/>
      <c r="I47" s="71">
        <v>500</v>
      </c>
      <c r="J47" s="480" t="s">
        <v>330</v>
      </c>
      <c r="K47" s="544"/>
      <c r="L47" s="544"/>
      <c r="N47" s="480"/>
    </row>
    <row r="48" spans="2:30" ht="43.2" outlineLevel="1">
      <c r="B48" s="521" t="s">
        <v>896</v>
      </c>
      <c r="C48" s="419">
        <f>C32*$F$4</f>
        <v>0</v>
      </c>
      <c r="D48" s="419">
        <f t="shared" ref="D48:F49" si="1">D32*$F$4</f>
        <v>0</v>
      </c>
      <c r="E48" s="419">
        <f t="shared" si="1"/>
        <v>0</v>
      </c>
      <c r="F48" s="419">
        <f t="shared" si="1"/>
        <v>0</v>
      </c>
      <c r="G48" s="419"/>
      <c r="I48" s="480" t="s">
        <v>333</v>
      </c>
      <c r="J48" s="480"/>
      <c r="N48" s="480"/>
    </row>
    <row r="49" spans="2:14" ht="43.2" outlineLevel="1">
      <c r="B49" s="521" t="s">
        <v>897</v>
      </c>
      <c r="C49" s="547">
        <f>C33*$F$4</f>
        <v>0.37767361111111114</v>
      </c>
      <c r="D49" s="547">
        <f t="shared" si="1"/>
        <v>0.38802083333333331</v>
      </c>
      <c r="E49" s="547">
        <f t="shared" si="1"/>
        <v>0.39319444444444446</v>
      </c>
      <c r="F49" s="547">
        <f t="shared" si="1"/>
        <v>0.39319444444444446</v>
      </c>
      <c r="G49" s="419"/>
      <c r="M49" s="480"/>
      <c r="N49" s="480"/>
    </row>
    <row r="50" spans="2:14" outlineLevel="1"/>
    <row r="51" spans="2:14" outlineLevel="1"/>
    <row r="52" spans="2:14" outlineLevel="1"/>
    <row r="53" spans="2:14" outlineLevel="1"/>
    <row r="54" spans="2:14" outlineLevel="1">
      <c r="E54" s="417"/>
      <c r="F54" s="417"/>
      <c r="G54" s="417"/>
      <c r="H54" s="417"/>
      <c r="I54" s="417"/>
      <c r="J54" s="417"/>
      <c r="K54" s="417"/>
      <c r="L54" s="417"/>
    </row>
    <row r="55" spans="2:14" outlineLevel="1">
      <c r="B55" s="548" t="s">
        <v>898</v>
      </c>
      <c r="C55" s="549"/>
      <c r="E55" s="417"/>
      <c r="F55" s="417"/>
      <c r="G55" s="417"/>
      <c r="H55" s="417"/>
      <c r="I55" s="417"/>
      <c r="J55" s="417"/>
      <c r="K55" s="417"/>
      <c r="L55" s="417"/>
    </row>
    <row r="56" spans="2:14" outlineLevel="1">
      <c r="B56" s="417">
        <v>1</v>
      </c>
      <c r="C56" s="550" t="s">
        <v>938</v>
      </c>
      <c r="F56" s="417"/>
      <c r="G56" s="417"/>
      <c r="H56" s="417"/>
      <c r="I56" s="417"/>
      <c r="J56" s="417"/>
      <c r="K56" s="417"/>
      <c r="L56" s="417"/>
    </row>
    <row r="57" spans="2:14" outlineLevel="1">
      <c r="B57" s="417">
        <v>2</v>
      </c>
      <c r="C57" s="550" t="s">
        <v>939</v>
      </c>
      <c r="F57" s="417"/>
      <c r="G57" s="417"/>
      <c r="H57" s="417"/>
      <c r="I57" s="417"/>
      <c r="J57" s="417"/>
      <c r="K57" s="417"/>
      <c r="L57" s="417"/>
    </row>
    <row r="58" spans="2:14" outlineLevel="1">
      <c r="B58" s="417">
        <v>3</v>
      </c>
      <c r="C58" s="550" t="s">
        <v>906</v>
      </c>
      <c r="F58" s="417"/>
      <c r="G58" s="417"/>
      <c r="H58" s="417"/>
      <c r="I58" s="417"/>
      <c r="J58" s="417"/>
      <c r="K58" s="417"/>
      <c r="L58" s="417"/>
    </row>
    <row r="59" spans="2:14" outlineLevel="1">
      <c r="B59" s="417">
        <v>4</v>
      </c>
      <c r="C59" s="550" t="s">
        <v>955</v>
      </c>
      <c r="F59" s="417"/>
      <c r="G59" s="417"/>
      <c r="H59" s="417"/>
      <c r="I59" s="417"/>
      <c r="J59" s="417"/>
      <c r="K59" s="417"/>
      <c r="L59" s="417"/>
    </row>
    <row r="60" spans="2:14" outlineLevel="1">
      <c r="B60" s="417">
        <v>5</v>
      </c>
      <c r="C60" s="550" t="s">
        <v>943</v>
      </c>
      <c r="F60" s="417"/>
      <c r="G60" s="417"/>
      <c r="H60" s="417"/>
      <c r="I60" s="417"/>
      <c r="J60" s="417"/>
      <c r="K60" s="417"/>
      <c r="L60" s="417"/>
    </row>
    <row r="61" spans="2:14" outlineLevel="1">
      <c r="B61" s="417">
        <v>6</v>
      </c>
      <c r="C61" s="550" t="s">
        <v>944</v>
      </c>
      <c r="F61" s="417"/>
      <c r="G61" s="417"/>
      <c r="H61" s="417"/>
      <c r="I61" s="417"/>
      <c r="J61" s="417"/>
      <c r="K61" s="417"/>
      <c r="L61" s="417"/>
    </row>
    <row r="62" spans="2:14" outlineLevel="1">
      <c r="B62" s="417">
        <v>7</v>
      </c>
      <c r="C62" s="550" t="s">
        <v>945</v>
      </c>
      <c r="F62" s="417"/>
      <c r="G62" s="417"/>
      <c r="H62" s="417"/>
      <c r="I62" s="417"/>
      <c r="J62" s="417"/>
      <c r="K62" s="417"/>
      <c r="L62" s="417"/>
    </row>
    <row r="63" spans="2:14" outlineLevel="1">
      <c r="B63" s="548" t="s">
        <v>908</v>
      </c>
      <c r="C63" s="549"/>
      <c r="D63" s="549"/>
      <c r="F63" s="417"/>
      <c r="G63" s="417"/>
      <c r="H63" s="417"/>
      <c r="I63" s="417"/>
      <c r="J63" s="417"/>
      <c r="K63" s="417"/>
      <c r="L63" s="417"/>
    </row>
    <row r="64" spans="2:14" outlineLevel="1">
      <c r="B64" s="556" t="s">
        <v>6</v>
      </c>
      <c r="C64" s="550" t="s">
        <v>956</v>
      </c>
      <c r="D64" s="549"/>
      <c r="F64" s="417"/>
      <c r="G64" s="417"/>
      <c r="H64" s="417"/>
      <c r="I64" s="417"/>
      <c r="J64" s="417"/>
      <c r="K64" s="417"/>
      <c r="L64" s="417"/>
    </row>
    <row r="65" spans="1:44" outlineLevel="1">
      <c r="B65" s="556" t="s">
        <v>59</v>
      </c>
      <c r="C65" s="550" t="s">
        <v>957</v>
      </c>
      <c r="D65" s="549"/>
      <c r="F65" s="417"/>
      <c r="G65" s="417"/>
      <c r="H65" s="417"/>
      <c r="I65" s="417"/>
      <c r="J65" s="417"/>
      <c r="K65" s="417"/>
      <c r="L65" s="417"/>
    </row>
    <row r="66" spans="1:44" outlineLevel="1">
      <c r="B66" s="556" t="s">
        <v>16</v>
      </c>
      <c r="C66" s="550" t="s">
        <v>958</v>
      </c>
      <c r="D66" s="549"/>
      <c r="F66" s="417"/>
      <c r="G66" s="417"/>
      <c r="H66" s="417"/>
      <c r="I66" s="417"/>
      <c r="J66" s="417"/>
      <c r="K66" s="417"/>
      <c r="L66" s="417"/>
    </row>
    <row r="67" spans="1:44" outlineLevel="1">
      <c r="B67" s="556" t="s">
        <v>20</v>
      </c>
      <c r="C67" s="550" t="s">
        <v>949</v>
      </c>
      <c r="D67" s="549"/>
      <c r="F67" s="417"/>
      <c r="G67" s="417"/>
      <c r="H67" s="417"/>
      <c r="I67" s="417"/>
      <c r="J67" s="417"/>
      <c r="K67" s="417"/>
      <c r="L67" s="417"/>
    </row>
    <row r="68" spans="1:44" outlineLevel="1">
      <c r="B68" s="556" t="s">
        <v>76</v>
      </c>
      <c r="C68" s="688" t="s">
        <v>959</v>
      </c>
      <c r="D68" s="549"/>
      <c r="F68" s="417"/>
      <c r="G68" s="417"/>
      <c r="H68" s="417"/>
      <c r="I68" s="417"/>
      <c r="J68" s="417"/>
      <c r="K68" s="417"/>
      <c r="L68" s="417"/>
    </row>
    <row r="69" spans="1:44" outlineLevel="1">
      <c r="B69" s="556" t="s">
        <v>25</v>
      </c>
      <c r="C69" s="550" t="s">
        <v>960</v>
      </c>
      <c r="D69" s="549"/>
      <c r="F69" s="417"/>
      <c r="G69" s="417"/>
      <c r="H69" s="417"/>
      <c r="I69" s="417"/>
      <c r="J69" s="417"/>
      <c r="K69" s="417"/>
      <c r="L69" s="417"/>
    </row>
    <row r="70" spans="1:44" outlineLevel="1">
      <c r="B70" s="556" t="s">
        <v>33</v>
      </c>
      <c r="C70" s="550" t="s">
        <v>950</v>
      </c>
      <c r="D70" s="549"/>
      <c r="G70" s="417"/>
      <c r="H70" s="417"/>
      <c r="I70" s="417"/>
      <c r="J70" s="417"/>
      <c r="K70" s="417"/>
      <c r="L70" s="417"/>
    </row>
    <row r="71" spans="1:44" outlineLevel="1">
      <c r="B71" s="556"/>
      <c r="C71" s="549"/>
      <c r="E71" s="550"/>
      <c r="F71" s="550"/>
    </row>
    <row r="72" spans="1:44" outlineLevel="1"/>
    <row r="73" spans="1:44" outlineLevel="1"/>
    <row r="74" spans="1:44" outlineLevel="1"/>
    <row r="77" spans="1:44">
      <c r="A77" s="420"/>
      <c r="B77" s="976"/>
      <c r="C77" s="977"/>
      <c r="D77" s="977"/>
      <c r="E77" s="977"/>
      <c r="F77" s="977"/>
      <c r="G77" s="977"/>
      <c r="H77" s="977"/>
      <c r="I77" s="977"/>
      <c r="J77" s="977"/>
      <c r="K77" s="977"/>
      <c r="L77" s="977"/>
      <c r="M77" s="977"/>
      <c r="N77" s="421"/>
      <c r="P77" s="977"/>
      <c r="Q77" s="977"/>
      <c r="R77" s="977"/>
      <c r="S77" s="977"/>
      <c r="T77" s="977"/>
      <c r="U77" s="977"/>
    </row>
    <row r="78" spans="1:44" ht="15" outlineLevel="1" thickBot="1">
      <c r="B78" s="976"/>
      <c r="C78" s="977"/>
      <c r="D78" s="977"/>
      <c r="E78" s="977"/>
      <c r="F78" s="977"/>
      <c r="G78" s="977"/>
      <c r="H78" s="977"/>
      <c r="I78" s="977"/>
      <c r="J78" s="977"/>
      <c r="K78" s="977"/>
      <c r="L78" s="977"/>
      <c r="M78" s="977"/>
      <c r="N78" s="421"/>
      <c r="P78" s="977"/>
      <c r="Q78" s="977"/>
      <c r="R78" s="977"/>
      <c r="S78" s="977"/>
      <c r="T78" s="977"/>
      <c r="U78" s="977"/>
    </row>
    <row r="79" spans="1:44" ht="20.7" customHeight="1" outlineLevel="1" thickBot="1">
      <c r="B79" s="422"/>
      <c r="C79" s="1043"/>
      <c r="D79" s="1019"/>
      <c r="E79" s="1019"/>
      <c r="F79" s="1019"/>
      <c r="G79" s="1019"/>
      <c r="H79" s="1019"/>
      <c r="I79" s="1019"/>
      <c r="J79" s="1019"/>
      <c r="K79" s="1019"/>
      <c r="L79" s="1020"/>
      <c r="M79" s="423"/>
      <c r="N79" s="423"/>
      <c r="P79" s="424"/>
      <c r="Q79" s="425"/>
      <c r="R79" s="426"/>
      <c r="S79" s="985"/>
      <c r="T79" s="989"/>
      <c r="U79" s="990"/>
      <c r="V79" s="989"/>
      <c r="W79" s="990"/>
      <c r="X79" s="989"/>
      <c r="Y79" s="990"/>
      <c r="Z79" s="989"/>
      <c r="AA79" s="990"/>
      <c r="AB79" s="989"/>
      <c r="AC79" s="990"/>
      <c r="AE79" s="424"/>
      <c r="AF79" s="425"/>
      <c r="AG79" s="426"/>
      <c r="AH79" s="985"/>
      <c r="AI79" s="989"/>
      <c r="AJ79" s="990"/>
      <c r="AK79" s="989"/>
      <c r="AL79" s="990"/>
      <c r="AM79" s="989"/>
      <c r="AN79" s="990"/>
      <c r="AO79" s="989"/>
      <c r="AP79" s="990"/>
      <c r="AQ79" s="989"/>
      <c r="AR79" s="990"/>
    </row>
    <row r="80" spans="1:44" ht="15" customHeight="1" outlineLevel="1" thickBot="1">
      <c r="B80" s="1010"/>
      <c r="C80" s="1012"/>
      <c r="D80" s="1012"/>
      <c r="E80" s="1012"/>
      <c r="F80" s="1012"/>
      <c r="G80" s="1014"/>
      <c r="H80" s="1015"/>
      <c r="I80" s="1014"/>
      <c r="J80" s="1015"/>
      <c r="K80" s="1016"/>
      <c r="L80" s="1016"/>
      <c r="M80" s="427"/>
      <c r="N80" s="427"/>
      <c r="P80" s="993"/>
      <c r="Q80" s="428"/>
      <c r="R80" s="428"/>
      <c r="S80" s="986"/>
      <c r="T80" s="991"/>
      <c r="U80" s="992"/>
      <c r="V80" s="991"/>
      <c r="W80" s="992"/>
      <c r="X80" s="991"/>
      <c r="Y80" s="992"/>
      <c r="Z80" s="991"/>
      <c r="AA80" s="992"/>
      <c r="AB80" s="991"/>
      <c r="AC80" s="992"/>
      <c r="AE80" s="993"/>
      <c r="AF80" s="428"/>
      <c r="AG80" s="428"/>
      <c r="AH80" s="986"/>
      <c r="AI80" s="991"/>
      <c r="AJ80" s="992"/>
      <c r="AK80" s="991"/>
      <c r="AL80" s="992"/>
      <c r="AM80" s="991"/>
      <c r="AN80" s="992"/>
      <c r="AO80" s="991"/>
      <c r="AP80" s="992"/>
      <c r="AQ80" s="991"/>
      <c r="AR80" s="992"/>
    </row>
    <row r="81" spans="2:44" ht="15" customHeight="1" outlineLevel="1" thickBot="1">
      <c r="B81" s="1011"/>
      <c r="C81" s="1013"/>
      <c r="D81" s="1013"/>
      <c r="E81" s="1013"/>
      <c r="F81" s="1013"/>
      <c r="G81" s="559"/>
      <c r="H81" s="559"/>
      <c r="I81" s="559"/>
      <c r="J81" s="559"/>
      <c r="K81" s="1017"/>
      <c r="L81" s="1017"/>
      <c r="M81" s="430"/>
      <c r="N81" s="430"/>
      <c r="P81" s="994"/>
      <c r="Q81" s="996"/>
      <c r="R81" s="997"/>
      <c r="S81" s="987"/>
      <c r="T81" s="991"/>
      <c r="U81" s="992"/>
      <c r="V81" s="991"/>
      <c r="W81" s="992"/>
      <c r="X81" s="991"/>
      <c r="Y81" s="992"/>
      <c r="Z81" s="991"/>
      <c r="AA81" s="992"/>
      <c r="AB81" s="991"/>
      <c r="AC81" s="992"/>
      <c r="AE81" s="994"/>
      <c r="AF81" s="1040"/>
      <c r="AG81" s="997"/>
      <c r="AH81" s="987"/>
      <c r="AI81" s="991"/>
      <c r="AJ81" s="992"/>
      <c r="AK81" s="991"/>
      <c r="AL81" s="992"/>
      <c r="AM81" s="991"/>
      <c r="AN81" s="992"/>
      <c r="AO81" s="991"/>
      <c r="AP81" s="992"/>
      <c r="AQ81" s="991"/>
      <c r="AR81" s="992"/>
    </row>
    <row r="82" spans="2:44" ht="15" outlineLevel="1" thickBot="1">
      <c r="B82" s="431"/>
      <c r="C82" s="432"/>
      <c r="D82" s="432"/>
      <c r="E82" s="432"/>
      <c r="F82" s="432"/>
      <c r="G82" s="432"/>
      <c r="H82" s="432"/>
      <c r="I82" s="432"/>
      <c r="J82" s="432"/>
      <c r="K82" s="432"/>
      <c r="L82" s="433"/>
      <c r="M82" s="430"/>
      <c r="N82" s="430"/>
      <c r="O82" s="74"/>
      <c r="P82" s="995"/>
      <c r="Q82" s="988"/>
      <c r="R82" s="998"/>
      <c r="S82" s="988"/>
      <c r="T82" s="434"/>
      <c r="U82" s="435"/>
      <c r="V82" s="434"/>
      <c r="W82" s="435"/>
      <c r="X82" s="434"/>
      <c r="Y82" s="435"/>
      <c r="Z82" s="434"/>
      <c r="AA82" s="435"/>
      <c r="AB82" s="434"/>
      <c r="AC82" s="435"/>
      <c r="AE82" s="995"/>
      <c r="AF82" s="1041"/>
      <c r="AG82" s="998"/>
      <c r="AH82" s="988"/>
      <c r="AI82" s="434"/>
      <c r="AJ82" s="435"/>
      <c r="AK82" s="434"/>
      <c r="AL82" s="435"/>
      <c r="AM82" s="434"/>
      <c r="AN82" s="435"/>
      <c r="AO82" s="434"/>
      <c r="AP82" s="435"/>
      <c r="AQ82" s="434"/>
      <c r="AR82" s="435"/>
    </row>
    <row r="83" spans="2:44" ht="15" customHeight="1" outlineLevel="1">
      <c r="B83" s="560"/>
      <c r="C83" s="561"/>
      <c r="D83" s="561"/>
      <c r="E83" s="562"/>
      <c r="F83" s="561"/>
      <c r="G83" s="561"/>
      <c r="H83" s="561"/>
      <c r="I83" s="561"/>
      <c r="J83" s="561"/>
      <c r="K83" s="563"/>
      <c r="L83" s="564"/>
      <c r="M83" s="430"/>
      <c r="N83" s="430"/>
      <c r="P83" s="1027"/>
      <c r="Q83" s="1030"/>
      <c r="R83" s="441"/>
      <c r="S83" s="442"/>
      <c r="T83" s="1033"/>
      <c r="U83" s="1021"/>
      <c r="V83" s="1033"/>
      <c r="W83" s="1021"/>
      <c r="X83" s="1033"/>
      <c r="Y83" s="1021"/>
      <c r="Z83" s="1033"/>
      <c r="AA83" s="1021"/>
      <c r="AB83" s="1033"/>
      <c r="AC83" s="1021"/>
      <c r="AE83" s="1027"/>
      <c r="AF83" s="1030"/>
      <c r="AG83" s="441"/>
      <c r="AH83" s="442"/>
      <c r="AI83" s="1033"/>
      <c r="AJ83" s="1021"/>
      <c r="AK83" s="1033"/>
      <c r="AL83" s="1021"/>
      <c r="AM83" s="1033"/>
      <c r="AN83" s="1021"/>
      <c r="AO83" s="1033"/>
      <c r="AP83" s="1021"/>
      <c r="AQ83" s="1033"/>
      <c r="AR83" s="1021"/>
    </row>
    <row r="84" spans="2:44" outlineLevel="1">
      <c r="B84" s="443"/>
      <c r="C84" s="444"/>
      <c r="D84" s="444"/>
      <c r="E84" s="444"/>
      <c r="F84" s="444"/>
      <c r="G84" s="565"/>
      <c r="H84" s="565"/>
      <c r="I84" s="565"/>
      <c r="J84" s="565"/>
      <c r="K84" s="432"/>
      <c r="L84" s="433"/>
      <c r="M84" s="430"/>
      <c r="N84" s="430"/>
      <c r="O84" s="71"/>
      <c r="P84" s="1028"/>
      <c r="Q84" s="1031"/>
      <c r="R84" s="448"/>
      <c r="S84" s="449"/>
      <c r="T84" s="1034"/>
      <c r="U84" s="1022"/>
      <c r="V84" s="1034"/>
      <c r="W84" s="1022"/>
      <c r="X84" s="1034"/>
      <c r="Y84" s="1022"/>
      <c r="Z84" s="1034"/>
      <c r="AA84" s="1022"/>
      <c r="AB84" s="1034"/>
      <c r="AC84" s="1022"/>
      <c r="AE84" s="1028"/>
      <c r="AF84" s="1031"/>
      <c r="AG84" s="448"/>
      <c r="AH84" s="449"/>
      <c r="AI84" s="1034"/>
      <c r="AJ84" s="1022"/>
      <c r="AK84" s="1034"/>
      <c r="AL84" s="1022"/>
      <c r="AM84" s="1034"/>
      <c r="AN84" s="1022"/>
      <c r="AO84" s="1034"/>
      <c r="AP84" s="1022"/>
      <c r="AQ84" s="1034"/>
      <c r="AR84" s="1022"/>
    </row>
    <row r="85" spans="2:44" ht="15" outlineLevel="1" thickBot="1">
      <c r="B85" s="560"/>
      <c r="C85" s="566"/>
      <c r="D85" s="567"/>
      <c r="E85" s="567"/>
      <c r="F85" s="568"/>
      <c r="G85" s="567"/>
      <c r="H85" s="567"/>
      <c r="I85" s="567"/>
      <c r="J85" s="567"/>
      <c r="K85" s="563"/>
      <c r="L85" s="564"/>
      <c r="M85" s="430"/>
      <c r="N85" s="430"/>
      <c r="O85" s="71"/>
      <c r="P85" s="1028"/>
      <c r="Q85" s="1032"/>
      <c r="R85" s="453"/>
      <c r="S85" s="454"/>
      <c r="T85" s="1035"/>
      <c r="U85" s="1023"/>
      <c r="V85" s="1035"/>
      <c r="W85" s="1023"/>
      <c r="X85" s="1035"/>
      <c r="Y85" s="1023"/>
      <c r="Z85" s="1035"/>
      <c r="AA85" s="1023"/>
      <c r="AB85" s="1035"/>
      <c r="AC85" s="1023"/>
      <c r="AE85" s="1028"/>
      <c r="AF85" s="1032"/>
      <c r="AG85" s="453"/>
      <c r="AH85" s="454"/>
      <c r="AI85" s="1035"/>
      <c r="AJ85" s="1023"/>
      <c r="AK85" s="1035"/>
      <c r="AL85" s="1023"/>
      <c r="AM85" s="1035"/>
      <c r="AN85" s="1023"/>
      <c r="AO85" s="1035"/>
      <c r="AP85" s="1023"/>
      <c r="AQ85" s="1035"/>
      <c r="AR85" s="1023"/>
    </row>
    <row r="86" spans="2:44" ht="15" customHeight="1" outlineLevel="1">
      <c r="B86" s="560"/>
      <c r="C86" s="566"/>
      <c r="D86" s="566"/>
      <c r="E86" s="566"/>
      <c r="F86" s="566"/>
      <c r="G86" s="566"/>
      <c r="H86" s="566"/>
      <c r="I86" s="566"/>
      <c r="J86" s="566"/>
      <c r="K86" s="563"/>
      <c r="L86" s="564"/>
      <c r="M86" s="430"/>
      <c r="N86" s="430"/>
      <c r="O86" s="71"/>
      <c r="P86" s="1028"/>
      <c r="Q86" s="1030"/>
      <c r="R86" s="455"/>
      <c r="S86" s="456"/>
      <c r="T86" s="1033"/>
      <c r="U86" s="1033"/>
      <c r="V86" s="1033"/>
      <c r="W86" s="1033"/>
      <c r="X86" s="1033"/>
      <c r="Y86" s="1033"/>
      <c r="Z86" s="1033"/>
      <c r="AA86" s="1033"/>
      <c r="AB86" s="1033"/>
      <c r="AC86" s="1033"/>
      <c r="AE86" s="1028"/>
      <c r="AF86" s="1030"/>
      <c r="AG86" s="455"/>
      <c r="AH86" s="456"/>
      <c r="AI86" s="1033"/>
      <c r="AJ86" s="1033"/>
      <c r="AK86" s="1033"/>
      <c r="AL86" s="1033"/>
      <c r="AM86" s="1033"/>
      <c r="AN86" s="1033"/>
      <c r="AO86" s="1033"/>
      <c r="AP86" s="1033"/>
      <c r="AQ86" s="1033"/>
      <c r="AR86" s="1033"/>
    </row>
    <row r="87" spans="2:44" outlineLevel="1">
      <c r="B87" s="560"/>
      <c r="C87" s="566"/>
      <c r="D87" s="566"/>
      <c r="E87" s="566"/>
      <c r="F87" s="566"/>
      <c r="G87" s="566"/>
      <c r="H87" s="566"/>
      <c r="I87" s="566"/>
      <c r="J87" s="566"/>
      <c r="K87" s="563"/>
      <c r="L87" s="564"/>
      <c r="M87" s="427"/>
      <c r="N87" s="427"/>
      <c r="O87" s="71"/>
      <c r="P87" s="1028"/>
      <c r="Q87" s="1031"/>
      <c r="R87" s="455"/>
      <c r="S87" s="456"/>
      <c r="T87" s="1050"/>
      <c r="U87" s="1050"/>
      <c r="V87" s="1050"/>
      <c r="W87" s="1050"/>
      <c r="X87" s="1050"/>
      <c r="Y87" s="1050"/>
      <c r="Z87" s="1050"/>
      <c r="AA87" s="1050"/>
      <c r="AB87" s="1050"/>
      <c r="AC87" s="1050"/>
      <c r="AE87" s="1028"/>
      <c r="AF87" s="1031"/>
      <c r="AG87" s="455"/>
      <c r="AH87" s="456"/>
      <c r="AI87" s="1050"/>
      <c r="AJ87" s="1050"/>
      <c r="AK87" s="1050"/>
      <c r="AL87" s="1050"/>
      <c r="AM87" s="1050"/>
      <c r="AN87" s="1050"/>
      <c r="AO87" s="1050"/>
      <c r="AP87" s="1050"/>
      <c r="AQ87" s="1050"/>
      <c r="AR87" s="1050"/>
    </row>
    <row r="88" spans="2:44" outlineLevel="1">
      <c r="B88" s="443"/>
      <c r="C88" s="457"/>
      <c r="D88" s="457"/>
      <c r="E88" s="457"/>
      <c r="F88" s="457"/>
      <c r="G88" s="459"/>
      <c r="H88" s="459"/>
      <c r="I88" s="459"/>
      <c r="J88" s="459"/>
      <c r="K88" s="432"/>
      <c r="L88" s="433"/>
      <c r="M88" s="423"/>
      <c r="N88" s="423"/>
      <c r="P88" s="1028"/>
      <c r="Q88" s="1031"/>
      <c r="R88" s="455"/>
      <c r="S88" s="456"/>
      <c r="T88" s="1050"/>
      <c r="U88" s="1050"/>
      <c r="V88" s="1050"/>
      <c r="W88" s="1050"/>
      <c r="X88" s="1050"/>
      <c r="Y88" s="1050"/>
      <c r="Z88" s="1050"/>
      <c r="AA88" s="1050"/>
      <c r="AB88" s="1050"/>
      <c r="AC88" s="1050"/>
      <c r="AE88" s="1028"/>
      <c r="AF88" s="1031"/>
      <c r="AG88" s="455"/>
      <c r="AH88" s="456"/>
      <c r="AI88" s="1050"/>
      <c r="AJ88" s="1050"/>
      <c r="AK88" s="1050"/>
      <c r="AL88" s="1050"/>
      <c r="AM88" s="1050"/>
      <c r="AN88" s="1050"/>
      <c r="AO88" s="1050"/>
      <c r="AP88" s="1050"/>
      <c r="AQ88" s="1050"/>
      <c r="AR88" s="1050"/>
    </row>
    <row r="89" spans="2:44" ht="15" outlineLevel="1" thickBot="1">
      <c r="B89" s="560"/>
      <c r="C89" s="566"/>
      <c r="D89" s="566"/>
      <c r="E89" s="566"/>
      <c r="F89" s="566"/>
      <c r="G89" s="566"/>
      <c r="H89" s="566"/>
      <c r="I89" s="566"/>
      <c r="J89" s="566"/>
      <c r="K89" s="432"/>
      <c r="L89" s="460"/>
      <c r="M89" s="423"/>
      <c r="N89" s="423"/>
      <c r="P89" s="1028"/>
      <c r="Q89" s="1031"/>
      <c r="R89" s="455"/>
      <c r="S89" s="456"/>
      <c r="T89" s="1050"/>
      <c r="U89" s="1050"/>
      <c r="V89" s="1050"/>
      <c r="W89" s="1050"/>
      <c r="X89" s="1050"/>
      <c r="Y89" s="1050"/>
      <c r="Z89" s="1050"/>
      <c r="AA89" s="1050"/>
      <c r="AB89" s="1050"/>
      <c r="AC89" s="1050"/>
      <c r="AE89" s="1028"/>
      <c r="AF89" s="1031"/>
      <c r="AG89" s="455"/>
      <c r="AH89" s="456"/>
      <c r="AI89" s="1050"/>
      <c r="AJ89" s="1050"/>
      <c r="AK89" s="1050"/>
      <c r="AL89" s="1050"/>
      <c r="AM89" s="1050"/>
      <c r="AN89" s="1050"/>
      <c r="AO89" s="1050"/>
      <c r="AP89" s="1050"/>
      <c r="AQ89" s="1050"/>
      <c r="AR89" s="1050"/>
    </row>
    <row r="90" spans="2:44" ht="15" outlineLevel="1" thickBot="1">
      <c r="B90" s="461"/>
      <c r="C90" s="462"/>
      <c r="D90" s="463"/>
      <c r="E90" s="464"/>
      <c r="F90" s="465"/>
      <c r="G90" s="466"/>
      <c r="H90" s="466"/>
      <c r="I90" s="466"/>
      <c r="J90" s="466"/>
      <c r="K90" s="467"/>
      <c r="L90" s="468"/>
      <c r="M90" s="423"/>
      <c r="N90" s="423"/>
      <c r="P90" s="1028"/>
      <c r="Q90" s="1031"/>
      <c r="R90" s="469"/>
      <c r="S90" s="470"/>
      <c r="T90" s="1051"/>
      <c r="U90" s="1051"/>
      <c r="V90" s="1051"/>
      <c r="W90" s="1051"/>
      <c r="X90" s="1051"/>
      <c r="Y90" s="1051"/>
      <c r="Z90" s="1051"/>
      <c r="AA90" s="1051"/>
      <c r="AB90" s="1051"/>
      <c r="AC90" s="1051"/>
      <c r="AE90" s="1028"/>
      <c r="AF90" s="1031"/>
      <c r="AG90" s="469"/>
      <c r="AH90" s="470"/>
      <c r="AI90" s="1051"/>
      <c r="AJ90" s="1051"/>
      <c r="AK90" s="1051"/>
      <c r="AL90" s="1051"/>
      <c r="AM90" s="1051"/>
      <c r="AN90" s="1051"/>
      <c r="AO90" s="1051"/>
      <c r="AP90" s="1051"/>
      <c r="AQ90" s="1051"/>
      <c r="AR90" s="1051"/>
    </row>
    <row r="91" spans="2:44" ht="15" outlineLevel="1" thickBot="1">
      <c r="B91" s="560"/>
      <c r="C91" s="566"/>
      <c r="D91" s="566"/>
      <c r="E91" s="566"/>
      <c r="F91" s="566"/>
      <c r="G91" s="567"/>
      <c r="H91" s="567"/>
      <c r="I91" s="567"/>
      <c r="J91" s="567"/>
      <c r="K91" s="563"/>
      <c r="L91" s="564"/>
      <c r="M91" s="423"/>
      <c r="N91" s="423"/>
      <c r="P91" s="1029"/>
      <c r="Q91" s="471"/>
      <c r="R91" s="472"/>
      <c r="S91" s="473"/>
      <c r="T91" s="474"/>
      <c r="U91" s="475"/>
      <c r="V91" s="476"/>
      <c r="W91" s="475"/>
      <c r="X91" s="476"/>
      <c r="Y91" s="475"/>
      <c r="Z91" s="476"/>
      <c r="AA91" s="475"/>
      <c r="AB91" s="476"/>
      <c r="AC91" s="477"/>
      <c r="AE91" s="1029"/>
      <c r="AF91" s="471"/>
      <c r="AG91" s="472"/>
      <c r="AH91" s="473"/>
      <c r="AI91" s="474"/>
      <c r="AJ91" s="475"/>
      <c r="AK91" s="474"/>
      <c r="AL91" s="475"/>
      <c r="AM91" s="474"/>
      <c r="AN91" s="475"/>
      <c r="AO91" s="474"/>
      <c r="AP91" s="475"/>
      <c r="AQ91" s="474"/>
      <c r="AR91" s="477"/>
    </row>
    <row r="92" spans="2:44" outlineLevel="1">
      <c r="B92" s="560"/>
      <c r="C92" s="566"/>
      <c r="D92" s="566"/>
      <c r="E92" s="566"/>
      <c r="F92" s="566"/>
      <c r="G92" s="569"/>
      <c r="H92" s="569"/>
      <c r="I92" s="569"/>
      <c r="J92" s="569"/>
      <c r="K92" s="570"/>
      <c r="L92" s="564"/>
      <c r="M92" s="423"/>
      <c r="N92" s="423"/>
    </row>
    <row r="93" spans="2:44" outlineLevel="1">
      <c r="B93" s="560"/>
      <c r="C93" s="566"/>
      <c r="D93" s="566"/>
      <c r="E93" s="566"/>
      <c r="F93" s="566"/>
      <c r="G93" s="569"/>
      <c r="H93" s="569"/>
      <c r="I93" s="569"/>
      <c r="J93" s="569"/>
      <c r="K93" s="570"/>
      <c r="L93" s="564"/>
      <c r="M93" s="480"/>
      <c r="N93" s="423"/>
    </row>
    <row r="94" spans="2:44" outlineLevel="1">
      <c r="B94" s="481"/>
      <c r="C94" s="459"/>
      <c r="D94" s="459"/>
      <c r="E94" s="459"/>
      <c r="F94" s="459"/>
      <c r="G94" s="482"/>
      <c r="H94" s="482"/>
      <c r="I94" s="482"/>
      <c r="J94" s="482"/>
      <c r="K94" s="483"/>
      <c r="L94" s="484"/>
      <c r="M94" s="480"/>
      <c r="N94" s="480"/>
    </row>
    <row r="95" spans="2:44" outlineLevel="1">
      <c r="B95" s="443"/>
      <c r="C95" s="457"/>
      <c r="D95" s="457"/>
      <c r="E95" s="457"/>
      <c r="F95" s="457"/>
      <c r="G95" s="482"/>
      <c r="H95" s="485"/>
      <c r="I95" s="485"/>
      <c r="J95" s="485"/>
      <c r="K95" s="486"/>
      <c r="L95" s="487"/>
      <c r="M95" s="488"/>
      <c r="N95" s="488"/>
    </row>
    <row r="96" spans="2:44" outlineLevel="1">
      <c r="B96" s="443"/>
      <c r="C96" s="457"/>
      <c r="D96" s="457"/>
      <c r="E96" s="457"/>
      <c r="F96" s="457"/>
      <c r="G96" s="485"/>
      <c r="H96" s="485"/>
      <c r="I96" s="485"/>
      <c r="J96" s="485"/>
      <c r="K96" s="483"/>
      <c r="L96" s="487"/>
      <c r="M96" s="488"/>
      <c r="N96" s="488"/>
    </row>
    <row r="97" spans="1:30" outlineLevel="1">
      <c r="B97" s="443"/>
      <c r="C97" s="457"/>
      <c r="D97" s="457"/>
      <c r="E97" s="457"/>
      <c r="F97" s="457"/>
      <c r="G97" s="485"/>
      <c r="H97" s="485"/>
      <c r="I97" s="485"/>
      <c r="J97" s="485"/>
      <c r="K97" s="483"/>
      <c r="L97" s="487"/>
      <c r="M97" s="488"/>
      <c r="N97" s="488"/>
    </row>
    <row r="98" spans="1:30" outlineLevel="1">
      <c r="B98" s="443"/>
      <c r="C98" s="457"/>
      <c r="D98" s="457"/>
      <c r="E98" s="457"/>
      <c r="F98" s="457"/>
      <c r="G98" s="485"/>
      <c r="H98" s="485"/>
      <c r="I98" s="485"/>
      <c r="J98" s="485"/>
      <c r="K98" s="483"/>
      <c r="L98" s="487"/>
      <c r="M98" s="488"/>
      <c r="N98" s="488"/>
    </row>
    <row r="99" spans="1:30" ht="15" outlineLevel="1" thickBot="1">
      <c r="B99" s="489"/>
      <c r="C99" s="490"/>
      <c r="D99" s="490"/>
      <c r="E99" s="490"/>
      <c r="F99" s="490"/>
      <c r="G99" s="485"/>
      <c r="H99" s="485"/>
      <c r="I99" s="485"/>
      <c r="J99" s="485"/>
      <c r="K99" s="483"/>
      <c r="L99" s="487"/>
      <c r="M99" s="488"/>
      <c r="N99" s="488"/>
    </row>
    <row r="100" spans="1:30" ht="15" outlineLevel="1" thickBot="1">
      <c r="B100" s="491"/>
      <c r="C100" s="492"/>
      <c r="D100" s="463"/>
      <c r="E100" s="463"/>
      <c r="F100" s="493"/>
      <c r="G100" s="494"/>
      <c r="H100" s="466"/>
      <c r="I100" s="466"/>
      <c r="J100" s="466"/>
      <c r="K100" s="467"/>
      <c r="L100" s="468"/>
      <c r="M100" s="488"/>
      <c r="N100" s="488"/>
    </row>
    <row r="101" spans="1:30" outlineLevel="1">
      <c r="A101" s="495"/>
      <c r="B101" s="496"/>
      <c r="C101" s="571"/>
      <c r="D101" s="572"/>
      <c r="E101" s="572"/>
      <c r="F101" s="573"/>
      <c r="G101" s="485"/>
      <c r="H101" s="485"/>
      <c r="I101" s="485"/>
      <c r="J101" s="485"/>
      <c r="K101" s="486"/>
      <c r="L101" s="500"/>
      <c r="M101" s="480"/>
      <c r="N101" s="480"/>
    </row>
    <row r="102" spans="1:30" outlineLevel="1">
      <c r="B102" s="501"/>
      <c r="C102" s="502"/>
      <c r="D102" s="502"/>
      <c r="E102" s="502"/>
      <c r="F102" s="502"/>
      <c r="G102" s="485"/>
      <c r="H102" s="485"/>
      <c r="I102" s="485"/>
      <c r="J102" s="485"/>
      <c r="K102" s="504"/>
      <c r="L102" s="433"/>
      <c r="M102" s="71"/>
      <c r="N102" s="480"/>
    </row>
    <row r="103" spans="1:30" outlineLevel="1">
      <c r="B103" s="501"/>
      <c r="C103" s="502"/>
      <c r="D103" s="502"/>
      <c r="E103" s="502"/>
      <c r="F103" s="502"/>
      <c r="G103" s="485"/>
      <c r="H103" s="485"/>
      <c r="I103" s="485"/>
      <c r="J103" s="485"/>
      <c r="K103" s="504"/>
      <c r="L103" s="433"/>
      <c r="M103" s="480"/>
      <c r="N103" s="480"/>
    </row>
    <row r="104" spans="1:30" outlineLevel="1">
      <c r="B104" s="443"/>
      <c r="C104" s="505"/>
      <c r="D104" s="506"/>
      <c r="E104" s="506"/>
      <c r="F104" s="507"/>
      <c r="G104" s="485"/>
      <c r="H104" s="485"/>
      <c r="I104" s="485"/>
      <c r="J104" s="485"/>
      <c r="K104" s="508"/>
      <c r="L104" s="433"/>
      <c r="M104" s="480"/>
      <c r="N104" s="480"/>
    </row>
    <row r="105" spans="1:30" outlineLevel="1">
      <c r="B105" s="443"/>
      <c r="C105" s="509"/>
      <c r="D105" s="509"/>
      <c r="E105" s="509"/>
      <c r="F105" s="509"/>
      <c r="G105" s="485"/>
      <c r="H105" s="485"/>
      <c r="I105" s="485"/>
      <c r="J105" s="485"/>
      <c r="K105" s="508"/>
      <c r="L105" s="433"/>
      <c r="M105" s="510"/>
      <c r="N105" s="421"/>
      <c r="P105" s="999"/>
      <c r="Q105" s="977"/>
      <c r="R105" s="977"/>
      <c r="S105" s="977"/>
      <c r="T105" s="977"/>
      <c r="U105" s="1000"/>
    </row>
    <row r="106" spans="1:30" ht="15" outlineLevel="1" thickBot="1">
      <c r="B106" s="560"/>
      <c r="C106" s="574"/>
      <c r="D106" s="574"/>
      <c r="E106" s="574"/>
      <c r="F106" s="574"/>
      <c r="G106" s="575"/>
      <c r="H106" s="575"/>
      <c r="I106" s="575"/>
      <c r="J106" s="575"/>
      <c r="K106" s="563"/>
      <c r="L106" s="564"/>
      <c r="M106" s="510"/>
      <c r="N106" s="421"/>
      <c r="P106" s="1001"/>
      <c r="Q106" s="1002"/>
      <c r="R106" s="1002"/>
      <c r="S106" s="1002"/>
      <c r="T106" s="1002"/>
      <c r="U106" s="1003"/>
    </row>
    <row r="107" spans="1:30" outlineLevel="1">
      <c r="B107" s="560"/>
      <c r="C107" s="576"/>
      <c r="D107" s="576"/>
      <c r="E107" s="576"/>
      <c r="F107" s="576"/>
      <c r="G107" s="575"/>
      <c r="H107" s="575"/>
      <c r="I107" s="575"/>
      <c r="J107" s="575"/>
      <c r="K107" s="577"/>
      <c r="L107" s="564"/>
      <c r="M107" s="423"/>
      <c r="N107" s="423"/>
      <c r="P107" s="53"/>
    </row>
    <row r="108" spans="1:30" outlineLevel="1">
      <c r="B108" s="501"/>
      <c r="C108" s="578"/>
      <c r="D108" s="578"/>
      <c r="E108" s="578"/>
      <c r="F108" s="578"/>
      <c r="G108" s="485"/>
      <c r="H108" s="485"/>
      <c r="I108" s="485"/>
      <c r="J108" s="485"/>
      <c r="K108" s="504"/>
      <c r="L108" s="484"/>
      <c r="M108" s="427"/>
      <c r="N108" s="427"/>
      <c r="P108" s="46"/>
      <c r="Q108" s="46"/>
      <c r="R108" s="47"/>
      <c r="S108" s="47"/>
      <c r="T108" s="47"/>
      <c r="U108" s="48"/>
      <c r="V108" s="49"/>
      <c r="W108" s="49"/>
      <c r="X108" s="49"/>
      <c r="Y108" s="49"/>
      <c r="Z108" s="49"/>
      <c r="AA108" s="49"/>
      <c r="AB108" s="49"/>
      <c r="AC108" s="49"/>
      <c r="AD108" s="49"/>
    </row>
    <row r="109" spans="1:30" ht="15" outlineLevel="1" thickBot="1">
      <c r="B109" s="579"/>
      <c r="C109" s="502"/>
      <c r="D109" s="580"/>
      <c r="E109" s="580"/>
      <c r="F109" s="581"/>
      <c r="G109" s="485"/>
      <c r="H109" s="485"/>
      <c r="I109" s="485"/>
      <c r="J109" s="485"/>
      <c r="K109" s="508"/>
      <c r="L109" s="484"/>
      <c r="M109" s="423"/>
      <c r="N109" s="423"/>
      <c r="P109" s="50"/>
      <c r="Q109" s="50"/>
      <c r="R109" s="51"/>
      <c r="S109" s="51"/>
      <c r="T109" s="51"/>
      <c r="U109" s="51"/>
      <c r="V109" s="50"/>
      <c r="W109" s="50"/>
      <c r="X109" s="50"/>
      <c r="Y109" s="50"/>
      <c r="Z109" s="50"/>
      <c r="AA109" s="50"/>
      <c r="AB109" s="50"/>
      <c r="AC109" s="50"/>
      <c r="AD109" s="50"/>
    </row>
    <row r="110" spans="1:30" ht="15" outlineLevel="1" thickBot="1">
      <c r="B110" s="461"/>
      <c r="C110" s="462"/>
      <c r="D110" s="463"/>
      <c r="E110" s="464"/>
      <c r="F110" s="465"/>
      <c r="G110" s="466"/>
      <c r="H110" s="466"/>
      <c r="I110" s="466"/>
      <c r="J110" s="466"/>
      <c r="K110" s="519"/>
      <c r="L110" s="520"/>
      <c r="M110" s="423"/>
      <c r="N110" s="423"/>
      <c r="O110" s="521"/>
      <c r="P110" s="56"/>
      <c r="Q110" s="56"/>
      <c r="R110" s="57"/>
      <c r="S110" s="57"/>
      <c r="T110" s="57"/>
      <c r="U110" s="56"/>
      <c r="V110" s="56"/>
      <c r="W110" s="56"/>
      <c r="X110" s="56"/>
      <c r="Y110" s="56"/>
      <c r="Z110" s="56"/>
      <c r="AA110" s="56"/>
      <c r="AB110" s="56"/>
      <c r="AC110" s="56"/>
      <c r="AD110" s="56"/>
    </row>
    <row r="111" spans="1:30" outlineLevel="1">
      <c r="B111" s="582"/>
      <c r="C111" s="583"/>
      <c r="D111" s="583"/>
      <c r="E111" s="583"/>
      <c r="F111" s="583"/>
      <c r="G111" s="584"/>
      <c r="H111" s="584"/>
      <c r="I111" s="584"/>
      <c r="J111" s="584"/>
      <c r="K111" s="584"/>
      <c r="L111" s="585"/>
      <c r="M111" s="423"/>
      <c r="N111" s="423"/>
      <c r="O111" s="525"/>
      <c r="P111" s="526"/>
      <c r="Q111" s="58"/>
      <c r="R111" s="526"/>
      <c r="S111" s="58"/>
      <c r="T111" s="526"/>
      <c r="U111" s="527"/>
      <c r="V111" s="527"/>
      <c r="W111" s="527"/>
      <c r="X111" s="58"/>
      <c r="Y111" s="58"/>
      <c r="Z111" s="526"/>
      <c r="AA111" s="528"/>
      <c r="AB111" s="528"/>
      <c r="AC111" s="528"/>
      <c r="AD111" s="528"/>
    </row>
    <row r="112" spans="1:30" outlineLevel="1">
      <c r="B112" s="560"/>
      <c r="C112" s="586"/>
      <c r="D112" s="587"/>
      <c r="E112" s="587"/>
      <c r="F112" s="588"/>
      <c r="G112" s="588"/>
      <c r="H112" s="588"/>
      <c r="I112" s="588"/>
      <c r="J112" s="588"/>
      <c r="K112" s="589"/>
      <c r="L112" s="585"/>
      <c r="M112" s="423"/>
      <c r="N112" s="423"/>
      <c r="O112" s="525"/>
      <c r="P112" s="526"/>
      <c r="Q112" s="58"/>
      <c r="R112" s="526"/>
      <c r="S112" s="58"/>
      <c r="T112" s="526"/>
      <c r="U112" s="527"/>
      <c r="V112" s="527"/>
      <c r="W112" s="527"/>
      <c r="X112" s="58"/>
      <c r="Y112" s="58"/>
      <c r="Z112" s="526"/>
      <c r="AA112" s="528"/>
      <c r="AB112" s="528"/>
      <c r="AC112" s="528"/>
      <c r="AD112" s="528"/>
    </row>
    <row r="113" spans="2:30" outlineLevel="1">
      <c r="B113" s="560"/>
      <c r="C113" s="586"/>
      <c r="D113" s="587"/>
      <c r="E113" s="587"/>
      <c r="F113" s="588"/>
      <c r="G113" s="575"/>
      <c r="H113" s="575"/>
      <c r="I113" s="575"/>
      <c r="J113" s="575"/>
      <c r="K113" s="575"/>
      <c r="L113" s="564"/>
      <c r="M113" s="423"/>
      <c r="N113" s="423"/>
      <c r="O113" s="525"/>
      <c r="P113" s="526"/>
      <c r="Q113" s="58"/>
      <c r="R113" s="526"/>
      <c r="S113" s="58"/>
      <c r="T113" s="526"/>
      <c r="U113" s="527"/>
      <c r="V113" s="527"/>
      <c r="W113" s="527"/>
      <c r="X113" s="58"/>
      <c r="Y113" s="58"/>
      <c r="Z113" s="526"/>
      <c r="AA113" s="528"/>
      <c r="AB113" s="528"/>
      <c r="AC113" s="528"/>
      <c r="AD113" s="528"/>
    </row>
    <row r="114" spans="2:30" outlineLevel="1">
      <c r="B114" s="560"/>
      <c r="C114" s="590"/>
      <c r="D114" s="590"/>
      <c r="E114" s="590"/>
      <c r="F114" s="590"/>
      <c r="G114" s="591"/>
      <c r="H114" s="591"/>
      <c r="I114" s="591"/>
      <c r="J114" s="591"/>
      <c r="K114" s="591"/>
      <c r="L114" s="564"/>
      <c r="M114" s="423"/>
      <c r="N114" s="423"/>
      <c r="O114" s="525"/>
      <c r="P114" s="526"/>
      <c r="Q114" s="58"/>
      <c r="R114" s="526"/>
      <c r="S114" s="58"/>
      <c r="T114" s="526"/>
      <c r="U114" s="527"/>
      <c r="V114" s="527"/>
      <c r="W114" s="527"/>
      <c r="X114" s="58"/>
      <c r="Y114" s="58"/>
      <c r="Z114" s="526"/>
      <c r="AA114" s="528"/>
      <c r="AB114" s="528"/>
      <c r="AC114" s="528"/>
      <c r="AD114" s="528"/>
    </row>
    <row r="115" spans="2:30" outlineLevel="1">
      <c r="B115" s="592"/>
      <c r="C115" s="586"/>
      <c r="D115" s="587"/>
      <c r="E115" s="587"/>
      <c r="F115" s="588"/>
      <c r="G115" s="591"/>
      <c r="H115" s="591"/>
      <c r="I115" s="591"/>
      <c r="J115" s="591"/>
      <c r="K115" s="591"/>
      <c r="L115" s="593"/>
      <c r="M115" s="427"/>
      <c r="N115" s="427"/>
    </row>
    <row r="116" spans="2:30" outlineLevel="1">
      <c r="B116" s="592"/>
      <c r="C116" s="586"/>
      <c r="D116" s="587"/>
      <c r="E116" s="587"/>
      <c r="F116" s="588"/>
      <c r="G116" s="591"/>
      <c r="H116" s="591"/>
      <c r="I116" s="591"/>
      <c r="J116" s="591"/>
      <c r="K116" s="591"/>
      <c r="L116" s="593"/>
      <c r="M116" s="423"/>
      <c r="N116" s="423"/>
    </row>
    <row r="117" spans="2:30" ht="15" outlineLevel="1" thickBot="1">
      <c r="B117" s="594"/>
      <c r="C117" s="595"/>
      <c r="D117" s="596"/>
      <c r="E117" s="596"/>
      <c r="F117" s="597"/>
      <c r="G117" s="598"/>
      <c r="H117" s="598"/>
      <c r="I117" s="598"/>
      <c r="J117" s="598"/>
      <c r="K117" s="598"/>
      <c r="L117" s="599"/>
      <c r="M117" s="423"/>
      <c r="N117" s="423"/>
    </row>
    <row r="118" spans="2:30" outlineLevel="1">
      <c r="B118" s="521"/>
      <c r="C118" s="543"/>
      <c r="D118" s="543"/>
      <c r="E118" s="543"/>
      <c r="F118" s="543"/>
      <c r="G118" s="543"/>
      <c r="H118" s="544"/>
      <c r="I118" s="480"/>
      <c r="J118" s="480"/>
      <c r="K118" s="544"/>
      <c r="L118" s="544"/>
      <c r="N118" s="480"/>
    </row>
    <row r="119" spans="2:30" outlineLevel="1">
      <c r="B119" s="545"/>
      <c r="C119" s="546"/>
      <c r="D119" s="546"/>
      <c r="E119" s="546"/>
      <c r="F119" s="546"/>
      <c r="G119" s="546"/>
      <c r="H119" s="544"/>
      <c r="I119" s="71"/>
      <c r="J119" s="480"/>
      <c r="K119" s="544"/>
      <c r="L119" s="544"/>
      <c r="N119" s="480"/>
    </row>
    <row r="120" spans="2:30" outlineLevel="1">
      <c r="B120" s="521"/>
      <c r="C120" s="419"/>
      <c r="D120" s="419"/>
      <c r="E120" s="419"/>
      <c r="F120" s="419"/>
      <c r="G120" s="419"/>
      <c r="I120" s="480"/>
      <c r="J120" s="480"/>
      <c r="N120" s="480"/>
    </row>
    <row r="121" spans="2:30" outlineLevel="1">
      <c r="B121" s="521"/>
      <c r="C121" s="547"/>
      <c r="D121" s="547"/>
      <c r="E121" s="547"/>
      <c r="F121" s="547"/>
      <c r="G121" s="419"/>
      <c r="M121" s="480"/>
      <c r="N121" s="480"/>
    </row>
    <row r="122" spans="2:30" outlineLevel="1"/>
    <row r="123" spans="2:30" outlineLevel="1"/>
    <row r="124" spans="2:30" outlineLevel="1"/>
    <row r="125" spans="2:30" outlineLevel="1"/>
    <row r="126" spans="2:30" outlineLevel="1">
      <c r="B126" s="548"/>
      <c r="C126" s="549"/>
      <c r="D126" s="550"/>
      <c r="E126" s="550"/>
      <c r="F126" s="550"/>
    </row>
    <row r="127" spans="2:30" outlineLevel="1">
      <c r="B127" s="551"/>
      <c r="C127" s="552"/>
      <c r="E127" s="550"/>
      <c r="F127" s="550"/>
    </row>
    <row r="128" spans="2:30" outlineLevel="1">
      <c r="B128" s="551"/>
      <c r="C128" s="553"/>
      <c r="E128" s="550"/>
      <c r="F128" s="550"/>
    </row>
    <row r="129" spans="2:6" outlineLevel="1">
      <c r="B129" s="551"/>
      <c r="C129" s="553"/>
      <c r="E129" s="550"/>
      <c r="F129" s="550"/>
    </row>
    <row r="130" spans="2:6" outlineLevel="1">
      <c r="B130" s="551"/>
      <c r="C130" s="553"/>
      <c r="E130" s="550"/>
      <c r="F130" s="550"/>
    </row>
    <row r="131" spans="2:6" outlineLevel="1">
      <c r="B131" s="417"/>
      <c r="C131" s="554"/>
      <c r="D131" s="550"/>
      <c r="E131" s="550"/>
      <c r="F131" s="550"/>
    </row>
    <row r="132" spans="2:6" outlineLevel="1">
      <c r="B132" s="417"/>
      <c r="C132" s="552"/>
      <c r="D132" s="550"/>
      <c r="E132" s="550"/>
      <c r="F132" s="550"/>
    </row>
    <row r="133" spans="2:6" outlineLevel="1">
      <c r="B133" s="417"/>
      <c r="C133" s="555"/>
      <c r="D133" s="550"/>
      <c r="E133" s="550"/>
      <c r="F133" s="550"/>
    </row>
    <row r="134" spans="2:6" outlineLevel="1">
      <c r="B134" s="417"/>
      <c r="C134" s="555"/>
      <c r="D134" s="550"/>
      <c r="E134" s="550"/>
      <c r="F134" s="550"/>
    </row>
    <row r="135" spans="2:6" outlineLevel="1">
      <c r="B135" s="417"/>
      <c r="C135" s="549"/>
      <c r="D135" s="550"/>
      <c r="E135" s="550"/>
      <c r="F135" s="550"/>
    </row>
    <row r="136" spans="2:6" outlineLevel="1">
      <c r="B136" s="417"/>
      <c r="C136" s="550"/>
      <c r="D136" s="550"/>
      <c r="E136" s="550"/>
      <c r="F136" s="550"/>
    </row>
    <row r="137" spans="2:6" outlineLevel="1">
      <c r="B137" s="548"/>
      <c r="C137" s="549"/>
      <c r="D137" s="550"/>
      <c r="E137" s="550"/>
      <c r="F137" s="550"/>
    </row>
    <row r="138" spans="2:6" outlineLevel="1">
      <c r="B138" s="556"/>
      <c r="C138" s="557"/>
      <c r="E138" s="550"/>
      <c r="F138" s="550"/>
    </row>
    <row r="139" spans="2:6" outlineLevel="1">
      <c r="B139" s="556" t="s">
        <v>59</v>
      </c>
      <c r="C139" s="549" t="s">
        <v>910</v>
      </c>
      <c r="E139" s="550"/>
      <c r="F139" s="550"/>
    </row>
    <row r="140" spans="2:6" outlineLevel="1">
      <c r="B140" s="556" t="s">
        <v>16</v>
      </c>
      <c r="C140" s="549" t="s">
        <v>911</v>
      </c>
      <c r="E140" s="550"/>
      <c r="F140" s="550"/>
    </row>
    <row r="141" spans="2:6" outlineLevel="1">
      <c r="B141" s="556" t="s">
        <v>20</v>
      </c>
      <c r="C141" s="549" t="s">
        <v>912</v>
      </c>
      <c r="E141" s="550"/>
      <c r="F141" s="550"/>
    </row>
    <row r="142" spans="2:6" outlineLevel="1">
      <c r="B142" s="556" t="s">
        <v>76</v>
      </c>
      <c r="C142" s="558" t="s">
        <v>913</v>
      </c>
      <c r="E142" s="550"/>
      <c r="F142" s="550"/>
    </row>
    <row r="143" spans="2:6" outlineLevel="1">
      <c r="B143" s="556" t="s">
        <v>25</v>
      </c>
      <c r="C143" s="549" t="s">
        <v>914</v>
      </c>
      <c r="E143" s="550"/>
      <c r="F143" s="550"/>
    </row>
    <row r="144" spans="2:6" outlineLevel="1"/>
    <row r="145" spans="1:44" outlineLevel="1">
      <c r="M145" s="226"/>
    </row>
    <row r="146" spans="1:44" outlineLevel="1"/>
    <row r="149" spans="1:44">
      <c r="A149" s="420"/>
      <c r="B149" s="976"/>
      <c r="C149" s="977"/>
      <c r="D149" s="977"/>
      <c r="E149" s="977"/>
      <c r="F149" s="977"/>
      <c r="G149" s="977"/>
      <c r="H149" s="977"/>
      <c r="I149" s="977"/>
      <c r="J149" s="977"/>
      <c r="K149" s="977"/>
      <c r="L149" s="977"/>
      <c r="M149" s="977"/>
      <c r="N149" s="421"/>
      <c r="P149" s="977"/>
      <c r="Q149" s="977"/>
      <c r="R149" s="977"/>
      <c r="S149" s="977"/>
      <c r="T149" s="977"/>
      <c r="U149" s="977"/>
    </row>
    <row r="150" spans="1:44" ht="15" outlineLevel="1" thickBot="1">
      <c r="B150" s="976"/>
      <c r="C150" s="977"/>
      <c r="D150" s="977"/>
      <c r="E150" s="977"/>
      <c r="F150" s="977"/>
      <c r="G150" s="977"/>
      <c r="H150" s="977"/>
      <c r="I150" s="977"/>
      <c r="J150" s="977"/>
      <c r="K150" s="977"/>
      <c r="L150" s="977"/>
      <c r="M150" s="977"/>
      <c r="N150" s="421"/>
      <c r="P150" s="977"/>
      <c r="Q150" s="977"/>
      <c r="R150" s="977"/>
      <c r="S150" s="977"/>
      <c r="T150" s="977"/>
      <c r="U150" s="977"/>
    </row>
    <row r="151" spans="1:44" ht="20.7" customHeight="1" outlineLevel="1" thickBot="1">
      <c r="B151" s="422"/>
      <c r="C151" s="1043"/>
      <c r="D151" s="1019"/>
      <c r="E151" s="1019"/>
      <c r="F151" s="1019"/>
      <c r="G151" s="1019"/>
      <c r="H151" s="1019"/>
      <c r="I151" s="1019"/>
      <c r="J151" s="1019"/>
      <c r="K151" s="1019"/>
      <c r="L151" s="1020"/>
      <c r="M151" s="423"/>
      <c r="N151" s="423"/>
      <c r="P151" s="424"/>
      <c r="Q151" s="425"/>
      <c r="R151" s="426"/>
      <c r="S151" s="985"/>
      <c r="T151" s="989"/>
      <c r="U151" s="990"/>
      <c r="V151" s="989"/>
      <c r="W151" s="990"/>
      <c r="X151" s="989"/>
      <c r="Y151" s="990"/>
      <c r="Z151" s="989"/>
      <c r="AA151" s="990"/>
      <c r="AB151" s="989"/>
      <c r="AC151" s="990"/>
      <c r="AE151" s="424"/>
      <c r="AF151" s="425"/>
      <c r="AG151" s="426"/>
      <c r="AH151" s="985"/>
      <c r="AI151" s="989"/>
      <c r="AJ151" s="990"/>
      <c r="AK151" s="989"/>
      <c r="AL151" s="990"/>
      <c r="AM151" s="989"/>
      <c r="AN151" s="990"/>
      <c r="AO151" s="989"/>
      <c r="AP151" s="990"/>
      <c r="AQ151" s="989"/>
      <c r="AR151" s="990"/>
    </row>
    <row r="152" spans="1:44" ht="15" customHeight="1" outlineLevel="1" thickBot="1">
      <c r="B152" s="1010"/>
      <c r="C152" s="1012"/>
      <c r="D152" s="1012"/>
      <c r="E152" s="1012"/>
      <c r="F152" s="1012"/>
      <c r="G152" s="1057"/>
      <c r="H152" s="1058"/>
      <c r="I152" s="1057"/>
      <c r="J152" s="1058"/>
      <c r="K152" s="1046"/>
      <c r="L152" s="1046"/>
      <c r="M152" s="427"/>
      <c r="N152" s="427"/>
      <c r="P152" s="993"/>
      <c r="Q152" s="428"/>
      <c r="R152" s="428"/>
      <c r="S152" s="986"/>
      <c r="T152" s="991"/>
      <c r="U152" s="992"/>
      <c r="V152" s="991"/>
      <c r="W152" s="992"/>
      <c r="X152" s="991"/>
      <c r="Y152" s="992"/>
      <c r="Z152" s="991"/>
      <c r="AA152" s="992"/>
      <c r="AB152" s="991"/>
      <c r="AC152" s="992"/>
      <c r="AE152" s="993"/>
      <c r="AF152" s="428"/>
      <c r="AG152" s="428"/>
      <c r="AH152" s="986"/>
      <c r="AI152" s="991"/>
      <c r="AJ152" s="992"/>
      <c r="AK152" s="991"/>
      <c r="AL152" s="992"/>
      <c r="AM152" s="991"/>
      <c r="AN152" s="992"/>
      <c r="AO152" s="991"/>
      <c r="AP152" s="992"/>
      <c r="AQ152" s="991"/>
      <c r="AR152" s="992"/>
    </row>
    <row r="153" spans="1:44" ht="15" customHeight="1" outlineLevel="1" thickBot="1">
      <c r="B153" s="1011"/>
      <c r="C153" s="1013"/>
      <c r="D153" s="1013"/>
      <c r="E153" s="1013"/>
      <c r="F153" s="1013"/>
      <c r="G153" s="600"/>
      <c r="H153" s="600"/>
      <c r="I153" s="600"/>
      <c r="J153" s="600"/>
      <c r="K153" s="1047"/>
      <c r="L153" s="1047"/>
      <c r="M153" s="430"/>
      <c r="N153" s="430"/>
      <c r="P153" s="994"/>
      <c r="Q153" s="996"/>
      <c r="R153" s="997"/>
      <c r="S153" s="987"/>
      <c r="T153" s="991"/>
      <c r="U153" s="992"/>
      <c r="V153" s="991"/>
      <c r="W153" s="992"/>
      <c r="X153" s="991"/>
      <c r="Y153" s="992"/>
      <c r="Z153" s="991"/>
      <c r="AA153" s="992"/>
      <c r="AB153" s="991"/>
      <c r="AC153" s="992"/>
      <c r="AE153" s="994"/>
      <c r="AF153" s="1040"/>
      <c r="AG153" s="997"/>
      <c r="AH153" s="987"/>
      <c r="AI153" s="991"/>
      <c r="AJ153" s="992"/>
      <c r="AK153" s="991"/>
      <c r="AL153" s="992"/>
      <c r="AM153" s="991"/>
      <c r="AN153" s="992"/>
      <c r="AO153" s="991"/>
      <c r="AP153" s="992"/>
      <c r="AQ153" s="991"/>
      <c r="AR153" s="992"/>
    </row>
    <row r="154" spans="1:44" ht="15" outlineLevel="1" thickBot="1">
      <c r="B154" s="431"/>
      <c r="C154" s="432"/>
      <c r="D154" s="432"/>
      <c r="E154" s="432"/>
      <c r="F154" s="432"/>
      <c r="G154" s="432"/>
      <c r="H154" s="432"/>
      <c r="I154" s="432"/>
      <c r="J154" s="432"/>
      <c r="K154" s="432"/>
      <c r="L154" s="433"/>
      <c r="M154" s="430"/>
      <c r="N154" s="430"/>
      <c r="O154" s="74"/>
      <c r="P154" s="995"/>
      <c r="Q154" s="988"/>
      <c r="R154" s="998"/>
      <c r="S154" s="988"/>
      <c r="T154" s="434"/>
      <c r="U154" s="435"/>
      <c r="V154" s="434"/>
      <c r="W154" s="435"/>
      <c r="X154" s="434"/>
      <c r="Y154" s="435"/>
      <c r="Z154" s="434"/>
      <c r="AA154" s="435"/>
      <c r="AB154" s="434"/>
      <c r="AC154" s="435"/>
      <c r="AE154" s="995"/>
      <c r="AF154" s="1041"/>
      <c r="AG154" s="998"/>
      <c r="AH154" s="988"/>
      <c r="AI154" s="434"/>
      <c r="AJ154" s="435"/>
      <c r="AK154" s="434"/>
      <c r="AL154" s="435"/>
      <c r="AM154" s="434"/>
      <c r="AN154" s="435"/>
      <c r="AO154" s="434"/>
      <c r="AP154" s="435"/>
      <c r="AQ154" s="434"/>
      <c r="AR154" s="435"/>
    </row>
    <row r="155" spans="1:44" ht="14.7" customHeight="1" outlineLevel="1">
      <c r="B155" s="601"/>
      <c r="C155" s="602"/>
      <c r="D155" s="602"/>
      <c r="E155" s="603"/>
      <c r="F155" s="602"/>
      <c r="G155" s="602"/>
      <c r="H155" s="602"/>
      <c r="I155" s="602"/>
      <c r="J155" s="602"/>
      <c r="K155" s="432"/>
      <c r="L155" s="433"/>
      <c r="M155" s="430"/>
      <c r="N155" s="430"/>
      <c r="P155" s="1027"/>
      <c r="Q155" s="1030"/>
      <c r="R155" s="441"/>
      <c r="S155" s="442"/>
      <c r="T155" s="1033"/>
      <c r="U155" s="1021"/>
      <c r="V155" s="1033"/>
      <c r="W155" s="1021"/>
      <c r="X155" s="1033"/>
      <c r="Y155" s="1021"/>
      <c r="Z155" s="1033"/>
      <c r="AA155" s="1021"/>
      <c r="AB155" s="1033"/>
      <c r="AC155" s="1021"/>
      <c r="AE155" s="1027"/>
      <c r="AF155" s="1030"/>
      <c r="AG155" s="441"/>
      <c r="AH155" s="442"/>
      <c r="AI155" s="1033"/>
      <c r="AJ155" s="1021"/>
      <c r="AK155" s="1033"/>
      <c r="AL155" s="1021"/>
      <c r="AM155" s="1033"/>
      <c r="AN155" s="1021"/>
      <c r="AO155" s="1033"/>
      <c r="AP155" s="1021"/>
      <c r="AQ155" s="1033"/>
      <c r="AR155" s="1021"/>
    </row>
    <row r="156" spans="1:44" outlineLevel="1">
      <c r="B156" s="443"/>
      <c r="C156" s="444"/>
      <c r="D156" s="444"/>
      <c r="E156" s="444"/>
      <c r="F156" s="444"/>
      <c r="G156" s="565"/>
      <c r="H156" s="565"/>
      <c r="I156" s="565"/>
      <c r="J156" s="565"/>
      <c r="K156" s="432"/>
      <c r="L156" s="433"/>
      <c r="M156" s="430"/>
      <c r="N156" s="430"/>
      <c r="O156" s="71"/>
      <c r="P156" s="1028"/>
      <c r="Q156" s="1031"/>
      <c r="R156" s="448"/>
      <c r="S156" s="449"/>
      <c r="T156" s="1034"/>
      <c r="U156" s="1022"/>
      <c r="V156" s="1034"/>
      <c r="W156" s="1022"/>
      <c r="X156" s="1034"/>
      <c r="Y156" s="1022"/>
      <c r="Z156" s="1034"/>
      <c r="AA156" s="1022"/>
      <c r="AB156" s="1034"/>
      <c r="AC156" s="1022"/>
      <c r="AE156" s="1028"/>
      <c r="AF156" s="1031"/>
      <c r="AG156" s="448"/>
      <c r="AH156" s="449"/>
      <c r="AI156" s="1034"/>
      <c r="AJ156" s="1022"/>
      <c r="AK156" s="1034"/>
      <c r="AL156" s="1022"/>
      <c r="AM156" s="1034"/>
      <c r="AN156" s="1022"/>
      <c r="AO156" s="1034"/>
      <c r="AP156" s="1022"/>
      <c r="AQ156" s="1034"/>
      <c r="AR156" s="1022"/>
    </row>
    <row r="157" spans="1:44" ht="15" outlineLevel="1" thickBot="1">
      <c r="B157" s="601"/>
      <c r="C157" s="604"/>
      <c r="D157" s="605"/>
      <c r="E157" s="605"/>
      <c r="F157" s="606"/>
      <c r="G157" s="605"/>
      <c r="H157" s="605"/>
      <c r="I157" s="605"/>
      <c r="J157" s="605"/>
      <c r="K157" s="607"/>
      <c r="L157" s="608"/>
      <c r="M157" s="430"/>
      <c r="N157" s="430"/>
      <c r="O157" s="71"/>
      <c r="P157" s="1028"/>
      <c r="Q157" s="1032"/>
      <c r="R157" s="453"/>
      <c r="S157" s="454"/>
      <c r="T157" s="1035"/>
      <c r="U157" s="1023"/>
      <c r="V157" s="1035"/>
      <c r="W157" s="1023"/>
      <c r="X157" s="1035"/>
      <c r="Y157" s="1023"/>
      <c r="Z157" s="1035"/>
      <c r="AA157" s="1023"/>
      <c r="AB157" s="1035"/>
      <c r="AC157" s="1023"/>
      <c r="AE157" s="1028"/>
      <c r="AF157" s="1032"/>
      <c r="AG157" s="453"/>
      <c r="AH157" s="454"/>
      <c r="AI157" s="1035"/>
      <c r="AJ157" s="1023"/>
      <c r="AK157" s="1035"/>
      <c r="AL157" s="1023"/>
      <c r="AM157" s="1035"/>
      <c r="AN157" s="1023"/>
      <c r="AO157" s="1035"/>
      <c r="AP157" s="1023"/>
      <c r="AQ157" s="1035"/>
      <c r="AR157" s="1023"/>
    </row>
    <row r="158" spans="1:44" ht="14.7" customHeight="1" outlineLevel="1">
      <c r="B158" s="601"/>
      <c r="C158" s="604"/>
      <c r="D158" s="604"/>
      <c r="E158" s="604"/>
      <c r="F158" s="604"/>
      <c r="G158" s="604"/>
      <c r="H158" s="604"/>
      <c r="I158" s="604"/>
      <c r="J158" s="604"/>
      <c r="K158" s="607"/>
      <c r="L158" s="608"/>
      <c r="M158" s="430"/>
      <c r="N158" s="430"/>
      <c r="O158" s="71"/>
      <c r="P158" s="1028"/>
      <c r="Q158" s="1030"/>
      <c r="R158" s="455"/>
      <c r="S158" s="456"/>
      <c r="T158" s="1033"/>
      <c r="U158" s="1033"/>
      <c r="V158" s="1033"/>
      <c r="W158" s="1033"/>
      <c r="X158" s="1033"/>
      <c r="Y158" s="1033"/>
      <c r="Z158" s="1033"/>
      <c r="AA158" s="1033"/>
      <c r="AB158" s="1033"/>
      <c r="AC158" s="1033"/>
      <c r="AE158" s="1028"/>
      <c r="AF158" s="1030"/>
      <c r="AG158" s="455"/>
      <c r="AH158" s="456"/>
      <c r="AI158" s="1033"/>
      <c r="AJ158" s="1033"/>
      <c r="AK158" s="1033"/>
      <c r="AL158" s="1033"/>
      <c r="AM158" s="1033"/>
      <c r="AN158" s="1033"/>
      <c r="AO158" s="1033"/>
      <c r="AP158" s="1033"/>
      <c r="AQ158" s="1033"/>
      <c r="AR158" s="1033"/>
    </row>
    <row r="159" spans="1:44" outlineLevel="1">
      <c r="B159" s="601"/>
      <c r="C159" s="604"/>
      <c r="D159" s="604"/>
      <c r="E159" s="604"/>
      <c r="F159" s="604"/>
      <c r="G159" s="604"/>
      <c r="H159" s="604"/>
      <c r="I159" s="604"/>
      <c r="J159" s="604"/>
      <c r="K159" s="607"/>
      <c r="L159" s="608"/>
      <c r="M159" s="427"/>
      <c r="N159" s="427"/>
      <c r="O159" s="71"/>
      <c r="P159" s="1028"/>
      <c r="Q159" s="1031"/>
      <c r="R159" s="455"/>
      <c r="S159" s="456"/>
      <c r="T159" s="1050"/>
      <c r="U159" s="1050"/>
      <c r="V159" s="1050"/>
      <c r="W159" s="1050"/>
      <c r="X159" s="1050"/>
      <c r="Y159" s="1050"/>
      <c r="Z159" s="1050"/>
      <c r="AA159" s="1050"/>
      <c r="AB159" s="1050"/>
      <c r="AC159" s="1050"/>
      <c r="AE159" s="1028"/>
      <c r="AF159" s="1031"/>
      <c r="AG159" s="455"/>
      <c r="AH159" s="456"/>
      <c r="AI159" s="1050"/>
      <c r="AJ159" s="1050"/>
      <c r="AK159" s="1050"/>
      <c r="AL159" s="1050"/>
      <c r="AM159" s="1050"/>
      <c r="AN159" s="1050"/>
      <c r="AO159" s="1050"/>
      <c r="AP159" s="1050"/>
      <c r="AQ159" s="1050"/>
      <c r="AR159" s="1050"/>
    </row>
    <row r="160" spans="1:44" outlineLevel="1">
      <c r="B160" s="443"/>
      <c r="C160" s="457"/>
      <c r="D160" s="457"/>
      <c r="E160" s="457"/>
      <c r="F160" s="459"/>
      <c r="G160" s="459"/>
      <c r="H160" s="459"/>
      <c r="I160" s="459"/>
      <c r="J160" s="459"/>
      <c r="K160" s="432"/>
      <c r="L160" s="433"/>
      <c r="M160" s="423"/>
      <c r="N160" s="423"/>
      <c r="P160" s="1028"/>
      <c r="Q160" s="1031"/>
      <c r="R160" s="455"/>
      <c r="S160" s="456"/>
      <c r="T160" s="1050"/>
      <c r="U160" s="1050"/>
      <c r="V160" s="1050"/>
      <c r="W160" s="1050"/>
      <c r="X160" s="1050"/>
      <c r="Y160" s="1050"/>
      <c r="Z160" s="1050"/>
      <c r="AA160" s="1050"/>
      <c r="AB160" s="1050"/>
      <c r="AC160" s="1050"/>
      <c r="AE160" s="1028"/>
      <c r="AF160" s="1031"/>
      <c r="AG160" s="455"/>
      <c r="AH160" s="456"/>
      <c r="AI160" s="1050"/>
      <c r="AJ160" s="1050"/>
      <c r="AK160" s="1050"/>
      <c r="AL160" s="1050"/>
      <c r="AM160" s="1050"/>
      <c r="AN160" s="1050"/>
      <c r="AO160" s="1050"/>
      <c r="AP160" s="1050"/>
      <c r="AQ160" s="1050"/>
      <c r="AR160" s="1050"/>
    </row>
    <row r="161" spans="1:44" ht="15" outlineLevel="1" thickBot="1">
      <c r="B161" s="601"/>
      <c r="C161" s="604"/>
      <c r="D161" s="604"/>
      <c r="E161" s="604"/>
      <c r="F161" s="604"/>
      <c r="G161" s="604"/>
      <c r="H161" s="604"/>
      <c r="I161" s="604"/>
      <c r="J161" s="604"/>
      <c r="K161" s="432"/>
      <c r="L161" s="460"/>
      <c r="M161" s="423"/>
      <c r="N161" s="423"/>
      <c r="P161" s="1028"/>
      <c r="Q161" s="1031"/>
      <c r="R161" s="455"/>
      <c r="S161" s="456"/>
      <c r="T161" s="1050"/>
      <c r="U161" s="1050"/>
      <c r="V161" s="1050"/>
      <c r="W161" s="1050"/>
      <c r="X161" s="1050"/>
      <c r="Y161" s="1050"/>
      <c r="Z161" s="1050"/>
      <c r="AA161" s="1050"/>
      <c r="AB161" s="1050"/>
      <c r="AC161" s="1050"/>
      <c r="AE161" s="1028"/>
      <c r="AF161" s="1031"/>
      <c r="AG161" s="455"/>
      <c r="AH161" s="456"/>
      <c r="AI161" s="1050"/>
      <c r="AJ161" s="1050"/>
      <c r="AK161" s="1050"/>
      <c r="AL161" s="1050"/>
      <c r="AM161" s="1050"/>
      <c r="AN161" s="1050"/>
      <c r="AO161" s="1050"/>
      <c r="AP161" s="1050"/>
      <c r="AQ161" s="1050"/>
      <c r="AR161" s="1050"/>
    </row>
    <row r="162" spans="1:44" ht="15" outlineLevel="1" thickBot="1">
      <c r="B162" s="461"/>
      <c r="C162" s="462"/>
      <c r="D162" s="463"/>
      <c r="E162" s="464"/>
      <c r="F162" s="465"/>
      <c r="G162" s="466"/>
      <c r="H162" s="466"/>
      <c r="I162" s="466"/>
      <c r="J162" s="466"/>
      <c r="K162" s="467"/>
      <c r="L162" s="468"/>
      <c r="M162" s="423"/>
      <c r="N162" s="423"/>
      <c r="P162" s="1028"/>
      <c r="Q162" s="1031"/>
      <c r="R162" s="469"/>
      <c r="S162" s="470"/>
      <c r="T162" s="1051"/>
      <c r="U162" s="1051"/>
      <c r="V162" s="1051"/>
      <c r="W162" s="1051"/>
      <c r="X162" s="1051"/>
      <c r="Y162" s="1051"/>
      <c r="Z162" s="1051"/>
      <c r="AA162" s="1051"/>
      <c r="AB162" s="1051"/>
      <c r="AC162" s="1051"/>
      <c r="AE162" s="1028"/>
      <c r="AF162" s="1031"/>
      <c r="AG162" s="469"/>
      <c r="AH162" s="470"/>
      <c r="AI162" s="1051"/>
      <c r="AJ162" s="1051"/>
      <c r="AK162" s="1051"/>
      <c r="AL162" s="1051"/>
      <c r="AM162" s="1051"/>
      <c r="AN162" s="1051"/>
      <c r="AO162" s="1051"/>
      <c r="AP162" s="1051"/>
      <c r="AQ162" s="1051"/>
      <c r="AR162" s="1051"/>
    </row>
    <row r="163" spans="1:44" ht="15" outlineLevel="1" thickBot="1">
      <c r="B163" s="601"/>
      <c r="C163" s="604"/>
      <c r="D163" s="604"/>
      <c r="E163" s="604"/>
      <c r="F163" s="604"/>
      <c r="G163" s="605"/>
      <c r="H163" s="605"/>
      <c r="I163" s="605"/>
      <c r="J163" s="605"/>
      <c r="K163" s="607"/>
      <c r="L163" s="608"/>
      <c r="M163" s="423"/>
      <c r="N163" s="423"/>
      <c r="P163" s="1029"/>
      <c r="Q163" s="471"/>
      <c r="R163" s="472"/>
      <c r="S163" s="473"/>
      <c r="T163" s="474"/>
      <c r="U163" s="475"/>
      <c r="V163" s="476"/>
      <c r="W163" s="475"/>
      <c r="X163" s="476"/>
      <c r="Y163" s="475"/>
      <c r="Z163" s="476"/>
      <c r="AA163" s="475"/>
      <c r="AB163" s="476"/>
      <c r="AC163" s="477"/>
      <c r="AE163" s="1029"/>
      <c r="AF163" s="471"/>
      <c r="AG163" s="472"/>
      <c r="AH163" s="473"/>
      <c r="AI163" s="474"/>
      <c r="AJ163" s="475"/>
      <c r="AK163" s="476"/>
      <c r="AL163" s="475"/>
      <c r="AM163" s="476"/>
      <c r="AN163" s="475"/>
      <c r="AO163" s="476"/>
      <c r="AP163" s="475"/>
      <c r="AQ163" s="476"/>
      <c r="AR163" s="477"/>
    </row>
    <row r="164" spans="1:44" outlineLevel="1">
      <c r="B164" s="601"/>
      <c r="C164" s="604"/>
      <c r="D164" s="604"/>
      <c r="E164" s="604"/>
      <c r="F164" s="604"/>
      <c r="G164" s="609"/>
      <c r="H164" s="609"/>
      <c r="I164" s="609"/>
      <c r="J164" s="609"/>
      <c r="K164" s="610"/>
      <c r="L164" s="608"/>
      <c r="M164" s="423"/>
      <c r="N164" s="423"/>
    </row>
    <row r="165" spans="1:44" outlineLevel="1">
      <c r="B165" s="601"/>
      <c r="C165" s="604"/>
      <c r="D165" s="604"/>
      <c r="E165" s="604"/>
      <c r="F165" s="604"/>
      <c r="G165" s="609"/>
      <c r="H165" s="609"/>
      <c r="I165" s="609"/>
      <c r="J165" s="609"/>
      <c r="K165" s="610"/>
      <c r="L165" s="608"/>
      <c r="M165" s="480"/>
      <c r="N165" s="423"/>
    </row>
    <row r="166" spans="1:44" outlineLevel="1">
      <c r="B166" s="481"/>
      <c r="C166" s="459"/>
      <c r="D166" s="459"/>
      <c r="E166" s="459"/>
      <c r="F166" s="459"/>
      <c r="G166" s="482"/>
      <c r="H166" s="482"/>
      <c r="I166" s="482"/>
      <c r="J166" s="482"/>
      <c r="K166" s="483"/>
      <c r="L166" s="484"/>
      <c r="M166" s="480"/>
      <c r="N166" s="480"/>
    </row>
    <row r="167" spans="1:44" outlineLevel="1">
      <c r="B167" s="443"/>
      <c r="C167" s="457"/>
      <c r="D167" s="457"/>
      <c r="E167" s="457"/>
      <c r="F167" s="457"/>
      <c r="G167" s="482"/>
      <c r="H167" s="485"/>
      <c r="I167" s="485"/>
      <c r="J167" s="485"/>
      <c r="K167" s="486"/>
      <c r="L167" s="487"/>
      <c r="M167" s="488"/>
      <c r="N167" s="488"/>
    </row>
    <row r="168" spans="1:44" outlineLevel="1">
      <c r="B168" s="443"/>
      <c r="C168" s="457"/>
      <c r="D168" s="457"/>
      <c r="E168" s="457"/>
      <c r="F168" s="457"/>
      <c r="G168" s="485"/>
      <c r="H168" s="485"/>
      <c r="I168" s="485"/>
      <c r="J168" s="485"/>
      <c r="K168" s="483"/>
      <c r="L168" s="487"/>
      <c r="M168" s="488"/>
      <c r="N168" s="488"/>
    </row>
    <row r="169" spans="1:44" outlineLevel="1">
      <c r="B169" s="443"/>
      <c r="C169" s="457"/>
      <c r="D169" s="457"/>
      <c r="E169" s="457"/>
      <c r="F169" s="457"/>
      <c r="G169" s="485"/>
      <c r="H169" s="485"/>
      <c r="I169" s="485"/>
      <c r="J169" s="485"/>
      <c r="K169" s="483"/>
      <c r="L169" s="487"/>
      <c r="M169" s="488"/>
      <c r="N169" s="488"/>
    </row>
    <row r="170" spans="1:44" outlineLevel="1">
      <c r="B170" s="443"/>
      <c r="C170" s="457"/>
      <c r="D170" s="457"/>
      <c r="E170" s="457"/>
      <c r="F170" s="457"/>
      <c r="G170" s="485"/>
      <c r="H170" s="485"/>
      <c r="I170" s="485"/>
      <c r="J170" s="485"/>
      <c r="K170" s="483"/>
      <c r="L170" s="487"/>
      <c r="M170" s="488"/>
      <c r="N170" s="488"/>
    </row>
    <row r="171" spans="1:44" ht="15" outlineLevel="1" thickBot="1">
      <c r="B171" s="489"/>
      <c r="C171" s="490"/>
      <c r="D171" s="490"/>
      <c r="E171" s="490"/>
      <c r="F171" s="490"/>
      <c r="G171" s="485"/>
      <c r="H171" s="485"/>
      <c r="I171" s="485"/>
      <c r="J171" s="485"/>
      <c r="K171" s="483"/>
      <c r="L171" s="487"/>
      <c r="M171" s="488"/>
      <c r="N171" s="488"/>
    </row>
    <row r="172" spans="1:44" ht="15" outlineLevel="1" thickBot="1">
      <c r="B172" s="491"/>
      <c r="C172" s="492"/>
      <c r="D172" s="463"/>
      <c r="E172" s="463"/>
      <c r="F172" s="493"/>
      <c r="G172" s="494"/>
      <c r="H172" s="466"/>
      <c r="I172" s="466"/>
      <c r="J172" s="466"/>
      <c r="K172" s="467"/>
      <c r="L172" s="468"/>
      <c r="M172" s="488"/>
      <c r="N172" s="488"/>
    </row>
    <row r="173" spans="1:44" outlineLevel="1">
      <c r="A173" s="495"/>
      <c r="B173" s="496"/>
      <c r="C173" s="611"/>
      <c r="D173" s="498"/>
      <c r="E173" s="498"/>
      <c r="F173" s="499"/>
      <c r="G173" s="485"/>
      <c r="H173" s="485"/>
      <c r="I173" s="485"/>
      <c r="J173" s="485"/>
      <c r="K173" s="486"/>
      <c r="L173" s="500"/>
      <c r="M173" s="480"/>
      <c r="N173" s="480"/>
    </row>
    <row r="174" spans="1:44" outlineLevel="1">
      <c r="B174" s="501"/>
      <c r="C174" s="502"/>
      <c r="D174" s="503"/>
      <c r="E174" s="503"/>
      <c r="F174" s="503"/>
      <c r="G174" s="485"/>
      <c r="H174" s="485"/>
      <c r="I174" s="485"/>
      <c r="J174" s="485"/>
      <c r="K174" s="504"/>
      <c r="L174" s="433"/>
      <c r="M174" s="71"/>
      <c r="N174" s="480"/>
    </row>
    <row r="175" spans="1:44" outlineLevel="1">
      <c r="B175" s="501"/>
      <c r="C175" s="502"/>
      <c r="D175" s="502"/>
      <c r="E175" s="502"/>
      <c r="F175" s="502"/>
      <c r="G175" s="485"/>
      <c r="H175" s="485"/>
      <c r="I175" s="485"/>
      <c r="J175" s="485"/>
      <c r="K175" s="504"/>
      <c r="L175" s="433"/>
      <c r="M175" s="480"/>
      <c r="N175" s="480"/>
    </row>
    <row r="176" spans="1:44" outlineLevel="1">
      <c r="B176" s="443"/>
      <c r="C176" s="505"/>
      <c r="D176" s="506"/>
      <c r="E176" s="506"/>
      <c r="F176" s="507"/>
      <c r="G176" s="485"/>
      <c r="H176" s="485"/>
      <c r="I176" s="485"/>
      <c r="J176" s="485"/>
      <c r="K176" s="508"/>
      <c r="L176" s="433"/>
      <c r="M176" s="480"/>
      <c r="N176" s="480"/>
    </row>
    <row r="177" spans="2:30" outlineLevel="1">
      <c r="B177" s="443"/>
      <c r="C177" s="509"/>
      <c r="D177" s="509"/>
      <c r="E177" s="509"/>
      <c r="F177" s="509"/>
      <c r="G177" s="485"/>
      <c r="H177" s="485"/>
      <c r="I177" s="485"/>
      <c r="J177" s="485"/>
      <c r="K177" s="508"/>
      <c r="L177" s="433"/>
      <c r="M177" s="510"/>
      <c r="N177" s="421"/>
      <c r="P177" s="999"/>
      <c r="Q177" s="977"/>
      <c r="R177" s="977"/>
      <c r="S177" s="977"/>
      <c r="T177" s="977"/>
      <c r="U177" s="1000"/>
    </row>
    <row r="178" spans="2:30" ht="15" outlineLevel="1" thickBot="1">
      <c r="B178" s="601"/>
      <c r="C178" s="612"/>
      <c r="D178" s="612"/>
      <c r="E178" s="612"/>
      <c r="F178" s="612"/>
      <c r="G178" s="613"/>
      <c r="H178" s="613"/>
      <c r="I178" s="613"/>
      <c r="J178" s="613"/>
      <c r="K178" s="607"/>
      <c r="L178" s="608"/>
      <c r="M178" s="510"/>
      <c r="N178" s="421"/>
      <c r="P178" s="1001"/>
      <c r="Q178" s="1002"/>
      <c r="R178" s="1002"/>
      <c r="S178" s="1002"/>
      <c r="T178" s="1002"/>
      <c r="U178" s="1003"/>
    </row>
    <row r="179" spans="2:30" outlineLevel="1">
      <c r="B179" s="601"/>
      <c r="C179" s="614"/>
      <c r="D179" s="614"/>
      <c r="E179" s="614"/>
      <c r="F179" s="614"/>
      <c r="G179" s="613"/>
      <c r="H179" s="613"/>
      <c r="I179" s="613"/>
      <c r="J179" s="613"/>
      <c r="K179" s="615"/>
      <c r="L179" s="608"/>
      <c r="M179" s="423"/>
      <c r="N179" s="423"/>
      <c r="P179" s="53"/>
    </row>
    <row r="180" spans="2:30" outlineLevel="1">
      <c r="B180" s="501"/>
      <c r="C180" s="516"/>
      <c r="D180" s="516"/>
      <c r="E180" s="516"/>
      <c r="F180" s="516"/>
      <c r="G180" s="485"/>
      <c r="H180" s="485"/>
      <c r="I180" s="485"/>
      <c r="J180" s="485"/>
      <c r="K180" s="504"/>
      <c r="L180" s="484"/>
      <c r="M180" s="427"/>
      <c r="N180" s="427"/>
      <c r="P180" s="46"/>
      <c r="Q180" s="46"/>
      <c r="R180" s="47"/>
      <c r="S180" s="47"/>
      <c r="T180" s="47"/>
      <c r="U180" s="48"/>
      <c r="V180" s="49"/>
      <c r="W180" s="49"/>
      <c r="X180" s="49"/>
      <c r="Y180" s="49"/>
      <c r="Z180" s="49"/>
      <c r="AA180" s="49"/>
      <c r="AB180" s="49"/>
      <c r="AC180" s="49"/>
      <c r="AD180" s="49"/>
    </row>
    <row r="181" spans="2:30" ht="15" outlineLevel="1" thickBot="1">
      <c r="B181" s="501"/>
      <c r="C181" s="502"/>
      <c r="D181" s="517"/>
      <c r="E181" s="517"/>
      <c r="F181" s="518"/>
      <c r="G181" s="485"/>
      <c r="H181" s="485"/>
      <c r="I181" s="485"/>
      <c r="J181" s="485"/>
      <c r="K181" s="508"/>
      <c r="L181" s="484"/>
      <c r="M181" s="423"/>
      <c r="N181" s="423"/>
      <c r="P181" s="50"/>
      <c r="Q181" s="50"/>
      <c r="R181" s="51"/>
      <c r="S181" s="51"/>
      <c r="T181" s="51"/>
      <c r="U181" s="51"/>
      <c r="V181" s="50"/>
      <c r="W181" s="50"/>
      <c r="X181" s="50"/>
      <c r="Y181" s="50"/>
      <c r="Z181" s="50"/>
      <c r="AA181" s="50"/>
      <c r="AB181" s="50"/>
      <c r="AC181" s="50"/>
      <c r="AD181" s="50"/>
    </row>
    <row r="182" spans="2:30" ht="15" outlineLevel="1" thickBot="1">
      <c r="B182" s="461"/>
      <c r="C182" s="462"/>
      <c r="D182" s="463"/>
      <c r="E182" s="464"/>
      <c r="F182" s="465"/>
      <c r="G182" s="466"/>
      <c r="H182" s="466"/>
      <c r="I182" s="466"/>
      <c r="J182" s="466"/>
      <c r="K182" s="519"/>
      <c r="L182" s="520"/>
      <c r="M182" s="423"/>
      <c r="N182" s="423"/>
      <c r="O182" s="521"/>
      <c r="P182" s="56"/>
      <c r="Q182" s="56"/>
      <c r="R182" s="57"/>
      <c r="S182" s="57"/>
      <c r="T182" s="57"/>
      <c r="U182" s="56"/>
      <c r="V182" s="56"/>
      <c r="W182" s="56"/>
      <c r="X182" s="56"/>
      <c r="Y182" s="56"/>
      <c r="Z182" s="56"/>
      <c r="AA182" s="56"/>
      <c r="AB182" s="56"/>
      <c r="AC182" s="56"/>
      <c r="AD182" s="56"/>
    </row>
    <row r="183" spans="2:30" outlineLevel="1">
      <c r="B183" s="616"/>
      <c r="C183" s="617"/>
      <c r="D183" s="617"/>
      <c r="E183" s="617"/>
      <c r="F183" s="617"/>
      <c r="G183" s="618"/>
      <c r="H183" s="618"/>
      <c r="I183" s="618"/>
      <c r="J183" s="618"/>
      <c r="K183" s="618"/>
      <c r="L183" s="619"/>
      <c r="M183" s="423"/>
      <c r="N183" s="423"/>
      <c r="O183" s="525"/>
      <c r="P183" s="526"/>
      <c r="Q183" s="58"/>
      <c r="R183" s="526"/>
      <c r="S183" s="58"/>
      <c r="T183" s="526"/>
      <c r="U183" s="527"/>
      <c r="V183" s="527"/>
      <c r="W183" s="527"/>
      <c r="X183" s="58"/>
      <c r="Y183" s="58"/>
      <c r="Z183" s="526"/>
      <c r="AA183" s="528"/>
      <c r="AB183" s="528"/>
      <c r="AC183" s="528"/>
      <c r="AD183" s="528"/>
    </row>
    <row r="184" spans="2:30" outlineLevel="1">
      <c r="B184" s="601"/>
      <c r="C184" s="620"/>
      <c r="D184" s="621"/>
      <c r="E184" s="621"/>
      <c r="F184" s="622"/>
      <c r="G184" s="622"/>
      <c r="H184" s="622"/>
      <c r="I184" s="622"/>
      <c r="J184" s="622"/>
      <c r="K184" s="623"/>
      <c r="L184" s="619"/>
      <c r="M184" s="423"/>
      <c r="N184" s="423"/>
      <c r="O184" s="525"/>
      <c r="P184" s="526"/>
      <c r="Q184" s="58"/>
      <c r="R184" s="526"/>
      <c r="S184" s="58"/>
      <c r="T184" s="526"/>
      <c r="U184" s="527"/>
      <c r="V184" s="527"/>
      <c r="W184" s="527"/>
      <c r="X184" s="58"/>
      <c r="Y184" s="58"/>
      <c r="Z184" s="526"/>
      <c r="AA184" s="528"/>
      <c r="AB184" s="528"/>
      <c r="AC184" s="528"/>
      <c r="AD184" s="528"/>
    </row>
    <row r="185" spans="2:30" outlineLevel="1">
      <c r="B185" s="601"/>
      <c r="C185" s="620"/>
      <c r="D185" s="621"/>
      <c r="E185" s="621"/>
      <c r="F185" s="622"/>
      <c r="G185" s="622"/>
      <c r="H185" s="622"/>
      <c r="I185" s="622"/>
      <c r="J185" s="622"/>
      <c r="K185" s="623"/>
      <c r="L185" s="619"/>
      <c r="M185" s="423"/>
      <c r="N185" s="423"/>
      <c r="O185" s="525"/>
      <c r="P185" s="526"/>
      <c r="Q185" s="58"/>
      <c r="R185" s="526"/>
      <c r="S185" s="58"/>
      <c r="T185" s="526"/>
      <c r="U185" s="527"/>
      <c r="V185" s="527"/>
      <c r="W185" s="527"/>
      <c r="X185" s="58"/>
      <c r="Y185" s="58"/>
      <c r="Z185" s="526"/>
      <c r="AA185" s="528"/>
      <c r="AB185" s="528"/>
      <c r="AC185" s="528"/>
      <c r="AD185" s="528"/>
    </row>
    <row r="186" spans="2:30" outlineLevel="1">
      <c r="B186" s="601"/>
      <c r="C186" s="624"/>
      <c r="D186" s="624"/>
      <c r="E186" s="624"/>
      <c r="F186" s="624"/>
      <c r="G186" s="625"/>
      <c r="H186" s="625"/>
      <c r="I186" s="625"/>
      <c r="J186" s="625"/>
      <c r="K186" s="625"/>
      <c r="L186" s="608"/>
      <c r="M186" s="423"/>
      <c r="N186" s="423"/>
      <c r="O186" s="525"/>
      <c r="P186" s="526"/>
      <c r="Q186" s="58"/>
      <c r="R186" s="526"/>
      <c r="S186" s="58"/>
      <c r="T186" s="526"/>
      <c r="U186" s="527"/>
      <c r="V186" s="527"/>
      <c r="W186" s="527"/>
      <c r="X186" s="58"/>
      <c r="Y186" s="58"/>
      <c r="Z186" s="526"/>
      <c r="AA186" s="528"/>
      <c r="AB186" s="528"/>
      <c r="AC186" s="528"/>
      <c r="AD186" s="528"/>
    </row>
    <row r="187" spans="2:30" outlineLevel="1">
      <c r="B187" s="626"/>
      <c r="C187" s="620"/>
      <c r="D187" s="621"/>
      <c r="E187" s="621"/>
      <c r="F187" s="622"/>
      <c r="G187" s="622"/>
      <c r="H187" s="622"/>
      <c r="I187" s="622"/>
      <c r="J187" s="622"/>
      <c r="K187" s="623"/>
      <c r="L187" s="619"/>
      <c r="M187" s="427"/>
      <c r="N187" s="427"/>
    </row>
    <row r="188" spans="2:30" outlineLevel="1">
      <c r="B188" s="626"/>
      <c r="C188" s="620"/>
      <c r="D188" s="621"/>
      <c r="E188" s="621"/>
      <c r="F188" s="622"/>
      <c r="G188" s="622"/>
      <c r="H188" s="622"/>
      <c r="I188" s="622"/>
      <c r="J188" s="622"/>
      <c r="K188" s="623"/>
      <c r="L188" s="619"/>
      <c r="M188" s="423"/>
      <c r="N188" s="423"/>
    </row>
    <row r="189" spans="2:30" ht="15" outlineLevel="1" thickBot="1">
      <c r="B189" s="627"/>
      <c r="C189" s="628"/>
      <c r="D189" s="628"/>
      <c r="E189" s="628"/>
      <c r="F189" s="628"/>
      <c r="G189" s="628"/>
      <c r="H189" s="628"/>
      <c r="I189" s="628"/>
      <c r="J189" s="628"/>
      <c r="K189" s="628"/>
      <c r="L189" s="629"/>
      <c r="M189" s="423"/>
      <c r="N189" s="423"/>
    </row>
    <row r="190" spans="2:30" outlineLevel="1">
      <c r="B190" s="521"/>
      <c r="C190" s="543"/>
      <c r="D190" s="543"/>
      <c r="E190" s="543"/>
      <c r="F190" s="543"/>
      <c r="G190" s="543"/>
      <c r="H190" s="544"/>
      <c r="I190" s="480"/>
      <c r="J190" s="480"/>
      <c r="K190" s="544"/>
      <c r="L190" s="544"/>
      <c r="N190" s="480"/>
    </row>
    <row r="191" spans="2:30" outlineLevel="1">
      <c r="B191" s="545"/>
      <c r="C191" s="546"/>
      <c r="D191" s="546"/>
      <c r="E191" s="546"/>
      <c r="F191" s="546"/>
      <c r="G191" s="546"/>
      <c r="H191" s="544"/>
      <c r="I191" s="71"/>
      <c r="J191" s="480"/>
      <c r="K191" s="544"/>
      <c r="L191" s="544"/>
      <c r="N191" s="480"/>
    </row>
    <row r="192" spans="2:30" outlineLevel="1">
      <c r="B192" s="521"/>
      <c r="C192" s="419"/>
      <c r="D192" s="419"/>
      <c r="E192" s="419"/>
      <c r="F192" s="419"/>
      <c r="G192" s="419"/>
      <c r="I192" s="480"/>
      <c r="J192" s="480"/>
      <c r="N192" s="480"/>
    </row>
    <row r="193" spans="1:16" outlineLevel="1">
      <c r="B193" s="521"/>
      <c r="C193" s="547"/>
      <c r="D193" s="547"/>
      <c r="E193" s="547"/>
      <c r="F193" s="547"/>
      <c r="G193" s="419"/>
      <c r="M193" s="480"/>
      <c r="N193" s="480"/>
    </row>
    <row r="194" spans="1:16" outlineLevel="1"/>
    <row r="195" spans="1:16" outlineLevel="1">
      <c r="A195" s="548"/>
      <c r="B195" s="549"/>
      <c r="D195" s="550"/>
      <c r="E195" s="550"/>
      <c r="F195" s="550"/>
      <c r="G195" s="417"/>
      <c r="H195" s="417"/>
      <c r="I195" s="417"/>
      <c r="J195" s="417"/>
      <c r="K195" s="417"/>
      <c r="L195" s="417"/>
      <c r="N195" s="630"/>
      <c r="O195" s="549"/>
      <c r="P195" s="550"/>
    </row>
    <row r="196" spans="1:16" outlineLevel="1">
      <c r="A196" s="551"/>
      <c r="B196" s="552"/>
      <c r="D196" s="550"/>
      <c r="E196" s="550"/>
      <c r="F196" s="550"/>
      <c r="G196" s="417"/>
      <c r="H196" s="417"/>
      <c r="I196" s="417"/>
      <c r="J196" s="417"/>
      <c r="K196" s="417"/>
      <c r="L196" s="417"/>
      <c r="N196" s="630"/>
      <c r="O196" s="549"/>
      <c r="P196" s="550"/>
    </row>
    <row r="197" spans="1:16" outlineLevel="1">
      <c r="A197" s="551"/>
      <c r="B197" s="553"/>
      <c r="D197" s="550"/>
      <c r="E197" s="550"/>
      <c r="F197" s="550"/>
      <c r="G197" s="417"/>
      <c r="H197" s="417"/>
      <c r="I197" s="417"/>
      <c r="J197" s="417"/>
      <c r="K197" s="417"/>
      <c r="L197" s="417"/>
      <c r="N197" s="630"/>
      <c r="O197" s="549"/>
      <c r="P197" s="550"/>
    </row>
    <row r="198" spans="1:16" outlineLevel="1">
      <c r="A198" s="551"/>
      <c r="B198" s="553"/>
      <c r="D198" s="550"/>
      <c r="E198" s="550"/>
      <c r="F198" s="550"/>
      <c r="G198" s="417"/>
      <c r="H198" s="417"/>
      <c r="I198" s="417"/>
      <c r="J198" s="417"/>
      <c r="K198" s="417"/>
      <c r="L198" s="417"/>
      <c r="N198" s="630"/>
      <c r="O198" s="549"/>
      <c r="P198" s="550"/>
    </row>
    <row r="199" spans="1:16" outlineLevel="1">
      <c r="A199" s="551"/>
      <c r="B199" s="553"/>
      <c r="D199" s="550"/>
      <c r="E199" s="550"/>
      <c r="F199" s="550"/>
      <c r="G199" s="417"/>
      <c r="H199" s="417"/>
      <c r="I199" s="417"/>
      <c r="J199" s="417"/>
      <c r="K199" s="417"/>
      <c r="L199" s="417"/>
      <c r="N199" s="630"/>
      <c r="O199" s="549"/>
      <c r="P199" s="550"/>
    </row>
    <row r="200" spans="1:16" outlineLevel="1">
      <c r="A200" s="417"/>
      <c r="B200" s="554"/>
      <c r="D200" s="550"/>
      <c r="E200" s="550"/>
      <c r="F200" s="550"/>
      <c r="G200" s="417"/>
      <c r="H200" s="417"/>
      <c r="I200" s="417"/>
      <c r="J200" s="417"/>
      <c r="K200" s="417"/>
      <c r="L200" s="417"/>
    </row>
    <row r="201" spans="1:16" outlineLevel="1">
      <c r="A201" s="417"/>
      <c r="B201" s="552"/>
      <c r="D201" s="550"/>
      <c r="E201" s="550"/>
      <c r="F201" s="550"/>
      <c r="G201" s="417"/>
      <c r="H201" s="417"/>
      <c r="I201" s="417"/>
      <c r="J201" s="417"/>
      <c r="K201" s="417"/>
      <c r="L201" s="417"/>
    </row>
    <row r="202" spans="1:16" outlineLevel="1">
      <c r="A202" s="417"/>
      <c r="B202" s="555"/>
      <c r="D202" s="550"/>
      <c r="E202" s="550"/>
      <c r="F202" s="550"/>
      <c r="G202" s="417"/>
      <c r="H202" s="417"/>
      <c r="I202" s="417"/>
      <c r="J202" s="417"/>
      <c r="K202" s="417"/>
      <c r="L202" s="417"/>
    </row>
    <row r="203" spans="1:16" outlineLevel="1">
      <c r="A203" s="417"/>
      <c r="B203" s="555"/>
      <c r="D203" s="550"/>
      <c r="E203" s="550"/>
      <c r="F203" s="550"/>
      <c r="G203" s="417"/>
      <c r="H203" s="417"/>
      <c r="I203" s="417"/>
      <c r="J203" s="417"/>
      <c r="K203" s="417"/>
      <c r="L203" s="417"/>
    </row>
    <row r="204" spans="1:16" outlineLevel="1">
      <c r="A204" s="417"/>
      <c r="B204" s="549"/>
      <c r="D204" s="550"/>
      <c r="E204" s="550"/>
      <c r="F204" s="550"/>
      <c r="G204" s="417"/>
      <c r="H204" s="417"/>
      <c r="I204" s="417"/>
      <c r="J204" s="417"/>
      <c r="K204" s="417"/>
      <c r="L204" s="417"/>
    </row>
    <row r="205" spans="1:16" outlineLevel="1">
      <c r="A205" s="417"/>
      <c r="B205" s="550"/>
      <c r="D205" s="550"/>
      <c r="E205" s="550"/>
      <c r="F205" s="550"/>
      <c r="G205" s="417"/>
      <c r="H205" s="417"/>
      <c r="I205" s="417"/>
      <c r="J205" s="417"/>
      <c r="K205" s="417"/>
      <c r="L205" s="417"/>
    </row>
    <row r="206" spans="1:16" outlineLevel="1">
      <c r="A206" s="548"/>
      <c r="B206" s="549"/>
      <c r="D206" s="550"/>
      <c r="E206" s="550"/>
      <c r="F206" s="550"/>
      <c r="G206" s="417"/>
      <c r="H206" s="417"/>
      <c r="I206" s="417"/>
      <c r="J206" s="417"/>
      <c r="K206" s="417"/>
      <c r="L206" s="417"/>
    </row>
    <row r="207" spans="1:16" outlineLevel="1">
      <c r="A207" s="556"/>
      <c r="B207" s="557"/>
      <c r="C207" s="550"/>
      <c r="D207" s="550"/>
      <c r="E207" s="550"/>
      <c r="F207" s="550"/>
      <c r="G207" s="417"/>
      <c r="H207" s="417"/>
      <c r="I207" s="417"/>
      <c r="J207" s="417"/>
      <c r="K207" s="417"/>
      <c r="L207" s="417"/>
      <c r="N207" s="630"/>
      <c r="O207" s="549"/>
      <c r="P207" s="550"/>
    </row>
    <row r="208" spans="1:16" outlineLevel="1">
      <c r="A208" s="556"/>
      <c r="B208" s="549"/>
      <c r="C208" s="550"/>
      <c r="D208" s="550"/>
      <c r="E208" s="550"/>
      <c r="F208" s="550"/>
      <c r="G208" s="417"/>
      <c r="H208" s="417"/>
      <c r="I208" s="417"/>
      <c r="J208" s="417"/>
      <c r="K208" s="417"/>
      <c r="L208" s="417"/>
      <c r="N208" s="631"/>
      <c r="O208" s="549"/>
      <c r="P208" s="550"/>
    </row>
    <row r="209" spans="1:44" outlineLevel="1">
      <c r="A209" s="556"/>
      <c r="B209" s="549"/>
      <c r="C209" s="550"/>
      <c r="D209" s="550"/>
      <c r="E209" s="550"/>
      <c r="F209" s="550"/>
      <c r="G209" s="417"/>
      <c r="H209" s="417"/>
      <c r="I209" s="417"/>
      <c r="J209" s="417"/>
      <c r="K209" s="417"/>
      <c r="L209" s="417"/>
      <c r="N209" s="632"/>
      <c r="O209" s="549"/>
      <c r="P209" s="550"/>
    </row>
    <row r="210" spans="1:44" outlineLevel="1">
      <c r="A210" s="556"/>
      <c r="B210" s="549"/>
      <c r="C210" s="550"/>
      <c r="D210" s="550"/>
      <c r="E210" s="550"/>
      <c r="F210" s="550"/>
      <c r="G210" s="417"/>
      <c r="H210" s="417"/>
      <c r="I210" s="417"/>
      <c r="J210" s="417"/>
      <c r="K210" s="417"/>
      <c r="L210" s="417"/>
      <c r="N210" s="633"/>
      <c r="O210" s="549"/>
      <c r="P210" s="550"/>
    </row>
    <row r="211" spans="1:44" outlineLevel="1">
      <c r="A211" s="556"/>
      <c r="B211" s="558"/>
      <c r="C211" s="550"/>
      <c r="D211" s="550"/>
      <c r="E211" s="550"/>
      <c r="F211" s="550"/>
      <c r="G211" s="417"/>
      <c r="H211" s="417"/>
      <c r="I211" s="417"/>
      <c r="J211" s="417"/>
      <c r="K211" s="417"/>
      <c r="L211" s="417"/>
      <c r="N211" s="633"/>
      <c r="O211" s="550"/>
      <c r="P211" s="550"/>
    </row>
    <row r="212" spans="1:44" outlineLevel="1">
      <c r="A212" s="556"/>
      <c r="B212" s="549"/>
      <c r="C212" s="550"/>
      <c r="D212" s="550"/>
      <c r="E212" s="550"/>
      <c r="F212" s="550"/>
      <c r="G212" s="417"/>
      <c r="H212" s="417"/>
      <c r="I212" s="417"/>
      <c r="J212" s="417"/>
      <c r="K212" s="417"/>
      <c r="L212" s="417"/>
      <c r="N212" s="549"/>
      <c r="O212" s="550"/>
      <c r="P212" s="550"/>
    </row>
    <row r="213" spans="1:44" outlineLevel="1">
      <c r="A213" s="556"/>
      <c r="B213" s="549"/>
      <c r="C213" s="550"/>
      <c r="D213" s="550"/>
      <c r="E213" s="550"/>
      <c r="F213" s="550"/>
      <c r="G213" s="417"/>
      <c r="H213" s="417"/>
      <c r="I213" s="417"/>
      <c r="J213" s="417"/>
      <c r="K213" s="417"/>
      <c r="L213" s="417"/>
      <c r="N213" s="550"/>
      <c r="O213" s="550"/>
      <c r="P213" s="550"/>
    </row>
    <row r="214" spans="1:44" outlineLevel="1"/>
    <row r="215" spans="1:44" outlineLevel="1"/>
    <row r="217" spans="1:44" ht="15" thickBot="1">
      <c r="A217" s="420"/>
    </row>
    <row r="218" spans="1:44" ht="20.7" customHeight="1" outlineLevel="1" thickBot="1">
      <c r="B218" s="422"/>
      <c r="C218" s="1043"/>
      <c r="D218" s="1019"/>
      <c r="E218" s="1019"/>
      <c r="F218" s="1019"/>
      <c r="G218" s="1019"/>
      <c r="H218" s="1019"/>
      <c r="I218" s="1019"/>
      <c r="J218" s="1019"/>
      <c r="K218" s="1019"/>
      <c r="L218" s="1020"/>
      <c r="M218" s="423"/>
      <c r="N218" s="423"/>
      <c r="P218" s="424"/>
      <c r="Q218" s="425"/>
      <c r="R218" s="426"/>
      <c r="S218" s="985"/>
      <c r="T218" s="989"/>
      <c r="U218" s="990"/>
      <c r="V218" s="989"/>
      <c r="W218" s="990"/>
      <c r="X218" s="989"/>
      <c r="Y218" s="990"/>
      <c r="Z218" s="989"/>
      <c r="AA218" s="990"/>
      <c r="AB218" s="989"/>
      <c r="AC218" s="990"/>
      <c r="AE218" s="424"/>
      <c r="AF218" s="425"/>
      <c r="AG218" s="426"/>
      <c r="AH218" s="985"/>
      <c r="AI218" s="989"/>
      <c r="AJ218" s="990"/>
      <c r="AK218" s="989"/>
      <c r="AL218" s="990"/>
      <c r="AM218" s="989"/>
      <c r="AN218" s="990"/>
      <c r="AO218" s="989"/>
      <c r="AP218" s="990"/>
      <c r="AQ218" s="989"/>
      <c r="AR218" s="990"/>
    </row>
    <row r="219" spans="1:44" ht="15" customHeight="1" outlineLevel="1" thickBot="1">
      <c r="B219" s="1010"/>
      <c r="C219" s="1012"/>
      <c r="D219" s="1012"/>
      <c r="E219" s="1012"/>
      <c r="F219" s="1012"/>
      <c r="G219" s="1048"/>
      <c r="H219" s="1049"/>
      <c r="I219" s="1048"/>
      <c r="J219" s="1049"/>
      <c r="K219" s="1046"/>
      <c r="L219" s="1046"/>
      <c r="M219" s="427"/>
      <c r="N219" s="427"/>
      <c r="P219" s="993"/>
      <c r="Q219" s="428"/>
      <c r="R219" s="428"/>
      <c r="S219" s="986"/>
      <c r="T219" s="991"/>
      <c r="U219" s="992"/>
      <c r="V219" s="991"/>
      <c r="W219" s="992"/>
      <c r="X219" s="991"/>
      <c r="Y219" s="992"/>
      <c r="Z219" s="991"/>
      <c r="AA219" s="992"/>
      <c r="AB219" s="991"/>
      <c r="AC219" s="992"/>
      <c r="AE219" s="993"/>
      <c r="AF219" s="428"/>
      <c r="AG219" s="428"/>
      <c r="AH219" s="986"/>
      <c r="AI219" s="991"/>
      <c r="AJ219" s="992"/>
      <c r="AK219" s="991"/>
      <c r="AL219" s="992"/>
      <c r="AM219" s="991"/>
      <c r="AN219" s="992"/>
      <c r="AO219" s="991"/>
      <c r="AP219" s="992"/>
      <c r="AQ219" s="991"/>
      <c r="AR219" s="992"/>
    </row>
    <row r="220" spans="1:44" ht="15" customHeight="1" outlineLevel="1" thickBot="1">
      <c r="B220" s="1011"/>
      <c r="C220" s="1013"/>
      <c r="D220" s="1013"/>
      <c r="E220" s="1013"/>
      <c r="F220" s="1013"/>
      <c r="G220" s="466"/>
      <c r="H220" s="466"/>
      <c r="I220" s="466"/>
      <c r="J220" s="466"/>
      <c r="K220" s="1047"/>
      <c r="L220" s="1047"/>
      <c r="M220" s="430"/>
      <c r="N220" s="430"/>
      <c r="P220" s="994"/>
      <c r="Q220" s="996"/>
      <c r="R220" s="997"/>
      <c r="S220" s="987"/>
      <c r="T220" s="991"/>
      <c r="U220" s="992"/>
      <c r="V220" s="991"/>
      <c r="W220" s="992"/>
      <c r="X220" s="991"/>
      <c r="Y220" s="992"/>
      <c r="Z220" s="991"/>
      <c r="AA220" s="992"/>
      <c r="AB220" s="991"/>
      <c r="AC220" s="992"/>
      <c r="AE220" s="994"/>
      <c r="AF220" s="1040"/>
      <c r="AG220" s="997"/>
      <c r="AH220" s="987"/>
      <c r="AI220" s="991"/>
      <c r="AJ220" s="992"/>
      <c r="AK220" s="991"/>
      <c r="AL220" s="992"/>
      <c r="AM220" s="991"/>
      <c r="AN220" s="992"/>
      <c r="AO220" s="991"/>
      <c r="AP220" s="992"/>
      <c r="AQ220" s="991"/>
      <c r="AR220" s="992"/>
    </row>
    <row r="221" spans="1:44" ht="15" outlineLevel="1" thickBot="1">
      <c r="B221" s="431"/>
      <c r="C221" s="432"/>
      <c r="D221" s="432"/>
      <c r="E221" s="432"/>
      <c r="F221" s="432"/>
      <c r="G221" s="432"/>
      <c r="H221" s="432"/>
      <c r="I221" s="432"/>
      <c r="J221" s="432"/>
      <c r="K221" s="432"/>
      <c r="L221" s="433"/>
      <c r="M221" s="430"/>
      <c r="N221" s="430"/>
      <c r="O221" s="74"/>
      <c r="P221" s="995"/>
      <c r="Q221" s="988"/>
      <c r="R221" s="998"/>
      <c r="S221" s="988"/>
      <c r="T221" s="434"/>
      <c r="U221" s="435"/>
      <c r="V221" s="434"/>
      <c r="W221" s="435"/>
      <c r="X221" s="434"/>
      <c r="Y221" s="435"/>
      <c r="Z221" s="434"/>
      <c r="AA221" s="435"/>
      <c r="AB221" s="434"/>
      <c r="AC221" s="435"/>
      <c r="AE221" s="995"/>
      <c r="AF221" s="1041"/>
      <c r="AG221" s="998"/>
      <c r="AH221" s="988"/>
      <c r="AI221" s="434"/>
      <c r="AJ221" s="435"/>
      <c r="AK221" s="434"/>
      <c r="AL221" s="435"/>
      <c r="AM221" s="434"/>
      <c r="AN221" s="435"/>
      <c r="AO221" s="434"/>
      <c r="AP221" s="435"/>
      <c r="AQ221" s="434"/>
      <c r="AR221" s="435"/>
    </row>
    <row r="222" spans="1:44" ht="14.7" customHeight="1" outlineLevel="1">
      <c r="B222" s="601"/>
      <c r="C222" s="602"/>
      <c r="D222" s="602"/>
      <c r="E222" s="603"/>
      <c r="F222" s="602"/>
      <c r="G222" s="602"/>
      <c r="H222" s="602"/>
      <c r="I222" s="602"/>
      <c r="J222" s="602"/>
      <c r="K222" s="607"/>
      <c r="L222" s="608"/>
      <c r="M222" s="430"/>
      <c r="N222" s="430"/>
      <c r="P222" s="1027"/>
      <c r="Q222" s="1030"/>
      <c r="R222" s="441"/>
      <c r="S222" s="442"/>
      <c r="T222" s="1033"/>
      <c r="U222" s="1021"/>
      <c r="V222" s="1033"/>
      <c r="W222" s="1021"/>
      <c r="X222" s="1033"/>
      <c r="Y222" s="1021"/>
      <c r="Z222" s="1033"/>
      <c r="AA222" s="1021"/>
      <c r="AB222" s="1033"/>
      <c r="AC222" s="1021"/>
      <c r="AE222" s="1027"/>
      <c r="AF222" s="1030"/>
      <c r="AG222" s="441"/>
      <c r="AH222" s="442"/>
      <c r="AI222" s="1033"/>
      <c r="AJ222" s="1021"/>
      <c r="AK222" s="1033"/>
      <c r="AL222" s="1021"/>
      <c r="AM222" s="1033"/>
      <c r="AN222" s="1021"/>
      <c r="AO222" s="1033"/>
      <c r="AP222" s="1021"/>
      <c r="AQ222" s="1033"/>
      <c r="AR222" s="1021"/>
    </row>
    <row r="223" spans="1:44" outlineLevel="1">
      <c r="B223" s="443"/>
      <c r="C223" s="444"/>
      <c r="D223" s="444"/>
      <c r="E223" s="444"/>
      <c r="F223" s="444"/>
      <c r="G223" s="565"/>
      <c r="H223" s="565"/>
      <c r="I223" s="565"/>
      <c r="J223" s="565"/>
      <c r="K223" s="432"/>
      <c r="L223" s="433"/>
      <c r="M223" s="430"/>
      <c r="N223" s="430"/>
      <c r="O223" s="71"/>
      <c r="P223" s="1028"/>
      <c r="Q223" s="1031"/>
      <c r="R223" s="448"/>
      <c r="S223" s="449"/>
      <c r="T223" s="1034"/>
      <c r="U223" s="1022"/>
      <c r="V223" s="1034"/>
      <c r="W223" s="1022"/>
      <c r="X223" s="1034"/>
      <c r="Y223" s="1022"/>
      <c r="Z223" s="1034"/>
      <c r="AA223" s="1022"/>
      <c r="AB223" s="1034"/>
      <c r="AC223" s="1022"/>
      <c r="AE223" s="1028"/>
      <c r="AF223" s="1031"/>
      <c r="AG223" s="448"/>
      <c r="AH223" s="449"/>
      <c r="AI223" s="1034"/>
      <c r="AJ223" s="1022"/>
      <c r="AK223" s="1034"/>
      <c r="AL223" s="1022"/>
      <c r="AM223" s="1034"/>
      <c r="AN223" s="1022"/>
      <c r="AO223" s="1034"/>
      <c r="AP223" s="1022"/>
      <c r="AQ223" s="1034"/>
      <c r="AR223" s="1022"/>
    </row>
    <row r="224" spans="1:44" ht="15" outlineLevel="1" thickBot="1">
      <c r="B224" s="601"/>
      <c r="C224" s="604"/>
      <c r="D224" s="605"/>
      <c r="E224" s="605"/>
      <c r="F224" s="606"/>
      <c r="G224" s="605"/>
      <c r="H224" s="605"/>
      <c r="I224" s="605"/>
      <c r="J224" s="605"/>
      <c r="K224" s="607"/>
      <c r="L224" s="608"/>
      <c r="M224" s="430"/>
      <c r="N224" s="430"/>
      <c r="O224" s="71"/>
      <c r="P224" s="1028"/>
      <c r="Q224" s="1032"/>
      <c r="R224" s="453"/>
      <c r="S224" s="454"/>
      <c r="T224" s="1035"/>
      <c r="U224" s="1023"/>
      <c r="V224" s="1035"/>
      <c r="W224" s="1023"/>
      <c r="X224" s="1035"/>
      <c r="Y224" s="1023"/>
      <c r="Z224" s="1035"/>
      <c r="AA224" s="1023"/>
      <c r="AB224" s="1035"/>
      <c r="AC224" s="1023"/>
      <c r="AE224" s="1028"/>
      <c r="AF224" s="1032"/>
      <c r="AG224" s="453"/>
      <c r="AH224" s="454"/>
      <c r="AI224" s="1035"/>
      <c r="AJ224" s="1023"/>
      <c r="AK224" s="1035"/>
      <c r="AL224" s="1023"/>
      <c r="AM224" s="1035"/>
      <c r="AN224" s="1023"/>
      <c r="AO224" s="1035"/>
      <c r="AP224" s="1023"/>
      <c r="AQ224" s="1035"/>
      <c r="AR224" s="1023"/>
    </row>
    <row r="225" spans="1:44" ht="14.7" customHeight="1" outlineLevel="1">
      <c r="B225" s="601"/>
      <c r="C225" s="604"/>
      <c r="D225" s="604"/>
      <c r="E225" s="604"/>
      <c r="F225" s="604"/>
      <c r="G225" s="604"/>
      <c r="H225" s="604"/>
      <c r="I225" s="604"/>
      <c r="J225" s="604"/>
      <c r="K225" s="607"/>
      <c r="L225" s="608"/>
      <c r="M225" s="430"/>
      <c r="N225" s="430"/>
      <c r="O225" s="71"/>
      <c r="P225" s="1028"/>
      <c r="Q225" s="1030"/>
      <c r="R225" s="455"/>
      <c r="S225" s="456"/>
      <c r="T225" s="1033"/>
      <c r="U225" s="1033"/>
      <c r="V225" s="1033"/>
      <c r="W225" s="1033"/>
      <c r="X225" s="1033"/>
      <c r="Y225" s="1033"/>
      <c r="Z225" s="1033"/>
      <c r="AA225" s="1033"/>
      <c r="AB225" s="1033"/>
      <c r="AC225" s="1033"/>
      <c r="AE225" s="1028"/>
      <c r="AF225" s="1030"/>
      <c r="AG225" s="455"/>
      <c r="AH225" s="456"/>
      <c r="AI225" s="1033"/>
      <c r="AJ225" s="1033"/>
      <c r="AK225" s="1033"/>
      <c r="AL225" s="1033"/>
      <c r="AM225" s="1033"/>
      <c r="AN225" s="1033"/>
      <c r="AO225" s="1033"/>
      <c r="AP225" s="1033"/>
      <c r="AQ225" s="1033"/>
      <c r="AR225" s="1033"/>
    </row>
    <row r="226" spans="1:44" outlineLevel="1">
      <c r="B226" s="601"/>
      <c r="C226" s="604"/>
      <c r="D226" s="604"/>
      <c r="E226" s="604"/>
      <c r="F226" s="604"/>
      <c r="G226" s="604"/>
      <c r="H226" s="604"/>
      <c r="I226" s="604"/>
      <c r="J226" s="604"/>
      <c r="K226" s="607"/>
      <c r="L226" s="608"/>
      <c r="M226" s="427"/>
      <c r="N226" s="427"/>
      <c r="O226" s="71"/>
      <c r="P226" s="1028"/>
      <c r="Q226" s="1031"/>
      <c r="R226" s="455"/>
      <c r="S226" s="456"/>
      <c r="T226" s="1050"/>
      <c r="U226" s="1050"/>
      <c r="V226" s="1050"/>
      <c r="W226" s="1050"/>
      <c r="X226" s="1050"/>
      <c r="Y226" s="1050"/>
      <c r="Z226" s="1050"/>
      <c r="AA226" s="1050"/>
      <c r="AB226" s="1050"/>
      <c r="AC226" s="1050"/>
      <c r="AE226" s="1028"/>
      <c r="AF226" s="1031"/>
      <c r="AG226" s="455"/>
      <c r="AH226" s="456"/>
      <c r="AI226" s="1050"/>
      <c r="AJ226" s="1050"/>
      <c r="AK226" s="1050"/>
      <c r="AL226" s="1050"/>
      <c r="AM226" s="1050"/>
      <c r="AN226" s="1050"/>
      <c r="AO226" s="1050"/>
      <c r="AP226" s="1050"/>
      <c r="AQ226" s="1050"/>
      <c r="AR226" s="1050"/>
    </row>
    <row r="227" spans="1:44" outlineLevel="1">
      <c r="B227" s="443"/>
      <c r="C227" s="457"/>
      <c r="D227" s="457"/>
      <c r="E227" s="457"/>
      <c r="F227" s="457"/>
      <c r="G227" s="459"/>
      <c r="H227" s="459"/>
      <c r="I227" s="459"/>
      <c r="J227" s="459"/>
      <c r="K227" s="432"/>
      <c r="L227" s="433"/>
      <c r="M227" s="423"/>
      <c r="N227" s="423"/>
      <c r="P227" s="1028"/>
      <c r="Q227" s="1031"/>
      <c r="R227" s="455"/>
      <c r="S227" s="456"/>
      <c r="T227" s="1050"/>
      <c r="U227" s="1050"/>
      <c r="V227" s="1050"/>
      <c r="W227" s="1050"/>
      <c r="X227" s="1050"/>
      <c r="Y227" s="1050"/>
      <c r="Z227" s="1050"/>
      <c r="AA227" s="1050"/>
      <c r="AB227" s="1050"/>
      <c r="AC227" s="1050"/>
      <c r="AE227" s="1028"/>
      <c r="AF227" s="1031"/>
      <c r="AG227" s="455"/>
      <c r="AH227" s="456"/>
      <c r="AI227" s="1050"/>
      <c r="AJ227" s="1050"/>
      <c r="AK227" s="1050"/>
      <c r="AL227" s="1050"/>
      <c r="AM227" s="1050"/>
      <c r="AN227" s="1050"/>
      <c r="AO227" s="1050"/>
      <c r="AP227" s="1050"/>
      <c r="AQ227" s="1050"/>
      <c r="AR227" s="1050"/>
    </row>
    <row r="228" spans="1:44" ht="15" outlineLevel="1" thickBot="1">
      <c r="B228" s="601"/>
      <c r="C228" s="604"/>
      <c r="D228" s="604"/>
      <c r="E228" s="604"/>
      <c r="F228" s="604"/>
      <c r="G228" s="604"/>
      <c r="H228" s="604"/>
      <c r="I228" s="604"/>
      <c r="J228" s="604"/>
      <c r="K228" s="607"/>
      <c r="L228" s="619"/>
      <c r="M228" s="423"/>
      <c r="N228" s="423"/>
      <c r="P228" s="1028"/>
      <c r="Q228" s="1031"/>
      <c r="R228" s="455"/>
      <c r="S228" s="456"/>
      <c r="T228" s="1050"/>
      <c r="U228" s="1050"/>
      <c r="V228" s="1050"/>
      <c r="W228" s="1050"/>
      <c r="X228" s="1050"/>
      <c r="Y228" s="1050"/>
      <c r="Z228" s="1050"/>
      <c r="AA228" s="1050"/>
      <c r="AB228" s="1050"/>
      <c r="AC228" s="1050"/>
      <c r="AE228" s="1028"/>
      <c r="AF228" s="1031"/>
      <c r="AG228" s="455"/>
      <c r="AH228" s="456"/>
      <c r="AI228" s="1050"/>
      <c r="AJ228" s="1050"/>
      <c r="AK228" s="1050"/>
      <c r="AL228" s="1050"/>
      <c r="AM228" s="1050"/>
      <c r="AN228" s="1050"/>
      <c r="AO228" s="1050"/>
      <c r="AP228" s="1050"/>
      <c r="AQ228" s="1050"/>
      <c r="AR228" s="1050"/>
    </row>
    <row r="229" spans="1:44" ht="15" outlineLevel="1" thickBot="1">
      <c r="B229" s="461"/>
      <c r="C229" s="462"/>
      <c r="D229" s="463"/>
      <c r="E229" s="464"/>
      <c r="F229" s="465"/>
      <c r="G229" s="466"/>
      <c r="H229" s="466"/>
      <c r="I229" s="466"/>
      <c r="J229" s="466"/>
      <c r="K229" s="467"/>
      <c r="L229" s="468"/>
      <c r="M229" s="423"/>
      <c r="N229" s="423"/>
      <c r="P229" s="1028"/>
      <c r="Q229" s="1031"/>
      <c r="R229" s="469"/>
      <c r="S229" s="470"/>
      <c r="T229" s="1051"/>
      <c r="U229" s="1051"/>
      <c r="V229" s="1051"/>
      <c r="W229" s="1051"/>
      <c r="X229" s="1051"/>
      <c r="Y229" s="1051"/>
      <c r="Z229" s="1051"/>
      <c r="AA229" s="1051"/>
      <c r="AB229" s="1051"/>
      <c r="AC229" s="1051"/>
      <c r="AE229" s="1028"/>
      <c r="AF229" s="1031"/>
      <c r="AG229" s="469"/>
      <c r="AH229" s="470"/>
      <c r="AI229" s="1051"/>
      <c r="AJ229" s="1051"/>
      <c r="AK229" s="1051"/>
      <c r="AL229" s="1051"/>
      <c r="AM229" s="1051"/>
      <c r="AN229" s="1051"/>
      <c r="AO229" s="1051"/>
      <c r="AP229" s="1051"/>
      <c r="AQ229" s="1051"/>
      <c r="AR229" s="1051"/>
    </row>
    <row r="230" spans="1:44" ht="15" outlineLevel="1" thickBot="1">
      <c r="B230" s="601"/>
      <c r="C230" s="604"/>
      <c r="D230" s="604"/>
      <c r="E230" s="604"/>
      <c r="F230" s="604"/>
      <c r="G230" s="605"/>
      <c r="H230" s="605"/>
      <c r="I230" s="605"/>
      <c r="J230" s="605"/>
      <c r="K230" s="607"/>
      <c r="L230" s="608"/>
      <c r="M230" s="423"/>
      <c r="N230" s="423"/>
      <c r="P230" s="1029"/>
      <c r="Q230" s="471"/>
      <c r="R230" s="472"/>
      <c r="S230" s="473"/>
      <c r="T230" s="474"/>
      <c r="U230" s="475"/>
      <c r="V230" s="474"/>
      <c r="W230" s="475"/>
      <c r="X230" s="474"/>
      <c r="Y230" s="475"/>
      <c r="Z230" s="474"/>
      <c r="AA230" s="475"/>
      <c r="AB230" s="474"/>
      <c r="AC230" s="477"/>
      <c r="AE230" s="1029"/>
      <c r="AF230" s="471"/>
      <c r="AG230" s="472"/>
      <c r="AH230" s="473"/>
      <c r="AI230" s="474"/>
      <c r="AJ230" s="475"/>
      <c r="AK230" s="474"/>
      <c r="AL230" s="475"/>
      <c r="AM230" s="474"/>
      <c r="AN230" s="475"/>
      <c r="AO230" s="474"/>
      <c r="AP230" s="475"/>
      <c r="AQ230" s="474"/>
      <c r="AR230" s="477"/>
    </row>
    <row r="231" spans="1:44" outlineLevel="1">
      <c r="B231" s="601"/>
      <c r="C231" s="604"/>
      <c r="D231" s="604"/>
      <c r="E231" s="604"/>
      <c r="F231" s="604"/>
      <c r="G231" s="609"/>
      <c r="H231" s="609"/>
      <c r="I231" s="609"/>
      <c r="J231" s="609"/>
      <c r="K231" s="610"/>
      <c r="L231" s="608"/>
      <c r="M231" s="423"/>
      <c r="N231" s="423"/>
    </row>
    <row r="232" spans="1:44" outlineLevel="1">
      <c r="B232" s="601"/>
      <c r="C232" s="604"/>
      <c r="D232" s="604"/>
      <c r="E232" s="604"/>
      <c r="F232" s="604"/>
      <c r="G232" s="609"/>
      <c r="H232" s="609"/>
      <c r="I232" s="609"/>
      <c r="J232" s="609"/>
      <c r="K232" s="610"/>
      <c r="L232" s="608"/>
      <c r="M232" s="480"/>
      <c r="N232" s="423"/>
    </row>
    <row r="233" spans="1:44" outlineLevel="1">
      <c r="B233" s="481"/>
      <c r="C233" s="459"/>
      <c r="D233" s="459"/>
      <c r="E233" s="459"/>
      <c r="F233" s="459"/>
      <c r="G233" s="482"/>
      <c r="H233" s="482"/>
      <c r="I233" s="482"/>
      <c r="J233" s="482"/>
      <c r="K233" s="483"/>
      <c r="L233" s="484"/>
      <c r="M233" s="480"/>
      <c r="N233" s="480"/>
    </row>
    <row r="234" spans="1:44" outlineLevel="1">
      <c r="B234" s="443"/>
      <c r="C234" s="457"/>
      <c r="D234" s="457"/>
      <c r="E234" s="457"/>
      <c r="F234" s="457"/>
      <c r="G234" s="482"/>
      <c r="H234" s="485"/>
      <c r="I234" s="485"/>
      <c r="J234" s="485"/>
      <c r="K234" s="486"/>
      <c r="L234" s="487"/>
      <c r="M234" s="488"/>
      <c r="N234" s="488"/>
    </row>
    <row r="235" spans="1:44" outlineLevel="1">
      <c r="B235" s="443"/>
      <c r="C235" s="457"/>
      <c r="D235" s="457"/>
      <c r="E235" s="457"/>
      <c r="F235" s="457"/>
      <c r="G235" s="485"/>
      <c r="H235" s="485"/>
      <c r="I235" s="485"/>
      <c r="J235" s="485"/>
      <c r="K235" s="483"/>
      <c r="L235" s="487"/>
      <c r="M235" s="488"/>
      <c r="N235" s="488"/>
    </row>
    <row r="236" spans="1:44" outlineLevel="1">
      <c r="B236" s="443"/>
      <c r="C236" s="457"/>
      <c r="D236" s="457"/>
      <c r="E236" s="457"/>
      <c r="F236" s="457"/>
      <c r="G236" s="485"/>
      <c r="H236" s="485"/>
      <c r="I236" s="485"/>
      <c r="J236" s="485"/>
      <c r="K236" s="483"/>
      <c r="L236" s="487"/>
      <c r="M236" s="488"/>
      <c r="N236" s="488"/>
    </row>
    <row r="237" spans="1:44" outlineLevel="1">
      <c r="B237" s="443"/>
      <c r="C237" s="457"/>
      <c r="D237" s="457"/>
      <c r="E237" s="457"/>
      <c r="F237" s="457"/>
      <c r="G237" s="485"/>
      <c r="H237" s="485"/>
      <c r="I237" s="485"/>
      <c r="J237" s="485"/>
      <c r="K237" s="483"/>
      <c r="L237" s="487"/>
      <c r="M237" s="488"/>
      <c r="N237" s="488"/>
    </row>
    <row r="238" spans="1:44" ht="15" outlineLevel="1" thickBot="1">
      <c r="B238" s="489"/>
      <c r="C238" s="490"/>
      <c r="D238" s="490"/>
      <c r="E238" s="490"/>
      <c r="F238" s="490"/>
      <c r="G238" s="485"/>
      <c r="H238" s="485"/>
      <c r="I238" s="485"/>
      <c r="J238" s="485"/>
      <c r="K238" s="483"/>
      <c r="L238" s="487"/>
      <c r="M238" s="488"/>
      <c r="N238" s="488"/>
    </row>
    <row r="239" spans="1:44" ht="15" outlineLevel="1" thickBot="1">
      <c r="B239" s="491"/>
      <c r="C239" s="492"/>
      <c r="D239" s="463"/>
      <c r="E239" s="463"/>
      <c r="F239" s="493"/>
      <c r="G239" s="494"/>
      <c r="H239" s="466"/>
      <c r="I239" s="466"/>
      <c r="J239" s="466"/>
      <c r="K239" s="467"/>
      <c r="L239" s="468"/>
      <c r="M239" s="488"/>
      <c r="N239" s="488"/>
    </row>
    <row r="240" spans="1:44" outlineLevel="1">
      <c r="A240" s="495"/>
      <c r="B240" s="496"/>
      <c r="C240" s="611"/>
      <c r="D240" s="572"/>
      <c r="E240" s="572"/>
      <c r="F240" s="573"/>
      <c r="G240" s="485"/>
      <c r="H240" s="485"/>
      <c r="I240" s="485"/>
      <c r="J240" s="485"/>
      <c r="K240" s="486"/>
      <c r="L240" s="500"/>
      <c r="M240" s="480"/>
      <c r="N240" s="480"/>
    </row>
    <row r="241" spans="2:30" outlineLevel="1">
      <c r="B241" s="501"/>
      <c r="C241" s="503"/>
      <c r="D241" s="502"/>
      <c r="E241" s="502"/>
      <c r="F241" s="502"/>
      <c r="G241" s="485"/>
      <c r="H241" s="485"/>
      <c r="I241" s="485"/>
      <c r="J241" s="485"/>
      <c r="K241" s="504"/>
      <c r="L241" s="433"/>
      <c r="M241" s="71"/>
      <c r="N241" s="480"/>
    </row>
    <row r="242" spans="2:30" outlineLevel="1">
      <c r="B242" s="501"/>
      <c r="C242" s="503"/>
      <c r="D242" s="503"/>
      <c r="E242" s="503"/>
      <c r="F242" s="503"/>
      <c r="G242" s="485"/>
      <c r="H242" s="485"/>
      <c r="I242" s="485"/>
      <c r="J242" s="485"/>
      <c r="K242" s="504"/>
      <c r="L242" s="433"/>
      <c r="M242" s="480"/>
      <c r="N242" s="480"/>
    </row>
    <row r="243" spans="2:30" outlineLevel="1">
      <c r="B243" s="443"/>
      <c r="C243" s="505"/>
      <c r="D243" s="506"/>
      <c r="E243" s="506"/>
      <c r="F243" s="507"/>
      <c r="G243" s="485"/>
      <c r="H243" s="485"/>
      <c r="I243" s="485"/>
      <c r="J243" s="485"/>
      <c r="K243" s="508"/>
      <c r="L243" s="433"/>
      <c r="M243" s="480"/>
      <c r="N243" s="480"/>
    </row>
    <row r="244" spans="2:30" outlineLevel="1">
      <c r="B244" s="443"/>
      <c r="C244" s="509"/>
      <c r="D244" s="509"/>
      <c r="E244" s="509"/>
      <c r="F244" s="509"/>
      <c r="G244" s="485"/>
      <c r="H244" s="485"/>
      <c r="I244" s="485"/>
      <c r="J244" s="485"/>
      <c r="K244" s="508"/>
      <c r="L244" s="433"/>
      <c r="M244" s="510"/>
      <c r="N244" s="421"/>
      <c r="P244" s="999"/>
      <c r="Q244" s="977"/>
      <c r="R244" s="977"/>
      <c r="S244" s="977"/>
      <c r="T244" s="977"/>
      <c r="U244" s="1000"/>
    </row>
    <row r="245" spans="2:30" ht="15" outlineLevel="1" thickBot="1">
      <c r="B245" s="601"/>
      <c r="C245" s="612"/>
      <c r="D245" s="612"/>
      <c r="E245" s="612"/>
      <c r="F245" s="612"/>
      <c r="G245" s="485"/>
      <c r="H245" s="485"/>
      <c r="I245" s="485"/>
      <c r="J245" s="485"/>
      <c r="K245" s="504"/>
      <c r="L245" s="433"/>
      <c r="M245" s="510"/>
      <c r="N245" s="421"/>
      <c r="P245" s="1001"/>
      <c r="Q245" s="1002"/>
      <c r="R245" s="1002"/>
      <c r="S245" s="1002"/>
      <c r="T245" s="1002"/>
      <c r="U245" s="1003"/>
    </row>
    <row r="246" spans="2:30" outlineLevel="1">
      <c r="B246" s="601"/>
      <c r="C246" s="614"/>
      <c r="D246" s="614"/>
      <c r="E246" s="614"/>
      <c r="F246" s="614"/>
      <c r="G246" s="485"/>
      <c r="H246" s="485"/>
      <c r="I246" s="485"/>
      <c r="J246" s="485"/>
      <c r="K246" s="508"/>
      <c r="L246" s="433"/>
      <c r="M246" s="423"/>
      <c r="N246" s="423"/>
      <c r="P246" s="53"/>
    </row>
    <row r="247" spans="2:30" outlineLevel="1">
      <c r="B247" s="501"/>
      <c r="C247" s="578"/>
      <c r="D247" s="578"/>
      <c r="E247" s="578"/>
      <c r="F247" s="578"/>
      <c r="G247" s="485"/>
      <c r="H247" s="485"/>
      <c r="I247" s="485"/>
      <c r="J247" s="485"/>
      <c r="K247" s="504"/>
      <c r="L247" s="484"/>
      <c r="M247" s="427"/>
      <c r="N247" s="427"/>
      <c r="P247" s="46"/>
      <c r="Q247" s="46"/>
      <c r="R247" s="47"/>
      <c r="S247" s="47"/>
      <c r="T247" s="47"/>
      <c r="U247" s="48"/>
      <c r="V247" s="49"/>
      <c r="W247" s="49"/>
      <c r="X247" s="49"/>
      <c r="Y247" s="49"/>
      <c r="Z247" s="49"/>
      <c r="AA247" s="49"/>
      <c r="AB247" s="49"/>
      <c r="AC247" s="49"/>
      <c r="AD247" s="49"/>
    </row>
    <row r="248" spans="2:30" ht="15" outlineLevel="1" thickBot="1">
      <c r="B248" s="579"/>
      <c r="C248" s="502"/>
      <c r="D248" s="580"/>
      <c r="E248" s="580"/>
      <c r="F248" s="581"/>
      <c r="G248" s="485"/>
      <c r="H248" s="485"/>
      <c r="I248" s="485"/>
      <c r="J248" s="485"/>
      <c r="K248" s="508"/>
      <c r="L248" s="484"/>
      <c r="M248" s="423"/>
      <c r="N248" s="423"/>
      <c r="P248" s="50"/>
      <c r="Q248" s="50"/>
      <c r="R248" s="51"/>
      <c r="S248" s="51"/>
      <c r="T248" s="51"/>
      <c r="U248" s="51"/>
      <c r="V248" s="50"/>
      <c r="W248" s="50"/>
      <c r="X248" s="50"/>
      <c r="Y248" s="50"/>
      <c r="Z248" s="50"/>
      <c r="AA248" s="50"/>
      <c r="AB248" s="50"/>
      <c r="AC248" s="50"/>
      <c r="AD248" s="50"/>
    </row>
    <row r="249" spans="2:30" ht="15" outlineLevel="1" thickBot="1">
      <c r="B249" s="461"/>
      <c r="C249" s="462"/>
      <c r="D249" s="463"/>
      <c r="E249" s="464"/>
      <c r="F249" s="465"/>
      <c r="G249" s="466"/>
      <c r="H249" s="466"/>
      <c r="I249" s="466"/>
      <c r="J249" s="466"/>
      <c r="K249" s="519"/>
      <c r="L249" s="520"/>
      <c r="M249" s="423"/>
      <c r="N249" s="423"/>
      <c r="O249" s="521"/>
      <c r="P249" s="56"/>
      <c r="Q249" s="56"/>
      <c r="R249" s="57"/>
      <c r="S249" s="57"/>
      <c r="T249" s="57"/>
      <c r="U249" s="56"/>
      <c r="V249" s="56"/>
      <c r="W249" s="56"/>
      <c r="X249" s="56"/>
      <c r="Y249" s="56"/>
      <c r="Z249" s="56"/>
      <c r="AA249" s="56"/>
      <c r="AB249" s="56"/>
      <c r="AC249" s="56"/>
      <c r="AD249" s="56"/>
    </row>
    <row r="250" spans="2:30" outlineLevel="1">
      <c r="B250" s="616"/>
      <c r="C250" s="617"/>
      <c r="D250" s="617"/>
      <c r="E250" s="617"/>
      <c r="F250" s="617"/>
      <c r="G250" s="618"/>
      <c r="H250" s="618"/>
      <c r="I250" s="618"/>
      <c r="J250" s="618"/>
      <c r="K250" s="618"/>
      <c r="L250" s="619"/>
      <c r="M250" s="423"/>
      <c r="N250" s="423"/>
      <c r="O250" s="525"/>
      <c r="P250" s="526"/>
      <c r="Q250" s="58"/>
      <c r="R250" s="526"/>
      <c r="S250" s="58"/>
      <c r="T250" s="526"/>
      <c r="U250" s="527"/>
      <c r="V250" s="527"/>
      <c r="W250" s="527"/>
      <c r="X250" s="58"/>
      <c r="Y250" s="58"/>
      <c r="Z250" s="526"/>
      <c r="AA250" s="528"/>
      <c r="AB250" s="528"/>
      <c r="AC250" s="528"/>
      <c r="AD250" s="528"/>
    </row>
    <row r="251" spans="2:30" outlineLevel="1">
      <c r="B251" s="601"/>
      <c r="C251" s="620"/>
      <c r="D251" s="621"/>
      <c r="E251" s="621"/>
      <c r="F251" s="622"/>
      <c r="G251" s="622"/>
      <c r="H251" s="622"/>
      <c r="I251" s="622"/>
      <c r="J251" s="622"/>
      <c r="K251" s="623"/>
      <c r="L251" s="619"/>
      <c r="M251" s="423"/>
      <c r="N251" s="423"/>
      <c r="O251" s="525"/>
      <c r="P251" s="526"/>
      <c r="Q251" s="58"/>
      <c r="R251" s="526"/>
      <c r="S251" s="58"/>
      <c r="T251" s="526"/>
      <c r="U251" s="527"/>
      <c r="V251" s="527"/>
      <c r="W251" s="527"/>
      <c r="X251" s="58"/>
      <c r="Y251" s="58"/>
      <c r="Z251" s="526"/>
      <c r="AA251" s="528"/>
      <c r="AB251" s="528"/>
      <c r="AC251" s="528"/>
      <c r="AD251" s="528"/>
    </row>
    <row r="252" spans="2:30" outlineLevel="1">
      <c r="B252" s="601"/>
      <c r="C252" s="620"/>
      <c r="D252" s="621"/>
      <c r="E252" s="621"/>
      <c r="F252" s="622"/>
      <c r="G252" s="622"/>
      <c r="H252" s="622"/>
      <c r="I252" s="622"/>
      <c r="J252" s="622"/>
      <c r="K252" s="623"/>
      <c r="L252" s="619"/>
      <c r="M252" s="423"/>
      <c r="N252" s="423"/>
      <c r="O252" s="525"/>
      <c r="P252" s="526"/>
      <c r="Q252" s="58"/>
      <c r="R252" s="526"/>
      <c r="S252" s="58"/>
      <c r="T252" s="526"/>
      <c r="U252" s="527"/>
      <c r="V252" s="527"/>
      <c r="W252" s="527"/>
      <c r="X252" s="58"/>
      <c r="Y252" s="58"/>
      <c r="Z252" s="526"/>
      <c r="AA252" s="528"/>
      <c r="AB252" s="528"/>
      <c r="AC252" s="528"/>
      <c r="AD252" s="528"/>
    </row>
    <row r="253" spans="2:30" outlineLevel="1">
      <c r="B253" s="601"/>
      <c r="C253" s="624"/>
      <c r="D253" s="624"/>
      <c r="E253" s="624"/>
      <c r="F253" s="624"/>
      <c r="G253" s="625"/>
      <c r="H253" s="625"/>
      <c r="I253" s="625"/>
      <c r="J253" s="625"/>
      <c r="K253" s="625"/>
      <c r="L253" s="608"/>
      <c r="M253" s="423"/>
      <c r="N253" s="423"/>
      <c r="O253" s="525"/>
      <c r="P253" s="526"/>
      <c r="Q253" s="58"/>
      <c r="R253" s="526"/>
      <c r="S253" s="58"/>
      <c r="T253" s="526"/>
      <c r="U253" s="527"/>
      <c r="V253" s="527"/>
      <c r="W253" s="527"/>
      <c r="X253" s="58"/>
      <c r="Y253" s="58"/>
      <c r="Z253" s="526"/>
      <c r="AA253" s="528"/>
      <c r="AB253" s="528"/>
      <c r="AC253" s="528"/>
      <c r="AD253" s="528"/>
    </row>
    <row r="254" spans="2:30" outlineLevel="1">
      <c r="B254" s="626"/>
      <c r="C254" s="620"/>
      <c r="D254" s="621"/>
      <c r="E254" s="621"/>
      <c r="F254" s="622"/>
      <c r="G254" s="622"/>
      <c r="H254" s="622"/>
      <c r="I254" s="622"/>
      <c r="J254" s="622"/>
      <c r="K254" s="623"/>
      <c r="L254" s="619"/>
      <c r="M254" s="427"/>
      <c r="N254" s="427"/>
    </row>
    <row r="255" spans="2:30" outlineLevel="1">
      <c r="B255" s="626"/>
      <c r="C255" s="620"/>
      <c r="D255" s="621"/>
      <c r="E255" s="621"/>
      <c r="F255" s="622"/>
      <c r="G255" s="622"/>
      <c r="H255" s="622"/>
      <c r="I255" s="622"/>
      <c r="J255" s="622"/>
      <c r="K255" s="623"/>
      <c r="L255" s="619"/>
      <c r="M255" s="423"/>
      <c r="N255" s="423"/>
    </row>
    <row r="256" spans="2:30" ht="15" outlineLevel="1" thickBot="1">
      <c r="B256" s="627"/>
      <c r="C256" s="628"/>
      <c r="D256" s="628"/>
      <c r="E256" s="628"/>
      <c r="F256" s="628"/>
      <c r="G256" s="628"/>
      <c r="H256" s="628"/>
      <c r="I256" s="628"/>
      <c r="J256" s="628"/>
      <c r="K256" s="628"/>
      <c r="L256" s="629"/>
      <c r="M256" s="423"/>
      <c r="N256" s="423"/>
    </row>
    <row r="257" spans="1:15" outlineLevel="1">
      <c r="B257" s="521"/>
      <c r="C257" s="543"/>
      <c r="D257" s="543"/>
      <c r="E257" s="543"/>
      <c r="F257" s="543"/>
      <c r="G257" s="543"/>
      <c r="H257" s="544"/>
      <c r="I257" s="480"/>
      <c r="J257" s="480"/>
      <c r="K257" s="544"/>
      <c r="L257" s="544"/>
      <c r="N257" s="480"/>
    </row>
    <row r="258" spans="1:15" outlineLevel="1">
      <c r="B258" s="545"/>
      <c r="C258" s="546"/>
      <c r="D258" s="546"/>
      <c r="E258" s="546"/>
      <c r="F258" s="546"/>
      <c r="G258" s="546"/>
      <c r="H258" s="544"/>
      <c r="I258" s="71"/>
      <c r="J258" s="480"/>
      <c r="K258" s="544"/>
      <c r="L258" s="544"/>
      <c r="N258" s="480"/>
    </row>
    <row r="259" spans="1:15" outlineLevel="1">
      <c r="B259" s="521"/>
      <c r="C259" s="419"/>
      <c r="D259" s="419"/>
      <c r="E259" s="419"/>
      <c r="F259" s="419"/>
      <c r="G259" s="419"/>
      <c r="I259" s="480"/>
      <c r="J259" s="480"/>
      <c r="N259" s="480"/>
    </row>
    <row r="260" spans="1:15" outlineLevel="1">
      <c r="B260" s="521"/>
      <c r="C260" s="547"/>
      <c r="D260" s="547"/>
      <c r="E260" s="547"/>
      <c r="F260" s="547"/>
      <c r="G260" s="419"/>
      <c r="M260" s="480"/>
      <c r="N260" s="480"/>
    </row>
    <row r="261" spans="1:15" outlineLevel="1"/>
    <row r="262" spans="1:15" outlineLevel="1">
      <c r="A262" s="548"/>
      <c r="B262" s="549"/>
      <c r="D262" s="550"/>
      <c r="E262" s="550"/>
      <c r="F262" s="550"/>
      <c r="G262" s="417"/>
      <c r="H262" s="417"/>
      <c r="I262" s="417"/>
      <c r="J262" s="417"/>
      <c r="K262" s="417"/>
      <c r="L262" s="417"/>
    </row>
    <row r="263" spans="1:15" outlineLevel="1">
      <c r="A263" s="551"/>
      <c r="B263" s="552"/>
      <c r="D263" s="550"/>
      <c r="E263" s="550"/>
      <c r="F263" s="550"/>
      <c r="G263" s="417"/>
      <c r="H263" s="417"/>
      <c r="I263" s="417"/>
      <c r="J263" s="417"/>
      <c r="K263" s="417"/>
      <c r="L263" s="417"/>
    </row>
    <row r="264" spans="1:15" outlineLevel="1">
      <c r="A264" s="551"/>
      <c r="B264" s="553"/>
      <c r="D264" s="550"/>
      <c r="E264" s="550"/>
      <c r="F264" s="550"/>
      <c r="G264" s="417"/>
      <c r="H264" s="417"/>
      <c r="I264" s="417"/>
      <c r="J264" s="417"/>
      <c r="K264" s="417"/>
      <c r="L264" s="417"/>
    </row>
    <row r="265" spans="1:15" outlineLevel="1">
      <c r="A265" s="551"/>
      <c r="B265" s="553"/>
      <c r="D265" s="550"/>
      <c r="E265" s="550"/>
      <c r="F265" s="550"/>
      <c r="G265" s="417"/>
      <c r="H265" s="417"/>
      <c r="I265" s="417"/>
      <c r="J265" s="417"/>
      <c r="K265" s="417"/>
      <c r="L265" s="417"/>
    </row>
    <row r="266" spans="1:15" outlineLevel="1">
      <c r="A266" s="551"/>
      <c r="B266" s="553"/>
      <c r="D266" s="550"/>
      <c r="E266" s="550"/>
      <c r="F266" s="550"/>
      <c r="G266" s="417"/>
      <c r="H266" s="417"/>
      <c r="I266" s="417"/>
      <c r="J266" s="417"/>
      <c r="K266" s="417"/>
      <c r="L266" s="417"/>
    </row>
    <row r="267" spans="1:15" outlineLevel="1">
      <c r="A267" s="417"/>
      <c r="B267" s="554"/>
      <c r="D267" s="550"/>
      <c r="E267" s="550"/>
      <c r="F267" s="550"/>
      <c r="G267" s="417"/>
      <c r="H267" s="417"/>
      <c r="I267" s="417"/>
      <c r="J267" s="417"/>
      <c r="K267" s="417"/>
      <c r="L267" s="417"/>
      <c r="M267" s="630"/>
      <c r="N267" s="549"/>
      <c r="O267" s="550"/>
    </row>
    <row r="268" spans="1:15" outlineLevel="1">
      <c r="A268" s="417"/>
      <c r="B268" s="552"/>
      <c r="D268" s="550"/>
      <c r="E268" s="550"/>
      <c r="F268" s="550"/>
      <c r="G268" s="417"/>
      <c r="H268" s="417"/>
      <c r="I268" s="417"/>
      <c r="J268" s="417"/>
      <c r="K268" s="417"/>
      <c r="L268" s="417"/>
      <c r="O268" s="550"/>
    </row>
    <row r="269" spans="1:15" outlineLevel="1">
      <c r="A269" s="417"/>
      <c r="B269" s="555"/>
      <c r="D269" s="550"/>
      <c r="E269" s="550"/>
      <c r="F269" s="550"/>
      <c r="G269" s="417"/>
      <c r="H269" s="417"/>
      <c r="I269" s="417"/>
      <c r="J269" s="417"/>
      <c r="K269" s="417"/>
      <c r="L269" s="417"/>
      <c r="O269" s="550"/>
    </row>
    <row r="270" spans="1:15" outlineLevel="1">
      <c r="A270" s="417"/>
      <c r="B270" s="555"/>
      <c r="D270" s="550"/>
      <c r="E270" s="550"/>
      <c r="F270" s="550"/>
      <c r="G270" s="417"/>
      <c r="H270" s="417"/>
      <c r="I270" s="417"/>
      <c r="J270" s="417"/>
      <c r="K270" s="417"/>
      <c r="L270" s="417"/>
      <c r="O270" s="550"/>
    </row>
    <row r="271" spans="1:15" outlineLevel="1">
      <c r="A271" s="417"/>
      <c r="B271" s="549"/>
      <c r="D271" s="550"/>
      <c r="E271" s="550"/>
      <c r="F271" s="550"/>
      <c r="G271" s="417"/>
      <c r="H271" s="417"/>
      <c r="I271" s="417"/>
      <c r="J271" s="417"/>
      <c r="K271" s="417"/>
      <c r="L271" s="417"/>
      <c r="O271" s="550"/>
    </row>
    <row r="272" spans="1:15" outlineLevel="1">
      <c r="A272" s="417"/>
      <c r="B272" s="550"/>
      <c r="D272" s="550"/>
      <c r="E272" s="550"/>
      <c r="F272" s="550"/>
      <c r="G272" s="417"/>
      <c r="H272" s="417"/>
      <c r="I272" s="417"/>
      <c r="J272" s="417"/>
      <c r="K272" s="417"/>
      <c r="L272" s="417"/>
      <c r="O272" s="550"/>
    </row>
    <row r="273" spans="1:44" outlineLevel="1">
      <c r="A273" s="548"/>
      <c r="B273" s="549"/>
      <c r="D273" s="550"/>
      <c r="E273" s="550"/>
      <c r="F273" s="550"/>
      <c r="G273" s="417"/>
      <c r="H273" s="417"/>
      <c r="I273" s="417"/>
      <c r="J273" s="417"/>
      <c r="K273" s="417"/>
      <c r="L273" s="417"/>
      <c r="O273" s="550"/>
    </row>
    <row r="274" spans="1:44" outlineLevel="1">
      <c r="A274" s="556"/>
      <c r="B274" s="557"/>
      <c r="D274" s="550"/>
      <c r="E274" s="550"/>
      <c r="F274" s="550"/>
      <c r="G274" s="417"/>
      <c r="H274" s="417"/>
      <c r="I274" s="417"/>
      <c r="J274" s="417"/>
      <c r="K274" s="417"/>
      <c r="L274" s="417"/>
      <c r="M274" s="630"/>
      <c r="N274" s="549"/>
      <c r="O274" s="550"/>
    </row>
    <row r="275" spans="1:44" outlineLevel="1">
      <c r="A275" s="556"/>
      <c r="B275" s="549"/>
      <c r="D275" s="550"/>
      <c r="E275" s="550"/>
      <c r="F275" s="550"/>
      <c r="G275" s="417"/>
      <c r="H275" s="417"/>
      <c r="I275" s="417"/>
      <c r="J275" s="417"/>
      <c r="K275" s="417"/>
      <c r="L275" s="417"/>
      <c r="M275" s="631"/>
      <c r="N275" s="549"/>
      <c r="O275" s="550"/>
    </row>
    <row r="276" spans="1:44" outlineLevel="1">
      <c r="A276" s="556"/>
      <c r="B276" s="549"/>
      <c r="D276" s="550"/>
      <c r="E276" s="550"/>
      <c r="F276" s="550"/>
      <c r="G276" s="417"/>
      <c r="H276" s="417"/>
      <c r="I276" s="417"/>
      <c r="J276" s="417"/>
      <c r="K276" s="417"/>
      <c r="L276" s="417"/>
      <c r="M276" s="632"/>
      <c r="N276" s="549"/>
      <c r="O276" s="550"/>
    </row>
    <row r="277" spans="1:44" outlineLevel="1">
      <c r="A277" s="556"/>
      <c r="B277" s="558"/>
      <c r="D277" s="550"/>
      <c r="E277" s="550"/>
      <c r="F277" s="550"/>
      <c r="G277" s="417"/>
      <c r="H277" s="417"/>
      <c r="I277" s="417"/>
      <c r="J277" s="417"/>
      <c r="K277" s="417"/>
      <c r="L277" s="417"/>
      <c r="M277" s="633"/>
      <c r="N277" s="549"/>
      <c r="O277" s="550"/>
    </row>
    <row r="278" spans="1:44" outlineLevel="1">
      <c r="A278" s="556"/>
      <c r="B278" s="549"/>
      <c r="D278" s="550"/>
      <c r="E278" s="550"/>
      <c r="F278" s="550"/>
      <c r="G278" s="417"/>
      <c r="H278" s="417"/>
      <c r="I278" s="417"/>
      <c r="J278" s="417"/>
      <c r="K278" s="417"/>
      <c r="L278" s="417"/>
      <c r="M278" s="633"/>
      <c r="N278" s="550"/>
      <c r="O278" s="550"/>
    </row>
    <row r="279" spans="1:44" outlineLevel="1">
      <c r="A279" s="556"/>
      <c r="B279" s="549"/>
      <c r="D279" s="550"/>
      <c r="E279" s="550"/>
      <c r="F279" s="550"/>
      <c r="G279" s="417"/>
      <c r="H279" s="417"/>
      <c r="I279" s="417"/>
      <c r="J279" s="417"/>
      <c r="K279" s="417"/>
      <c r="L279" s="417"/>
      <c r="M279" s="549"/>
      <c r="N279" s="550"/>
      <c r="O279" s="550"/>
    </row>
    <row r="280" spans="1:44" outlineLevel="1"/>
    <row r="283" spans="1:44" ht="15" thickBot="1">
      <c r="A283" s="420"/>
    </row>
    <row r="284" spans="1:44" ht="20.7" customHeight="1" thickBot="1">
      <c r="B284" s="422"/>
      <c r="C284" s="1043"/>
      <c r="D284" s="1044"/>
      <c r="E284" s="1044"/>
      <c r="F284" s="1044"/>
      <c r="G284" s="1044"/>
      <c r="H284" s="1044"/>
      <c r="I284" s="1044"/>
      <c r="J284" s="1044"/>
      <c r="K284" s="1044"/>
      <c r="L284" s="1045"/>
      <c r="M284" s="423"/>
      <c r="N284" s="423"/>
      <c r="P284" s="424"/>
      <c r="Q284" s="425"/>
      <c r="R284" s="426"/>
      <c r="S284" s="985"/>
      <c r="T284" s="989"/>
      <c r="U284" s="990"/>
      <c r="V284" s="989"/>
      <c r="W284" s="990"/>
      <c r="X284" s="989"/>
      <c r="Y284" s="990"/>
      <c r="Z284" s="989"/>
      <c r="AA284" s="990"/>
      <c r="AB284" s="989"/>
      <c r="AC284" s="990"/>
      <c r="AE284" s="424"/>
      <c r="AF284" s="425"/>
      <c r="AG284" s="426"/>
      <c r="AH284" s="985"/>
      <c r="AI284" s="989"/>
      <c r="AJ284" s="990"/>
      <c r="AK284" s="989"/>
      <c r="AL284" s="990"/>
      <c r="AM284" s="989"/>
      <c r="AN284" s="990"/>
      <c r="AO284" s="989"/>
      <c r="AP284" s="990"/>
      <c r="AQ284" s="989"/>
      <c r="AR284" s="990"/>
    </row>
    <row r="285" spans="1:44" ht="15" customHeight="1" thickBot="1">
      <c r="B285" s="1010"/>
      <c r="C285" s="1012"/>
      <c r="D285" s="1012"/>
      <c r="E285" s="1012"/>
      <c r="F285" s="1012"/>
      <c r="G285" s="1048"/>
      <c r="H285" s="1049"/>
      <c r="I285" s="1048"/>
      <c r="J285" s="1049"/>
      <c r="K285" s="1046"/>
      <c r="L285" s="1046"/>
      <c r="M285" s="427"/>
      <c r="N285" s="427"/>
      <c r="P285" s="993"/>
      <c r="Q285" s="428"/>
      <c r="R285" s="428"/>
      <c r="S285" s="986"/>
      <c r="T285" s="991"/>
      <c r="U285" s="992"/>
      <c r="V285" s="991"/>
      <c r="W285" s="992"/>
      <c r="X285" s="991"/>
      <c r="Y285" s="992"/>
      <c r="Z285" s="991"/>
      <c r="AA285" s="992"/>
      <c r="AB285" s="991"/>
      <c r="AC285" s="992"/>
      <c r="AE285" s="993"/>
      <c r="AF285" s="428"/>
      <c r="AG285" s="428"/>
      <c r="AH285" s="986"/>
      <c r="AI285" s="991"/>
      <c r="AJ285" s="992"/>
      <c r="AK285" s="991"/>
      <c r="AL285" s="992"/>
      <c r="AM285" s="991"/>
      <c r="AN285" s="992"/>
      <c r="AO285" s="991"/>
      <c r="AP285" s="992"/>
      <c r="AQ285" s="991"/>
      <c r="AR285" s="992"/>
    </row>
    <row r="286" spans="1:44" ht="15" customHeight="1" thickBot="1">
      <c r="B286" s="1011"/>
      <c r="C286" s="1013"/>
      <c r="D286" s="1013"/>
      <c r="E286" s="1013"/>
      <c r="F286" s="1013"/>
      <c r="G286" s="466"/>
      <c r="H286" s="466"/>
      <c r="I286" s="466"/>
      <c r="J286" s="466"/>
      <c r="K286" s="1047"/>
      <c r="L286" s="1047"/>
      <c r="M286" s="430"/>
      <c r="N286" s="430"/>
      <c r="P286" s="994"/>
      <c r="Q286" s="996"/>
      <c r="R286" s="997"/>
      <c r="S286" s="987"/>
      <c r="T286" s="991"/>
      <c r="U286" s="992"/>
      <c r="V286" s="991"/>
      <c r="W286" s="992"/>
      <c r="X286" s="991"/>
      <c r="Y286" s="992"/>
      <c r="Z286" s="991"/>
      <c r="AA286" s="992"/>
      <c r="AB286" s="991"/>
      <c r="AC286" s="992"/>
      <c r="AE286" s="994"/>
      <c r="AF286" s="996"/>
      <c r="AG286" s="997"/>
      <c r="AH286" s="987"/>
      <c r="AI286" s="991"/>
      <c r="AJ286" s="992"/>
      <c r="AK286" s="991"/>
      <c r="AL286" s="992"/>
      <c r="AM286" s="991"/>
      <c r="AN286" s="992"/>
      <c r="AO286" s="991"/>
      <c r="AP286" s="992"/>
      <c r="AQ286" s="991"/>
      <c r="AR286" s="992"/>
    </row>
    <row r="287" spans="1:44" ht="15" thickBot="1">
      <c r="B287" s="431"/>
      <c r="C287" s="432"/>
      <c r="D287" s="432"/>
      <c r="E287" s="432"/>
      <c r="F287" s="432"/>
      <c r="G287" s="432"/>
      <c r="H287" s="432"/>
      <c r="I287" s="432"/>
      <c r="J287" s="432"/>
      <c r="K287" s="432"/>
      <c r="L287" s="433"/>
      <c r="M287" s="430"/>
      <c r="N287" s="430"/>
      <c r="O287" s="74"/>
      <c r="P287" s="995"/>
      <c r="Q287" s="988"/>
      <c r="R287" s="998"/>
      <c r="S287" s="988"/>
      <c r="T287" s="434"/>
      <c r="U287" s="435"/>
      <c r="V287" s="434"/>
      <c r="W287" s="435"/>
      <c r="X287" s="434"/>
      <c r="Y287" s="435"/>
      <c r="Z287" s="434"/>
      <c r="AA287" s="435"/>
      <c r="AB287" s="434"/>
      <c r="AC287" s="435"/>
      <c r="AE287" s="995"/>
      <c r="AF287" s="988"/>
      <c r="AG287" s="998"/>
      <c r="AH287" s="988"/>
      <c r="AI287" s="434"/>
      <c r="AJ287" s="435"/>
      <c r="AK287" s="434"/>
      <c r="AL287" s="435"/>
      <c r="AM287" s="434"/>
      <c r="AN287" s="435"/>
      <c r="AO287" s="434"/>
      <c r="AP287" s="435"/>
      <c r="AQ287" s="434"/>
      <c r="AR287" s="435"/>
    </row>
    <row r="288" spans="1:44" ht="14.7" customHeight="1">
      <c r="B288" s="634"/>
      <c r="C288" s="635"/>
      <c r="D288" s="635"/>
      <c r="E288" s="635"/>
      <c r="F288" s="635"/>
      <c r="G288" s="636"/>
      <c r="H288" s="636"/>
      <c r="I288" s="636"/>
      <c r="J288" s="636"/>
      <c r="K288" s="432"/>
      <c r="L288" s="433"/>
      <c r="M288" s="430"/>
      <c r="N288" s="430"/>
      <c r="P288" s="1027"/>
      <c r="Q288" s="1030"/>
      <c r="R288" s="441"/>
      <c r="S288" s="442"/>
      <c r="T288" s="1033"/>
      <c r="U288" s="1021"/>
      <c r="V288" s="1033"/>
      <c r="W288" s="1021"/>
      <c r="X288" s="1033"/>
      <c r="Y288" s="1021"/>
      <c r="Z288" s="1033"/>
      <c r="AA288" s="1021"/>
      <c r="AB288" s="1024"/>
      <c r="AC288" s="1021"/>
      <c r="AE288" s="1027"/>
      <c r="AF288" s="1030"/>
      <c r="AG288" s="441"/>
      <c r="AH288" s="442"/>
      <c r="AI288" s="1033"/>
      <c r="AJ288" s="1021"/>
      <c r="AK288" s="1033"/>
      <c r="AL288" s="1021"/>
      <c r="AM288" s="1033"/>
      <c r="AN288" s="1021"/>
      <c r="AO288" s="1033"/>
      <c r="AP288" s="1021"/>
      <c r="AQ288" s="1024"/>
      <c r="AR288" s="1021"/>
    </row>
    <row r="289" spans="2:44">
      <c r="B289" s="443"/>
      <c r="C289" s="637"/>
      <c r="D289" s="637"/>
      <c r="E289" s="637"/>
      <c r="F289" s="637"/>
      <c r="G289" s="636"/>
      <c r="H289" s="636"/>
      <c r="I289" s="636"/>
      <c r="J289" s="636"/>
      <c r="K289" s="432"/>
      <c r="L289" s="433"/>
      <c r="M289" s="430"/>
      <c r="N289" s="430"/>
      <c r="O289" s="71"/>
      <c r="P289" s="1052"/>
      <c r="Q289" s="1031"/>
      <c r="R289" s="448"/>
      <c r="S289" s="449"/>
      <c r="T289" s="1034"/>
      <c r="U289" s="1022"/>
      <c r="V289" s="1034"/>
      <c r="W289" s="1022"/>
      <c r="X289" s="1034"/>
      <c r="Y289" s="1022"/>
      <c r="Z289" s="1034"/>
      <c r="AA289" s="1022"/>
      <c r="AB289" s="1025"/>
      <c r="AC289" s="1022"/>
      <c r="AE289" s="1052"/>
      <c r="AF289" s="1031"/>
      <c r="AG289" s="448"/>
      <c r="AH289" s="449"/>
      <c r="AI289" s="1034"/>
      <c r="AJ289" s="1022"/>
      <c r="AK289" s="1034"/>
      <c r="AL289" s="1022"/>
      <c r="AM289" s="1034"/>
      <c r="AN289" s="1022"/>
      <c r="AO289" s="1034"/>
      <c r="AP289" s="1022"/>
      <c r="AQ289" s="1025"/>
      <c r="AR289" s="1022"/>
    </row>
    <row r="290" spans="2:44" ht="15" thickBot="1">
      <c r="B290" s="634"/>
      <c r="C290" s="638"/>
      <c r="D290" s="638"/>
      <c r="E290" s="638"/>
      <c r="F290" s="638"/>
      <c r="G290" s="638"/>
      <c r="H290" s="638"/>
      <c r="I290" s="638"/>
      <c r="J290" s="638"/>
      <c r="K290" s="639"/>
      <c r="L290" s="640"/>
      <c r="M290" s="430"/>
      <c r="N290" s="430"/>
      <c r="O290" s="71"/>
      <c r="P290" s="1052"/>
      <c r="Q290" s="1032"/>
      <c r="R290" s="453"/>
      <c r="S290" s="454"/>
      <c r="T290" s="1035"/>
      <c r="U290" s="1023"/>
      <c r="V290" s="1035"/>
      <c r="W290" s="1023"/>
      <c r="X290" s="1035"/>
      <c r="Y290" s="1023"/>
      <c r="Z290" s="1035"/>
      <c r="AA290" s="1023"/>
      <c r="AB290" s="1026"/>
      <c r="AC290" s="1023"/>
      <c r="AE290" s="1052"/>
      <c r="AF290" s="1032"/>
      <c r="AG290" s="453"/>
      <c r="AH290" s="454"/>
      <c r="AI290" s="1035"/>
      <c r="AJ290" s="1023"/>
      <c r="AK290" s="1035"/>
      <c r="AL290" s="1023"/>
      <c r="AM290" s="1035"/>
      <c r="AN290" s="1023"/>
      <c r="AO290" s="1035"/>
      <c r="AP290" s="1023"/>
      <c r="AQ290" s="1026"/>
      <c r="AR290" s="1023"/>
    </row>
    <row r="291" spans="2:44" ht="14.7" customHeight="1">
      <c r="B291" s="634"/>
      <c r="C291" s="641"/>
      <c r="D291" s="641"/>
      <c r="E291" s="641"/>
      <c r="F291" s="641"/>
      <c r="G291" s="641"/>
      <c r="H291" s="641"/>
      <c r="I291" s="641"/>
      <c r="J291" s="641"/>
      <c r="K291" s="639"/>
      <c r="L291" s="640"/>
      <c r="M291" s="430"/>
      <c r="N291" s="430"/>
      <c r="O291" s="71"/>
      <c r="P291" s="1052"/>
      <c r="Q291" s="1054"/>
      <c r="R291" s="455"/>
      <c r="S291" s="456"/>
      <c r="T291" s="1033"/>
      <c r="U291" s="1033"/>
      <c r="V291" s="1033"/>
      <c r="W291" s="1033"/>
      <c r="X291" s="1033"/>
      <c r="Y291" s="1033"/>
      <c r="Z291" s="1033"/>
      <c r="AA291" s="1033"/>
      <c r="AB291" s="1033"/>
      <c r="AC291" s="1033"/>
      <c r="AE291" s="1052"/>
      <c r="AF291" s="1054"/>
      <c r="AG291" s="455"/>
      <c r="AH291" s="456"/>
      <c r="AI291" s="1033"/>
      <c r="AJ291" s="1033"/>
      <c r="AK291" s="1033"/>
      <c r="AL291" s="1033"/>
      <c r="AM291" s="1033"/>
      <c r="AN291" s="1033"/>
      <c r="AO291" s="1033"/>
      <c r="AP291" s="1033"/>
      <c r="AQ291" s="1033"/>
      <c r="AR291" s="1033"/>
    </row>
    <row r="292" spans="2:44">
      <c r="B292" s="634"/>
      <c r="C292" s="642"/>
      <c r="D292" s="642"/>
      <c r="E292" s="642"/>
      <c r="F292" s="642"/>
      <c r="G292" s="642"/>
      <c r="H292" s="642"/>
      <c r="I292" s="642"/>
      <c r="J292" s="642"/>
      <c r="K292" s="639"/>
      <c r="L292" s="640"/>
      <c r="M292" s="427"/>
      <c r="N292" s="427"/>
      <c r="O292" s="71"/>
      <c r="P292" s="1052"/>
      <c r="Q292" s="1055"/>
      <c r="R292" s="455"/>
      <c r="S292" s="456"/>
      <c r="T292" s="1050"/>
      <c r="U292" s="1050"/>
      <c r="V292" s="1050"/>
      <c r="W292" s="1050"/>
      <c r="X292" s="1050"/>
      <c r="Y292" s="1050"/>
      <c r="Z292" s="1050"/>
      <c r="AA292" s="1050"/>
      <c r="AB292" s="1034"/>
      <c r="AC292" s="1050"/>
      <c r="AE292" s="1052"/>
      <c r="AF292" s="1055"/>
      <c r="AG292" s="455"/>
      <c r="AH292" s="456"/>
      <c r="AI292" s="1050"/>
      <c r="AJ292" s="1050"/>
      <c r="AK292" s="1050"/>
      <c r="AL292" s="1050"/>
      <c r="AM292" s="1050"/>
      <c r="AN292" s="1050"/>
      <c r="AO292" s="1050"/>
      <c r="AP292" s="1050"/>
      <c r="AQ292" s="1034"/>
      <c r="AR292" s="1050"/>
    </row>
    <row r="293" spans="2:44">
      <c r="B293" s="443"/>
      <c r="C293" s="457"/>
      <c r="D293" s="457"/>
      <c r="E293" s="457"/>
      <c r="F293" s="457"/>
      <c r="G293" s="458"/>
      <c r="H293" s="458"/>
      <c r="I293" s="458"/>
      <c r="J293" s="458"/>
      <c r="K293" s="432"/>
      <c r="L293" s="433"/>
      <c r="M293" s="423"/>
      <c r="N293" s="423"/>
      <c r="P293" s="1052"/>
      <c r="Q293" s="1055"/>
      <c r="R293" s="455"/>
      <c r="S293" s="456"/>
      <c r="T293" s="1050"/>
      <c r="U293" s="1050"/>
      <c r="V293" s="1050"/>
      <c r="W293" s="1050"/>
      <c r="X293" s="1050"/>
      <c r="Y293" s="1050"/>
      <c r="Z293" s="1050"/>
      <c r="AA293" s="1050"/>
      <c r="AB293" s="1034"/>
      <c r="AC293" s="1050"/>
      <c r="AE293" s="1052"/>
      <c r="AF293" s="1055"/>
      <c r="AG293" s="455"/>
      <c r="AH293" s="456"/>
      <c r="AI293" s="1050"/>
      <c r="AJ293" s="1050"/>
      <c r="AK293" s="1050"/>
      <c r="AL293" s="1050"/>
      <c r="AM293" s="1050"/>
      <c r="AN293" s="1050"/>
      <c r="AO293" s="1050"/>
      <c r="AP293" s="1050"/>
      <c r="AQ293" s="1034"/>
      <c r="AR293" s="1050"/>
    </row>
    <row r="294" spans="2:44" ht="15" thickBot="1">
      <c r="B294" s="634"/>
      <c r="C294" s="642"/>
      <c r="D294" s="642"/>
      <c r="E294" s="642"/>
      <c r="F294" s="642"/>
      <c r="G294" s="642"/>
      <c r="H294" s="642"/>
      <c r="I294" s="642"/>
      <c r="J294" s="642"/>
      <c r="K294" s="432"/>
      <c r="L294" s="433"/>
      <c r="M294" s="423"/>
      <c r="N294" s="423"/>
      <c r="P294" s="1052"/>
      <c r="Q294" s="1055"/>
      <c r="R294" s="455"/>
      <c r="S294" s="456"/>
      <c r="T294" s="1050"/>
      <c r="U294" s="1050"/>
      <c r="V294" s="1050"/>
      <c r="W294" s="1050"/>
      <c r="X294" s="1050"/>
      <c r="Y294" s="1050"/>
      <c r="Z294" s="1050"/>
      <c r="AA294" s="1050"/>
      <c r="AB294" s="1034"/>
      <c r="AC294" s="1050"/>
      <c r="AE294" s="1052"/>
      <c r="AF294" s="1055"/>
      <c r="AG294" s="455"/>
      <c r="AH294" s="456"/>
      <c r="AI294" s="1050"/>
      <c r="AJ294" s="1050"/>
      <c r="AK294" s="1050"/>
      <c r="AL294" s="1050"/>
      <c r="AM294" s="1050"/>
      <c r="AN294" s="1050"/>
      <c r="AO294" s="1050"/>
      <c r="AP294" s="1050"/>
      <c r="AQ294" s="1034"/>
      <c r="AR294" s="1050"/>
    </row>
    <row r="295" spans="2:44" ht="15" thickBot="1">
      <c r="B295" s="461"/>
      <c r="C295" s="643"/>
      <c r="D295" s="644"/>
      <c r="E295" s="645"/>
      <c r="F295" s="646"/>
      <c r="G295" s="466"/>
      <c r="H295" s="466"/>
      <c r="I295" s="466"/>
      <c r="J295" s="466"/>
      <c r="K295" s="467"/>
      <c r="L295" s="647"/>
      <c r="M295" s="423"/>
      <c r="N295" s="423"/>
      <c r="P295" s="1052"/>
      <c r="Q295" s="1056"/>
      <c r="R295" s="469"/>
      <c r="S295" s="470"/>
      <c r="T295" s="1051"/>
      <c r="U295" s="1051"/>
      <c r="V295" s="1051"/>
      <c r="W295" s="1051"/>
      <c r="X295" s="1051"/>
      <c r="Y295" s="1051"/>
      <c r="Z295" s="1051"/>
      <c r="AA295" s="1051"/>
      <c r="AB295" s="1035"/>
      <c r="AC295" s="1051"/>
      <c r="AE295" s="1052"/>
      <c r="AF295" s="1056"/>
      <c r="AG295" s="469"/>
      <c r="AH295" s="470"/>
      <c r="AI295" s="1051"/>
      <c r="AJ295" s="1051"/>
      <c r="AK295" s="1051"/>
      <c r="AL295" s="1051"/>
      <c r="AM295" s="1051"/>
      <c r="AN295" s="1051"/>
      <c r="AO295" s="1051"/>
      <c r="AP295" s="1051"/>
      <c r="AQ295" s="1035"/>
      <c r="AR295" s="1051"/>
    </row>
    <row r="296" spans="2:44" ht="15" thickBot="1">
      <c r="B296" s="634"/>
      <c r="C296" s="648"/>
      <c r="D296" s="648"/>
      <c r="E296" s="648"/>
      <c r="F296" s="648"/>
      <c r="G296" s="649"/>
      <c r="H296" s="649"/>
      <c r="I296" s="650"/>
      <c r="J296" s="650"/>
      <c r="K296" s="639"/>
      <c r="L296" s="640"/>
      <c r="M296" s="423"/>
      <c r="N296" s="423"/>
      <c r="P296" s="1053"/>
      <c r="Q296" s="471"/>
      <c r="R296" s="472"/>
      <c r="S296" s="473"/>
      <c r="T296" s="651"/>
      <c r="U296" s="652"/>
      <c r="V296" s="653"/>
      <c r="W296" s="652"/>
      <c r="X296" s="653"/>
      <c r="Y296" s="652"/>
      <c r="Z296" s="653"/>
      <c r="AA296" s="652"/>
      <c r="AB296" s="653"/>
      <c r="AC296" s="654"/>
      <c r="AE296" s="1053"/>
      <c r="AF296" s="471"/>
      <c r="AG296" s="472"/>
      <c r="AH296" s="473"/>
      <c r="AI296" s="651"/>
      <c r="AJ296" s="652"/>
      <c r="AK296" s="653"/>
      <c r="AL296" s="652"/>
      <c r="AM296" s="653"/>
      <c r="AN296" s="652"/>
      <c r="AO296" s="653"/>
      <c r="AP296" s="652"/>
      <c r="AQ296" s="653"/>
      <c r="AR296" s="654"/>
    </row>
    <row r="297" spans="2:44">
      <c r="B297" s="634"/>
      <c r="C297" s="642"/>
      <c r="D297" s="642"/>
      <c r="E297" s="642"/>
      <c r="F297" s="642"/>
      <c r="G297" s="655"/>
      <c r="H297" s="655"/>
      <c r="I297" s="655"/>
      <c r="J297" s="655"/>
      <c r="K297" s="656"/>
      <c r="L297" s="640"/>
      <c r="M297" s="423"/>
      <c r="N297" s="423"/>
    </row>
    <row r="298" spans="2:44">
      <c r="B298" s="634"/>
      <c r="C298" s="642"/>
      <c r="D298" s="642"/>
      <c r="E298" s="642"/>
      <c r="F298" s="642"/>
      <c r="G298" s="655"/>
      <c r="H298" s="655"/>
      <c r="I298" s="655"/>
      <c r="J298" s="655"/>
      <c r="K298" s="656"/>
      <c r="L298" s="640"/>
      <c r="M298" s="480"/>
      <c r="N298" s="423"/>
    </row>
    <row r="299" spans="2:44">
      <c r="B299" s="481"/>
      <c r="C299" s="459"/>
      <c r="D299" s="459"/>
      <c r="E299" s="459"/>
      <c r="F299" s="459"/>
      <c r="G299" s="482"/>
      <c r="H299" s="482"/>
      <c r="I299" s="482"/>
      <c r="J299" s="482"/>
      <c r="K299" s="483"/>
      <c r="L299" s="657"/>
      <c r="M299" s="480"/>
      <c r="N299" s="480"/>
    </row>
    <row r="300" spans="2:44">
      <c r="B300" s="443"/>
      <c r="C300" s="457"/>
      <c r="D300" s="457"/>
      <c r="E300" s="457"/>
      <c r="F300" s="457"/>
      <c r="G300" s="482"/>
      <c r="H300" s="485"/>
      <c r="I300" s="485"/>
      <c r="J300" s="485"/>
      <c r="K300" s="486"/>
      <c r="L300" s="487"/>
      <c r="M300" s="488"/>
      <c r="N300" s="488"/>
    </row>
    <row r="301" spans="2:44">
      <c r="B301" s="443"/>
      <c r="C301" s="457"/>
      <c r="D301" s="457"/>
      <c r="E301" s="457"/>
      <c r="F301" s="457"/>
      <c r="G301" s="485"/>
      <c r="H301" s="485"/>
      <c r="I301" s="485"/>
      <c r="J301" s="485"/>
      <c r="K301" s="483"/>
      <c r="L301" s="487"/>
      <c r="M301" s="488"/>
      <c r="N301" s="488"/>
    </row>
    <row r="302" spans="2:44">
      <c r="B302" s="443"/>
      <c r="C302" s="457"/>
      <c r="D302" s="457"/>
      <c r="E302" s="457"/>
      <c r="F302" s="457"/>
      <c r="G302" s="485"/>
      <c r="H302" s="485"/>
      <c r="I302" s="485"/>
      <c r="J302" s="485"/>
      <c r="K302" s="483"/>
      <c r="L302" s="487"/>
      <c r="M302" s="488"/>
      <c r="N302" s="488"/>
    </row>
    <row r="303" spans="2:44">
      <c r="B303" s="443"/>
      <c r="C303" s="457"/>
      <c r="D303" s="457"/>
      <c r="E303" s="457"/>
      <c r="F303" s="457"/>
      <c r="G303" s="485"/>
      <c r="H303" s="485"/>
      <c r="I303" s="485"/>
      <c r="J303" s="485"/>
      <c r="K303" s="483"/>
      <c r="L303" s="487"/>
      <c r="M303" s="488"/>
      <c r="N303" s="488"/>
    </row>
    <row r="304" spans="2:44" ht="15" thickBot="1">
      <c r="B304" s="489"/>
      <c r="C304" s="457"/>
      <c r="D304" s="457"/>
      <c r="E304" s="457"/>
      <c r="F304" s="457"/>
      <c r="G304" s="485"/>
      <c r="H304" s="485"/>
      <c r="I304" s="485"/>
      <c r="J304" s="485"/>
      <c r="K304" s="483"/>
      <c r="L304" s="487"/>
      <c r="M304" s="488"/>
      <c r="N304" s="488"/>
    </row>
    <row r="305" spans="1:30" ht="15" thickBot="1">
      <c r="B305" s="491"/>
      <c r="C305" s="658"/>
      <c r="D305" s="644"/>
      <c r="E305" s="644"/>
      <c r="F305" s="659"/>
      <c r="G305" s="494"/>
      <c r="H305" s="466"/>
      <c r="I305" s="466"/>
      <c r="J305" s="466"/>
      <c r="K305" s="467"/>
      <c r="L305" s="647"/>
      <c r="M305" s="488"/>
      <c r="N305" s="488"/>
    </row>
    <row r="306" spans="1:30">
      <c r="A306" s="495"/>
      <c r="B306" s="496"/>
      <c r="C306" s="660"/>
      <c r="D306" s="660"/>
      <c r="E306" s="660"/>
      <c r="F306" s="660"/>
      <c r="G306" s="485"/>
      <c r="H306" s="485"/>
      <c r="I306" s="485"/>
      <c r="J306" s="485"/>
      <c r="K306" s="486"/>
      <c r="L306" s="500"/>
      <c r="M306" s="480"/>
      <c r="N306" s="480"/>
    </row>
    <row r="307" spans="1:30">
      <c r="B307" s="501"/>
      <c r="C307" s="661"/>
      <c r="D307" s="661"/>
      <c r="E307" s="661"/>
      <c r="F307" s="661"/>
      <c r="G307" s="485"/>
      <c r="H307" s="485"/>
      <c r="I307" s="485"/>
      <c r="J307" s="485"/>
      <c r="K307" s="504"/>
      <c r="L307" s="433"/>
      <c r="M307" s="71"/>
      <c r="N307" s="480"/>
    </row>
    <row r="308" spans="1:30">
      <c r="B308" s="501"/>
      <c r="C308" s="661"/>
      <c r="D308" s="661"/>
      <c r="E308" s="661"/>
      <c r="F308" s="661"/>
      <c r="G308" s="485"/>
      <c r="H308" s="485"/>
      <c r="I308" s="485"/>
      <c r="J308" s="485"/>
      <c r="K308" s="504"/>
      <c r="L308" s="433"/>
      <c r="M308" s="480"/>
      <c r="N308" s="480"/>
    </row>
    <row r="309" spans="1:30">
      <c r="B309" s="443"/>
      <c r="C309" s="662"/>
      <c r="D309" s="663"/>
      <c r="E309" s="663"/>
      <c r="F309" s="664"/>
      <c r="G309" s="485"/>
      <c r="H309" s="485"/>
      <c r="I309" s="485"/>
      <c r="J309" s="485"/>
      <c r="K309" s="504"/>
      <c r="L309" s="433"/>
      <c r="M309" s="480"/>
      <c r="N309" s="480"/>
    </row>
    <row r="310" spans="1:30">
      <c r="B310" s="443"/>
      <c r="C310" s="665"/>
      <c r="D310" s="665"/>
      <c r="E310" s="665"/>
      <c r="F310" s="665"/>
      <c r="G310" s="485"/>
      <c r="H310" s="485"/>
      <c r="I310" s="485"/>
      <c r="J310" s="485"/>
      <c r="K310" s="504"/>
      <c r="L310" s="433"/>
      <c r="M310" s="510"/>
      <c r="N310" s="421"/>
      <c r="P310" s="999"/>
      <c r="Q310" s="977"/>
      <c r="R310" s="977"/>
      <c r="S310" s="977"/>
      <c r="T310" s="977"/>
      <c r="U310" s="1000"/>
    </row>
    <row r="311" spans="1:30" ht="15" thickBot="1">
      <c r="B311" s="601"/>
      <c r="C311" s="612"/>
      <c r="D311" s="612"/>
      <c r="E311" s="612"/>
      <c r="F311" s="612"/>
      <c r="G311" s="613"/>
      <c r="H311" s="613"/>
      <c r="I311" s="613"/>
      <c r="J311" s="613"/>
      <c r="K311" s="607"/>
      <c r="L311" s="608"/>
      <c r="M311" s="510"/>
      <c r="N311" s="421"/>
      <c r="P311" s="1001"/>
      <c r="Q311" s="1002"/>
      <c r="R311" s="1002"/>
      <c r="S311" s="1002"/>
      <c r="T311" s="1002"/>
      <c r="U311" s="1003"/>
    </row>
    <row r="312" spans="1:30">
      <c r="B312" s="601"/>
      <c r="C312" s="666"/>
      <c r="D312" s="666"/>
      <c r="E312" s="666"/>
      <c r="F312" s="666"/>
      <c r="G312" s="613"/>
      <c r="H312" s="613"/>
      <c r="I312" s="613"/>
      <c r="J312" s="613"/>
      <c r="K312" s="607"/>
      <c r="L312" s="608"/>
      <c r="M312" s="423"/>
      <c r="N312" s="423"/>
      <c r="P312" s="53"/>
    </row>
    <row r="313" spans="1:30">
      <c r="B313" s="601"/>
      <c r="C313" s="667"/>
      <c r="D313" s="607"/>
      <c r="E313" s="607"/>
      <c r="F313" s="623"/>
      <c r="G313" s="610"/>
      <c r="H313" s="610"/>
      <c r="I313" s="610"/>
      <c r="J313" s="610"/>
      <c r="K313" s="607"/>
      <c r="L313" s="668"/>
      <c r="M313" s="427"/>
      <c r="N313" s="427"/>
      <c r="P313" s="46"/>
      <c r="Q313" s="46"/>
      <c r="R313" s="47"/>
      <c r="S313" s="47"/>
      <c r="T313" s="47"/>
      <c r="U313" s="48"/>
      <c r="V313" s="49"/>
      <c r="W313" s="49"/>
      <c r="X313" s="49"/>
      <c r="Y313" s="49"/>
      <c r="Z313" s="49"/>
      <c r="AA313" s="49"/>
      <c r="AB313" s="49"/>
      <c r="AC313" s="49"/>
      <c r="AD313" s="49"/>
    </row>
    <row r="314" spans="1:30" ht="15" thickBot="1">
      <c r="B314" s="626"/>
      <c r="C314" s="667"/>
      <c r="D314" s="669"/>
      <c r="E314" s="669"/>
      <c r="F314" s="670"/>
      <c r="G314" s="610"/>
      <c r="H314" s="610"/>
      <c r="I314" s="610"/>
      <c r="J314" s="610"/>
      <c r="K314" s="607"/>
      <c r="L314" s="668"/>
      <c r="M314" s="423"/>
      <c r="N314" s="423"/>
      <c r="O314" s="71"/>
      <c r="P314" s="50"/>
      <c r="Q314" s="50"/>
      <c r="R314" s="51"/>
      <c r="S314" s="51"/>
      <c r="T314" s="51"/>
      <c r="U314" s="51"/>
      <c r="V314" s="50"/>
      <c r="W314" s="50"/>
      <c r="X314" s="50"/>
      <c r="Y314" s="50"/>
      <c r="Z314" s="50"/>
      <c r="AA314" s="50"/>
      <c r="AB314" s="50"/>
      <c r="AC314" s="50"/>
      <c r="AD314" s="50"/>
    </row>
    <row r="315" spans="1:30" ht="15" thickBot="1">
      <c r="B315" s="671"/>
      <c r="C315" s="672"/>
      <c r="D315" s="673"/>
      <c r="E315" s="674"/>
      <c r="F315" s="675"/>
      <c r="G315" s="600"/>
      <c r="H315" s="600"/>
      <c r="I315" s="600"/>
      <c r="J315" s="600"/>
      <c r="K315" s="676"/>
      <c r="L315" s="677"/>
      <c r="M315" s="423"/>
      <c r="N315" s="423"/>
      <c r="O315" s="521"/>
      <c r="P315" s="56"/>
      <c r="Q315" s="56"/>
      <c r="R315" s="57"/>
      <c r="S315" s="57"/>
      <c r="T315" s="57"/>
      <c r="U315" s="56"/>
      <c r="V315" s="56"/>
      <c r="W315" s="56"/>
      <c r="X315" s="56"/>
      <c r="Y315" s="56"/>
      <c r="Z315" s="56"/>
      <c r="AA315" s="56"/>
      <c r="AB315" s="56"/>
      <c r="AC315" s="56"/>
      <c r="AD315" s="56"/>
    </row>
    <row r="316" spans="1:30">
      <c r="B316" s="616"/>
      <c r="C316" s="678"/>
      <c r="D316" s="678"/>
      <c r="E316" s="678"/>
      <c r="F316" s="678"/>
      <c r="G316" s="678"/>
      <c r="H316" s="678"/>
      <c r="I316" s="678"/>
      <c r="J316" s="678"/>
      <c r="K316" s="678"/>
      <c r="L316" s="679"/>
      <c r="M316" s="423"/>
      <c r="N316" s="423"/>
      <c r="O316" s="680"/>
      <c r="P316" s="526"/>
      <c r="Q316" s="58"/>
      <c r="R316" s="526"/>
      <c r="S316" s="58"/>
      <c r="T316" s="526"/>
      <c r="U316" s="527"/>
      <c r="V316" s="527"/>
      <c r="W316" s="527"/>
      <c r="X316" s="58"/>
      <c r="Y316" s="58"/>
      <c r="Z316" s="526"/>
      <c r="AA316" s="528"/>
      <c r="AB316" s="528"/>
      <c r="AC316" s="528"/>
      <c r="AD316" s="528"/>
    </row>
    <row r="317" spans="1:30">
      <c r="B317" s="601"/>
      <c r="C317" s="618"/>
      <c r="D317" s="618"/>
      <c r="E317" s="618"/>
      <c r="F317" s="618"/>
      <c r="G317" s="623"/>
      <c r="H317" s="623"/>
      <c r="I317" s="623"/>
      <c r="J317" s="623"/>
      <c r="K317" s="623"/>
      <c r="L317" s="608"/>
      <c r="M317" s="423"/>
      <c r="N317" s="423"/>
      <c r="O317" s="680"/>
      <c r="P317" s="526"/>
      <c r="Q317" s="58"/>
      <c r="R317" s="526"/>
      <c r="S317" s="58"/>
      <c r="T317" s="526"/>
      <c r="U317" s="527"/>
      <c r="V317" s="527"/>
      <c r="W317" s="527"/>
      <c r="X317" s="58"/>
      <c r="Y317" s="58"/>
      <c r="Z317" s="526"/>
      <c r="AA317" s="528"/>
      <c r="AB317" s="528"/>
      <c r="AC317" s="528"/>
      <c r="AD317" s="528"/>
    </row>
    <row r="318" spans="1:30">
      <c r="B318" s="601"/>
      <c r="C318" s="618"/>
      <c r="D318" s="618"/>
      <c r="E318" s="618"/>
      <c r="F318" s="618"/>
      <c r="G318" s="623"/>
      <c r="H318" s="623"/>
      <c r="I318" s="623"/>
      <c r="J318" s="623"/>
      <c r="K318" s="623"/>
      <c r="L318" s="608"/>
      <c r="M318" s="423"/>
      <c r="N318" s="423"/>
      <c r="O318" s="680"/>
      <c r="P318" s="526"/>
      <c r="Q318" s="58"/>
      <c r="R318" s="526"/>
      <c r="S318" s="58"/>
      <c r="T318" s="526"/>
      <c r="U318" s="527"/>
      <c r="V318" s="527"/>
      <c r="W318" s="527"/>
      <c r="X318" s="58"/>
      <c r="Y318" s="58"/>
      <c r="Z318" s="526"/>
      <c r="AA318" s="528"/>
      <c r="AB318" s="528"/>
      <c r="AC318" s="528"/>
      <c r="AD318" s="528"/>
    </row>
    <row r="319" spans="1:30">
      <c r="B319" s="601"/>
      <c r="C319" s="624"/>
      <c r="D319" s="624"/>
      <c r="E319" s="624"/>
      <c r="F319" s="624"/>
      <c r="G319" s="681"/>
      <c r="H319" s="681"/>
      <c r="I319" s="681"/>
      <c r="J319" s="681"/>
      <c r="K319" s="681"/>
      <c r="L319" s="608"/>
      <c r="M319" s="423"/>
      <c r="N319" s="423"/>
      <c r="O319" s="680"/>
      <c r="P319" s="526"/>
      <c r="Q319" s="58"/>
      <c r="R319" s="526"/>
      <c r="S319" s="58"/>
      <c r="T319" s="526"/>
      <c r="U319" s="527"/>
      <c r="V319" s="527"/>
      <c r="W319" s="527"/>
      <c r="X319" s="58"/>
      <c r="Y319" s="58"/>
      <c r="Z319" s="526"/>
      <c r="AA319" s="528"/>
      <c r="AB319" s="528"/>
      <c r="AC319" s="528"/>
      <c r="AD319" s="528"/>
    </row>
    <row r="320" spans="1:30">
      <c r="B320" s="626"/>
      <c r="C320" s="618"/>
      <c r="D320" s="618"/>
      <c r="E320" s="618"/>
      <c r="F320" s="618"/>
      <c r="G320" s="623"/>
      <c r="H320" s="623"/>
      <c r="I320" s="623"/>
      <c r="J320" s="623"/>
      <c r="K320" s="623"/>
      <c r="L320" s="608"/>
      <c r="M320" s="427"/>
      <c r="N320" s="427"/>
    </row>
    <row r="321" spans="1:14">
      <c r="B321" s="626"/>
      <c r="C321" s="618"/>
      <c r="D321" s="618"/>
      <c r="E321" s="618"/>
      <c r="F321" s="618"/>
      <c r="G321" s="623"/>
      <c r="H321" s="623"/>
      <c r="I321" s="623"/>
      <c r="J321" s="623"/>
      <c r="K321" s="623"/>
      <c r="L321" s="608"/>
      <c r="M321" s="423"/>
      <c r="N321" s="423"/>
    </row>
    <row r="322" spans="1:14" ht="15" thickBot="1">
      <c r="B322" s="627"/>
      <c r="C322" s="682"/>
      <c r="D322" s="682"/>
      <c r="E322" s="682"/>
      <c r="F322" s="682"/>
      <c r="G322" s="683"/>
      <c r="H322" s="683"/>
      <c r="I322" s="683"/>
      <c r="J322" s="683"/>
      <c r="K322" s="683"/>
      <c r="L322" s="684"/>
      <c r="M322" s="423"/>
      <c r="N322" s="423"/>
    </row>
    <row r="323" spans="1:14">
      <c r="B323" s="521"/>
      <c r="C323" s="543"/>
      <c r="D323" s="543"/>
      <c r="E323" s="543"/>
      <c r="F323" s="543"/>
      <c r="G323" s="543"/>
      <c r="H323" s="544"/>
      <c r="I323" s="480"/>
      <c r="J323" s="480"/>
      <c r="K323" s="544"/>
      <c r="L323" s="544"/>
      <c r="N323" s="480"/>
    </row>
    <row r="324" spans="1:14">
      <c r="B324" s="545"/>
      <c r="C324" s="546"/>
      <c r="D324" s="546"/>
      <c r="E324" s="546"/>
      <c r="F324" s="546"/>
      <c r="G324" s="546"/>
      <c r="H324" s="544"/>
      <c r="I324" s="71"/>
      <c r="J324" s="480"/>
      <c r="K324" s="544"/>
      <c r="L324" s="544"/>
      <c r="N324" s="480"/>
    </row>
    <row r="325" spans="1:14">
      <c r="B325" s="521"/>
      <c r="C325" s="419"/>
      <c r="D325" s="419"/>
      <c r="E325" s="419"/>
      <c r="F325" s="419"/>
      <c r="G325" s="419"/>
      <c r="I325" s="480"/>
      <c r="J325" s="480"/>
      <c r="N325" s="480"/>
    </row>
    <row r="326" spans="1:14">
      <c r="B326" s="521"/>
      <c r="C326" s="547"/>
      <c r="D326" s="547"/>
      <c r="E326" s="547"/>
      <c r="F326" s="547"/>
      <c r="G326" s="419"/>
      <c r="M326" s="480"/>
      <c r="N326" s="480"/>
    </row>
    <row r="329" spans="1:14">
      <c r="A329" s="548"/>
      <c r="B329" s="549"/>
      <c r="D329" s="417"/>
      <c r="E329" s="417"/>
      <c r="F329" s="417"/>
      <c r="G329" s="417"/>
      <c r="H329" s="417"/>
      <c r="I329" s="417"/>
      <c r="J329" s="417"/>
      <c r="K329" s="417"/>
    </row>
    <row r="330" spans="1:14">
      <c r="A330" s="417"/>
      <c r="B330" s="550"/>
      <c r="E330" s="417"/>
      <c r="F330" s="417"/>
      <c r="G330" s="417"/>
      <c r="H330" s="417"/>
      <c r="I330" s="417"/>
      <c r="J330" s="417"/>
      <c r="K330" s="417"/>
    </row>
    <row r="331" spans="1:14">
      <c r="A331" s="417"/>
      <c r="B331" s="550"/>
      <c r="E331" s="417"/>
      <c r="F331" s="417"/>
      <c r="G331" s="417"/>
      <c r="H331" s="417"/>
      <c r="I331" s="417"/>
      <c r="J331" s="417"/>
      <c r="K331" s="417"/>
    </row>
    <row r="332" spans="1:14">
      <c r="A332" s="417"/>
      <c r="B332" s="550"/>
      <c r="E332" s="417"/>
      <c r="F332" s="417"/>
      <c r="G332" s="417"/>
      <c r="H332" s="417"/>
      <c r="I332" s="417"/>
      <c r="J332" s="417"/>
      <c r="K332" s="417"/>
    </row>
    <row r="333" spans="1:14">
      <c r="A333" s="417"/>
      <c r="B333" s="550"/>
      <c r="E333" s="417"/>
      <c r="F333" s="417"/>
      <c r="G333" s="417"/>
      <c r="H333" s="417"/>
      <c r="I333" s="417"/>
      <c r="J333" s="417"/>
      <c r="K333" s="417"/>
    </row>
    <row r="334" spans="1:14">
      <c r="A334" s="417"/>
      <c r="B334" s="550"/>
      <c r="E334" s="417"/>
      <c r="F334" s="417"/>
      <c r="G334" s="417"/>
      <c r="H334" s="417"/>
      <c r="I334" s="417"/>
      <c r="J334" s="417"/>
      <c r="K334" s="417"/>
    </row>
    <row r="335" spans="1:14">
      <c r="A335" s="417"/>
      <c r="B335" s="550"/>
      <c r="E335" s="417"/>
      <c r="F335" s="417"/>
      <c r="G335" s="417"/>
      <c r="H335" s="417"/>
      <c r="I335" s="417"/>
      <c r="J335" s="417"/>
      <c r="K335" s="417"/>
    </row>
    <row r="336" spans="1:14">
      <c r="A336" s="417"/>
      <c r="B336" s="550"/>
      <c r="E336" s="417"/>
      <c r="F336" s="417"/>
      <c r="G336" s="417"/>
      <c r="H336" s="417"/>
      <c r="I336" s="417"/>
      <c r="J336" s="417"/>
      <c r="K336" s="417"/>
    </row>
    <row r="337" spans="1:11">
      <c r="A337" s="417"/>
      <c r="B337" s="685"/>
      <c r="E337" s="417"/>
      <c r="F337" s="417"/>
      <c r="G337" s="417"/>
      <c r="H337" s="417"/>
      <c r="I337" s="417"/>
      <c r="J337" s="417"/>
      <c r="K337" s="417"/>
    </row>
    <row r="338" spans="1:11">
      <c r="A338" s="417"/>
      <c r="B338" s="550"/>
      <c r="E338" s="417"/>
      <c r="F338" s="417"/>
      <c r="G338" s="417"/>
      <c r="H338" s="417"/>
      <c r="I338" s="417"/>
      <c r="J338" s="417"/>
      <c r="K338" s="417"/>
    </row>
    <row r="339" spans="1:11">
      <c r="A339" s="548"/>
      <c r="B339" s="549"/>
      <c r="E339" s="417"/>
      <c r="F339" s="417"/>
      <c r="G339" s="417"/>
      <c r="H339" s="417"/>
      <c r="I339" s="417"/>
      <c r="J339" s="417"/>
      <c r="K339" s="417"/>
    </row>
    <row r="340" spans="1:11">
      <c r="A340" s="556"/>
      <c r="B340" s="550"/>
      <c r="C340" s="549"/>
      <c r="E340" s="417"/>
      <c r="F340" s="417"/>
      <c r="G340" s="417"/>
      <c r="H340" s="417"/>
      <c r="I340" s="417"/>
      <c r="J340" s="417"/>
      <c r="K340" s="417"/>
    </row>
    <row r="341" spans="1:11">
      <c r="A341" s="556"/>
      <c r="B341" s="550"/>
      <c r="C341" s="549"/>
      <c r="E341" s="417"/>
      <c r="F341" s="417"/>
      <c r="G341" s="417"/>
      <c r="H341" s="417"/>
      <c r="I341" s="417"/>
      <c r="J341" s="417"/>
      <c r="K341" s="417"/>
    </row>
    <row r="342" spans="1:11">
      <c r="A342" s="556"/>
      <c r="B342" s="550"/>
      <c r="C342" s="549"/>
      <c r="E342" s="417"/>
      <c r="F342" s="417"/>
      <c r="G342" s="417"/>
      <c r="H342" s="417"/>
      <c r="I342" s="417"/>
      <c r="J342" s="417"/>
      <c r="K342" s="417"/>
    </row>
    <row r="343" spans="1:11">
      <c r="A343" s="556"/>
      <c r="B343" s="550"/>
      <c r="C343" s="549"/>
      <c r="E343" s="417"/>
      <c r="F343" s="417"/>
      <c r="G343" s="417"/>
      <c r="H343" s="417"/>
      <c r="I343" s="417"/>
      <c r="J343" s="417"/>
      <c r="K343" s="417"/>
    </row>
    <row r="344" spans="1:11" ht="15.75" customHeight="1">
      <c r="A344" s="556"/>
      <c r="B344" s="550"/>
      <c r="C344" s="549"/>
      <c r="E344" s="417"/>
      <c r="F344" s="417"/>
      <c r="G344" s="417"/>
      <c r="H344" s="417"/>
      <c r="I344" s="417"/>
      <c r="J344" s="417"/>
      <c r="K344" s="417"/>
    </row>
    <row r="345" spans="1:11" ht="15.75" customHeight="1">
      <c r="A345" s="556"/>
      <c r="B345" s="550"/>
      <c r="C345" s="549"/>
      <c r="E345" s="417"/>
      <c r="F345" s="417"/>
      <c r="G345" s="417"/>
      <c r="H345" s="417"/>
      <c r="I345" s="417"/>
      <c r="J345" s="417"/>
      <c r="K345" s="417"/>
    </row>
  </sheetData>
  <mergeCells count="401">
    <mergeCell ref="X14:X18"/>
    <mergeCell ref="Y14:Y18"/>
    <mergeCell ref="Z14:Z18"/>
    <mergeCell ref="P11:P19"/>
    <mergeCell ref="Q11:Q13"/>
    <mergeCell ref="T11:T13"/>
    <mergeCell ref="U11:U13"/>
    <mergeCell ref="V11:V13"/>
    <mergeCell ref="W11:W13"/>
    <mergeCell ref="Q14:Q18"/>
    <mergeCell ref="T14:T18"/>
    <mergeCell ref="U14:U18"/>
    <mergeCell ref="V14:V18"/>
    <mergeCell ref="W14:W18"/>
    <mergeCell ref="B5:B6"/>
    <mergeCell ref="C5:M5"/>
    <mergeCell ref="P5:U5"/>
    <mergeCell ref="C6:M6"/>
    <mergeCell ref="C7:L7"/>
    <mergeCell ref="S7:S10"/>
    <mergeCell ref="T7:U9"/>
    <mergeCell ref="I8:J8"/>
    <mergeCell ref="K8:K9"/>
    <mergeCell ref="AR7:AS9"/>
    <mergeCell ref="B8:B9"/>
    <mergeCell ref="C8:C9"/>
    <mergeCell ref="D8:D9"/>
    <mergeCell ref="E8:E9"/>
    <mergeCell ref="F8:F9"/>
    <mergeCell ref="G8:H8"/>
    <mergeCell ref="V7:W9"/>
    <mergeCell ref="X7:Y9"/>
    <mergeCell ref="Z7:AA9"/>
    <mergeCell ref="AB7:AC9"/>
    <mergeCell ref="AI7:AI10"/>
    <mergeCell ref="AJ7:AK9"/>
    <mergeCell ref="AH9:AH10"/>
    <mergeCell ref="L8:L9"/>
    <mergeCell ref="P8:P10"/>
    <mergeCell ref="AF8:AF10"/>
    <mergeCell ref="Q9:Q10"/>
    <mergeCell ref="R9:R10"/>
    <mergeCell ref="AG9:AG10"/>
    <mergeCell ref="AL7:AM9"/>
    <mergeCell ref="AN7:AO9"/>
    <mergeCell ref="AP7:AQ9"/>
    <mergeCell ref="AD7:AE9"/>
    <mergeCell ref="AQ11:AQ13"/>
    <mergeCell ref="AR11:AR13"/>
    <mergeCell ref="AS11:AS13"/>
    <mergeCell ref="AF11:AF19"/>
    <mergeCell ref="AG11:AG13"/>
    <mergeCell ref="AJ11:AJ13"/>
    <mergeCell ref="AK11:AK13"/>
    <mergeCell ref="AL11:AL13"/>
    <mergeCell ref="AM11:AM13"/>
    <mergeCell ref="AQ14:AQ18"/>
    <mergeCell ref="AR14:AR18"/>
    <mergeCell ref="AS14:AS18"/>
    <mergeCell ref="AA14:AA18"/>
    <mergeCell ref="AB14:AB18"/>
    <mergeCell ref="AN11:AN13"/>
    <mergeCell ref="AO11:AO13"/>
    <mergeCell ref="AP11:AP13"/>
    <mergeCell ref="X11:X13"/>
    <mergeCell ref="Y11:Y13"/>
    <mergeCell ref="Z11:Z13"/>
    <mergeCell ref="AA11:AA13"/>
    <mergeCell ref="AB11:AB13"/>
    <mergeCell ref="AC11:AC13"/>
    <mergeCell ref="AN14:AN18"/>
    <mergeCell ref="AO14:AO18"/>
    <mergeCell ref="AP14:AP18"/>
    <mergeCell ref="AC14:AC18"/>
    <mergeCell ref="AG14:AG18"/>
    <mergeCell ref="AJ14:AJ18"/>
    <mergeCell ref="AK14:AK18"/>
    <mergeCell ref="AL14:AL18"/>
    <mergeCell ref="AM14:AM18"/>
    <mergeCell ref="AD14:AD18"/>
    <mergeCell ref="AE14:AE18"/>
    <mergeCell ref="AD11:AD13"/>
    <mergeCell ref="AE11:AE13"/>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7" location="INDEX" display="Direct Firing, Electricity" xr:uid="{E2F4C899-B6B0-404D-8875-794B386924BE}"/>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3"/>
  </sheetPr>
  <dimension ref="B3:H156"/>
  <sheetViews>
    <sheetView zoomScale="80" zoomScaleNormal="80" workbookViewId="0">
      <selection activeCell="P1" sqref="P1"/>
    </sheetView>
  </sheetViews>
  <sheetFormatPr defaultRowHeight="14.4"/>
  <cols>
    <col min="2" max="2" width="36.6640625" customWidth="1"/>
  </cols>
  <sheetData>
    <row r="3" spans="2:8">
      <c r="B3" s="8" t="s">
        <v>309</v>
      </c>
    </row>
    <row r="5" spans="2:8" ht="15" thickBot="1"/>
    <row r="6" spans="2:8">
      <c r="B6" s="1118" t="s">
        <v>0</v>
      </c>
      <c r="C6" s="1120" t="s">
        <v>58</v>
      </c>
      <c r="D6" s="1121"/>
      <c r="E6" s="1121"/>
      <c r="F6" s="1121"/>
      <c r="G6" s="1121"/>
      <c r="H6" s="1122"/>
    </row>
    <row r="7" spans="2:8" ht="15" thickBot="1">
      <c r="B7" s="1119"/>
      <c r="C7" s="1001" t="s">
        <v>38</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
        <v>10</v>
      </c>
      <c r="D10" s="2">
        <v>10</v>
      </c>
      <c r="E10" s="2">
        <v>10</v>
      </c>
      <c r="F10" s="2">
        <v>10</v>
      </c>
      <c r="G10" s="2" t="s">
        <v>51</v>
      </c>
      <c r="H10" s="2"/>
    </row>
    <row r="11" spans="2:8" ht="24.6" thickBot="1">
      <c r="B11" s="1" t="s">
        <v>7</v>
      </c>
      <c r="C11" s="2">
        <v>100</v>
      </c>
      <c r="D11" s="2">
        <v>100</v>
      </c>
      <c r="E11" s="2">
        <v>100</v>
      </c>
      <c r="F11" s="2">
        <v>100</v>
      </c>
      <c r="G11" s="2"/>
      <c r="H11" s="2"/>
    </row>
    <row r="12" spans="2:8" ht="24.6" thickBot="1">
      <c r="B12" s="1" t="s">
        <v>8</v>
      </c>
      <c r="C12" s="2">
        <v>100</v>
      </c>
      <c r="D12" s="2">
        <v>100</v>
      </c>
      <c r="E12" s="2">
        <v>100</v>
      </c>
      <c r="F12" s="2">
        <v>100</v>
      </c>
      <c r="G12" s="2"/>
      <c r="H12" s="2"/>
    </row>
    <row r="13" spans="2:8" ht="15" thickBot="1">
      <c r="B13" s="1" t="s">
        <v>9</v>
      </c>
      <c r="C13" s="2">
        <v>98</v>
      </c>
      <c r="D13" s="2">
        <v>98</v>
      </c>
      <c r="E13" s="2">
        <v>98</v>
      </c>
      <c r="F13" s="2">
        <v>98</v>
      </c>
      <c r="G13" s="2" t="s">
        <v>59</v>
      </c>
      <c r="H13" s="2"/>
    </row>
    <row r="14" spans="2:8" ht="15" thickBot="1">
      <c r="B14" s="1" t="s">
        <v>11</v>
      </c>
      <c r="C14" s="2">
        <v>20</v>
      </c>
      <c r="D14" s="2">
        <v>20</v>
      </c>
      <c r="E14" s="2">
        <v>20</v>
      </c>
      <c r="F14" s="2">
        <v>20</v>
      </c>
      <c r="G14" s="2"/>
      <c r="H14" s="2"/>
    </row>
    <row r="15" spans="2:8" ht="15" thickBot="1">
      <c r="B15" s="3" t="s">
        <v>12</v>
      </c>
      <c r="C15" s="4"/>
      <c r="D15" s="4"/>
      <c r="E15" s="4"/>
      <c r="F15" s="4"/>
      <c r="G15" s="4"/>
      <c r="H15" s="5"/>
    </row>
    <row r="16" spans="2:8" ht="15.6" thickBot="1">
      <c r="B16" s="1" t="s">
        <v>13</v>
      </c>
      <c r="C16" s="35">
        <v>0</v>
      </c>
      <c r="D16" s="35">
        <v>0</v>
      </c>
      <c r="E16" s="35">
        <v>0</v>
      </c>
      <c r="F16" s="35">
        <v>0</v>
      </c>
      <c r="G16" s="2"/>
      <c r="H16" s="2"/>
    </row>
    <row r="17" spans="2:8" ht="15.6" thickBot="1">
      <c r="B17" s="1" t="s">
        <v>15</v>
      </c>
      <c r="C17" s="35">
        <v>0</v>
      </c>
      <c r="D17" s="35">
        <v>0</v>
      </c>
      <c r="E17" s="35">
        <v>0</v>
      </c>
      <c r="F17" s="35">
        <v>0</v>
      </c>
      <c r="G17" s="2"/>
      <c r="H17" s="2"/>
    </row>
    <row r="18" spans="2:8" ht="15.6" thickBot="1">
      <c r="B18" s="1" t="s">
        <v>17</v>
      </c>
      <c r="C18" s="35">
        <v>0</v>
      </c>
      <c r="D18" s="35">
        <v>0</v>
      </c>
      <c r="E18" s="35">
        <v>0</v>
      </c>
      <c r="F18" s="35">
        <v>0</v>
      </c>
      <c r="G18" s="2"/>
      <c r="H18" s="2"/>
    </row>
    <row r="19" spans="2:8" ht="15.6" thickBot="1">
      <c r="B19" s="1" t="s">
        <v>18</v>
      </c>
      <c r="C19" s="35">
        <v>0</v>
      </c>
      <c r="D19" s="35">
        <v>0</v>
      </c>
      <c r="E19" s="35">
        <v>0</v>
      </c>
      <c r="F19" s="35">
        <v>0</v>
      </c>
      <c r="G19" s="2"/>
      <c r="H19" s="2"/>
    </row>
    <row r="20" spans="2:8" ht="15" thickBot="1">
      <c r="B20" s="1" t="s">
        <v>19</v>
      </c>
      <c r="C20" s="35">
        <v>0</v>
      </c>
      <c r="D20" s="35">
        <v>0</v>
      </c>
      <c r="E20" s="35">
        <v>0</v>
      </c>
      <c r="F20" s="35">
        <v>0</v>
      </c>
      <c r="G20" s="2"/>
      <c r="H20" s="2"/>
    </row>
    <row r="21" spans="2:8" ht="15" thickBot="1">
      <c r="B21" s="3" t="s">
        <v>22</v>
      </c>
      <c r="C21" s="4"/>
      <c r="D21" s="4"/>
      <c r="E21" s="4"/>
      <c r="F21" s="4"/>
      <c r="G21" s="4"/>
      <c r="H21" s="5"/>
    </row>
    <row r="22" spans="2:8" ht="15" thickBot="1">
      <c r="B22" s="1" t="s">
        <v>23</v>
      </c>
      <c r="C22" s="2"/>
      <c r="D22" s="2"/>
      <c r="E22" s="2"/>
      <c r="F22" s="2"/>
      <c r="G22" s="2"/>
      <c r="H22" s="2"/>
    </row>
    <row r="23" spans="2:8">
      <c r="B23" s="6" t="s">
        <v>24</v>
      </c>
      <c r="C23" s="7" t="s">
        <v>60</v>
      </c>
      <c r="D23" s="7" t="s">
        <v>60</v>
      </c>
      <c r="E23" s="7" t="s">
        <v>60</v>
      </c>
      <c r="F23" s="7" t="s">
        <v>60</v>
      </c>
      <c r="G23" s="7" t="s">
        <v>16</v>
      </c>
      <c r="H23" s="7" t="s">
        <v>61</v>
      </c>
    </row>
    <row r="24" spans="2:8">
      <c r="B24" s="6" t="s">
        <v>26</v>
      </c>
      <c r="C24" s="7" t="s">
        <v>62</v>
      </c>
      <c r="D24" s="7" t="s">
        <v>62</v>
      </c>
      <c r="E24" s="7" t="s">
        <v>62</v>
      </c>
      <c r="F24" s="7" t="s">
        <v>62</v>
      </c>
      <c r="G24" s="7"/>
      <c r="H24" s="7"/>
    </row>
    <row r="25" spans="2:8" ht="15" thickBot="1">
      <c r="B25" s="1" t="s">
        <v>28</v>
      </c>
      <c r="C25" s="2" t="s">
        <v>63</v>
      </c>
      <c r="D25" s="2" t="s">
        <v>63</v>
      </c>
      <c r="E25" s="2" t="s">
        <v>63</v>
      </c>
      <c r="F25" s="2" t="s">
        <v>63</v>
      </c>
      <c r="G25" s="2"/>
      <c r="H25" s="2"/>
    </row>
    <row r="26" spans="2:8" ht="24.6" thickBot="1">
      <c r="B26" s="1" t="s">
        <v>30</v>
      </c>
      <c r="C26" s="2">
        <v>3</v>
      </c>
      <c r="D26" s="2">
        <v>3</v>
      </c>
      <c r="E26" s="2">
        <v>3</v>
      </c>
      <c r="F26" s="2">
        <v>3</v>
      </c>
      <c r="G26" s="2" t="s">
        <v>20</v>
      </c>
      <c r="H26" s="2"/>
    </row>
    <row r="27" spans="2:8" ht="15" thickBot="1">
      <c r="B27" s="1" t="s">
        <v>64</v>
      </c>
      <c r="C27" s="2">
        <v>150</v>
      </c>
      <c r="D27" s="2">
        <v>150</v>
      </c>
      <c r="E27" s="2">
        <v>150</v>
      </c>
      <c r="F27" s="2">
        <v>150</v>
      </c>
      <c r="G27" s="2" t="s">
        <v>25</v>
      </c>
      <c r="H27" s="2">
        <v>7</v>
      </c>
    </row>
    <row r="28" spans="2:8" ht="15" thickBot="1">
      <c r="B28" s="1" t="s">
        <v>31</v>
      </c>
      <c r="C28" s="2"/>
      <c r="D28" s="2"/>
      <c r="E28" s="2"/>
      <c r="F28" s="2"/>
      <c r="G28" s="2"/>
      <c r="H28" s="2"/>
    </row>
    <row r="32" spans="2:8" ht="15" thickBot="1"/>
    <row r="33" spans="2:8" ht="15" customHeight="1">
      <c r="B33" s="1118" t="s">
        <v>0</v>
      </c>
      <c r="C33" s="1120" t="s">
        <v>58</v>
      </c>
      <c r="D33" s="1121"/>
      <c r="E33" s="1121"/>
      <c r="F33" s="1121"/>
      <c r="G33" s="1121"/>
      <c r="H33" s="1122"/>
    </row>
    <row r="34" spans="2:8" ht="15.75" customHeight="1" thickBot="1">
      <c r="B34" s="1119"/>
      <c r="C34" s="1001" t="s">
        <v>53</v>
      </c>
      <c r="D34" s="1002"/>
      <c r="E34" s="1002"/>
      <c r="F34" s="1002"/>
      <c r="G34" s="1002"/>
      <c r="H34" s="100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
        <v>250</v>
      </c>
      <c r="D37" s="2">
        <v>250</v>
      </c>
      <c r="E37" s="2">
        <v>250</v>
      </c>
      <c r="F37" s="2">
        <v>250</v>
      </c>
      <c r="G37" s="2" t="s">
        <v>6</v>
      </c>
      <c r="H37" s="2"/>
    </row>
    <row r="38" spans="2:8" ht="24.6" thickBot="1">
      <c r="B38" s="1" t="s">
        <v>7</v>
      </c>
      <c r="C38" s="2">
        <v>100</v>
      </c>
      <c r="D38" s="2">
        <v>100</v>
      </c>
      <c r="E38" s="2">
        <v>100</v>
      </c>
      <c r="F38" s="2">
        <v>100</v>
      </c>
      <c r="G38" s="2"/>
      <c r="H38" s="2"/>
    </row>
    <row r="39" spans="2:8" ht="24.6" thickBot="1">
      <c r="B39" s="1" t="s">
        <v>8</v>
      </c>
      <c r="C39" s="2">
        <v>100</v>
      </c>
      <c r="D39" s="2">
        <v>100</v>
      </c>
      <c r="E39" s="2">
        <v>100</v>
      </c>
      <c r="F39" s="2">
        <v>100</v>
      </c>
      <c r="G39" s="2"/>
      <c r="H39" s="2"/>
    </row>
    <row r="40" spans="2:8" ht="15" thickBot="1">
      <c r="B40" s="1" t="s">
        <v>9</v>
      </c>
      <c r="C40" s="2">
        <v>100</v>
      </c>
      <c r="D40" s="2">
        <v>100</v>
      </c>
      <c r="E40" s="2">
        <v>100</v>
      </c>
      <c r="F40" s="2">
        <v>100</v>
      </c>
      <c r="G40" s="2" t="s">
        <v>59</v>
      </c>
      <c r="H40" s="2"/>
    </row>
    <row r="41" spans="2:8" ht="15" thickBot="1">
      <c r="B41" s="1" t="s">
        <v>11</v>
      </c>
      <c r="C41" s="2">
        <v>20</v>
      </c>
      <c r="D41" s="2">
        <v>20</v>
      </c>
      <c r="E41" s="2">
        <v>20</v>
      </c>
      <c r="F41" s="2">
        <v>20</v>
      </c>
      <c r="G41" s="2"/>
      <c r="H41" s="2"/>
    </row>
    <row r="42" spans="2:8" ht="15" thickBot="1">
      <c r="B42" s="3" t="s">
        <v>12</v>
      </c>
      <c r="C42" s="4"/>
      <c r="D42" s="4"/>
      <c r="E42" s="4"/>
      <c r="F42" s="4"/>
      <c r="G42" s="4"/>
      <c r="H42" s="5"/>
    </row>
    <row r="43" spans="2:8" ht="15.6" thickBot="1">
      <c r="B43" s="1" t="s">
        <v>13</v>
      </c>
      <c r="C43" s="35">
        <v>0</v>
      </c>
      <c r="D43" s="35">
        <v>0</v>
      </c>
      <c r="E43" s="35">
        <v>0</v>
      </c>
      <c r="F43" s="35">
        <v>0</v>
      </c>
      <c r="G43" s="2"/>
      <c r="H43" s="2"/>
    </row>
    <row r="44" spans="2:8" ht="15.6" thickBot="1">
      <c r="B44" s="1" t="s">
        <v>15</v>
      </c>
      <c r="C44" s="35">
        <v>0</v>
      </c>
      <c r="D44" s="35">
        <v>0</v>
      </c>
      <c r="E44" s="35">
        <v>0</v>
      </c>
      <c r="F44" s="35">
        <v>0</v>
      </c>
      <c r="G44" s="2"/>
      <c r="H44" s="2"/>
    </row>
    <row r="45" spans="2:8" ht="15.6" thickBot="1">
      <c r="B45" s="1" t="s">
        <v>17</v>
      </c>
      <c r="C45" s="35">
        <v>0</v>
      </c>
      <c r="D45" s="35">
        <v>0</v>
      </c>
      <c r="E45" s="35">
        <v>0</v>
      </c>
      <c r="F45" s="35">
        <v>0</v>
      </c>
      <c r="G45" s="2"/>
      <c r="H45" s="2"/>
    </row>
    <row r="46" spans="2:8" ht="15.6" thickBot="1">
      <c r="B46" s="1" t="s">
        <v>18</v>
      </c>
      <c r="C46" s="35">
        <v>0</v>
      </c>
      <c r="D46" s="35">
        <v>0</v>
      </c>
      <c r="E46" s="35">
        <v>0</v>
      </c>
      <c r="F46" s="35">
        <v>0</v>
      </c>
      <c r="G46" s="2"/>
      <c r="H46" s="2"/>
    </row>
    <row r="47" spans="2:8" ht="15" thickBot="1">
      <c r="B47" s="1" t="s">
        <v>19</v>
      </c>
      <c r="C47" s="35">
        <v>0</v>
      </c>
      <c r="D47" s="35">
        <v>0</v>
      </c>
      <c r="E47" s="35">
        <v>0</v>
      </c>
      <c r="F47" s="35">
        <v>0</v>
      </c>
      <c r="G47" s="2"/>
      <c r="H47" s="2"/>
    </row>
    <row r="48" spans="2:8" ht="15" thickBot="1">
      <c r="B48" s="3" t="s">
        <v>22</v>
      </c>
      <c r="C48" s="4"/>
      <c r="D48" s="4"/>
      <c r="E48" s="4"/>
      <c r="F48" s="4"/>
      <c r="G48" s="4"/>
      <c r="H48" s="5"/>
    </row>
    <row r="49" spans="2:8" ht="15" thickBot="1">
      <c r="B49" s="1" t="s">
        <v>23</v>
      </c>
      <c r="C49" s="2">
        <v>7.0000000000000007E-2</v>
      </c>
      <c r="D49" s="2">
        <v>7.0000000000000007E-2</v>
      </c>
      <c r="E49" s="2">
        <v>7.0000000000000007E-2</v>
      </c>
      <c r="F49" s="2">
        <v>7.0000000000000007E-2</v>
      </c>
      <c r="G49" s="2" t="s">
        <v>33</v>
      </c>
      <c r="H49" s="2" t="s">
        <v>65</v>
      </c>
    </row>
    <row r="50" spans="2:8">
      <c r="B50" s="6" t="s">
        <v>24</v>
      </c>
      <c r="C50" s="7"/>
      <c r="D50" s="7"/>
      <c r="E50" s="7"/>
      <c r="F50" s="7"/>
      <c r="G50" s="7"/>
      <c r="H50" s="7"/>
    </row>
    <row r="51" spans="2:8">
      <c r="B51" s="6" t="s">
        <v>26</v>
      </c>
      <c r="C51" s="7" t="s">
        <v>27</v>
      </c>
      <c r="D51" s="7">
        <v>70</v>
      </c>
      <c r="E51" s="7">
        <v>70</v>
      </c>
      <c r="F51" s="7">
        <v>70</v>
      </c>
      <c r="G51" s="7"/>
      <c r="H51" s="7"/>
    </row>
    <row r="52" spans="2:8" ht="15" thickBot="1">
      <c r="B52" s="1" t="s">
        <v>28</v>
      </c>
      <c r="C52" s="2" t="s">
        <v>29</v>
      </c>
      <c r="D52" s="2">
        <v>30</v>
      </c>
      <c r="E52" s="2">
        <v>30</v>
      </c>
      <c r="F52" s="2">
        <v>30</v>
      </c>
      <c r="G52" s="2"/>
      <c r="H52" s="2"/>
    </row>
    <row r="53" spans="2:8" ht="24.6" thickBot="1">
      <c r="B53" s="1" t="s">
        <v>30</v>
      </c>
      <c r="C53" s="2">
        <v>4</v>
      </c>
      <c r="D53" s="2">
        <v>4</v>
      </c>
      <c r="E53" s="2">
        <v>4</v>
      </c>
      <c r="F53" s="2">
        <v>4</v>
      </c>
      <c r="G53" s="2" t="s">
        <v>20</v>
      </c>
      <c r="H53" s="2"/>
    </row>
    <row r="54" spans="2:8" ht="15" thickBot="1">
      <c r="B54" s="1" t="s">
        <v>64</v>
      </c>
      <c r="C54" s="10">
        <v>1250</v>
      </c>
      <c r="D54" s="10">
        <v>1250</v>
      </c>
      <c r="E54" s="10">
        <v>1250</v>
      </c>
      <c r="F54" s="10">
        <v>1250</v>
      </c>
      <c r="G54" s="2"/>
      <c r="H54" s="2">
        <v>7</v>
      </c>
    </row>
    <row r="55" spans="2:8" ht="15" thickBot="1">
      <c r="B55" s="1" t="s">
        <v>31</v>
      </c>
      <c r="C55" s="2"/>
      <c r="D55" s="2"/>
      <c r="E55" s="2"/>
      <c r="F55" s="2"/>
      <c r="G55" s="2"/>
      <c r="H55" s="2"/>
    </row>
    <row r="156" spans="7:7">
      <c r="G156" s="280" t="s">
        <v>665</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tabColor theme="3"/>
  </sheetPr>
  <dimension ref="B3:M61"/>
  <sheetViews>
    <sheetView zoomScale="80" zoomScaleNormal="80" workbookViewId="0">
      <selection activeCell="P1" sqref="P1"/>
    </sheetView>
  </sheetViews>
  <sheetFormatPr defaultRowHeight="14.4"/>
  <cols>
    <col min="2" max="2" width="36.6640625" customWidth="1"/>
    <col min="12" max="12" width="14.6640625" customWidth="1"/>
    <col min="13" max="13" width="18.6640625" customWidth="1"/>
  </cols>
  <sheetData>
    <row r="3" spans="2:13">
      <c r="B3" s="8" t="s">
        <v>323</v>
      </c>
    </row>
    <row r="5" spans="2:13" ht="15" thickBot="1"/>
    <row r="6" spans="2:13" ht="15" thickBot="1">
      <c r="B6" s="24" t="s">
        <v>0</v>
      </c>
      <c r="C6" s="1123" t="s">
        <v>238</v>
      </c>
      <c r="D6" s="1124"/>
      <c r="E6" s="1124"/>
      <c r="F6" s="1124"/>
      <c r="G6" s="1124"/>
      <c r="H6" s="1125"/>
      <c r="L6" s="239" t="s">
        <v>673</v>
      </c>
      <c r="M6" s="239"/>
    </row>
    <row r="7" spans="2:13" ht="15" thickBot="1">
      <c r="B7" s="1"/>
      <c r="C7" s="2">
        <v>2015</v>
      </c>
      <c r="D7" s="2">
        <v>2020</v>
      </c>
      <c r="E7" s="2">
        <v>2030</v>
      </c>
      <c r="F7" s="2">
        <v>2050</v>
      </c>
      <c r="G7" s="2" t="s">
        <v>2</v>
      </c>
      <c r="H7" s="2" t="s">
        <v>3</v>
      </c>
      <c r="L7" s="239"/>
      <c r="M7" s="239"/>
    </row>
    <row r="8" spans="2:13" ht="27.6" thickBot="1">
      <c r="B8" s="3" t="s">
        <v>4</v>
      </c>
      <c r="C8" s="4"/>
      <c r="D8" s="4"/>
      <c r="E8" s="4"/>
      <c r="F8" s="4"/>
      <c r="G8" s="4"/>
      <c r="H8" s="5"/>
      <c r="L8" s="335" t="s">
        <v>671</v>
      </c>
      <c r="M8" s="335" t="s">
        <v>672</v>
      </c>
    </row>
    <row r="9" spans="2:13" ht="15" thickBot="1">
      <c r="B9" s="1" t="s">
        <v>239</v>
      </c>
      <c r="C9" s="2">
        <v>120</v>
      </c>
      <c r="D9" s="2">
        <v>120</v>
      </c>
      <c r="E9" s="2">
        <v>120</v>
      </c>
      <c r="F9" s="2">
        <v>120</v>
      </c>
      <c r="G9" s="2" t="s">
        <v>6</v>
      </c>
      <c r="H9" s="2">
        <v>1</v>
      </c>
      <c r="L9" s="239">
        <v>250</v>
      </c>
      <c r="M9" s="239">
        <f>L9*7.45*3.6*8760/1000000000</f>
        <v>5.8735799999999998E-2</v>
      </c>
    </row>
    <row r="10" spans="2:13" ht="15" thickBot="1">
      <c r="B10" s="1" t="s">
        <v>240</v>
      </c>
      <c r="C10" s="2">
        <v>15</v>
      </c>
      <c r="D10" s="2">
        <v>15</v>
      </c>
      <c r="E10" s="2">
        <v>15</v>
      </c>
      <c r="F10" s="2">
        <v>15</v>
      </c>
      <c r="G10" s="2" t="s">
        <v>59</v>
      </c>
      <c r="H10" s="2">
        <v>1</v>
      </c>
      <c r="L10" s="239"/>
      <c r="M10" s="239"/>
    </row>
    <row r="11" spans="2:13" ht="15" thickBot="1">
      <c r="B11" s="1" t="s">
        <v>241</v>
      </c>
      <c r="C11" s="2">
        <v>141</v>
      </c>
      <c r="D11" s="2">
        <v>141</v>
      </c>
      <c r="E11" s="2">
        <v>141</v>
      </c>
      <c r="F11" s="2">
        <v>141</v>
      </c>
      <c r="G11" s="2" t="s">
        <v>6</v>
      </c>
      <c r="H11" s="2">
        <v>1</v>
      </c>
    </row>
    <row r="12" spans="2:13" ht="15" thickBot="1">
      <c r="B12" s="1" t="s">
        <v>242</v>
      </c>
      <c r="C12" s="2" t="s">
        <v>243</v>
      </c>
      <c r="D12" s="2" t="s">
        <v>243</v>
      </c>
      <c r="E12" s="2" t="s">
        <v>243</v>
      </c>
      <c r="F12" s="2" t="s">
        <v>243</v>
      </c>
      <c r="G12" s="2"/>
      <c r="H12" s="2">
        <v>2</v>
      </c>
    </row>
    <row r="13" spans="2:13" ht="15" thickBot="1">
      <c r="B13" s="1" t="s">
        <v>11</v>
      </c>
      <c r="C13" s="2" t="s">
        <v>186</v>
      </c>
      <c r="D13" s="2" t="s">
        <v>186</v>
      </c>
      <c r="E13" s="2" t="s">
        <v>186</v>
      </c>
      <c r="F13" s="2" t="s">
        <v>186</v>
      </c>
      <c r="G13" s="2"/>
      <c r="H13" s="2">
        <v>3</v>
      </c>
    </row>
    <row r="14" spans="2:13" ht="15" thickBot="1">
      <c r="B14" s="3" t="s">
        <v>22</v>
      </c>
      <c r="C14" s="4"/>
      <c r="D14" s="4"/>
      <c r="E14" s="4"/>
      <c r="F14" s="4"/>
      <c r="G14" s="4"/>
      <c r="H14" s="5"/>
    </row>
    <row r="15" spans="2:13" ht="15" thickBot="1">
      <c r="B15" s="1" t="s">
        <v>244</v>
      </c>
      <c r="C15" s="2" t="s">
        <v>245</v>
      </c>
      <c r="D15" s="2" t="s">
        <v>245</v>
      </c>
      <c r="E15" s="2" t="s">
        <v>245</v>
      </c>
      <c r="F15" s="2" t="s">
        <v>245</v>
      </c>
      <c r="G15" s="2" t="s">
        <v>16</v>
      </c>
      <c r="H15" s="2">
        <v>1</v>
      </c>
    </row>
    <row r="16" spans="2:13" ht="15" thickBot="1">
      <c r="B16" s="1" t="s">
        <v>246</v>
      </c>
      <c r="C16" s="2">
        <v>250</v>
      </c>
      <c r="D16" s="2">
        <v>250</v>
      </c>
      <c r="E16" s="2">
        <v>250</v>
      </c>
      <c r="F16" s="2">
        <v>250</v>
      </c>
      <c r="G16" s="2"/>
      <c r="H16" s="2">
        <v>4</v>
      </c>
    </row>
    <row r="20" spans="2:8" ht="15" thickBot="1"/>
    <row r="21" spans="2:8" ht="15" thickBot="1">
      <c r="B21" s="24" t="s">
        <v>0</v>
      </c>
      <c r="C21" s="1123" t="s">
        <v>247</v>
      </c>
      <c r="D21" s="1124"/>
      <c r="E21" s="1124"/>
      <c r="F21" s="1124"/>
      <c r="G21" s="1124"/>
      <c r="H21" s="1125"/>
    </row>
    <row r="22" spans="2:8" ht="15" thickBot="1">
      <c r="B22" s="1"/>
      <c r="C22" s="2">
        <v>2015</v>
      </c>
      <c r="D22" s="2">
        <v>2020</v>
      </c>
      <c r="E22" s="2">
        <v>2030</v>
      </c>
      <c r="F22" s="2">
        <v>2050</v>
      </c>
      <c r="G22" s="2" t="s">
        <v>2</v>
      </c>
      <c r="H22" s="2" t="s">
        <v>3</v>
      </c>
    </row>
    <row r="23" spans="2:8" ht="15" thickBot="1">
      <c r="B23" s="3" t="s">
        <v>4</v>
      </c>
      <c r="C23" s="4"/>
      <c r="D23" s="4"/>
      <c r="E23" s="4"/>
      <c r="F23" s="4"/>
      <c r="G23" s="4"/>
      <c r="H23" s="5"/>
    </row>
    <row r="24" spans="2:8" ht="15" thickBot="1">
      <c r="B24" s="1" t="s">
        <v>239</v>
      </c>
      <c r="C24" s="2" t="s">
        <v>160</v>
      </c>
      <c r="D24" s="2" t="s">
        <v>160</v>
      </c>
      <c r="E24" s="2" t="s">
        <v>160</v>
      </c>
      <c r="F24" s="2" t="s">
        <v>160</v>
      </c>
      <c r="G24" s="2" t="s">
        <v>6</v>
      </c>
      <c r="H24" s="2">
        <v>1</v>
      </c>
    </row>
    <row r="25" spans="2:8" ht="15" thickBot="1">
      <c r="B25" s="1" t="s">
        <v>240</v>
      </c>
      <c r="C25" s="2" t="s">
        <v>248</v>
      </c>
      <c r="D25" s="2" t="s">
        <v>248</v>
      </c>
      <c r="E25" s="2" t="s">
        <v>248</v>
      </c>
      <c r="F25" s="2" t="s">
        <v>248</v>
      </c>
      <c r="G25" s="2" t="s">
        <v>59</v>
      </c>
      <c r="H25" s="2" t="s">
        <v>94</v>
      </c>
    </row>
    <row r="26" spans="2:8" ht="15" thickBot="1">
      <c r="B26" s="1" t="s">
        <v>241</v>
      </c>
      <c r="C26" s="2" t="s">
        <v>249</v>
      </c>
      <c r="D26" s="2" t="s">
        <v>249</v>
      </c>
      <c r="E26" s="2" t="s">
        <v>249</v>
      </c>
      <c r="F26" s="2" t="s">
        <v>249</v>
      </c>
      <c r="G26" s="2" t="s">
        <v>6</v>
      </c>
      <c r="H26" s="2">
        <v>1</v>
      </c>
    </row>
    <row r="27" spans="2:8" ht="15" thickBot="1">
      <c r="B27" s="1" t="s">
        <v>242</v>
      </c>
      <c r="C27" s="34" t="s">
        <v>306</v>
      </c>
      <c r="D27" s="34" t="s">
        <v>306</v>
      </c>
      <c r="E27" s="34" t="s">
        <v>306</v>
      </c>
      <c r="F27" s="34" t="s">
        <v>306</v>
      </c>
      <c r="G27" s="2" t="s">
        <v>16</v>
      </c>
      <c r="H27" s="2" t="s">
        <v>94</v>
      </c>
    </row>
    <row r="28" spans="2:8" ht="15" thickBot="1">
      <c r="B28" s="1" t="s">
        <v>11</v>
      </c>
      <c r="C28" s="2" t="s">
        <v>186</v>
      </c>
      <c r="D28" s="2" t="s">
        <v>186</v>
      </c>
      <c r="E28" s="2" t="s">
        <v>186</v>
      </c>
      <c r="F28" s="2" t="s">
        <v>186</v>
      </c>
      <c r="G28" s="2"/>
      <c r="H28" s="2">
        <v>3</v>
      </c>
    </row>
    <row r="29" spans="2:8" ht="15" thickBot="1">
      <c r="B29" s="3" t="s">
        <v>22</v>
      </c>
      <c r="C29" s="4"/>
      <c r="D29" s="4"/>
      <c r="E29" s="4"/>
      <c r="F29" s="4"/>
      <c r="G29" s="4"/>
      <c r="H29" s="5"/>
    </row>
    <row r="30" spans="2:8" ht="15" thickBot="1">
      <c r="B30" s="1" t="s">
        <v>244</v>
      </c>
      <c r="C30" s="2" t="s">
        <v>250</v>
      </c>
      <c r="D30" s="2" t="s">
        <v>250</v>
      </c>
      <c r="E30" s="2" t="s">
        <v>250</v>
      </c>
      <c r="F30" s="2" t="s">
        <v>250</v>
      </c>
      <c r="G30" s="2" t="s">
        <v>76</v>
      </c>
      <c r="H30" s="2">
        <v>1</v>
      </c>
    </row>
    <row r="31" spans="2:8" ht="15" thickBot="1">
      <c r="B31" s="1" t="s">
        <v>246</v>
      </c>
      <c r="C31" s="2" t="s">
        <v>251</v>
      </c>
      <c r="D31" s="2" t="s">
        <v>251</v>
      </c>
      <c r="E31" s="2" t="s">
        <v>251</v>
      </c>
      <c r="F31" s="2" t="s">
        <v>251</v>
      </c>
      <c r="G31" s="2"/>
      <c r="H31" s="2">
        <v>4</v>
      </c>
    </row>
    <row r="35" spans="2:8" ht="15" thickBot="1"/>
    <row r="36" spans="2:8" ht="15" thickBot="1">
      <c r="B36" s="24" t="s">
        <v>0</v>
      </c>
      <c r="C36" s="1123" t="s">
        <v>252</v>
      </c>
      <c r="D36" s="1124"/>
      <c r="E36" s="1124"/>
      <c r="F36" s="1124"/>
      <c r="G36" s="1124"/>
      <c r="H36" s="1125"/>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239</v>
      </c>
      <c r="C39" s="2" t="s">
        <v>253</v>
      </c>
      <c r="D39" s="2" t="s">
        <v>253</v>
      </c>
      <c r="E39" s="2" t="s">
        <v>253</v>
      </c>
      <c r="F39" s="2" t="s">
        <v>253</v>
      </c>
      <c r="G39" s="2" t="s">
        <v>6</v>
      </c>
      <c r="H39" s="2" t="s">
        <v>94</v>
      </c>
    </row>
    <row r="40" spans="2:8" ht="15" thickBot="1">
      <c r="B40" s="1" t="s">
        <v>240</v>
      </c>
      <c r="C40" s="2" t="s">
        <v>254</v>
      </c>
      <c r="D40" s="2" t="s">
        <v>254</v>
      </c>
      <c r="E40" s="2" t="s">
        <v>254</v>
      </c>
      <c r="F40" s="2" t="s">
        <v>254</v>
      </c>
      <c r="G40" s="2" t="s">
        <v>59</v>
      </c>
      <c r="H40" s="2" t="s">
        <v>94</v>
      </c>
    </row>
    <row r="41" spans="2:8" ht="15" thickBot="1">
      <c r="B41" s="1" t="s">
        <v>241</v>
      </c>
      <c r="C41" s="2" t="s">
        <v>255</v>
      </c>
      <c r="D41" s="2" t="s">
        <v>255</v>
      </c>
      <c r="E41" s="2" t="s">
        <v>255</v>
      </c>
      <c r="F41" s="2" t="s">
        <v>255</v>
      </c>
      <c r="G41" s="2" t="s">
        <v>6</v>
      </c>
      <c r="H41" s="2" t="s">
        <v>94</v>
      </c>
    </row>
    <row r="42" spans="2:8" ht="15" thickBot="1">
      <c r="B42" s="1" t="s">
        <v>242</v>
      </c>
      <c r="C42" s="2" t="s">
        <v>256</v>
      </c>
      <c r="D42" s="2" t="s">
        <v>256</v>
      </c>
      <c r="E42" s="2" t="s">
        <v>256</v>
      </c>
      <c r="F42" s="2" t="s">
        <v>256</v>
      </c>
      <c r="G42" s="2" t="s">
        <v>16</v>
      </c>
      <c r="H42" s="2" t="s">
        <v>94</v>
      </c>
    </row>
    <row r="43" spans="2:8" ht="15" thickBot="1">
      <c r="B43" s="1" t="s">
        <v>11</v>
      </c>
      <c r="C43" s="2" t="s">
        <v>186</v>
      </c>
      <c r="D43" s="2" t="s">
        <v>186</v>
      </c>
      <c r="E43" s="2" t="s">
        <v>186</v>
      </c>
      <c r="F43" s="2" t="s">
        <v>186</v>
      </c>
      <c r="G43" s="2"/>
      <c r="H43" s="2">
        <v>3</v>
      </c>
    </row>
    <row r="44" spans="2:8" ht="15" thickBot="1">
      <c r="B44" s="3" t="s">
        <v>22</v>
      </c>
      <c r="C44" s="4"/>
      <c r="D44" s="4"/>
      <c r="E44" s="4"/>
      <c r="F44" s="4"/>
      <c r="G44" s="4"/>
      <c r="H44" s="5"/>
    </row>
    <row r="45" spans="2:8" ht="15" thickBot="1">
      <c r="B45" s="1" t="s">
        <v>244</v>
      </c>
      <c r="C45" s="2" t="s">
        <v>257</v>
      </c>
      <c r="D45" s="2" t="s">
        <v>257</v>
      </c>
      <c r="E45" s="2" t="s">
        <v>257</v>
      </c>
      <c r="F45" s="2" t="s">
        <v>257</v>
      </c>
      <c r="G45" s="2" t="s">
        <v>76</v>
      </c>
      <c r="H45" s="2" t="s">
        <v>94</v>
      </c>
    </row>
    <row r="46" spans="2:8" ht="15" thickBot="1">
      <c r="B46" s="1" t="s">
        <v>246</v>
      </c>
      <c r="C46" s="2" t="s">
        <v>258</v>
      </c>
      <c r="D46" s="2" t="s">
        <v>258</v>
      </c>
      <c r="E46" s="2" t="s">
        <v>258</v>
      </c>
      <c r="F46" s="2" t="s">
        <v>258</v>
      </c>
      <c r="G46" s="2"/>
      <c r="H46" s="2">
        <v>4</v>
      </c>
    </row>
    <row r="50" spans="2:8" ht="15" thickBot="1"/>
    <row r="51" spans="2:8" ht="15" thickBot="1">
      <c r="B51" s="24" t="s">
        <v>0</v>
      </c>
      <c r="C51" s="1123" t="s">
        <v>259</v>
      </c>
      <c r="D51" s="1124"/>
      <c r="E51" s="1124"/>
      <c r="F51" s="1124"/>
      <c r="G51" s="1124"/>
      <c r="H51" s="1125"/>
    </row>
    <row r="52" spans="2:8" ht="15" thickBot="1">
      <c r="B52" s="1"/>
      <c r="C52" s="2">
        <v>2015</v>
      </c>
      <c r="D52" s="2">
        <v>2020</v>
      </c>
      <c r="E52" s="2">
        <v>2030</v>
      </c>
      <c r="F52" s="2">
        <v>2050</v>
      </c>
      <c r="G52" s="2" t="s">
        <v>2</v>
      </c>
      <c r="H52" s="2" t="s">
        <v>3</v>
      </c>
    </row>
    <row r="53" spans="2:8" ht="15" thickBot="1">
      <c r="B53" s="3" t="s">
        <v>4</v>
      </c>
      <c r="C53" s="4"/>
      <c r="D53" s="4"/>
      <c r="E53" s="4"/>
      <c r="F53" s="4"/>
      <c r="G53" s="4"/>
      <c r="H53" s="5"/>
    </row>
    <row r="54" spans="2:8" ht="15" thickBot="1">
      <c r="B54" s="1" t="s">
        <v>239</v>
      </c>
      <c r="C54" s="2" t="s">
        <v>253</v>
      </c>
      <c r="D54" s="2" t="s">
        <v>253</v>
      </c>
      <c r="E54" s="2" t="s">
        <v>253</v>
      </c>
      <c r="F54" s="2" t="s">
        <v>253</v>
      </c>
      <c r="G54" s="2" t="s">
        <v>6</v>
      </c>
      <c r="H54" s="2" t="s">
        <v>94</v>
      </c>
    </row>
    <row r="55" spans="2:8" ht="15" thickBot="1">
      <c r="B55" s="1" t="s">
        <v>240</v>
      </c>
      <c r="C55" s="2" t="s">
        <v>260</v>
      </c>
      <c r="D55" s="2" t="s">
        <v>260</v>
      </c>
      <c r="E55" s="2" t="s">
        <v>260</v>
      </c>
      <c r="F55" s="2" t="s">
        <v>260</v>
      </c>
      <c r="G55" s="2" t="s">
        <v>59</v>
      </c>
      <c r="H55" s="2" t="s">
        <v>94</v>
      </c>
    </row>
    <row r="56" spans="2:8" ht="15" thickBot="1">
      <c r="B56" s="1" t="s">
        <v>241</v>
      </c>
      <c r="C56" s="2" t="s">
        <v>261</v>
      </c>
      <c r="D56" s="2" t="s">
        <v>261</v>
      </c>
      <c r="E56" s="2" t="s">
        <v>261</v>
      </c>
      <c r="F56" s="2" t="s">
        <v>261</v>
      </c>
      <c r="G56" s="2" t="s">
        <v>6</v>
      </c>
      <c r="H56" s="2" t="s">
        <v>94</v>
      </c>
    </row>
    <row r="57" spans="2:8" ht="15" thickBot="1">
      <c r="B57" s="1" t="s">
        <v>242</v>
      </c>
      <c r="C57" s="19" t="s">
        <v>256</v>
      </c>
      <c r="D57" s="34" t="s">
        <v>256</v>
      </c>
      <c r="E57" s="34" t="s">
        <v>256</v>
      </c>
      <c r="F57" s="34" t="s">
        <v>256</v>
      </c>
      <c r="G57" s="2" t="s">
        <v>16</v>
      </c>
      <c r="H57" s="2">
        <v>1</v>
      </c>
    </row>
    <row r="58" spans="2:8" ht="15" thickBot="1">
      <c r="B58" s="1" t="s">
        <v>11</v>
      </c>
      <c r="C58" s="2" t="s">
        <v>186</v>
      </c>
      <c r="D58" s="2" t="s">
        <v>186</v>
      </c>
      <c r="E58" s="2" t="s">
        <v>186</v>
      </c>
      <c r="F58" s="2" t="s">
        <v>186</v>
      </c>
      <c r="G58" s="2"/>
      <c r="H58" s="2">
        <v>3</v>
      </c>
    </row>
    <row r="59" spans="2:8" ht="15" thickBot="1">
      <c r="B59" s="3" t="s">
        <v>22</v>
      </c>
      <c r="C59" s="4"/>
      <c r="D59" s="4"/>
      <c r="E59" s="4"/>
      <c r="F59" s="4"/>
      <c r="G59" s="4"/>
      <c r="H59" s="5"/>
    </row>
    <row r="60" spans="2:8" ht="15" thickBot="1">
      <c r="B60" s="1" t="s">
        <v>244</v>
      </c>
      <c r="C60" s="2" t="s">
        <v>262</v>
      </c>
      <c r="D60" s="2" t="s">
        <v>262</v>
      </c>
      <c r="E60" s="2" t="s">
        <v>262</v>
      </c>
      <c r="F60" s="2" t="s">
        <v>262</v>
      </c>
      <c r="G60" s="2" t="s">
        <v>76</v>
      </c>
      <c r="H60" s="2" t="s">
        <v>94</v>
      </c>
    </row>
    <row r="61" spans="2:8" ht="15" thickBot="1">
      <c r="B61" s="1" t="s">
        <v>246</v>
      </c>
      <c r="C61" s="2" t="s">
        <v>263</v>
      </c>
      <c r="D61" s="2" t="s">
        <v>263</v>
      </c>
      <c r="E61" s="2" t="s">
        <v>263</v>
      </c>
      <c r="F61" s="2" t="s">
        <v>263</v>
      </c>
      <c r="G61" s="2"/>
      <c r="H61" s="2">
        <v>4</v>
      </c>
    </row>
  </sheetData>
  <mergeCells count="4">
    <mergeCell ref="C6:H6"/>
    <mergeCell ref="C21:H21"/>
    <mergeCell ref="C36:H36"/>
    <mergeCell ref="C51:H51"/>
  </mergeCells>
  <pageMargins left="0.7" right="0.7" top="0.75" bottom="0.75" header="0.3" footer="0.3"/>
  <pageSetup paperSize="9" orientation="portrait"/>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tabColor theme="3"/>
  </sheetPr>
  <dimension ref="B3:H18"/>
  <sheetViews>
    <sheetView zoomScale="80" zoomScaleNormal="80" workbookViewId="0">
      <selection activeCell="P1" sqref="P1"/>
    </sheetView>
  </sheetViews>
  <sheetFormatPr defaultRowHeight="14.4"/>
  <cols>
    <col min="2" max="2" width="36.6640625" customWidth="1"/>
  </cols>
  <sheetData>
    <row r="3" spans="2:8">
      <c r="B3" s="8" t="s">
        <v>324</v>
      </c>
    </row>
    <row r="5" spans="2:8" ht="15" thickBot="1"/>
    <row r="6" spans="2:8" ht="15" thickBot="1">
      <c r="B6" s="24" t="s">
        <v>0</v>
      </c>
      <c r="C6" s="1123" t="s">
        <v>264</v>
      </c>
      <c r="D6" s="1124"/>
      <c r="E6" s="1124"/>
      <c r="F6" s="1124"/>
      <c r="G6" s="1124"/>
      <c r="H6" s="1125"/>
    </row>
    <row r="7" spans="2:8" ht="15" thickBot="1">
      <c r="B7" s="1"/>
      <c r="C7" s="2">
        <v>2015</v>
      </c>
      <c r="D7" s="2">
        <v>2020</v>
      </c>
      <c r="E7" s="2">
        <v>2030</v>
      </c>
      <c r="F7" s="2">
        <v>2050</v>
      </c>
      <c r="G7" s="2" t="s">
        <v>2</v>
      </c>
      <c r="H7" s="2" t="s">
        <v>3</v>
      </c>
    </row>
    <row r="8" spans="2:8" ht="15" thickBot="1">
      <c r="B8" s="3" t="s">
        <v>4</v>
      </c>
      <c r="C8" s="4"/>
      <c r="D8" s="4"/>
      <c r="E8" s="4"/>
      <c r="F8" s="4"/>
      <c r="G8" s="4"/>
      <c r="H8" s="5"/>
    </row>
    <row r="9" spans="2:8" ht="15" thickBot="1">
      <c r="B9" s="1" t="s">
        <v>265</v>
      </c>
      <c r="C9" s="2" t="s">
        <v>266</v>
      </c>
      <c r="D9" s="2" t="s">
        <v>266</v>
      </c>
      <c r="E9" s="2" t="s">
        <v>266</v>
      </c>
      <c r="F9" s="2" t="s">
        <v>266</v>
      </c>
      <c r="G9" s="2"/>
      <c r="H9" s="2"/>
    </row>
    <row r="10" spans="2:8" ht="15" thickBot="1">
      <c r="B10" s="1" t="s">
        <v>267</v>
      </c>
      <c r="C10" s="2" t="s">
        <v>268</v>
      </c>
      <c r="D10" s="2" t="s">
        <v>268</v>
      </c>
      <c r="E10" s="2" t="s">
        <v>268</v>
      </c>
      <c r="F10" s="2" t="s">
        <v>268</v>
      </c>
      <c r="G10" s="2"/>
      <c r="H10" s="2"/>
    </row>
    <row r="11" spans="2:8" ht="15" thickBot="1">
      <c r="B11" s="1" t="s">
        <v>269</v>
      </c>
      <c r="C11" s="2" t="s">
        <v>270</v>
      </c>
      <c r="D11" s="2" t="s">
        <v>270</v>
      </c>
      <c r="E11" s="2" t="s">
        <v>270</v>
      </c>
      <c r="F11" s="2" t="s">
        <v>270</v>
      </c>
      <c r="G11" s="2"/>
      <c r="H11" s="2"/>
    </row>
    <row r="12" spans="2:8" ht="15" thickBot="1">
      <c r="B12" s="1" t="s">
        <v>271</v>
      </c>
      <c r="C12" s="2" t="s">
        <v>139</v>
      </c>
      <c r="D12" s="2" t="s">
        <v>139</v>
      </c>
      <c r="E12" s="2" t="s">
        <v>139</v>
      </c>
      <c r="F12" s="2" t="s">
        <v>139</v>
      </c>
      <c r="G12" s="2"/>
      <c r="H12" s="2"/>
    </row>
    <row r="13" spans="2:8" ht="24.6" thickBot="1">
      <c r="B13" s="1" t="s">
        <v>272</v>
      </c>
      <c r="C13" s="2">
        <v>7</v>
      </c>
      <c r="D13" s="2">
        <v>7</v>
      </c>
      <c r="E13" s="2">
        <v>6</v>
      </c>
      <c r="F13" s="2">
        <v>6</v>
      </c>
      <c r="G13" s="2" t="s">
        <v>59</v>
      </c>
      <c r="H13" s="2"/>
    </row>
    <row r="14" spans="2:8" ht="15" thickBot="1">
      <c r="B14" s="1" t="s">
        <v>11</v>
      </c>
      <c r="C14" s="2" t="s">
        <v>144</v>
      </c>
      <c r="D14" s="2" t="s">
        <v>144</v>
      </c>
      <c r="E14" s="2" t="s">
        <v>144</v>
      </c>
      <c r="F14" s="2" t="s">
        <v>144</v>
      </c>
      <c r="G14" s="2"/>
      <c r="H14" s="2"/>
    </row>
    <row r="15" spans="2:8" ht="15" thickBot="1">
      <c r="B15" s="1" t="s">
        <v>273</v>
      </c>
      <c r="C15" s="34" t="s">
        <v>307</v>
      </c>
      <c r="D15" s="34" t="s">
        <v>307</v>
      </c>
      <c r="E15" s="34" t="s">
        <v>307</v>
      </c>
      <c r="F15" s="34" t="s">
        <v>307</v>
      </c>
      <c r="G15" s="2"/>
      <c r="H15" s="2"/>
    </row>
    <row r="16" spans="2:8" ht="15" thickBot="1">
      <c r="B16" s="3" t="s">
        <v>22</v>
      </c>
      <c r="C16" s="4"/>
      <c r="D16" s="4"/>
      <c r="E16" s="4"/>
      <c r="F16" s="4"/>
      <c r="G16" s="4"/>
      <c r="H16" s="5"/>
    </row>
    <row r="17" spans="2:8" ht="15" thickBot="1">
      <c r="B17" s="1" t="s">
        <v>274</v>
      </c>
      <c r="C17" s="2" t="s">
        <v>275</v>
      </c>
      <c r="D17" s="2" t="s">
        <v>275</v>
      </c>
      <c r="E17" s="2" t="s">
        <v>275</v>
      </c>
      <c r="F17" s="2" t="s">
        <v>275</v>
      </c>
      <c r="G17" s="2" t="s">
        <v>6</v>
      </c>
      <c r="H17" s="2">
        <v>1</v>
      </c>
    </row>
    <row r="18" spans="2:8" ht="15" thickBot="1">
      <c r="B18" s="1" t="s">
        <v>276</v>
      </c>
      <c r="C18" s="2" t="s">
        <v>68</v>
      </c>
      <c r="D18" s="2" t="s">
        <v>68</v>
      </c>
      <c r="E18" s="2" t="s">
        <v>68</v>
      </c>
      <c r="F18" s="2" t="s">
        <v>68</v>
      </c>
      <c r="G18" s="2"/>
      <c r="H18" s="2"/>
    </row>
  </sheetData>
  <mergeCells count="1">
    <mergeCell ref="C6:H6"/>
  </mergeCell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tabColor theme="3"/>
  </sheetPr>
  <dimension ref="A3:X117"/>
  <sheetViews>
    <sheetView zoomScale="80" zoomScaleNormal="80" workbookViewId="0">
      <selection activeCell="P1" sqref="P1"/>
    </sheetView>
  </sheetViews>
  <sheetFormatPr defaultRowHeight="14.4"/>
  <cols>
    <col min="1" max="1" width="44.6640625" customWidth="1"/>
    <col min="2" max="2" width="36.6640625" customWidth="1"/>
  </cols>
  <sheetData>
    <row r="3" spans="2:24">
      <c r="B3" s="8" t="s">
        <v>317</v>
      </c>
    </row>
    <row r="4" spans="2:24">
      <c r="E4" t="s">
        <v>334</v>
      </c>
      <c r="F4" s="36">
        <v>7.45</v>
      </c>
      <c r="G4" t="s">
        <v>328</v>
      </c>
    </row>
    <row r="5" spans="2:24" ht="15" thickBot="1"/>
    <row r="6" spans="2:24" ht="15.75" customHeight="1">
      <c r="B6" s="1118" t="s">
        <v>0</v>
      </c>
      <c r="C6" s="1120" t="s">
        <v>123</v>
      </c>
      <c r="D6" s="1121"/>
      <c r="E6" s="1121"/>
      <c r="F6" s="1121"/>
      <c r="G6" s="1121"/>
      <c r="H6" s="1122"/>
      <c r="J6" s="1120" t="str">
        <f>C6</f>
        <v>Solar heating system</v>
      </c>
      <c r="K6" s="1121"/>
      <c r="L6" s="1121"/>
      <c r="M6" s="1121"/>
      <c r="N6" s="1121"/>
      <c r="O6" s="1122"/>
    </row>
    <row r="7" spans="2:24" ht="15.75" customHeight="1" thickBot="1">
      <c r="B7" s="1119"/>
      <c r="C7" s="1001" t="s">
        <v>1</v>
      </c>
      <c r="D7" s="1002"/>
      <c r="E7" s="1002"/>
      <c r="F7" s="1002"/>
      <c r="G7" s="1002"/>
      <c r="H7" s="1003"/>
      <c r="J7" s="1001" t="str">
        <f>C7</f>
        <v>One-family house, existing building</v>
      </c>
      <c r="K7" s="1002"/>
      <c r="L7" s="1002"/>
      <c r="M7" s="1002"/>
      <c r="N7" s="1002"/>
      <c r="O7" s="100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124</v>
      </c>
      <c r="C10" s="2">
        <v>6</v>
      </c>
      <c r="D10" s="2">
        <v>6</v>
      </c>
      <c r="E10" s="2">
        <v>6</v>
      </c>
      <c r="F10" s="2">
        <v>6</v>
      </c>
      <c r="G10" s="2" t="s">
        <v>6</v>
      </c>
      <c r="H10" s="2">
        <v>1</v>
      </c>
      <c r="J10" s="50"/>
      <c r="K10" s="50"/>
      <c r="L10" s="51"/>
      <c r="M10" s="51"/>
      <c r="N10" s="51"/>
      <c r="O10" s="52"/>
      <c r="P10" s="50"/>
      <c r="Q10" s="50"/>
      <c r="R10" s="50"/>
      <c r="S10" s="50"/>
      <c r="T10" s="50"/>
      <c r="U10" s="50"/>
      <c r="V10" s="50"/>
      <c r="W10" s="50"/>
      <c r="X10" s="50"/>
    </row>
    <row r="11" spans="2:24" ht="15" thickBot="1">
      <c r="B11" s="1" t="s">
        <v>125</v>
      </c>
      <c r="C11" s="2">
        <v>4.2</v>
      </c>
      <c r="D11" s="2">
        <v>4.2</v>
      </c>
      <c r="E11" s="2">
        <v>4.2</v>
      </c>
      <c r="F11" s="2">
        <v>4.2</v>
      </c>
      <c r="G11" s="2" t="s">
        <v>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7</v>
      </c>
      <c r="C12" s="2">
        <v>10</v>
      </c>
      <c r="D12" s="2">
        <v>10</v>
      </c>
      <c r="E12" s="2">
        <v>12</v>
      </c>
      <c r="F12" s="2">
        <v>12</v>
      </c>
      <c r="G12" s="2" t="s">
        <v>59</v>
      </c>
      <c r="H12" s="2" t="s">
        <v>126</v>
      </c>
      <c r="J12" s="58">
        <f>C8</f>
        <v>2015</v>
      </c>
      <c r="K12" s="58">
        <f>J12</f>
        <v>2015</v>
      </c>
      <c r="L12" s="58">
        <f>C14/100</f>
        <v>1</v>
      </c>
      <c r="M12" s="58"/>
      <c r="N12" s="58">
        <f>C15</f>
        <v>20</v>
      </c>
      <c r="O12" s="59">
        <f>C30</f>
        <v>6705</v>
      </c>
      <c r="P12" s="59">
        <f>C32</f>
        <v>123.19107142857143</v>
      </c>
      <c r="Q12" s="59">
        <f>C33</f>
        <v>0</v>
      </c>
      <c r="R12" s="58"/>
      <c r="S12" s="58"/>
      <c r="T12" s="58"/>
      <c r="U12" s="58"/>
      <c r="V12" s="58"/>
      <c r="W12" s="58"/>
      <c r="X12" s="58"/>
    </row>
    <row r="13" spans="2:24" ht="24.6" thickBot="1">
      <c r="B13" s="1" t="s">
        <v>8</v>
      </c>
      <c r="C13" s="2">
        <v>65</v>
      </c>
      <c r="D13" s="2">
        <v>65</v>
      </c>
      <c r="E13" s="2">
        <v>70</v>
      </c>
      <c r="F13" s="2">
        <v>70</v>
      </c>
      <c r="G13" s="2" t="s">
        <v>59</v>
      </c>
      <c r="H13" s="2"/>
      <c r="J13" s="58">
        <f>D8</f>
        <v>2020</v>
      </c>
      <c r="K13" s="58"/>
      <c r="L13" s="58">
        <f>D14/100</f>
        <v>1</v>
      </c>
      <c r="M13" s="58"/>
      <c r="N13" s="58">
        <f>D15</f>
        <v>25</v>
      </c>
      <c r="O13" s="59">
        <f>D30</f>
        <v>6332.5</v>
      </c>
      <c r="P13" s="59">
        <f>D32</f>
        <v>120.92933158225671</v>
      </c>
      <c r="Q13" s="59">
        <f>D33</f>
        <v>0</v>
      </c>
      <c r="R13" s="58"/>
      <c r="S13" s="58"/>
      <c r="T13" s="58"/>
      <c r="U13" s="58"/>
      <c r="V13" s="58"/>
      <c r="W13" s="58"/>
      <c r="X13" s="58"/>
    </row>
    <row r="14" spans="2:24" ht="15" thickBot="1">
      <c r="B14" s="1" t="s">
        <v>9</v>
      </c>
      <c r="C14" s="35">
        <v>100</v>
      </c>
      <c r="D14" s="35">
        <v>100</v>
      </c>
      <c r="E14" s="35">
        <v>100</v>
      </c>
      <c r="F14" s="35">
        <v>100</v>
      </c>
      <c r="G14" s="2"/>
      <c r="H14" s="2"/>
      <c r="J14" s="58">
        <f>E8</f>
        <v>2030</v>
      </c>
      <c r="K14" s="58"/>
      <c r="L14" s="58">
        <f>E14/100</f>
        <v>1</v>
      </c>
      <c r="M14" s="58"/>
      <c r="N14" s="58">
        <f>E15</f>
        <v>30</v>
      </c>
      <c r="O14" s="59">
        <f>E30</f>
        <v>5960.0000000000009</v>
      </c>
      <c r="P14" s="59">
        <f>E32</f>
        <v>122.00995930042681</v>
      </c>
      <c r="Q14" s="59">
        <f>E33</f>
        <v>0</v>
      </c>
      <c r="R14" s="58"/>
      <c r="S14" s="58"/>
      <c r="T14" s="58"/>
      <c r="U14" s="58"/>
      <c r="V14" s="58"/>
      <c r="W14" s="58"/>
      <c r="X14" s="58"/>
    </row>
    <row r="15" spans="2:24" ht="15" thickBot="1">
      <c r="B15" s="1" t="s">
        <v>11</v>
      </c>
      <c r="C15" s="2">
        <v>20</v>
      </c>
      <c r="D15" s="2">
        <v>25</v>
      </c>
      <c r="E15" s="2">
        <v>30</v>
      </c>
      <c r="F15" s="2">
        <v>30</v>
      </c>
      <c r="G15" s="2" t="s">
        <v>16</v>
      </c>
      <c r="H15" s="2">
        <v>1</v>
      </c>
      <c r="J15" s="58">
        <f>F8</f>
        <v>2050</v>
      </c>
      <c r="K15" s="58"/>
      <c r="L15" s="58">
        <f>F14/100</f>
        <v>1</v>
      </c>
      <c r="M15" s="58"/>
      <c r="N15" s="58">
        <f>F15</f>
        <v>30</v>
      </c>
      <c r="O15" s="59">
        <f>F30</f>
        <v>4470</v>
      </c>
      <c r="P15" s="59">
        <f>F32</f>
        <v>112.13193067515455</v>
      </c>
      <c r="Q15" s="59">
        <f>F33</f>
        <v>0</v>
      </c>
      <c r="R15" s="58"/>
      <c r="S15" s="58"/>
      <c r="T15" s="58"/>
      <c r="U15" s="58"/>
      <c r="V15" s="58"/>
      <c r="W15" s="58"/>
      <c r="X15" s="58"/>
    </row>
    <row r="16" spans="2:24" ht="15" thickBot="1">
      <c r="B16" s="3" t="s">
        <v>12</v>
      </c>
      <c r="C16" s="4"/>
      <c r="D16" s="4"/>
      <c r="E16" s="4"/>
      <c r="F16" s="4"/>
      <c r="G16" s="4"/>
      <c r="H16" s="5"/>
    </row>
    <row r="17" spans="1:11" ht="15.6" thickBot="1">
      <c r="B17" s="1" t="s">
        <v>13</v>
      </c>
      <c r="C17" s="2">
        <v>0</v>
      </c>
      <c r="D17" s="2">
        <v>0</v>
      </c>
      <c r="E17" s="2">
        <v>0</v>
      </c>
      <c r="F17" s="2">
        <v>0</v>
      </c>
      <c r="G17" s="2" t="s">
        <v>33</v>
      </c>
      <c r="H17" s="2"/>
    </row>
    <row r="18" spans="1:11" ht="15.6" thickBot="1">
      <c r="B18" s="1" t="s">
        <v>15</v>
      </c>
      <c r="C18" s="2">
        <v>0</v>
      </c>
      <c r="D18" s="2">
        <v>0</v>
      </c>
      <c r="E18" s="2">
        <v>0</v>
      </c>
      <c r="F18" s="2">
        <v>0</v>
      </c>
      <c r="G18" s="2"/>
      <c r="H18" s="2"/>
    </row>
    <row r="19" spans="1:11" ht="15.6" thickBot="1">
      <c r="B19" s="1" t="s">
        <v>17</v>
      </c>
      <c r="C19" s="2">
        <v>0</v>
      </c>
      <c r="D19" s="2">
        <v>0</v>
      </c>
      <c r="E19" s="2">
        <v>0</v>
      </c>
      <c r="F19" s="2">
        <v>0</v>
      </c>
      <c r="G19" s="2"/>
      <c r="H19" s="2"/>
    </row>
    <row r="20" spans="1:11" ht="15.6" thickBot="1">
      <c r="B20" s="1" t="s">
        <v>18</v>
      </c>
      <c r="C20" s="2">
        <v>0</v>
      </c>
      <c r="D20" s="2">
        <v>0</v>
      </c>
      <c r="E20" s="2">
        <v>0</v>
      </c>
      <c r="F20" s="2">
        <v>0</v>
      </c>
      <c r="G20" s="2"/>
      <c r="H20" s="2"/>
    </row>
    <row r="21" spans="1:11" ht="15" thickBot="1">
      <c r="B21" s="1" t="s">
        <v>19</v>
      </c>
      <c r="C21" s="2">
        <v>0</v>
      </c>
      <c r="D21" s="2">
        <v>0</v>
      </c>
      <c r="E21" s="2">
        <v>0</v>
      </c>
      <c r="F21" s="2">
        <v>0</v>
      </c>
      <c r="G21" s="2"/>
      <c r="H21" s="2"/>
    </row>
    <row r="22" spans="1:11" ht="15" thickBot="1">
      <c r="B22" s="3" t="s">
        <v>22</v>
      </c>
      <c r="C22" s="4"/>
      <c r="D22" s="4"/>
      <c r="E22" s="4"/>
      <c r="F22" s="4"/>
      <c r="G22" s="4"/>
      <c r="H22" s="5"/>
    </row>
    <row r="23" spans="1:11" ht="15" thickBot="1">
      <c r="B23" s="1" t="s">
        <v>127</v>
      </c>
      <c r="C23" s="2">
        <v>0.9</v>
      </c>
      <c r="D23" s="2">
        <v>0.85</v>
      </c>
      <c r="E23" s="2">
        <v>0.8</v>
      </c>
      <c r="F23" s="2">
        <v>0.6</v>
      </c>
      <c r="G23" s="2" t="s">
        <v>20</v>
      </c>
      <c r="H23" s="2" t="s">
        <v>128</v>
      </c>
    </row>
    <row r="24" spans="1:11">
      <c r="A24" s="36"/>
      <c r="B24" s="6" t="s">
        <v>24</v>
      </c>
      <c r="C24" s="958">
        <v>4.0268456375838921</v>
      </c>
      <c r="D24" s="958">
        <v>3.624161073825503</v>
      </c>
      <c r="E24" s="958">
        <v>3.3557046979865772</v>
      </c>
      <c r="F24" s="958">
        <v>2.6845637583892619</v>
      </c>
      <c r="G24" s="7"/>
      <c r="H24" s="7" t="s">
        <v>128</v>
      </c>
    </row>
    <row r="25" spans="1:11">
      <c r="A25" s="36"/>
      <c r="B25" s="6" t="s">
        <v>26</v>
      </c>
      <c r="C25" s="958">
        <v>65</v>
      </c>
      <c r="D25" s="958">
        <v>65</v>
      </c>
      <c r="E25" s="958">
        <v>65</v>
      </c>
      <c r="F25" s="958">
        <v>65</v>
      </c>
      <c r="G25" s="7"/>
      <c r="H25" s="7" t="s">
        <v>129</v>
      </c>
    </row>
    <row r="26" spans="1:11" ht="15" thickBot="1">
      <c r="A26" s="36"/>
      <c r="B26" s="1" t="s">
        <v>28</v>
      </c>
      <c r="C26" s="959">
        <v>35</v>
      </c>
      <c r="D26" s="959">
        <v>35</v>
      </c>
      <c r="E26" s="959">
        <v>35</v>
      </c>
      <c r="F26" s="959">
        <v>35</v>
      </c>
      <c r="G26" s="2"/>
      <c r="H26" s="2">
        <v>8</v>
      </c>
    </row>
    <row r="27" spans="1:11" ht="24.6" thickBot="1">
      <c r="A27" s="36"/>
      <c r="B27" s="1" t="s">
        <v>30</v>
      </c>
      <c r="C27" s="959">
        <v>0</v>
      </c>
      <c r="D27" s="959">
        <v>0</v>
      </c>
      <c r="E27" s="959">
        <v>0</v>
      </c>
      <c r="F27" s="959">
        <v>0</v>
      </c>
      <c r="G27" s="2"/>
      <c r="H27" s="2"/>
    </row>
    <row r="28" spans="1:11" ht="15" thickBot="1">
      <c r="A28" s="36"/>
      <c r="B28" s="1" t="s">
        <v>64</v>
      </c>
      <c r="C28" s="959">
        <v>69.45</v>
      </c>
      <c r="D28" s="959">
        <v>68.17492518731251</v>
      </c>
      <c r="E28" s="959">
        <v>68.784138129099688</v>
      </c>
      <c r="F28" s="959">
        <v>63.215316622234781</v>
      </c>
      <c r="G28" s="2" t="s">
        <v>76</v>
      </c>
      <c r="H28" s="2"/>
      <c r="J28" t="s">
        <v>360</v>
      </c>
      <c r="K28" t="s">
        <v>361</v>
      </c>
    </row>
    <row r="29" spans="1:11" ht="15" thickBot="1">
      <c r="A29" s="36"/>
      <c r="B29" s="1" t="s">
        <v>130</v>
      </c>
      <c r="C29" s="2">
        <v>0</v>
      </c>
      <c r="D29" s="2">
        <v>0</v>
      </c>
      <c r="E29" s="2">
        <v>0</v>
      </c>
      <c r="F29" s="2">
        <v>0</v>
      </c>
      <c r="G29" s="2" t="s">
        <v>25</v>
      </c>
      <c r="H29" s="2"/>
      <c r="J29">
        <v>4</v>
      </c>
      <c r="K29">
        <f>J29/3.6</f>
        <v>1.1111111111111112</v>
      </c>
    </row>
    <row r="30" spans="1:11">
      <c r="B30" s="36" t="s">
        <v>353</v>
      </c>
      <c r="C30" s="60">
        <f t="shared" ref="C30:F31" si="0">C23*$F$4*1000</f>
        <v>6705</v>
      </c>
      <c r="D30" s="60">
        <f t="shared" si="0"/>
        <v>6332.5</v>
      </c>
      <c r="E30" s="60">
        <f t="shared" si="0"/>
        <v>5960.0000000000009</v>
      </c>
      <c r="F30" s="60">
        <f t="shared" si="0"/>
        <v>4470</v>
      </c>
      <c r="G30" s="63" t="s">
        <v>332</v>
      </c>
      <c r="H30" s="63"/>
    </row>
    <row r="31" spans="1:11">
      <c r="B31" s="36" t="s">
        <v>354</v>
      </c>
      <c r="C31" s="60">
        <f t="shared" si="0"/>
        <v>29999.999999999996</v>
      </c>
      <c r="D31" s="60">
        <f t="shared" si="0"/>
        <v>26999.999999999996</v>
      </c>
      <c r="E31" s="60">
        <f t="shared" si="0"/>
        <v>25000</v>
      </c>
      <c r="F31" s="60">
        <f t="shared" si="0"/>
        <v>20000</v>
      </c>
      <c r="G31" s="70">
        <f>C11</f>
        <v>4.2</v>
      </c>
      <c r="H31" s="69" t="s">
        <v>330</v>
      </c>
    </row>
    <row r="32" spans="1:11">
      <c r="B32" s="36" t="s">
        <v>355</v>
      </c>
      <c r="C32" s="60">
        <f>C28*$F$4/$G31</f>
        <v>123.19107142857143</v>
      </c>
      <c r="D32" s="60">
        <f>D28*$F$4/$G31</f>
        <v>120.92933158225671</v>
      </c>
      <c r="E32" s="60">
        <f>E28*$F$4/$G31</f>
        <v>122.00995930042681</v>
      </c>
      <c r="F32" s="60">
        <f>F28*$F$4/$G31</f>
        <v>112.13193067515455</v>
      </c>
      <c r="G32" s="69" t="s">
        <v>331</v>
      </c>
      <c r="H32" s="69"/>
    </row>
    <row r="33" spans="2:24" ht="15" thickBot="1">
      <c r="B33" s="36" t="s">
        <v>356</v>
      </c>
      <c r="C33" s="60">
        <f>C29*$F$4/(4*3.6*C13/100)</f>
        <v>0</v>
      </c>
      <c r="D33" s="60">
        <f t="shared" ref="D33:F33" si="1">D29*$F$4/(4*3.6*D13/100)</f>
        <v>0</v>
      </c>
      <c r="E33" s="60">
        <f t="shared" si="1"/>
        <v>0</v>
      </c>
      <c r="F33" s="60">
        <f t="shared" si="1"/>
        <v>0</v>
      </c>
      <c r="G33" s="85" t="s">
        <v>422</v>
      </c>
      <c r="H33" s="61"/>
    </row>
    <row r="34" spans="2:24" ht="15.75" customHeight="1">
      <c r="B34" s="1118" t="s">
        <v>0</v>
      </c>
      <c r="C34" s="1120" t="s">
        <v>123</v>
      </c>
      <c r="D34" s="1121"/>
      <c r="E34" s="1121"/>
      <c r="F34" s="1121"/>
      <c r="G34" s="1121"/>
      <c r="H34" s="1122"/>
      <c r="J34" s="1120" t="str">
        <f>C34</f>
        <v>Solar heating system</v>
      </c>
      <c r="K34" s="1121"/>
      <c r="L34" s="1121"/>
      <c r="M34" s="1121"/>
      <c r="N34" s="1121"/>
      <c r="O34" s="1122"/>
    </row>
    <row r="35" spans="2:24" ht="15" thickBot="1">
      <c r="B35" s="1119"/>
      <c r="C35" s="1001" t="s">
        <v>32</v>
      </c>
      <c r="D35" s="1002"/>
      <c r="E35" s="1002"/>
      <c r="F35" s="1002"/>
      <c r="G35" s="1002"/>
      <c r="H35" s="1003"/>
      <c r="J35" s="1001" t="str">
        <f>C35</f>
        <v>Apartment complex, existing building</v>
      </c>
      <c r="K35" s="1002"/>
      <c r="L35" s="1002"/>
      <c r="M35" s="1002"/>
      <c r="N35" s="1002"/>
      <c r="O35" s="1003"/>
    </row>
    <row r="36" spans="2:24" ht="15" thickBot="1">
      <c r="B36" s="1"/>
      <c r="C36" s="2">
        <v>2015</v>
      </c>
      <c r="D36" s="2">
        <v>2020</v>
      </c>
      <c r="E36" s="2">
        <v>2030</v>
      </c>
      <c r="F36" s="2">
        <v>2050</v>
      </c>
      <c r="G36" s="2" t="s">
        <v>2</v>
      </c>
      <c r="H36" s="2" t="s">
        <v>3</v>
      </c>
      <c r="J36" s="53" t="s">
        <v>357</v>
      </c>
    </row>
    <row r="37" spans="2:24" ht="28.2" thickBot="1">
      <c r="B37" s="3" t="s">
        <v>4</v>
      </c>
      <c r="C37" s="4"/>
      <c r="D37" s="4"/>
      <c r="E37" s="4"/>
      <c r="F37" s="4"/>
      <c r="G37" s="4"/>
      <c r="H37" s="5"/>
      <c r="J37" s="46" t="s">
        <v>335</v>
      </c>
      <c r="K37" s="46" t="s">
        <v>336</v>
      </c>
      <c r="L37" s="47" t="s">
        <v>337</v>
      </c>
      <c r="M37" s="47" t="s">
        <v>338</v>
      </c>
      <c r="N37" s="47" t="s">
        <v>339</v>
      </c>
      <c r="O37" s="48" t="s">
        <v>340</v>
      </c>
      <c r="P37" s="49" t="s">
        <v>341</v>
      </c>
      <c r="Q37" s="49" t="s">
        <v>342</v>
      </c>
      <c r="R37" s="49" t="s">
        <v>343</v>
      </c>
      <c r="S37" s="49" t="s">
        <v>344</v>
      </c>
      <c r="T37" s="49" t="s">
        <v>345</v>
      </c>
      <c r="U37" s="49" t="s">
        <v>346</v>
      </c>
      <c r="V37" s="49" t="s">
        <v>347</v>
      </c>
      <c r="W37" s="49" t="s">
        <v>348</v>
      </c>
      <c r="X37" s="49" t="s">
        <v>349</v>
      </c>
    </row>
    <row r="38" spans="2:24" ht="15" thickBot="1">
      <c r="B38" s="1" t="s">
        <v>124</v>
      </c>
      <c r="C38" s="2">
        <v>200</v>
      </c>
      <c r="D38" s="2">
        <v>200</v>
      </c>
      <c r="E38" s="2">
        <v>200</v>
      </c>
      <c r="F38" s="2">
        <v>200</v>
      </c>
      <c r="G38" s="2" t="s">
        <v>6</v>
      </c>
      <c r="H38" s="2"/>
      <c r="J38" s="50"/>
      <c r="K38" s="50"/>
      <c r="L38" s="51"/>
      <c r="M38" s="51"/>
      <c r="N38" s="51"/>
      <c r="O38" s="52"/>
      <c r="P38" s="50"/>
      <c r="Q38" s="50"/>
      <c r="R38" s="50"/>
      <c r="S38" s="50"/>
      <c r="T38" s="50"/>
      <c r="U38" s="50"/>
      <c r="V38" s="50"/>
      <c r="W38" s="50"/>
      <c r="X38" s="50"/>
    </row>
    <row r="39" spans="2:24" ht="15" thickBot="1">
      <c r="B39" s="1" t="s">
        <v>125</v>
      </c>
      <c r="C39" s="2">
        <v>140</v>
      </c>
      <c r="D39" s="2">
        <v>140</v>
      </c>
      <c r="E39" s="2">
        <v>140</v>
      </c>
      <c r="F39" s="2">
        <v>140</v>
      </c>
      <c r="G39" s="2" t="s">
        <v>6</v>
      </c>
      <c r="H39" s="2"/>
      <c r="J39" s="56"/>
      <c r="K39" s="56"/>
      <c r="L39" s="57"/>
      <c r="M39" s="57"/>
      <c r="N39" s="57"/>
      <c r="O39" s="56" t="s">
        <v>350</v>
      </c>
      <c r="P39" s="56" t="s">
        <v>326</v>
      </c>
      <c r="Q39" s="56" t="s">
        <v>327</v>
      </c>
      <c r="R39" s="56" t="s">
        <v>351</v>
      </c>
      <c r="S39" s="56" t="s">
        <v>351</v>
      </c>
      <c r="T39" s="56" t="s">
        <v>352</v>
      </c>
      <c r="U39" s="56" t="s">
        <v>352</v>
      </c>
      <c r="V39" s="56" t="s">
        <v>352</v>
      </c>
      <c r="W39" s="56" t="s">
        <v>352</v>
      </c>
      <c r="X39" s="56" t="s">
        <v>352</v>
      </c>
    </row>
    <row r="40" spans="2:24" ht="24.6" thickBot="1">
      <c r="B40" s="1" t="s">
        <v>7</v>
      </c>
      <c r="C40" s="2">
        <v>10</v>
      </c>
      <c r="D40" s="2">
        <v>10</v>
      </c>
      <c r="E40" s="2">
        <v>12</v>
      </c>
      <c r="F40" s="2">
        <v>12</v>
      </c>
      <c r="G40" s="2" t="s">
        <v>59</v>
      </c>
      <c r="H40" s="2"/>
      <c r="J40" s="58">
        <f>C36</f>
        <v>2015</v>
      </c>
      <c r="K40" s="58">
        <f>J40</f>
        <v>2015</v>
      </c>
      <c r="L40" s="58">
        <f>C42/100</f>
        <v>1</v>
      </c>
      <c r="M40" s="58"/>
      <c r="N40" s="58">
        <f>C43</f>
        <v>20</v>
      </c>
      <c r="O40" s="59">
        <f>C58</f>
        <v>4571.4285714285716</v>
      </c>
      <c r="P40" s="59">
        <f>C60</f>
        <v>20.700357142857143</v>
      </c>
      <c r="Q40" s="59">
        <f>C61</f>
        <v>0</v>
      </c>
      <c r="R40" s="58"/>
      <c r="S40" s="58"/>
      <c r="T40" s="58"/>
      <c r="U40" s="58"/>
      <c r="V40" s="58"/>
      <c r="W40" s="58"/>
      <c r="X40" s="58"/>
    </row>
    <row r="41" spans="2:24" ht="24.6" thickBot="1">
      <c r="B41" s="1" t="s">
        <v>8</v>
      </c>
      <c r="C41" s="2">
        <v>65</v>
      </c>
      <c r="D41" s="2">
        <v>65</v>
      </c>
      <c r="E41" s="2">
        <v>70</v>
      </c>
      <c r="F41" s="2">
        <v>70</v>
      </c>
      <c r="G41" s="2" t="s">
        <v>59</v>
      </c>
      <c r="H41" s="2"/>
      <c r="J41" s="58">
        <f>D36</f>
        <v>2020</v>
      </c>
      <c r="K41" s="58"/>
      <c r="L41" s="58">
        <f>D42/100</f>
        <v>1</v>
      </c>
      <c r="M41" s="58"/>
      <c r="N41" s="58">
        <f>D43</f>
        <v>25</v>
      </c>
      <c r="O41" s="59">
        <f>D58</f>
        <v>4285.7142857142862</v>
      </c>
      <c r="P41" s="59">
        <f>D60</f>
        <v>20.660433158225668</v>
      </c>
      <c r="Q41" s="59">
        <f>D61</f>
        <v>0</v>
      </c>
      <c r="R41" s="58"/>
      <c r="S41" s="58"/>
      <c r="T41" s="58"/>
      <c r="U41" s="58"/>
      <c r="V41" s="58"/>
      <c r="W41" s="58"/>
      <c r="X41" s="58"/>
    </row>
    <row r="42" spans="2:24" ht="15" thickBot="1">
      <c r="B42" s="1" t="s">
        <v>9</v>
      </c>
      <c r="C42" s="35">
        <v>100</v>
      </c>
      <c r="D42" s="35">
        <v>100</v>
      </c>
      <c r="E42" s="35">
        <v>100</v>
      </c>
      <c r="F42" s="35">
        <v>100</v>
      </c>
      <c r="G42" s="2"/>
      <c r="H42" s="2"/>
      <c r="J42" s="58">
        <f>E36</f>
        <v>2030</v>
      </c>
      <c r="K42" s="58"/>
      <c r="L42" s="58">
        <f>E42/100</f>
        <v>1</v>
      </c>
      <c r="M42" s="58"/>
      <c r="N42" s="58">
        <f>E43</f>
        <v>30</v>
      </c>
      <c r="O42" s="59">
        <f>E58</f>
        <v>3928.5714285714284</v>
      </c>
      <c r="P42" s="59">
        <f>E60</f>
        <v>23.28125</v>
      </c>
      <c r="Q42" s="59">
        <f>E61</f>
        <v>0</v>
      </c>
      <c r="R42" s="58"/>
      <c r="S42" s="58"/>
      <c r="T42" s="58"/>
      <c r="U42" s="58"/>
      <c r="V42" s="58"/>
      <c r="W42" s="58"/>
      <c r="X42" s="58"/>
    </row>
    <row r="43" spans="2:24" ht="15" thickBot="1">
      <c r="B43" s="1" t="s">
        <v>11</v>
      </c>
      <c r="C43" s="2">
        <v>20</v>
      </c>
      <c r="D43" s="2">
        <v>25</v>
      </c>
      <c r="E43" s="2">
        <v>30</v>
      </c>
      <c r="F43" s="2">
        <v>30</v>
      </c>
      <c r="G43" s="2" t="s">
        <v>16</v>
      </c>
      <c r="H43" s="2"/>
      <c r="J43" s="58">
        <f>F36</f>
        <v>2050</v>
      </c>
      <c r="K43" s="58"/>
      <c r="L43" s="58">
        <f>F42/100</f>
        <v>1</v>
      </c>
      <c r="M43" s="58"/>
      <c r="N43" s="58">
        <f>F43</f>
        <v>30</v>
      </c>
      <c r="O43" s="59">
        <f>F58</f>
        <v>3571.428571428572</v>
      </c>
      <c r="P43" s="59">
        <f>F60</f>
        <v>21.498571428571431</v>
      </c>
      <c r="Q43" s="59">
        <f>F61</f>
        <v>0</v>
      </c>
      <c r="R43" s="58"/>
      <c r="S43" s="58"/>
      <c r="T43" s="58"/>
      <c r="U43" s="58"/>
      <c r="V43" s="58"/>
      <c r="W43" s="58"/>
      <c r="X43" s="58"/>
    </row>
    <row r="44" spans="2:24" ht="15" thickBot="1">
      <c r="B44" s="129" t="s">
        <v>12</v>
      </c>
      <c r="C44" s="130"/>
      <c r="D44" s="130"/>
      <c r="E44" s="130"/>
      <c r="F44" s="130"/>
      <c r="G44" s="130"/>
      <c r="H44" s="131"/>
      <c r="I44" s="239"/>
      <c r="J44" s="239"/>
      <c r="K44" s="239"/>
      <c r="L44" s="239"/>
      <c r="M44" s="239"/>
      <c r="N44" s="239"/>
      <c r="O44" s="239"/>
      <c r="P44" s="239"/>
      <c r="Q44" s="239"/>
      <c r="R44" s="239"/>
      <c r="S44" s="239"/>
      <c r="T44" s="239"/>
      <c r="U44" s="239"/>
      <c r="V44" s="239"/>
      <c r="W44" s="239"/>
      <c r="X44" s="239"/>
    </row>
    <row r="45" spans="2:24" ht="15.6" thickBot="1">
      <c r="B45" s="127" t="s">
        <v>13</v>
      </c>
      <c r="C45" s="339">
        <v>0</v>
      </c>
      <c r="D45" s="339">
        <v>0</v>
      </c>
      <c r="E45" s="339">
        <v>0</v>
      </c>
      <c r="F45" s="339">
        <v>0</v>
      </c>
      <c r="G45" s="339" t="s">
        <v>33</v>
      </c>
      <c r="H45" s="339"/>
      <c r="I45" s="239"/>
      <c r="J45" s="239"/>
      <c r="K45" s="239"/>
      <c r="L45" s="239"/>
      <c r="M45" s="239"/>
      <c r="N45" s="239"/>
      <c r="O45" s="239"/>
      <c r="P45" s="239"/>
      <c r="Q45" s="239"/>
      <c r="R45" s="239"/>
      <c r="S45" s="239"/>
      <c r="T45" s="239"/>
      <c r="U45" s="239"/>
      <c r="V45" s="239"/>
      <c r="W45" s="239"/>
      <c r="X45" s="239"/>
    </row>
    <row r="46" spans="2:24" ht="15.6" thickBot="1">
      <c r="B46" s="127" t="s">
        <v>15</v>
      </c>
      <c r="C46" s="339">
        <v>0</v>
      </c>
      <c r="D46" s="339">
        <v>0</v>
      </c>
      <c r="E46" s="339">
        <v>0</v>
      </c>
      <c r="F46" s="339">
        <v>0</v>
      </c>
      <c r="G46" s="339"/>
      <c r="H46" s="339"/>
      <c r="I46" s="239"/>
      <c r="J46" s="239"/>
      <c r="K46" s="239"/>
      <c r="L46" s="239"/>
      <c r="M46" s="239"/>
      <c r="N46" s="239"/>
      <c r="O46" s="239"/>
      <c r="P46" s="239"/>
      <c r="Q46" s="239"/>
      <c r="R46" s="239"/>
      <c r="S46" s="239"/>
      <c r="T46" s="239"/>
      <c r="U46" s="239"/>
      <c r="V46" s="239"/>
      <c r="W46" s="239"/>
      <c r="X46" s="239"/>
    </row>
    <row r="47" spans="2:24" ht="15.6" thickBot="1">
      <c r="B47" s="127" t="s">
        <v>17</v>
      </c>
      <c r="C47" s="339">
        <v>0</v>
      </c>
      <c r="D47" s="339">
        <v>0</v>
      </c>
      <c r="E47" s="339">
        <v>0</v>
      </c>
      <c r="F47" s="339">
        <v>0</v>
      </c>
      <c r="G47" s="339"/>
      <c r="H47" s="339"/>
      <c r="I47" s="239"/>
      <c r="J47" s="239"/>
      <c r="K47" s="239"/>
      <c r="L47" s="239"/>
      <c r="M47" s="239"/>
      <c r="N47" s="239"/>
      <c r="O47" s="239"/>
      <c r="P47" s="239"/>
      <c r="Q47" s="239"/>
      <c r="R47" s="239"/>
      <c r="S47" s="239"/>
      <c r="T47" s="239"/>
      <c r="U47" s="239"/>
      <c r="V47" s="239"/>
      <c r="W47" s="239"/>
      <c r="X47" s="239"/>
    </row>
    <row r="48" spans="2:24" ht="16.2" thickTop="1" thickBot="1">
      <c r="B48" s="127" t="s">
        <v>18</v>
      </c>
      <c r="C48" s="339">
        <v>0</v>
      </c>
      <c r="D48" s="339">
        <v>0</v>
      </c>
      <c r="E48" s="339">
        <v>0</v>
      </c>
      <c r="F48" s="339">
        <v>0</v>
      </c>
      <c r="G48" s="339"/>
      <c r="H48" s="339"/>
      <c r="I48" s="239"/>
      <c r="J48" s="341">
        <v>95</v>
      </c>
      <c r="K48" s="342" t="s">
        <v>682</v>
      </c>
      <c r="L48" s="343" t="s">
        <v>683</v>
      </c>
      <c r="M48" s="343"/>
      <c r="N48" s="343"/>
      <c r="O48" s="344"/>
      <c r="P48" s="239"/>
      <c r="Q48" s="341">
        <v>95</v>
      </c>
      <c r="R48" s="342" t="s">
        <v>682</v>
      </c>
      <c r="S48" s="343" t="s">
        <v>683</v>
      </c>
      <c r="T48" s="343"/>
      <c r="U48" s="343"/>
      <c r="V48" s="344"/>
      <c r="W48" s="239"/>
      <c r="X48" s="239"/>
    </row>
    <row r="49" spans="1:22" ht="15" thickBot="1">
      <c r="B49" s="127" t="s">
        <v>19</v>
      </c>
      <c r="C49" s="339">
        <v>0</v>
      </c>
      <c r="D49" s="339">
        <v>0</v>
      </c>
      <c r="E49" s="339">
        <v>0</v>
      </c>
      <c r="F49" s="339">
        <v>0</v>
      </c>
      <c r="G49" s="339"/>
      <c r="H49" s="339"/>
      <c r="I49" s="239"/>
      <c r="J49" s="345">
        <v>0.1</v>
      </c>
      <c r="K49" s="289" t="s">
        <v>684</v>
      </c>
      <c r="L49" s="55"/>
      <c r="M49" s="55"/>
      <c r="N49" s="55"/>
      <c r="O49" s="346"/>
      <c r="Q49" s="345">
        <v>0.12</v>
      </c>
      <c r="R49" s="289" t="s">
        <v>684</v>
      </c>
      <c r="S49" s="55"/>
      <c r="T49" s="55"/>
      <c r="U49" s="55"/>
      <c r="V49" s="346"/>
    </row>
    <row r="50" spans="1:22" ht="15" thickBot="1">
      <c r="B50" s="129" t="s">
        <v>22</v>
      </c>
      <c r="C50" s="130"/>
      <c r="D50" s="130"/>
      <c r="E50" s="130"/>
      <c r="F50" s="130"/>
      <c r="G50" s="130"/>
      <c r="H50" s="131"/>
      <c r="I50" s="239"/>
      <c r="J50" s="347">
        <v>25</v>
      </c>
      <c r="K50" s="289" t="s">
        <v>682</v>
      </c>
      <c r="L50" s="55" t="s">
        <v>685</v>
      </c>
      <c r="M50" s="55"/>
      <c r="N50" s="55"/>
      <c r="O50" s="346"/>
      <c r="Q50" s="347">
        <v>25</v>
      </c>
      <c r="R50" s="289" t="s">
        <v>682</v>
      </c>
      <c r="S50" s="55" t="s">
        <v>685</v>
      </c>
      <c r="T50" s="55"/>
      <c r="U50" s="55"/>
      <c r="V50" s="346"/>
    </row>
    <row r="51" spans="1:22" ht="15" thickBot="1">
      <c r="A51" s="64"/>
      <c r="B51" s="127" t="s">
        <v>127</v>
      </c>
      <c r="C51" s="339">
        <v>0.5</v>
      </c>
      <c r="D51" s="339">
        <v>0.5</v>
      </c>
      <c r="E51" s="339">
        <v>0.5</v>
      </c>
      <c r="F51" s="339">
        <v>0.5</v>
      </c>
      <c r="G51" s="339" t="s">
        <v>20</v>
      </c>
      <c r="H51" s="339"/>
      <c r="I51" s="239"/>
      <c r="J51" s="345">
        <v>0.65</v>
      </c>
      <c r="K51" s="348" t="s">
        <v>686</v>
      </c>
      <c r="L51" s="55"/>
      <c r="M51" s="55"/>
      <c r="N51" s="55"/>
      <c r="O51" s="346"/>
      <c r="Q51" s="345">
        <v>0.7</v>
      </c>
      <c r="R51" s="348" t="s">
        <v>686</v>
      </c>
      <c r="S51" s="55"/>
      <c r="T51" s="55"/>
      <c r="U51" s="55"/>
      <c r="V51" s="346"/>
    </row>
    <row r="52" spans="1:22">
      <c r="A52" s="36"/>
      <c r="B52" s="132" t="s">
        <v>24</v>
      </c>
      <c r="C52" s="956">
        <v>85.90604026845638</v>
      </c>
      <c r="D52" s="956">
        <v>80.53691275167786</v>
      </c>
      <c r="E52" s="956">
        <v>73.825503355704697</v>
      </c>
      <c r="F52" s="956">
        <v>67.114093959731548</v>
      </c>
      <c r="G52" s="133"/>
      <c r="H52" s="133"/>
      <c r="I52" s="239"/>
      <c r="J52" s="347">
        <f>J48*J49+J50*J51</f>
        <v>25.75</v>
      </c>
      <c r="K52" s="348" t="s">
        <v>682</v>
      </c>
      <c r="L52" s="55" t="s">
        <v>687</v>
      </c>
      <c r="M52" s="55"/>
      <c r="N52" s="55"/>
      <c r="O52" s="346"/>
      <c r="Q52" s="347">
        <f>Q48*Q49+Q50*Q51</f>
        <v>28.9</v>
      </c>
      <c r="R52" s="348" t="s">
        <v>682</v>
      </c>
      <c r="S52" s="55" t="s">
        <v>687</v>
      </c>
      <c r="T52" s="55"/>
      <c r="U52" s="55"/>
      <c r="V52" s="346"/>
    </row>
    <row r="53" spans="1:22">
      <c r="A53" s="36"/>
      <c r="B53" s="132" t="s">
        <v>26</v>
      </c>
      <c r="C53" s="956">
        <v>65</v>
      </c>
      <c r="D53" s="956">
        <v>65</v>
      </c>
      <c r="E53" s="956">
        <v>65</v>
      </c>
      <c r="F53" s="956">
        <v>65</v>
      </c>
      <c r="G53" s="133"/>
      <c r="H53" s="133" t="s">
        <v>129</v>
      </c>
      <c r="I53" s="239"/>
      <c r="J53" s="349">
        <v>1500</v>
      </c>
      <c r="K53" s="348" t="s">
        <v>688</v>
      </c>
      <c r="L53" s="55" t="s">
        <v>690</v>
      </c>
      <c r="M53" s="55"/>
      <c r="N53" s="346"/>
      <c r="O53" s="346"/>
      <c r="Q53" s="349">
        <v>1500</v>
      </c>
      <c r="R53" s="348" t="s">
        <v>688</v>
      </c>
      <c r="S53" s="55" t="s">
        <v>690</v>
      </c>
      <c r="T53" s="55"/>
      <c r="U53" s="346"/>
      <c r="V53" s="346"/>
    </row>
    <row r="54" spans="1:22" ht="15" thickBot="1">
      <c r="A54" s="36"/>
      <c r="B54" s="127" t="s">
        <v>28</v>
      </c>
      <c r="C54" s="957">
        <v>35</v>
      </c>
      <c r="D54" s="957">
        <v>35</v>
      </c>
      <c r="E54" s="957">
        <v>35</v>
      </c>
      <c r="F54" s="957">
        <v>35</v>
      </c>
      <c r="G54" s="339"/>
      <c r="H54" s="339">
        <v>8</v>
      </c>
      <c r="I54" s="239"/>
      <c r="J54" s="350">
        <f>J52*J53</f>
        <v>38625</v>
      </c>
      <c r="K54" s="351" t="s">
        <v>360</v>
      </c>
      <c r="L54" s="55" t="s">
        <v>687</v>
      </c>
      <c r="M54" s="55"/>
      <c r="N54" s="346"/>
      <c r="O54" s="346"/>
      <c r="Q54" s="350">
        <f>Q52*Q53</f>
        <v>43350</v>
      </c>
      <c r="R54" s="351" t="s">
        <v>360</v>
      </c>
      <c r="S54" s="55" t="s">
        <v>687</v>
      </c>
      <c r="T54" s="55"/>
      <c r="U54" s="346"/>
      <c r="V54" s="346"/>
    </row>
    <row r="55" spans="1:22" ht="24.6" thickBot="1">
      <c r="A55" s="36"/>
      <c r="B55" s="127" t="s">
        <v>30</v>
      </c>
      <c r="C55" s="957">
        <v>0</v>
      </c>
      <c r="D55" s="957">
        <v>0</v>
      </c>
      <c r="E55" s="957">
        <v>0</v>
      </c>
      <c r="F55" s="957">
        <v>0</v>
      </c>
      <c r="G55" s="339"/>
      <c r="H55" s="339"/>
      <c r="I55" s="239"/>
      <c r="J55" s="352">
        <f>J54*3.6/1000</f>
        <v>139.05000000000001</v>
      </c>
      <c r="K55" s="353" t="s">
        <v>361</v>
      </c>
      <c r="L55" s="354" t="s">
        <v>687</v>
      </c>
      <c r="M55" s="354"/>
      <c r="N55" s="355"/>
      <c r="O55" s="355"/>
      <c r="Q55" s="352">
        <f>Q54*3.6/1000</f>
        <v>156.06</v>
      </c>
      <c r="R55" s="353" t="s">
        <v>361</v>
      </c>
      <c r="S55" s="354" t="s">
        <v>687</v>
      </c>
      <c r="T55" s="354"/>
      <c r="U55" s="355"/>
      <c r="V55" s="355"/>
    </row>
    <row r="56" spans="1:22" ht="15" thickBot="1">
      <c r="A56" s="36"/>
      <c r="B56" s="127" t="s">
        <v>64</v>
      </c>
      <c r="C56" s="957">
        <v>389</v>
      </c>
      <c r="D56" s="957">
        <v>388.249750624375</v>
      </c>
      <c r="E56" s="957">
        <v>437.5</v>
      </c>
      <c r="F56" s="957">
        <v>404</v>
      </c>
      <c r="G56" s="339" t="s">
        <v>76</v>
      </c>
      <c r="H56" s="339"/>
      <c r="I56" s="239"/>
      <c r="J56" s="239"/>
      <c r="K56" s="239"/>
      <c r="L56" s="239"/>
      <c r="M56" s="239"/>
      <c r="N56" s="239"/>
      <c r="O56" s="239"/>
    </row>
    <row r="57" spans="1:22">
      <c r="A57" s="36"/>
      <c r="B57" s="132" t="s">
        <v>130</v>
      </c>
      <c r="C57" s="133">
        <v>0</v>
      </c>
      <c r="D57" s="133">
        <v>0</v>
      </c>
      <c r="E57" s="133">
        <v>0</v>
      </c>
      <c r="F57" s="133">
        <v>0</v>
      </c>
      <c r="G57" s="133" t="s">
        <v>25</v>
      </c>
      <c r="H57" s="133"/>
      <c r="I57" s="239"/>
      <c r="J57" s="239"/>
      <c r="K57" s="239"/>
      <c r="L57" s="239"/>
      <c r="M57" s="239"/>
      <c r="N57" s="239"/>
      <c r="O57" s="239"/>
    </row>
    <row r="58" spans="1:22">
      <c r="B58" s="356" t="s">
        <v>353</v>
      </c>
      <c r="C58" s="357">
        <f>C59/C39</f>
        <v>4571.4285714285716</v>
      </c>
      <c r="D58" s="357">
        <f t="shared" ref="D58:F58" si="2">D59/D39</f>
        <v>4285.7142857142862</v>
      </c>
      <c r="E58" s="357">
        <f t="shared" si="2"/>
        <v>3928.5714285714284</v>
      </c>
      <c r="F58" s="357">
        <f t="shared" si="2"/>
        <v>3571.428571428572</v>
      </c>
      <c r="G58" s="358" t="s">
        <v>332</v>
      </c>
      <c r="H58" s="359"/>
      <c r="I58" s="239"/>
      <c r="J58" s="239"/>
      <c r="K58" s="239"/>
      <c r="L58" s="239"/>
      <c r="M58" s="239"/>
      <c r="N58" s="239"/>
      <c r="O58" s="239"/>
    </row>
    <row r="59" spans="1:22">
      <c r="B59" s="360" t="s">
        <v>354</v>
      </c>
      <c r="C59" s="60">
        <f>C52*$F$4*1000</f>
        <v>640000</v>
      </c>
      <c r="D59" s="60">
        <f t="shared" ref="D59:F59" si="3">D52*$F$4*1000</f>
        <v>600000.00000000012</v>
      </c>
      <c r="E59" s="60">
        <f t="shared" si="3"/>
        <v>550000</v>
      </c>
      <c r="F59" s="60">
        <f t="shared" si="3"/>
        <v>500000.00000000006</v>
      </c>
      <c r="G59" s="70">
        <f>C39</f>
        <v>140</v>
      </c>
      <c r="H59" s="361" t="s">
        <v>330</v>
      </c>
      <c r="I59" s="239"/>
      <c r="J59" s="239"/>
      <c r="K59" s="239"/>
      <c r="L59" s="239"/>
      <c r="M59" s="239"/>
      <c r="N59" s="239"/>
      <c r="O59" s="239"/>
    </row>
    <row r="60" spans="1:22">
      <c r="B60" s="360" t="s">
        <v>355</v>
      </c>
      <c r="C60" s="60">
        <f>C56*$F$4/C39</f>
        <v>20.700357142857143</v>
      </c>
      <c r="D60" s="60">
        <f>D56*$F$4/D39</f>
        <v>20.660433158225668</v>
      </c>
      <c r="E60" s="60">
        <f>E56*$F$4/E39</f>
        <v>23.28125</v>
      </c>
      <c r="F60" s="60">
        <f>F56*$F$4/F39</f>
        <v>21.498571428571431</v>
      </c>
      <c r="G60" s="69" t="s">
        <v>331</v>
      </c>
      <c r="H60" s="361"/>
      <c r="I60" s="239"/>
      <c r="J60" s="239"/>
      <c r="K60" s="239"/>
      <c r="L60" s="239"/>
      <c r="M60" s="239"/>
      <c r="N60" s="239"/>
      <c r="O60" s="239"/>
    </row>
    <row r="61" spans="1:22" ht="15" thickBot="1">
      <c r="B61" s="362" t="s">
        <v>356</v>
      </c>
      <c r="C61" s="363">
        <f>C57*$F$4/($J$55)</f>
        <v>0</v>
      </c>
      <c r="D61" s="363">
        <f t="shared" ref="D61" si="4">D57*$F$4/($J$55)</f>
        <v>0</v>
      </c>
      <c r="E61" s="363">
        <f>E57*$F$4/$Q$55</f>
        <v>0</v>
      </c>
      <c r="F61" s="363">
        <f>F57*$F$4/$Q$55</f>
        <v>0</v>
      </c>
      <c r="G61" s="364" t="s">
        <v>423</v>
      </c>
      <c r="H61" s="365"/>
      <c r="I61" s="239"/>
      <c r="J61" s="239"/>
      <c r="K61" s="239"/>
      <c r="L61" s="239"/>
      <c r="M61" s="239"/>
      <c r="N61" s="239"/>
      <c r="O61" s="239"/>
    </row>
    <row r="62" spans="1:22" ht="15.75" customHeight="1">
      <c r="B62" s="1126" t="s">
        <v>0</v>
      </c>
      <c r="C62" s="1128" t="s">
        <v>123</v>
      </c>
      <c r="D62" s="1128"/>
      <c r="E62" s="1128"/>
      <c r="F62" s="1128"/>
      <c r="G62" s="1128"/>
      <c r="H62" s="1000"/>
      <c r="I62" s="239"/>
      <c r="J62" s="1120" t="str">
        <f>C62</f>
        <v>Solar heating system</v>
      </c>
      <c r="K62" s="1121"/>
      <c r="L62" s="1121"/>
      <c r="M62" s="1121"/>
      <c r="N62" s="1121"/>
      <c r="O62" s="1122"/>
    </row>
    <row r="63" spans="1:22" ht="15.75" customHeight="1" thickBot="1">
      <c r="B63" s="1127"/>
      <c r="C63" s="1002" t="s">
        <v>34</v>
      </c>
      <c r="D63" s="1002"/>
      <c r="E63" s="1002"/>
      <c r="F63" s="1002"/>
      <c r="G63" s="1002"/>
      <c r="H63" s="1003"/>
      <c r="I63" s="239"/>
      <c r="J63" s="1001" t="str">
        <f>C63</f>
        <v>One-family house, new building</v>
      </c>
      <c r="K63" s="1002"/>
      <c r="L63" s="1002"/>
      <c r="M63" s="1002"/>
      <c r="N63" s="1002"/>
      <c r="O63" s="1003"/>
    </row>
    <row r="64" spans="1:22" ht="15.75" customHeight="1" thickBot="1">
      <c r="B64" s="127"/>
      <c r="C64" s="339">
        <v>2015</v>
      </c>
      <c r="D64" s="339">
        <v>2020</v>
      </c>
      <c r="E64" s="339">
        <v>2030</v>
      </c>
      <c r="F64" s="339">
        <v>2050</v>
      </c>
      <c r="G64" s="339" t="s">
        <v>2</v>
      </c>
      <c r="H64" s="339" t="s">
        <v>3</v>
      </c>
      <c r="I64" s="239"/>
      <c r="J64" s="53" t="s">
        <v>357</v>
      </c>
      <c r="K64" s="239"/>
      <c r="L64" s="239"/>
      <c r="M64" s="239"/>
      <c r="N64" s="239"/>
      <c r="O64" s="239"/>
    </row>
    <row r="65" spans="1:24" ht="28.2" thickBot="1">
      <c r="B65" s="129" t="s">
        <v>4</v>
      </c>
      <c r="C65" s="130"/>
      <c r="D65" s="130"/>
      <c r="E65" s="130"/>
      <c r="F65" s="130"/>
      <c r="G65" s="130"/>
      <c r="H65" s="131"/>
      <c r="I65" s="239"/>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1:24" ht="15" thickBot="1">
      <c r="B66" s="1" t="s">
        <v>124</v>
      </c>
      <c r="C66" s="2">
        <v>6</v>
      </c>
      <c r="D66" s="2">
        <v>6</v>
      </c>
      <c r="E66" s="2">
        <v>6</v>
      </c>
      <c r="F66" s="2">
        <v>6</v>
      </c>
      <c r="G66" s="2" t="s">
        <v>6</v>
      </c>
      <c r="H66" s="2">
        <v>1</v>
      </c>
      <c r="J66" s="50"/>
      <c r="K66" s="50"/>
      <c r="L66" s="51"/>
      <c r="M66" s="51"/>
      <c r="N66" s="51"/>
      <c r="O66" s="52"/>
      <c r="P66" s="50"/>
      <c r="Q66" s="50"/>
      <c r="R66" s="50"/>
      <c r="S66" s="50"/>
      <c r="T66" s="50"/>
      <c r="U66" s="50"/>
      <c r="V66" s="50"/>
      <c r="W66" s="50"/>
      <c r="X66" s="50"/>
    </row>
    <row r="67" spans="1:24" ht="15" thickBot="1">
      <c r="B67" s="1" t="s">
        <v>125</v>
      </c>
      <c r="C67" s="2">
        <v>4.2</v>
      </c>
      <c r="D67" s="2">
        <v>4.2</v>
      </c>
      <c r="E67" s="2">
        <v>4.2</v>
      </c>
      <c r="F67" s="2">
        <v>4.2</v>
      </c>
      <c r="G67" s="2" t="s">
        <v>6</v>
      </c>
      <c r="H67" s="2"/>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1:24" ht="24.6" thickBot="1">
      <c r="B68" s="1" t="s">
        <v>7</v>
      </c>
      <c r="C68" s="2">
        <v>40</v>
      </c>
      <c r="D68" s="2">
        <v>40</v>
      </c>
      <c r="E68" s="2">
        <v>50</v>
      </c>
      <c r="F68" s="2">
        <v>60</v>
      </c>
      <c r="G68" s="2" t="s">
        <v>59</v>
      </c>
      <c r="H68" s="2" t="s">
        <v>126</v>
      </c>
      <c r="J68" s="58">
        <f>C64</f>
        <v>2015</v>
      </c>
      <c r="K68" s="58">
        <f>J68</f>
        <v>2015</v>
      </c>
      <c r="L68" s="58">
        <f>C70/100</f>
        <v>1</v>
      </c>
      <c r="M68" s="58"/>
      <c r="N68" s="58">
        <f>C71</f>
        <v>20</v>
      </c>
      <c r="O68" s="59">
        <f>C86</f>
        <v>5066.0000000000009</v>
      </c>
      <c r="P68" s="59">
        <f>C88</f>
        <v>517.40250000000003</v>
      </c>
      <c r="Q68" s="59">
        <f>C89</f>
        <v>0</v>
      </c>
      <c r="R68" s="58"/>
      <c r="S68" s="58"/>
      <c r="T68" s="58"/>
      <c r="U68" s="58"/>
      <c r="V68" s="58"/>
      <c r="W68" s="58"/>
      <c r="X68" s="58"/>
    </row>
    <row r="69" spans="1:24" ht="24.6" thickBot="1">
      <c r="B69" s="1" t="s">
        <v>8</v>
      </c>
      <c r="C69" s="2">
        <v>65</v>
      </c>
      <c r="D69" s="2">
        <v>65</v>
      </c>
      <c r="E69" s="2">
        <v>70</v>
      </c>
      <c r="F69" s="2">
        <v>70</v>
      </c>
      <c r="G69" s="2"/>
      <c r="H69" s="2"/>
      <c r="J69" s="58">
        <f>D64</f>
        <v>2020</v>
      </c>
      <c r="K69" s="58"/>
      <c r="L69" s="58">
        <f>D70/100</f>
        <v>1</v>
      </c>
      <c r="M69" s="58"/>
      <c r="N69" s="58">
        <f>D71</f>
        <v>25</v>
      </c>
      <c r="O69" s="59">
        <f>D86</f>
        <v>4768</v>
      </c>
      <c r="P69" s="59">
        <f>D88</f>
        <v>507.90319264547821</v>
      </c>
      <c r="Q69" s="59">
        <f>D89</f>
        <v>0</v>
      </c>
      <c r="R69" s="58"/>
      <c r="S69" s="58"/>
      <c r="T69" s="58"/>
      <c r="U69" s="58"/>
      <c r="V69" s="58"/>
      <c r="W69" s="58"/>
      <c r="X69" s="58"/>
    </row>
    <row r="70" spans="1:24" ht="15" thickBot="1">
      <c r="B70" s="1" t="s">
        <v>9</v>
      </c>
      <c r="C70" s="35">
        <v>100</v>
      </c>
      <c r="D70" s="35">
        <v>100</v>
      </c>
      <c r="E70" s="35">
        <v>100</v>
      </c>
      <c r="F70" s="35">
        <v>100</v>
      </c>
      <c r="G70" s="2"/>
      <c r="H70" s="2"/>
      <c r="J70" s="58">
        <f>E64</f>
        <v>2030</v>
      </c>
      <c r="K70" s="58"/>
      <c r="L70" s="58">
        <f>E70/100</f>
        <v>1</v>
      </c>
      <c r="M70" s="58"/>
      <c r="N70" s="58">
        <f>E71</f>
        <v>30</v>
      </c>
      <c r="O70" s="59">
        <f>E86</f>
        <v>4470</v>
      </c>
      <c r="P70" s="59">
        <f>E88</f>
        <v>512.44182906179265</v>
      </c>
      <c r="Q70" s="59">
        <f>E89</f>
        <v>0</v>
      </c>
      <c r="R70" s="58"/>
      <c r="S70" s="58"/>
      <c r="T70" s="58"/>
      <c r="U70" s="58"/>
      <c r="V70" s="58"/>
      <c r="W70" s="58"/>
      <c r="X70" s="58"/>
    </row>
    <row r="71" spans="1:24" ht="15" thickBot="1">
      <c r="B71" s="1" t="s">
        <v>11</v>
      </c>
      <c r="C71" s="2">
        <v>20</v>
      </c>
      <c r="D71" s="2">
        <v>25</v>
      </c>
      <c r="E71" s="2">
        <v>30</v>
      </c>
      <c r="F71" s="2">
        <v>30</v>
      </c>
      <c r="G71" s="2" t="s">
        <v>16</v>
      </c>
      <c r="H71" s="2">
        <v>1</v>
      </c>
      <c r="J71" s="58">
        <f>F64</f>
        <v>2050</v>
      </c>
      <c r="K71" s="58"/>
      <c r="L71" s="58">
        <f>F70/100</f>
        <v>1</v>
      </c>
      <c r="M71" s="58"/>
      <c r="N71" s="58">
        <f>F71</f>
        <v>30</v>
      </c>
      <c r="O71" s="59">
        <f>F86</f>
        <v>3352.5</v>
      </c>
      <c r="P71" s="59">
        <f>F88</f>
        <v>470.95410883564915</v>
      </c>
      <c r="Q71" s="59">
        <f>F89</f>
        <v>0</v>
      </c>
      <c r="R71" s="58"/>
      <c r="S71" s="58"/>
      <c r="T71" s="58"/>
      <c r="U71" s="58"/>
      <c r="V71" s="58"/>
      <c r="W71" s="58"/>
      <c r="X71" s="58"/>
    </row>
    <row r="72" spans="1:24" ht="15" thickBot="1">
      <c r="B72" s="3" t="s">
        <v>12</v>
      </c>
      <c r="C72" s="4"/>
      <c r="D72" s="4"/>
      <c r="E72" s="4"/>
      <c r="F72" s="4"/>
      <c r="G72" s="4"/>
      <c r="H72" s="5"/>
    </row>
    <row r="73" spans="1:24" ht="15.6" thickBot="1">
      <c r="B73" s="1" t="s">
        <v>13</v>
      </c>
      <c r="C73" s="2">
        <v>0</v>
      </c>
      <c r="D73" s="2">
        <v>0</v>
      </c>
      <c r="E73" s="2">
        <v>0</v>
      </c>
      <c r="F73" s="2">
        <v>0</v>
      </c>
      <c r="G73" s="2" t="s">
        <v>33</v>
      </c>
      <c r="H73" s="2"/>
    </row>
    <row r="74" spans="1:24" ht="15.6" thickBot="1">
      <c r="B74" s="1" t="s">
        <v>15</v>
      </c>
      <c r="C74" s="2">
        <v>0</v>
      </c>
      <c r="D74" s="2">
        <v>0</v>
      </c>
      <c r="E74" s="2">
        <v>0</v>
      </c>
      <c r="F74" s="2">
        <v>0</v>
      </c>
      <c r="G74" s="2"/>
      <c r="H74" s="2"/>
    </row>
    <row r="75" spans="1:24" ht="15.6" thickBot="1">
      <c r="B75" s="1" t="s">
        <v>17</v>
      </c>
      <c r="C75" s="2">
        <v>0</v>
      </c>
      <c r="D75" s="2">
        <v>0</v>
      </c>
      <c r="E75" s="2">
        <v>0</v>
      </c>
      <c r="F75" s="2">
        <v>0</v>
      </c>
      <c r="G75" s="2"/>
      <c r="H75" s="2"/>
    </row>
    <row r="76" spans="1:24" ht="15.6" thickBot="1">
      <c r="B76" s="1" t="s">
        <v>18</v>
      </c>
      <c r="C76" s="2">
        <v>0</v>
      </c>
      <c r="D76" s="2">
        <v>0</v>
      </c>
      <c r="E76" s="2">
        <v>0</v>
      </c>
      <c r="F76" s="2">
        <v>0</v>
      </c>
      <c r="G76" s="2"/>
      <c r="H76" s="2"/>
    </row>
    <row r="77" spans="1:24" ht="15" thickBot="1">
      <c r="B77" s="1" t="s">
        <v>19</v>
      </c>
      <c r="C77" s="2">
        <v>0</v>
      </c>
      <c r="D77" s="2">
        <v>0</v>
      </c>
      <c r="E77" s="2">
        <v>0</v>
      </c>
      <c r="F77" s="2">
        <v>0</v>
      </c>
      <c r="G77" s="2"/>
      <c r="H77" s="2"/>
    </row>
    <row r="78" spans="1:24" ht="15" thickBot="1">
      <c r="B78" s="3" t="s">
        <v>22</v>
      </c>
      <c r="C78" s="4"/>
      <c r="D78" s="4"/>
      <c r="E78" s="4"/>
      <c r="F78" s="4"/>
      <c r="G78" s="4"/>
      <c r="H78" s="5"/>
    </row>
    <row r="79" spans="1:24" ht="15" thickBot="1">
      <c r="B79" s="1" t="s">
        <v>127</v>
      </c>
      <c r="C79" s="2">
        <v>0.68</v>
      </c>
      <c r="D79" s="2">
        <v>0.64</v>
      </c>
      <c r="E79" s="2">
        <v>0.6</v>
      </c>
      <c r="F79" s="2">
        <v>0.45</v>
      </c>
      <c r="G79" s="2" t="s">
        <v>20</v>
      </c>
      <c r="H79" s="2" t="s">
        <v>128</v>
      </c>
    </row>
    <row r="80" spans="1:24">
      <c r="A80" s="36"/>
      <c r="B80" s="6" t="s">
        <v>24</v>
      </c>
      <c r="C80" s="956">
        <v>2.6845637583892619</v>
      </c>
      <c r="D80" s="956">
        <v>2.4161073825503352</v>
      </c>
      <c r="E80" s="956">
        <v>2.1476510067114094</v>
      </c>
      <c r="F80" s="956">
        <v>1.8791946308724832</v>
      </c>
      <c r="G80" s="7"/>
      <c r="H80" s="7" t="s">
        <v>128</v>
      </c>
    </row>
    <row r="81" spans="1:24">
      <c r="A81" s="36"/>
      <c r="B81" s="6" t="s">
        <v>26</v>
      </c>
      <c r="C81" s="958">
        <v>65</v>
      </c>
      <c r="D81" s="958">
        <v>65</v>
      </c>
      <c r="E81" s="958">
        <v>65</v>
      </c>
      <c r="F81" s="958">
        <v>65</v>
      </c>
      <c r="G81" s="7"/>
      <c r="H81" s="7" t="s">
        <v>129</v>
      </c>
    </row>
    <row r="82" spans="1:24" ht="15" thickBot="1">
      <c r="A82" s="36"/>
      <c r="B82" s="1" t="s">
        <v>28</v>
      </c>
      <c r="C82" s="959">
        <v>35</v>
      </c>
      <c r="D82" s="959">
        <v>35</v>
      </c>
      <c r="E82" s="959">
        <v>35</v>
      </c>
      <c r="F82" s="959">
        <v>35</v>
      </c>
      <c r="G82" s="2"/>
      <c r="H82" s="2">
        <v>8</v>
      </c>
    </row>
    <row r="83" spans="1:24" ht="24.6" thickBot="1">
      <c r="A83" s="36"/>
      <c r="B83" s="1" t="s">
        <v>30</v>
      </c>
      <c r="C83" s="959">
        <v>0</v>
      </c>
      <c r="D83" s="959">
        <v>0</v>
      </c>
      <c r="E83" s="959">
        <v>0</v>
      </c>
      <c r="F83" s="959">
        <v>0</v>
      </c>
      <c r="G83" s="2"/>
      <c r="H83" s="2"/>
    </row>
    <row r="84" spans="1:24" ht="15" thickBot="1">
      <c r="A84" s="36"/>
      <c r="B84" s="1" t="s">
        <v>64</v>
      </c>
      <c r="C84" s="959">
        <v>69.45</v>
      </c>
      <c r="D84" s="959">
        <v>68.17492518731251</v>
      </c>
      <c r="E84" s="959">
        <v>68.784138129099688</v>
      </c>
      <c r="F84" s="959">
        <v>63.215316622234781</v>
      </c>
      <c r="G84" s="2" t="s">
        <v>76</v>
      </c>
      <c r="H84" s="2"/>
    </row>
    <row r="85" spans="1:24" ht="15" thickBot="1">
      <c r="A85" s="36"/>
      <c r="B85" s="1" t="s">
        <v>130</v>
      </c>
      <c r="C85" s="2">
        <v>0</v>
      </c>
      <c r="D85" s="2">
        <v>0</v>
      </c>
      <c r="E85" s="2">
        <v>0</v>
      </c>
      <c r="F85" s="2">
        <v>0</v>
      </c>
      <c r="G85" s="2" t="s">
        <v>25</v>
      </c>
      <c r="H85" s="2"/>
    </row>
    <row r="86" spans="1:24">
      <c r="B86" s="36" t="s">
        <v>353</v>
      </c>
      <c r="C86" s="60">
        <f t="shared" ref="C86:F87" si="5">C79*$F$4*1000</f>
        <v>5066.0000000000009</v>
      </c>
      <c r="D86" s="60">
        <f t="shared" si="5"/>
        <v>4768</v>
      </c>
      <c r="E86" s="60">
        <f t="shared" si="5"/>
        <v>4470</v>
      </c>
      <c r="F86" s="60">
        <f t="shared" si="5"/>
        <v>3352.5</v>
      </c>
      <c r="G86" s="63" t="s">
        <v>332</v>
      </c>
      <c r="H86" s="63"/>
    </row>
    <row r="87" spans="1:24">
      <c r="B87" s="36" t="s">
        <v>354</v>
      </c>
      <c r="C87" s="60">
        <f t="shared" si="5"/>
        <v>20000</v>
      </c>
      <c r="D87" s="60">
        <f t="shared" si="5"/>
        <v>17999.999999999996</v>
      </c>
      <c r="E87" s="60">
        <f t="shared" si="5"/>
        <v>16000</v>
      </c>
      <c r="F87" s="60">
        <f t="shared" si="5"/>
        <v>14000</v>
      </c>
      <c r="G87" s="70">
        <f>C67</f>
        <v>4.2</v>
      </c>
      <c r="H87" s="69" t="s">
        <v>330</v>
      </c>
    </row>
    <row r="88" spans="1:24">
      <c r="B88" s="36" t="s">
        <v>355</v>
      </c>
      <c r="C88" s="60">
        <f>C84*$F$4</f>
        <v>517.40250000000003</v>
      </c>
      <c r="D88" s="60">
        <f>D84*$F$4</f>
        <v>507.90319264547821</v>
      </c>
      <c r="E88" s="60">
        <f>E84*$F$4</f>
        <v>512.44182906179265</v>
      </c>
      <c r="F88" s="60">
        <f>F84*$F$4</f>
        <v>470.95410883564915</v>
      </c>
      <c r="G88" s="69" t="s">
        <v>331</v>
      </c>
      <c r="H88" s="69"/>
    </row>
    <row r="89" spans="1:24" ht="15" thickBot="1">
      <c r="B89" s="36" t="s">
        <v>356</v>
      </c>
      <c r="C89" s="60">
        <f>C85*$F$4/(4*3.6*C69/100)</f>
        <v>0</v>
      </c>
      <c r="D89" s="60">
        <f t="shared" ref="D89:F89" si="6">D85*$F$4/(4*3.6*D69/100)</f>
        <v>0</v>
      </c>
      <c r="E89" s="60">
        <f t="shared" si="6"/>
        <v>0</v>
      </c>
      <c r="F89" s="60">
        <f t="shared" si="6"/>
        <v>0</v>
      </c>
      <c r="G89" s="85" t="s">
        <v>422</v>
      </c>
      <c r="H89" s="61"/>
    </row>
    <row r="90" spans="1:24" ht="15.75" customHeight="1">
      <c r="B90" s="1118" t="s">
        <v>0</v>
      </c>
      <c r="C90" s="1120" t="s">
        <v>123</v>
      </c>
      <c r="D90" s="1121"/>
      <c r="E90" s="1121"/>
      <c r="F90" s="1121"/>
      <c r="G90" s="1121"/>
      <c r="H90" s="1122"/>
      <c r="J90" s="1120" t="str">
        <f>C90</f>
        <v>Solar heating system</v>
      </c>
      <c r="K90" s="1121"/>
      <c r="L90" s="1121"/>
      <c r="M90" s="1121"/>
      <c r="N90" s="1121"/>
      <c r="O90" s="1122"/>
    </row>
    <row r="91" spans="1:24" ht="15" thickBot="1">
      <c r="B91" s="1119"/>
      <c r="C91" s="1001" t="s">
        <v>35</v>
      </c>
      <c r="D91" s="1002"/>
      <c r="E91" s="1002"/>
      <c r="F91" s="1002"/>
      <c r="G91" s="1002"/>
      <c r="H91" s="1003"/>
      <c r="J91" s="1001" t="str">
        <f>C91</f>
        <v>Apartment complex, new building</v>
      </c>
      <c r="K91" s="1002"/>
      <c r="L91" s="1002"/>
      <c r="M91" s="1002"/>
      <c r="N91" s="1002"/>
      <c r="O91" s="1003"/>
    </row>
    <row r="92" spans="1:24" ht="15" thickBot="1">
      <c r="B92" s="1"/>
      <c r="C92" s="2">
        <v>2015</v>
      </c>
      <c r="D92" s="2">
        <v>2020</v>
      </c>
      <c r="E92" s="2">
        <v>2030</v>
      </c>
      <c r="F92" s="2">
        <v>2050</v>
      </c>
      <c r="G92" s="2" t="s">
        <v>2</v>
      </c>
      <c r="H92" s="2" t="s">
        <v>3</v>
      </c>
      <c r="J92" s="53" t="s">
        <v>357</v>
      </c>
    </row>
    <row r="93" spans="1:24" ht="28.2" thickBot="1">
      <c r="B93" s="3" t="s">
        <v>4</v>
      </c>
      <c r="C93" s="4"/>
      <c r="D93" s="4"/>
      <c r="E93" s="4"/>
      <c r="F93" s="4"/>
      <c r="G93" s="4"/>
      <c r="H93" s="5"/>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24" ht="15" thickBot="1">
      <c r="B94" s="1" t="s">
        <v>124</v>
      </c>
      <c r="C94" s="2">
        <v>200</v>
      </c>
      <c r="D94" s="2">
        <v>200</v>
      </c>
      <c r="E94" s="2">
        <v>200</v>
      </c>
      <c r="F94" s="2">
        <v>200</v>
      </c>
      <c r="G94" s="2" t="s">
        <v>6</v>
      </c>
      <c r="H94" s="2"/>
      <c r="J94" s="50"/>
      <c r="K94" s="50"/>
      <c r="L94" s="51"/>
      <c r="M94" s="51"/>
      <c r="N94" s="51"/>
      <c r="O94" s="52"/>
      <c r="P94" s="50"/>
      <c r="Q94" s="50"/>
      <c r="R94" s="50"/>
      <c r="S94" s="50"/>
      <c r="T94" s="50"/>
      <c r="U94" s="50"/>
      <c r="V94" s="50"/>
      <c r="W94" s="50"/>
      <c r="X94" s="50"/>
    </row>
    <row r="95" spans="1:24" ht="15" thickBot="1">
      <c r="B95" s="1" t="s">
        <v>125</v>
      </c>
      <c r="C95" s="2">
        <v>140</v>
      </c>
      <c r="D95" s="2">
        <v>140</v>
      </c>
      <c r="E95" s="2">
        <v>140</v>
      </c>
      <c r="F95" s="2">
        <v>140</v>
      </c>
      <c r="G95" s="2" t="s">
        <v>6</v>
      </c>
      <c r="H95" s="2"/>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24" ht="24.6" thickBot="1">
      <c r="B96" s="1" t="s">
        <v>7</v>
      </c>
      <c r="C96" s="2">
        <v>40</v>
      </c>
      <c r="D96" s="2">
        <v>40</v>
      </c>
      <c r="E96" s="2">
        <v>50</v>
      </c>
      <c r="F96" s="2">
        <v>60</v>
      </c>
      <c r="G96" s="2" t="s">
        <v>59</v>
      </c>
      <c r="H96" s="2"/>
      <c r="J96" s="58">
        <f>C92</f>
        <v>2015</v>
      </c>
      <c r="K96" s="58">
        <f>J96</f>
        <v>2015</v>
      </c>
      <c r="L96" s="58">
        <f>C98/100</f>
        <v>1</v>
      </c>
      <c r="M96" s="58"/>
      <c r="N96" s="58">
        <f>C99</f>
        <v>20</v>
      </c>
      <c r="O96" s="59">
        <f>C114</f>
        <v>2831</v>
      </c>
      <c r="P96" s="59">
        <f>C116</f>
        <v>20.700357142857143</v>
      </c>
      <c r="Q96" s="59">
        <f>C117</f>
        <v>0</v>
      </c>
      <c r="R96" s="58"/>
      <c r="S96" s="58"/>
      <c r="T96" s="58"/>
      <c r="U96" s="58"/>
      <c r="V96" s="58"/>
      <c r="W96" s="58"/>
      <c r="X96" s="58"/>
    </row>
    <row r="97" spans="1:24" ht="24.6" thickBot="1">
      <c r="B97" s="1" t="s">
        <v>8</v>
      </c>
      <c r="C97" s="2">
        <v>65</v>
      </c>
      <c r="D97" s="2">
        <v>65</v>
      </c>
      <c r="E97" s="2">
        <v>70</v>
      </c>
      <c r="F97" s="2">
        <v>70</v>
      </c>
      <c r="G97" s="2" t="s">
        <v>59</v>
      </c>
      <c r="H97" s="2"/>
      <c r="J97" s="58">
        <f>D92</f>
        <v>2020</v>
      </c>
      <c r="K97" s="58"/>
      <c r="L97" s="58">
        <f>D98/100</f>
        <v>1</v>
      </c>
      <c r="M97" s="58"/>
      <c r="N97" s="58">
        <f>D99</f>
        <v>25</v>
      </c>
      <c r="O97" s="59">
        <f>D114</f>
        <v>2831</v>
      </c>
      <c r="P97" s="59">
        <f>D116</f>
        <v>20.660433158225668</v>
      </c>
      <c r="Q97" s="59">
        <f>D117</f>
        <v>0</v>
      </c>
      <c r="R97" s="58"/>
      <c r="S97" s="58"/>
      <c r="T97" s="58"/>
      <c r="U97" s="58"/>
      <c r="V97" s="58"/>
      <c r="W97" s="58"/>
      <c r="X97" s="58"/>
    </row>
    <row r="98" spans="1:24" ht="15" thickBot="1">
      <c r="B98" s="1" t="s">
        <v>9</v>
      </c>
      <c r="C98" s="35">
        <v>100</v>
      </c>
      <c r="D98" s="35">
        <v>100</v>
      </c>
      <c r="E98" s="35">
        <v>100</v>
      </c>
      <c r="F98" s="35">
        <v>100</v>
      </c>
      <c r="G98" s="2"/>
      <c r="H98" s="2"/>
      <c r="J98" s="58">
        <f>E92</f>
        <v>2030</v>
      </c>
      <c r="K98" s="58"/>
      <c r="L98" s="58">
        <f>E98/100</f>
        <v>1</v>
      </c>
      <c r="M98" s="58"/>
      <c r="N98" s="58">
        <f>E99</f>
        <v>30</v>
      </c>
      <c r="O98" s="59">
        <f>E114</f>
        <v>2831</v>
      </c>
      <c r="P98" s="59">
        <f>E116</f>
        <v>23.28125</v>
      </c>
      <c r="Q98" s="59">
        <f>E117</f>
        <v>0</v>
      </c>
      <c r="R98" s="58"/>
      <c r="S98" s="58"/>
      <c r="T98" s="58"/>
      <c r="U98" s="58"/>
      <c r="V98" s="58"/>
      <c r="W98" s="58"/>
      <c r="X98" s="58"/>
    </row>
    <row r="99" spans="1:24" ht="15" thickBot="1">
      <c r="B99" s="1" t="s">
        <v>11</v>
      </c>
      <c r="C99" s="2">
        <v>20</v>
      </c>
      <c r="D99" s="2">
        <v>25</v>
      </c>
      <c r="E99" s="2">
        <v>30</v>
      </c>
      <c r="F99" s="2">
        <v>30</v>
      </c>
      <c r="G99" s="2" t="s">
        <v>16</v>
      </c>
      <c r="H99" s="2"/>
      <c r="J99" s="58">
        <f>F92</f>
        <v>2050</v>
      </c>
      <c r="K99" s="58"/>
      <c r="L99" s="58">
        <f>F98/100</f>
        <v>1</v>
      </c>
      <c r="M99" s="58"/>
      <c r="N99" s="58">
        <f>F99</f>
        <v>30</v>
      </c>
      <c r="O99" s="59">
        <f>F114</f>
        <v>2831</v>
      </c>
      <c r="P99" s="59">
        <f>F116</f>
        <v>21.498571428571431</v>
      </c>
      <c r="Q99" s="59">
        <f>F117</f>
        <v>0</v>
      </c>
      <c r="R99" s="58"/>
      <c r="S99" s="58"/>
      <c r="T99" s="58"/>
      <c r="U99" s="58"/>
      <c r="V99" s="58"/>
      <c r="W99" s="58"/>
      <c r="X99" s="58"/>
    </row>
    <row r="100" spans="1:24" ht="15" thickBot="1">
      <c r="B100" s="3" t="s">
        <v>12</v>
      </c>
      <c r="C100" s="4"/>
      <c r="D100" s="4"/>
      <c r="E100" s="4"/>
      <c r="F100" s="4"/>
      <c r="G100" s="4"/>
      <c r="H100" s="5"/>
    </row>
    <row r="101" spans="1:24" ht="15.6" thickBot="1">
      <c r="B101" s="1" t="s">
        <v>13</v>
      </c>
      <c r="C101" s="2">
        <v>0</v>
      </c>
      <c r="D101" s="2">
        <v>0</v>
      </c>
      <c r="E101" s="2">
        <v>0</v>
      </c>
      <c r="F101" s="2">
        <v>0</v>
      </c>
      <c r="G101" s="2" t="s">
        <v>33</v>
      </c>
      <c r="H101" s="2"/>
    </row>
    <row r="102" spans="1:24" ht="15.6" thickBot="1">
      <c r="B102" s="1" t="s">
        <v>15</v>
      </c>
      <c r="C102" s="2">
        <v>0</v>
      </c>
      <c r="D102" s="2">
        <v>0</v>
      </c>
      <c r="E102" s="2">
        <v>0</v>
      </c>
      <c r="F102" s="2">
        <v>0</v>
      </c>
      <c r="G102" s="2"/>
      <c r="H102" s="2"/>
    </row>
    <row r="103" spans="1:24" ht="15.6" thickBot="1">
      <c r="B103" s="1" t="s">
        <v>17</v>
      </c>
      <c r="C103" s="2">
        <v>0</v>
      </c>
      <c r="D103" s="2">
        <v>0</v>
      </c>
      <c r="E103" s="2">
        <v>0</v>
      </c>
      <c r="F103" s="2">
        <v>0</v>
      </c>
      <c r="G103" s="2"/>
      <c r="H103" s="2"/>
    </row>
    <row r="104" spans="1:24" ht="15.6" thickBot="1">
      <c r="B104" s="1" t="s">
        <v>18</v>
      </c>
      <c r="C104" s="2">
        <v>0</v>
      </c>
      <c r="D104" s="2">
        <v>0</v>
      </c>
      <c r="E104" s="2">
        <v>0</v>
      </c>
      <c r="F104" s="2">
        <v>0</v>
      </c>
      <c r="G104" s="2"/>
      <c r="H104" s="2"/>
    </row>
    <row r="105" spans="1:24" ht="15" thickBot="1">
      <c r="B105" s="1" t="s">
        <v>19</v>
      </c>
      <c r="C105" s="2">
        <v>0</v>
      </c>
      <c r="D105" s="2">
        <v>0</v>
      </c>
      <c r="E105" s="2">
        <v>0</v>
      </c>
      <c r="F105" s="2">
        <v>0</v>
      </c>
      <c r="G105" s="2"/>
      <c r="H105" s="2"/>
    </row>
    <row r="106" spans="1:24" ht="15" thickBot="1">
      <c r="B106" s="3" t="s">
        <v>22</v>
      </c>
      <c r="C106" s="4"/>
      <c r="D106" s="4"/>
      <c r="E106" s="4"/>
      <c r="F106" s="4"/>
      <c r="G106" s="4"/>
      <c r="H106" s="5"/>
    </row>
    <row r="107" spans="1:24" ht="15" thickBot="1">
      <c r="B107" s="1" t="s">
        <v>23</v>
      </c>
      <c r="C107" s="2">
        <v>0.38</v>
      </c>
      <c r="D107" s="2">
        <v>0.38</v>
      </c>
      <c r="E107" s="2">
        <v>0.38</v>
      </c>
      <c r="F107" s="2">
        <v>0.38</v>
      </c>
      <c r="G107" s="2" t="s">
        <v>20</v>
      </c>
      <c r="H107" s="2"/>
    </row>
    <row r="108" spans="1:24">
      <c r="A108" s="36"/>
      <c r="B108" s="6" t="s">
        <v>24</v>
      </c>
      <c r="C108" s="956">
        <v>80.53691275167786</v>
      </c>
      <c r="D108" s="956">
        <v>73.825503355704697</v>
      </c>
      <c r="E108" s="956">
        <v>67.114093959731548</v>
      </c>
      <c r="F108" s="956">
        <v>60.402684563758392</v>
      </c>
      <c r="G108" s="7"/>
      <c r="H108" s="7"/>
    </row>
    <row r="109" spans="1:24">
      <c r="A109" s="36"/>
      <c r="B109" s="6" t="s">
        <v>26</v>
      </c>
      <c r="C109" s="956">
        <v>65</v>
      </c>
      <c r="D109" s="956">
        <v>65</v>
      </c>
      <c r="E109" s="956">
        <v>65</v>
      </c>
      <c r="F109" s="956">
        <v>65</v>
      </c>
      <c r="G109" s="7"/>
      <c r="H109" s="7" t="s">
        <v>129</v>
      </c>
    </row>
    <row r="110" spans="1:24" ht="15" thickBot="1">
      <c r="A110" s="36"/>
      <c r="B110" s="1" t="s">
        <v>28</v>
      </c>
      <c r="C110" s="957">
        <v>35</v>
      </c>
      <c r="D110" s="957">
        <v>35</v>
      </c>
      <c r="E110" s="957">
        <v>35</v>
      </c>
      <c r="F110" s="957">
        <v>35</v>
      </c>
      <c r="G110" s="2"/>
      <c r="H110" s="2">
        <v>8</v>
      </c>
    </row>
    <row r="111" spans="1:24" ht="24.6" thickBot="1">
      <c r="A111" s="36"/>
      <c r="B111" s="1" t="s">
        <v>30</v>
      </c>
      <c r="C111" s="957">
        <v>0</v>
      </c>
      <c r="D111" s="957">
        <v>0</v>
      </c>
      <c r="E111" s="957">
        <v>0</v>
      </c>
      <c r="F111" s="957">
        <v>0</v>
      </c>
      <c r="G111" s="2"/>
      <c r="H111" s="2"/>
    </row>
    <row r="112" spans="1:24" ht="15" thickBot="1">
      <c r="A112" s="36"/>
      <c r="B112" s="1" t="s">
        <v>64</v>
      </c>
      <c r="C112" s="957">
        <v>389</v>
      </c>
      <c r="D112" s="957">
        <v>388.249750624375</v>
      </c>
      <c r="E112" s="957">
        <v>437.5</v>
      </c>
      <c r="F112" s="957">
        <v>404</v>
      </c>
      <c r="G112" s="2" t="s">
        <v>76</v>
      </c>
      <c r="H112" s="2"/>
    </row>
    <row r="113" spans="1:8" ht="15" thickBot="1">
      <c r="A113" s="36"/>
      <c r="B113" s="1" t="s">
        <v>130</v>
      </c>
      <c r="C113" s="2">
        <v>0</v>
      </c>
      <c r="D113" s="2">
        <v>0</v>
      </c>
      <c r="E113" s="2">
        <v>0</v>
      </c>
      <c r="F113" s="2">
        <v>0</v>
      </c>
      <c r="G113" s="2" t="s">
        <v>25</v>
      </c>
      <c r="H113" s="2"/>
    </row>
    <row r="114" spans="1:8">
      <c r="B114" s="36" t="s">
        <v>353</v>
      </c>
      <c r="C114" s="60">
        <f>C107*$F$4*1000</f>
        <v>2831</v>
      </c>
      <c r="D114" s="60">
        <f>D107*$F$4*1000</f>
        <v>2831</v>
      </c>
      <c r="E114" s="60">
        <f>E107*$F$4*1000</f>
        <v>2831</v>
      </c>
      <c r="F114" s="60">
        <f>F107*$F$4*1000</f>
        <v>2831</v>
      </c>
      <c r="G114" s="63" t="s">
        <v>332</v>
      </c>
      <c r="H114" s="63"/>
    </row>
    <row r="115" spans="1:8">
      <c r="B115" s="36" t="s">
        <v>354</v>
      </c>
      <c r="C115" s="60">
        <f>C108*$F$4*1000*C66/C95</f>
        <v>25714.285714285721</v>
      </c>
      <c r="D115" s="60">
        <f>D108*$F$4*1000*D66/D95</f>
        <v>23571.428571428572</v>
      </c>
      <c r="E115" s="60">
        <f>E108*$F$4*1000*E66/E95</f>
        <v>21428.571428571431</v>
      </c>
      <c r="F115" s="60">
        <f>F108*$F$4*1000*F66/F95</f>
        <v>19285.71428571429</v>
      </c>
      <c r="G115" s="70">
        <f>C95</f>
        <v>140</v>
      </c>
      <c r="H115" s="69" t="s">
        <v>330</v>
      </c>
    </row>
    <row r="116" spans="1:8">
      <c r="B116" s="36" t="s">
        <v>355</v>
      </c>
      <c r="C116" s="60">
        <f>C112*$F$4/C95</f>
        <v>20.700357142857143</v>
      </c>
      <c r="D116" s="60">
        <f>D112*$F$4/D95</f>
        <v>20.660433158225668</v>
      </c>
      <c r="E116" s="60">
        <f>E112*$F$4/E95</f>
        <v>23.28125</v>
      </c>
      <c r="F116" s="60">
        <f>F112*$F$4/F95</f>
        <v>21.498571428571431</v>
      </c>
      <c r="G116" s="69" t="s">
        <v>331</v>
      </c>
      <c r="H116" s="69"/>
    </row>
    <row r="117" spans="1:8">
      <c r="B117" s="36" t="s">
        <v>356</v>
      </c>
      <c r="C117" s="60">
        <f>C113*$F$4/(4*3.6*C97/100)*C67/C95</f>
        <v>0</v>
      </c>
      <c r="D117" s="60">
        <f t="shared" ref="D117:F117" si="7">D113*$F$4/(4*3.6*D97/100)*D67/D95</f>
        <v>0</v>
      </c>
      <c r="E117" s="60">
        <f t="shared" si="7"/>
        <v>0</v>
      </c>
      <c r="F117" s="60">
        <f t="shared" si="7"/>
        <v>0</v>
      </c>
      <c r="G117" s="85" t="s">
        <v>423</v>
      </c>
      <c r="H117" s="61"/>
    </row>
  </sheetData>
  <mergeCells count="20">
    <mergeCell ref="J91:O91"/>
    <mergeCell ref="J6:O6"/>
    <mergeCell ref="J34:O34"/>
    <mergeCell ref="J62:O62"/>
    <mergeCell ref="J90:O90"/>
    <mergeCell ref="J7:O7"/>
    <mergeCell ref="J35:O35"/>
    <mergeCell ref="J63:O63"/>
    <mergeCell ref="B62:B63"/>
    <mergeCell ref="C62:H62"/>
    <mergeCell ref="C63:H63"/>
    <mergeCell ref="B90:B91"/>
    <mergeCell ref="C90:H90"/>
    <mergeCell ref="C91:H91"/>
    <mergeCell ref="B6:B7"/>
    <mergeCell ref="C6:H6"/>
    <mergeCell ref="C7:H7"/>
    <mergeCell ref="B34:B35"/>
    <mergeCell ref="C34:H34"/>
    <mergeCell ref="C35:H35"/>
  </mergeCells>
  <pageMargins left="0.7" right="0.7" top="0.75" bottom="0.75" header="0.3" footer="0.3"/>
  <pageSetup paperSize="9" orientation="portrait"/>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C9D-8B95-4D80-9030-8A0B0B4F00E5}">
  <sheetPr>
    <tabColor theme="4"/>
  </sheetPr>
  <dimension ref="B3:X156"/>
  <sheetViews>
    <sheetView topLeftCell="A31" workbookViewId="0">
      <selection activeCell="I24" sqref="I24"/>
    </sheetView>
  </sheetViews>
  <sheetFormatPr defaultColWidth="8.6640625" defaultRowHeight="14.4"/>
  <cols>
    <col min="1" max="1" width="8.6640625" style="239"/>
    <col min="2" max="2" width="36.6640625" style="239" customWidth="1"/>
    <col min="3" max="3" width="10" style="239" bestFit="1" customWidth="1"/>
    <col min="4" max="4" width="10.6640625" style="239" customWidth="1"/>
    <col min="5" max="8" width="8.6640625" style="239"/>
    <col min="9" max="18" width="9.33203125" style="239" customWidth="1"/>
    <col min="19" max="16384" width="8.6640625" style="239"/>
  </cols>
  <sheetData>
    <row r="3" spans="2:24">
      <c r="B3" s="8" t="s">
        <v>1264</v>
      </c>
    </row>
    <row r="4" spans="2:24">
      <c r="E4" s="239" t="s">
        <v>358</v>
      </c>
      <c r="G4" s="36">
        <v>7.45</v>
      </c>
      <c r="H4" s="239" t="s">
        <v>328</v>
      </c>
    </row>
    <row r="5" spans="2:24" ht="15" thickBot="1"/>
    <row r="6" spans="2:24">
      <c r="B6" s="1118" t="s">
        <v>0</v>
      </c>
      <c r="C6" s="1120" t="s">
        <v>1265</v>
      </c>
      <c r="D6" s="1121"/>
      <c r="E6" s="1121"/>
      <c r="F6" s="1121"/>
      <c r="G6" s="1121"/>
      <c r="H6" s="1122"/>
      <c r="J6" s="1120" t="str">
        <f>C6</f>
        <v>Oil burner (mineral oil fired, &lt;10 % FAME)</v>
      </c>
      <c r="K6" s="1121"/>
      <c r="L6" s="1121"/>
      <c r="M6" s="1121"/>
      <c r="N6" s="1121"/>
      <c r="O6" s="1122"/>
    </row>
    <row r="7" spans="2:24" ht="15" thickBot="1">
      <c r="B7" s="1119"/>
      <c r="C7" s="1001" t="s">
        <v>1</v>
      </c>
      <c r="D7" s="1002"/>
      <c r="E7" s="1002"/>
      <c r="F7" s="1002"/>
      <c r="G7" s="1002"/>
      <c r="H7" s="1003"/>
      <c r="J7" s="1001" t="str">
        <f>C7</f>
        <v>One-family house, existing building</v>
      </c>
      <c r="K7" s="1002"/>
      <c r="L7" s="1002"/>
      <c r="M7" s="1002"/>
      <c r="N7" s="1002"/>
      <c r="O7" s="1003"/>
    </row>
    <row r="8" spans="2:24" ht="15" thickBot="1">
      <c r="B8" s="127"/>
      <c r="C8" s="873">
        <v>2015</v>
      </c>
      <c r="D8" s="873">
        <v>2020</v>
      </c>
      <c r="E8" s="873">
        <v>2030</v>
      </c>
      <c r="F8" s="873">
        <v>2050</v>
      </c>
      <c r="G8" s="873" t="s">
        <v>2</v>
      </c>
      <c r="H8" s="873" t="s">
        <v>3</v>
      </c>
      <c r="J8" s="53" t="s">
        <v>357</v>
      </c>
    </row>
    <row r="9" spans="2:24" ht="28.2" thickBot="1">
      <c r="B9" s="129" t="s">
        <v>4</v>
      </c>
      <c r="C9" s="130"/>
      <c r="D9" s="130"/>
      <c r="E9" s="130"/>
      <c r="F9" s="130"/>
      <c r="G9" s="130"/>
      <c r="H9" s="131"/>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27" t="s">
        <v>5</v>
      </c>
      <c r="C10" s="873" t="s">
        <v>1266</v>
      </c>
      <c r="D10" s="873" t="s">
        <v>1266</v>
      </c>
      <c r="E10" s="873" t="s">
        <v>1266</v>
      </c>
      <c r="F10" s="873" t="s">
        <v>1266</v>
      </c>
      <c r="G10" s="873" t="s">
        <v>6</v>
      </c>
      <c r="H10" s="873"/>
      <c r="J10" s="50"/>
      <c r="K10" s="50"/>
      <c r="L10" s="51"/>
      <c r="M10" s="51"/>
      <c r="N10" s="51"/>
      <c r="O10" s="52"/>
      <c r="P10" s="50"/>
      <c r="Q10" s="50"/>
      <c r="R10" s="50"/>
      <c r="S10" s="50"/>
      <c r="T10" s="50"/>
      <c r="U10" s="50"/>
      <c r="V10" s="50"/>
      <c r="W10" s="50"/>
      <c r="X10" s="50"/>
    </row>
    <row r="11" spans="2:24" ht="24.6" thickBot="1">
      <c r="B11" s="127" t="s">
        <v>7</v>
      </c>
      <c r="C11" s="873">
        <v>100</v>
      </c>
      <c r="D11" s="873">
        <v>100</v>
      </c>
      <c r="E11" s="873">
        <v>100</v>
      </c>
      <c r="F11" s="873">
        <v>100</v>
      </c>
      <c r="G11" s="873"/>
      <c r="H11" s="873"/>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27" t="s">
        <v>8</v>
      </c>
      <c r="C12" s="873">
        <v>100</v>
      </c>
      <c r="D12" s="873">
        <v>100</v>
      </c>
      <c r="E12" s="873">
        <v>100</v>
      </c>
      <c r="F12" s="873">
        <v>100</v>
      </c>
      <c r="G12" s="873"/>
      <c r="H12" s="873"/>
      <c r="J12" s="58">
        <f>C8</f>
        <v>2015</v>
      </c>
      <c r="K12" s="58">
        <f>J12</f>
        <v>2015</v>
      </c>
      <c r="L12" s="58">
        <f>C13/100</f>
        <v>1</v>
      </c>
      <c r="M12" s="58"/>
      <c r="N12" s="58">
        <f>C14</f>
        <v>20</v>
      </c>
      <c r="O12" s="59">
        <f>C29</f>
        <v>2235</v>
      </c>
      <c r="P12" s="59">
        <f>C31</f>
        <v>91.431818181818187</v>
      </c>
      <c r="Q12" s="59">
        <f>C32</f>
        <v>0</v>
      </c>
      <c r="R12" s="58"/>
      <c r="S12" s="58"/>
      <c r="T12" s="58">
        <f>C16</f>
        <v>0.5</v>
      </c>
      <c r="U12" s="58">
        <f>C17</f>
        <v>30</v>
      </c>
      <c r="V12" s="58">
        <f>C18</f>
        <v>0</v>
      </c>
      <c r="W12" s="58">
        <f>C19</f>
        <v>0</v>
      </c>
      <c r="X12" s="58">
        <f>C20</f>
        <v>0.03</v>
      </c>
    </row>
    <row r="13" spans="2:24" ht="15" thickBot="1">
      <c r="B13" s="127" t="s">
        <v>9</v>
      </c>
      <c r="C13" s="873">
        <v>100</v>
      </c>
      <c r="D13" s="873">
        <v>100</v>
      </c>
      <c r="E13" s="873">
        <v>100</v>
      </c>
      <c r="F13" s="873">
        <v>100</v>
      </c>
      <c r="G13" s="873"/>
      <c r="H13" s="873" t="s">
        <v>10</v>
      </c>
      <c r="J13" s="58">
        <f>D8</f>
        <v>2020</v>
      </c>
      <c r="K13" s="58"/>
      <c r="L13" s="58">
        <f>D13/100</f>
        <v>1</v>
      </c>
      <c r="M13" s="58"/>
      <c r="N13" s="58">
        <f>D14</f>
        <v>20</v>
      </c>
      <c r="O13" s="59">
        <f>D29</f>
        <v>2235</v>
      </c>
      <c r="P13" s="59">
        <f>D31</f>
        <v>91.431818181818187</v>
      </c>
      <c r="Q13" s="59">
        <f>D32</f>
        <v>0</v>
      </c>
      <c r="R13" s="58"/>
      <c r="S13" s="58"/>
      <c r="T13" s="58">
        <f>D16</f>
        <v>0.5</v>
      </c>
      <c r="U13" s="58">
        <f>D17</f>
        <v>30</v>
      </c>
      <c r="V13" s="58">
        <f>D18</f>
        <v>0</v>
      </c>
      <c r="W13" s="58">
        <f>D19</f>
        <v>0</v>
      </c>
      <c r="X13" s="58">
        <f>D20</f>
        <v>0.03</v>
      </c>
    </row>
    <row r="14" spans="2:24" ht="15" thickBot="1">
      <c r="B14" s="127" t="s">
        <v>11</v>
      </c>
      <c r="C14" s="873">
        <v>20</v>
      </c>
      <c r="D14" s="873">
        <v>20</v>
      </c>
      <c r="E14" s="873">
        <v>20</v>
      </c>
      <c r="F14" s="873">
        <v>20</v>
      </c>
      <c r="G14" s="873"/>
      <c r="H14" s="873">
        <v>4</v>
      </c>
      <c r="J14" s="58">
        <f>E8</f>
        <v>2030</v>
      </c>
      <c r="K14" s="58"/>
      <c r="L14" s="58">
        <f>E13/100</f>
        <v>1</v>
      </c>
      <c r="M14" s="58"/>
      <c r="N14" s="58">
        <f>E14</f>
        <v>20</v>
      </c>
      <c r="O14" s="59">
        <f>E29</f>
        <v>2235</v>
      </c>
      <c r="P14" s="59">
        <f>E31</f>
        <v>91.431818181818187</v>
      </c>
      <c r="Q14" s="59">
        <f>E32</f>
        <v>0</v>
      </c>
      <c r="R14" s="58"/>
      <c r="S14" s="58"/>
      <c r="T14" s="58">
        <f>E16</f>
        <v>0.5</v>
      </c>
      <c r="U14" s="58">
        <f>E17</f>
        <v>30</v>
      </c>
      <c r="V14" s="58">
        <f>E18</f>
        <v>0</v>
      </c>
      <c r="W14" s="58">
        <f>E19</f>
        <v>0</v>
      </c>
      <c r="X14" s="58">
        <f>E20</f>
        <v>0.03</v>
      </c>
    </row>
    <row r="15" spans="2:24" ht="15" thickBot="1">
      <c r="B15" s="129" t="s">
        <v>12</v>
      </c>
      <c r="C15" s="130"/>
      <c r="D15" s="130"/>
      <c r="E15" s="130"/>
      <c r="F15" s="130"/>
      <c r="G15" s="130"/>
      <c r="H15" s="131"/>
      <c r="J15" s="58">
        <f>F8</f>
        <v>2050</v>
      </c>
      <c r="K15" s="58"/>
      <c r="L15" s="58">
        <f>F13/100</f>
        <v>1</v>
      </c>
      <c r="M15" s="58"/>
      <c r="N15" s="58">
        <f>F14</f>
        <v>20</v>
      </c>
      <c r="O15" s="59">
        <f>F29</f>
        <v>2235</v>
      </c>
      <c r="P15" s="59">
        <f>F31</f>
        <v>91.431818181818187</v>
      </c>
      <c r="Q15" s="59">
        <f>F32</f>
        <v>0</v>
      </c>
      <c r="R15" s="58"/>
      <c r="S15" s="58"/>
      <c r="T15" s="58">
        <f>F16</f>
        <v>0.5</v>
      </c>
      <c r="U15" s="58">
        <f>F17</f>
        <v>30</v>
      </c>
      <c r="V15" s="58">
        <f>F18</f>
        <v>0</v>
      </c>
      <c r="W15" s="58">
        <f>F19</f>
        <v>0</v>
      </c>
      <c r="X15" s="58">
        <f>F20</f>
        <v>0.03</v>
      </c>
    </row>
    <row r="16" spans="2:24" ht="15.6" thickBot="1">
      <c r="B16" s="127" t="s">
        <v>13</v>
      </c>
      <c r="C16" s="873">
        <v>0.5</v>
      </c>
      <c r="D16" s="873">
        <v>0.5</v>
      </c>
      <c r="E16" s="873">
        <v>0.5</v>
      </c>
      <c r="F16" s="873">
        <v>0.5</v>
      </c>
      <c r="G16" s="873" t="s">
        <v>14</v>
      </c>
      <c r="H16" s="873"/>
    </row>
    <row r="17" spans="2:10" ht="15.6" thickBot="1">
      <c r="B17" s="127" t="s">
        <v>15</v>
      </c>
      <c r="C17" s="873">
        <v>30</v>
      </c>
      <c r="D17" s="873">
        <v>30</v>
      </c>
      <c r="E17" s="873">
        <v>30</v>
      </c>
      <c r="F17" s="873">
        <v>30</v>
      </c>
      <c r="G17" s="873" t="s">
        <v>16</v>
      </c>
      <c r="H17" s="873"/>
    </row>
    <row r="18" spans="2:10" ht="15.6" thickBot="1">
      <c r="B18" s="127" t="s">
        <v>17</v>
      </c>
      <c r="C18" s="873">
        <v>0</v>
      </c>
      <c r="D18" s="873">
        <v>0</v>
      </c>
      <c r="E18" s="873">
        <v>0</v>
      </c>
      <c r="F18" s="873">
        <v>0</v>
      </c>
      <c r="G18" s="873"/>
      <c r="H18" s="873"/>
    </row>
    <row r="19" spans="2:10" ht="15.6" thickBot="1">
      <c r="B19" s="127" t="s">
        <v>18</v>
      </c>
      <c r="C19" s="873">
        <v>0</v>
      </c>
      <c r="D19" s="873">
        <v>0</v>
      </c>
      <c r="E19" s="873">
        <v>0</v>
      </c>
      <c r="F19" s="873">
        <v>0</v>
      </c>
      <c r="G19" s="873"/>
      <c r="H19" s="873"/>
    </row>
    <row r="20" spans="2:10" ht="15" thickBot="1">
      <c r="B20" s="127" t="s">
        <v>19</v>
      </c>
      <c r="C20" s="873">
        <v>0.03</v>
      </c>
      <c r="D20" s="873">
        <v>0.03</v>
      </c>
      <c r="E20" s="873">
        <v>0.03</v>
      </c>
      <c r="F20" s="873">
        <v>0.03</v>
      </c>
      <c r="G20" s="873" t="s">
        <v>20</v>
      </c>
      <c r="H20" s="873" t="s">
        <v>21</v>
      </c>
    </row>
    <row r="21" spans="2:10" ht="15" thickBot="1">
      <c r="B21" s="129" t="s">
        <v>22</v>
      </c>
      <c r="C21" s="130"/>
      <c r="D21" s="130"/>
      <c r="E21" s="130"/>
      <c r="F21" s="130"/>
      <c r="G21" s="68" t="s">
        <v>329</v>
      </c>
      <c r="H21" s="873"/>
    </row>
    <row r="22" spans="2:10" ht="15" thickBot="1">
      <c r="B22" s="127" t="s">
        <v>23</v>
      </c>
      <c r="C22" s="35">
        <f>C23/$G30</f>
        <v>0.3</v>
      </c>
      <c r="D22" s="35">
        <f>D23/$G30</f>
        <v>0.3</v>
      </c>
      <c r="E22" s="35">
        <f>E23/$G30</f>
        <v>0.3</v>
      </c>
      <c r="F22" s="35">
        <f>F23/$G30</f>
        <v>0.3</v>
      </c>
      <c r="G22" s="73">
        <f>G30</f>
        <v>22</v>
      </c>
      <c r="H22" s="73" t="str">
        <f>H30</f>
        <v>kW</v>
      </c>
    </row>
    <row r="23" spans="2:10">
      <c r="B23" s="132" t="s">
        <v>24</v>
      </c>
      <c r="C23" s="133">
        <v>6.6</v>
      </c>
      <c r="D23" s="133">
        <v>6.6</v>
      </c>
      <c r="E23" s="133">
        <v>6.6</v>
      </c>
      <c r="F23" s="133">
        <v>6.6</v>
      </c>
      <c r="G23" s="133" t="s">
        <v>25</v>
      </c>
      <c r="H23" s="133"/>
    </row>
    <row r="24" spans="2:10">
      <c r="B24" s="951" t="s">
        <v>26</v>
      </c>
      <c r="C24" s="133">
        <v>70</v>
      </c>
      <c r="D24" s="133">
        <v>70</v>
      </c>
      <c r="E24" s="133">
        <v>70</v>
      </c>
      <c r="F24" s="133">
        <v>70</v>
      </c>
      <c r="G24" s="133"/>
      <c r="H24" s="133"/>
    </row>
    <row r="25" spans="2:10" ht="15" thickBot="1">
      <c r="B25" s="952" t="s">
        <v>28</v>
      </c>
      <c r="C25" s="873">
        <v>30</v>
      </c>
      <c r="D25" s="873">
        <v>30</v>
      </c>
      <c r="E25" s="873">
        <v>30</v>
      </c>
      <c r="F25" s="873">
        <v>30</v>
      </c>
      <c r="G25" s="873"/>
      <c r="H25" s="873"/>
      <c r="I25" s="480"/>
      <c r="J25" s="480"/>
    </row>
    <row r="26" spans="2:10" ht="24.6" thickBot="1">
      <c r="B26" s="127" t="s">
        <v>30</v>
      </c>
      <c r="C26" s="873"/>
      <c r="D26" s="873"/>
      <c r="E26" s="873"/>
      <c r="F26" s="873"/>
      <c r="G26" s="873"/>
      <c r="H26" s="873"/>
      <c r="I26" s="71"/>
      <c r="J26" s="480"/>
    </row>
    <row r="27" spans="2:10" ht="15" thickBot="1">
      <c r="B27" s="953" t="s">
        <v>1267</v>
      </c>
      <c r="C27" s="954">
        <v>270</v>
      </c>
      <c r="D27" s="954">
        <v>270</v>
      </c>
      <c r="E27" s="954">
        <v>270</v>
      </c>
      <c r="F27" s="954">
        <v>270</v>
      </c>
      <c r="G27" s="954" t="s">
        <v>25</v>
      </c>
      <c r="H27" s="954"/>
      <c r="I27" s="954"/>
      <c r="J27" s="954"/>
    </row>
    <row r="28" spans="2:10" ht="15" thickBot="1">
      <c r="B28" s="127" t="s">
        <v>31</v>
      </c>
      <c r="C28" s="873"/>
      <c r="D28" s="873"/>
      <c r="E28" s="873"/>
      <c r="F28" s="873"/>
      <c r="G28" s="873"/>
      <c r="H28" s="873"/>
      <c r="I28" s="955"/>
      <c r="J28" s="480"/>
    </row>
    <row r="29" spans="2:10">
      <c r="B29" s="36" t="s">
        <v>353</v>
      </c>
      <c r="C29" s="42">
        <f t="shared" ref="C29:F30" si="0">C22*$G$4*1000</f>
        <v>2235</v>
      </c>
      <c r="D29" s="42">
        <f t="shared" si="0"/>
        <v>2235</v>
      </c>
      <c r="E29" s="42">
        <f t="shared" si="0"/>
        <v>2235</v>
      </c>
      <c r="F29" s="42">
        <f t="shared" si="0"/>
        <v>2235</v>
      </c>
      <c r="G29" s="63" t="s">
        <v>332</v>
      </c>
      <c r="H29" s="63"/>
    </row>
    <row r="30" spans="2:10">
      <c r="B30" s="36" t="s">
        <v>354</v>
      </c>
      <c r="C30" s="42">
        <f t="shared" si="0"/>
        <v>49170</v>
      </c>
      <c r="D30" s="42">
        <f t="shared" si="0"/>
        <v>49170</v>
      </c>
      <c r="E30" s="42">
        <f t="shared" si="0"/>
        <v>49170</v>
      </c>
      <c r="F30" s="42">
        <f t="shared" si="0"/>
        <v>49170</v>
      </c>
      <c r="G30" s="67">
        <v>22</v>
      </c>
      <c r="H30" s="63" t="s">
        <v>330</v>
      </c>
    </row>
    <row r="31" spans="2:10">
      <c r="B31" s="36" t="s">
        <v>355</v>
      </c>
      <c r="C31" s="42">
        <f>C27*$G$4/$G$30</f>
        <v>91.431818181818187</v>
      </c>
      <c r="D31" s="42">
        <f>D27*$G$4/$G$30</f>
        <v>91.431818181818187</v>
      </c>
      <c r="E31" s="42">
        <f>E27*$G$4/$G$30</f>
        <v>91.431818181818187</v>
      </c>
      <c r="F31" s="42">
        <f>F27*$G$4/$G$30</f>
        <v>91.431818181818187</v>
      </c>
      <c r="G31" s="63" t="s">
        <v>333</v>
      </c>
      <c r="H31" s="63"/>
    </row>
    <row r="32" spans="2:10" ht="15" thickBot="1">
      <c r="B32" s="36" t="s">
        <v>356</v>
      </c>
      <c r="C32" s="42">
        <f>C28*$H$31</f>
        <v>0</v>
      </c>
      <c r="D32" s="42">
        <f>D28*$H$31</f>
        <v>0</v>
      </c>
      <c r="E32" s="42">
        <f>E28*$H$31</f>
        <v>0</v>
      </c>
      <c r="F32" s="42">
        <f>F28*$H$31</f>
        <v>0</v>
      </c>
      <c r="G32" s="66"/>
      <c r="H32" s="63"/>
    </row>
    <row r="33" spans="2:24">
      <c r="B33" s="1118" t="s">
        <v>0</v>
      </c>
      <c r="C33" s="1120" t="s">
        <v>1265</v>
      </c>
      <c r="D33" s="1121"/>
      <c r="E33" s="1121"/>
      <c r="F33" s="1121"/>
      <c r="G33" s="1121"/>
      <c r="H33" s="1122"/>
      <c r="J33" s="1120" t="str">
        <f>C33</f>
        <v>Oil burner (mineral oil fired, &lt;10 % FAME)</v>
      </c>
      <c r="K33" s="1121"/>
      <c r="L33" s="1121"/>
      <c r="M33" s="1121"/>
      <c r="N33" s="1121"/>
      <c r="O33" s="1122"/>
    </row>
    <row r="34" spans="2:24" ht="15" thickBot="1">
      <c r="B34" s="1119"/>
      <c r="C34" s="1001" t="s">
        <v>32</v>
      </c>
      <c r="D34" s="1002"/>
      <c r="E34" s="1002"/>
      <c r="F34" s="1002"/>
      <c r="G34" s="1002"/>
      <c r="H34" s="1003"/>
      <c r="J34" s="1001" t="str">
        <f>C34</f>
        <v>Apartment complex, existing building</v>
      </c>
      <c r="K34" s="1002"/>
      <c r="L34" s="1002"/>
      <c r="M34" s="1002"/>
      <c r="N34" s="1002"/>
      <c r="O34" s="1003"/>
    </row>
    <row r="35" spans="2:24" ht="15" thickBot="1">
      <c r="B35" s="127"/>
      <c r="C35" s="873">
        <v>2015</v>
      </c>
      <c r="D35" s="873">
        <v>2020</v>
      </c>
      <c r="E35" s="873">
        <v>2030</v>
      </c>
      <c r="F35" s="873">
        <v>2050</v>
      </c>
      <c r="G35" s="873" t="s">
        <v>2</v>
      </c>
      <c r="H35" s="873" t="s">
        <v>3</v>
      </c>
      <c r="J35" s="53" t="s">
        <v>357</v>
      </c>
    </row>
    <row r="36" spans="2:24" ht="28.2" thickBot="1">
      <c r="B36" s="129" t="s">
        <v>4</v>
      </c>
      <c r="C36" s="130"/>
      <c r="D36" s="130"/>
      <c r="E36" s="130"/>
      <c r="F36" s="130"/>
      <c r="G36" s="130"/>
      <c r="H36" s="131"/>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27" t="s">
        <v>5</v>
      </c>
      <c r="C37" s="873">
        <v>400</v>
      </c>
      <c r="D37" s="873">
        <v>400</v>
      </c>
      <c r="E37" s="873">
        <v>400</v>
      </c>
      <c r="F37" s="873">
        <v>400</v>
      </c>
      <c r="G37" s="873"/>
      <c r="H37" s="873"/>
      <c r="J37" s="50"/>
      <c r="K37" s="50"/>
      <c r="L37" s="51"/>
      <c r="M37" s="51"/>
      <c r="N37" s="51"/>
      <c r="O37" s="52"/>
      <c r="P37" s="50"/>
      <c r="Q37" s="50"/>
      <c r="R37" s="50"/>
      <c r="S37" s="50"/>
      <c r="T37" s="50"/>
      <c r="U37" s="50"/>
      <c r="V37" s="50"/>
      <c r="W37" s="50"/>
      <c r="X37" s="50"/>
    </row>
    <row r="38" spans="2:24" ht="24.6" thickBot="1">
      <c r="B38" s="127" t="s">
        <v>7</v>
      </c>
      <c r="C38" s="873">
        <v>100</v>
      </c>
      <c r="D38" s="873">
        <v>100</v>
      </c>
      <c r="E38" s="873">
        <v>100</v>
      </c>
      <c r="F38" s="873">
        <v>100</v>
      </c>
      <c r="G38" s="873"/>
      <c r="H38" s="873"/>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27" t="s">
        <v>8</v>
      </c>
      <c r="C39" s="873">
        <v>100</v>
      </c>
      <c r="D39" s="873">
        <v>100</v>
      </c>
      <c r="E39" s="873">
        <v>100</v>
      </c>
      <c r="F39" s="873">
        <v>100</v>
      </c>
      <c r="G39" s="873"/>
      <c r="H39" s="873"/>
      <c r="J39" s="58">
        <f>C35</f>
        <v>2015</v>
      </c>
      <c r="K39" s="58">
        <f>J39</f>
        <v>2015</v>
      </c>
      <c r="L39" s="58">
        <f>C40/100</f>
        <v>0.96</v>
      </c>
      <c r="M39" s="58"/>
      <c r="N39" s="58">
        <f>C41</f>
        <v>20</v>
      </c>
      <c r="O39" s="59">
        <f>C56</f>
        <v>596</v>
      </c>
      <c r="P39" s="59">
        <f>C58</f>
        <v>9.3125</v>
      </c>
      <c r="Q39" s="59">
        <f>C59</f>
        <v>0</v>
      </c>
      <c r="R39" s="58"/>
      <c r="S39" s="58"/>
      <c r="T39" s="58">
        <f>C43</f>
        <v>0.5</v>
      </c>
      <c r="U39" s="78">
        <f>C44</f>
        <v>30</v>
      </c>
      <c r="V39" s="78">
        <f>C45</f>
        <v>0</v>
      </c>
      <c r="W39" s="78">
        <f>C46</f>
        <v>0</v>
      </c>
      <c r="X39" s="78">
        <f>C47</f>
        <v>0.03</v>
      </c>
    </row>
    <row r="40" spans="2:24" ht="15" thickBot="1">
      <c r="B40" s="127" t="s">
        <v>9</v>
      </c>
      <c r="C40" s="873">
        <v>96</v>
      </c>
      <c r="D40" s="873">
        <v>96</v>
      </c>
      <c r="E40" s="873">
        <v>96</v>
      </c>
      <c r="F40" s="873">
        <v>96</v>
      </c>
      <c r="G40" s="873" t="s">
        <v>33</v>
      </c>
      <c r="H40" s="873" t="s">
        <v>10</v>
      </c>
      <c r="J40" s="58">
        <f>D35</f>
        <v>2020</v>
      </c>
      <c r="K40" s="58"/>
      <c r="L40" s="58">
        <f>D40/100</f>
        <v>0.96</v>
      </c>
      <c r="M40" s="58"/>
      <c r="N40" s="58">
        <f>D41</f>
        <v>20</v>
      </c>
      <c r="O40" s="59">
        <f>D56</f>
        <v>596</v>
      </c>
      <c r="P40" s="59">
        <f>D58</f>
        <v>9.3125</v>
      </c>
      <c r="Q40" s="59">
        <f>D59</f>
        <v>0</v>
      </c>
      <c r="R40" s="58"/>
      <c r="S40" s="58"/>
      <c r="T40" s="58">
        <f>D43</f>
        <v>0.5</v>
      </c>
      <c r="U40" s="78">
        <f>D44</f>
        <v>30</v>
      </c>
      <c r="V40" s="78">
        <f>D45</f>
        <v>0</v>
      </c>
      <c r="W40" s="78">
        <f>D46</f>
        <v>0</v>
      </c>
      <c r="X40" s="78">
        <f>D47</f>
        <v>0.03</v>
      </c>
    </row>
    <row r="41" spans="2:24" ht="15" thickBot="1">
      <c r="B41" s="127" t="s">
        <v>11</v>
      </c>
      <c r="C41" s="873">
        <v>20</v>
      </c>
      <c r="D41" s="873">
        <v>20</v>
      </c>
      <c r="E41" s="873">
        <v>20</v>
      </c>
      <c r="F41" s="873">
        <v>20</v>
      </c>
      <c r="G41" s="873"/>
      <c r="H41" s="873">
        <v>4</v>
      </c>
      <c r="J41" s="58">
        <f>E35</f>
        <v>2030</v>
      </c>
      <c r="K41" s="58"/>
      <c r="L41" s="58">
        <f>E40/100</f>
        <v>0.96</v>
      </c>
      <c r="M41" s="58"/>
      <c r="N41" s="58">
        <f>E41</f>
        <v>20</v>
      </c>
      <c r="O41" s="59">
        <f>E56</f>
        <v>596</v>
      </c>
      <c r="P41" s="59">
        <f>E58</f>
        <v>9.3125</v>
      </c>
      <c r="Q41" s="59">
        <f>E59</f>
        <v>0</v>
      </c>
      <c r="R41" s="58"/>
      <c r="S41" s="58"/>
      <c r="T41" s="58">
        <f>E43</f>
        <v>0.5</v>
      </c>
      <c r="U41" s="78">
        <f>E44</f>
        <v>30</v>
      </c>
      <c r="V41" s="78">
        <f>E45</f>
        <v>0</v>
      </c>
      <c r="W41" s="78">
        <f>E46</f>
        <v>0</v>
      </c>
      <c r="X41" s="78">
        <f>E47</f>
        <v>0.03</v>
      </c>
    </row>
    <row r="42" spans="2:24" ht="15" thickBot="1">
      <c r="B42" s="129" t="s">
        <v>12</v>
      </c>
      <c r="C42" s="130"/>
      <c r="D42" s="130"/>
      <c r="E42" s="130"/>
      <c r="F42" s="130"/>
      <c r="G42" s="130"/>
      <c r="H42" s="131"/>
      <c r="J42" s="58">
        <f>F35</f>
        <v>2050</v>
      </c>
      <c r="K42" s="58"/>
      <c r="L42" s="58">
        <f>F40/100</f>
        <v>0.96</v>
      </c>
      <c r="M42" s="58"/>
      <c r="N42" s="58">
        <f>F41</f>
        <v>20</v>
      </c>
      <c r="O42" s="59">
        <f>F56</f>
        <v>596</v>
      </c>
      <c r="P42" s="59">
        <f>F58</f>
        <v>9.3125</v>
      </c>
      <c r="Q42" s="59">
        <f>F59</f>
        <v>0</v>
      </c>
      <c r="R42" s="58"/>
      <c r="S42" s="58"/>
      <c r="T42" s="58">
        <f>F43</f>
        <v>0.5</v>
      </c>
      <c r="U42" s="78">
        <f>F44</f>
        <v>30</v>
      </c>
      <c r="V42" s="78">
        <f>F45</f>
        <v>0</v>
      </c>
      <c r="W42" s="78">
        <f>F46</f>
        <v>0</v>
      </c>
      <c r="X42" s="78">
        <f>F47</f>
        <v>0.03</v>
      </c>
    </row>
    <row r="43" spans="2:24" ht="15.6" thickBot="1">
      <c r="B43" s="127" t="s">
        <v>13</v>
      </c>
      <c r="C43" s="873">
        <v>0.5</v>
      </c>
      <c r="D43" s="873">
        <v>0.5</v>
      </c>
      <c r="E43" s="873">
        <v>0.5</v>
      </c>
      <c r="F43" s="873">
        <v>0.5</v>
      </c>
      <c r="G43" s="873" t="s">
        <v>14</v>
      </c>
      <c r="H43" s="873"/>
    </row>
    <row r="44" spans="2:24" ht="15.6" thickBot="1">
      <c r="B44" s="127" t="s">
        <v>15</v>
      </c>
      <c r="C44" s="873">
        <v>30</v>
      </c>
      <c r="D44" s="873">
        <v>30</v>
      </c>
      <c r="E44" s="873">
        <v>30</v>
      </c>
      <c r="F44" s="873">
        <v>30</v>
      </c>
      <c r="G44" s="873" t="s">
        <v>16</v>
      </c>
      <c r="H44" s="873"/>
    </row>
    <row r="45" spans="2:24" ht="15.6" thickBot="1">
      <c r="B45" s="127" t="s">
        <v>17</v>
      </c>
      <c r="C45" s="873">
        <v>0</v>
      </c>
      <c r="D45" s="873">
        <v>0</v>
      </c>
      <c r="E45" s="873">
        <v>0</v>
      </c>
      <c r="F45" s="873">
        <v>0</v>
      </c>
      <c r="G45" s="873"/>
      <c r="H45" s="873"/>
    </row>
    <row r="46" spans="2:24" ht="15.6" thickBot="1">
      <c r="B46" s="127" t="s">
        <v>18</v>
      </c>
      <c r="C46" s="873">
        <v>0</v>
      </c>
      <c r="D46" s="873">
        <v>0</v>
      </c>
      <c r="E46" s="873">
        <v>0</v>
      </c>
      <c r="F46" s="873">
        <v>0</v>
      </c>
      <c r="G46" s="873"/>
      <c r="H46" s="873"/>
    </row>
    <row r="47" spans="2:24" ht="15" thickBot="1">
      <c r="B47" s="127" t="s">
        <v>19</v>
      </c>
      <c r="C47" s="873">
        <v>0.03</v>
      </c>
      <c r="D47" s="873">
        <v>0.03</v>
      </c>
      <c r="E47" s="873">
        <v>0.03</v>
      </c>
      <c r="F47" s="873">
        <v>0.03</v>
      </c>
      <c r="G47" s="873" t="s">
        <v>20</v>
      </c>
      <c r="H47" s="873" t="s">
        <v>21</v>
      </c>
    </row>
    <row r="48" spans="2:24" ht="15" thickBot="1">
      <c r="B48" s="129" t="s">
        <v>22</v>
      </c>
      <c r="C48" s="130"/>
      <c r="D48" s="130"/>
      <c r="E48" s="130"/>
      <c r="F48" s="130"/>
      <c r="G48" s="68" t="s">
        <v>329</v>
      </c>
      <c r="H48" s="873"/>
    </row>
    <row r="49" spans="2:24" ht="15" thickBot="1">
      <c r="B49" s="127" t="s">
        <v>23</v>
      </c>
      <c r="C49" s="43">
        <f>C50/C37</f>
        <v>0.08</v>
      </c>
      <c r="D49" s="43">
        <f>D50/D37</f>
        <v>0.08</v>
      </c>
      <c r="E49" s="43">
        <f>E50/E37</f>
        <v>0.08</v>
      </c>
      <c r="F49" s="43">
        <f>F50/F37</f>
        <v>0.08</v>
      </c>
      <c r="G49" s="73">
        <f>G57</f>
        <v>400</v>
      </c>
      <c r="H49" s="73" t="str">
        <f>H57</f>
        <v>kW</v>
      </c>
    </row>
    <row r="50" spans="2:24">
      <c r="B50" s="132" t="s">
        <v>24</v>
      </c>
      <c r="C50" s="133">
        <v>32</v>
      </c>
      <c r="D50" s="133">
        <v>32</v>
      </c>
      <c r="E50" s="133">
        <v>32</v>
      </c>
      <c r="F50" s="133">
        <v>32</v>
      </c>
      <c r="G50" s="133" t="s">
        <v>25</v>
      </c>
      <c r="H50" s="133"/>
    </row>
    <row r="51" spans="2:24">
      <c r="B51" s="132" t="s">
        <v>26</v>
      </c>
      <c r="C51" s="133" t="s">
        <v>27</v>
      </c>
      <c r="D51" s="133">
        <v>70</v>
      </c>
      <c r="E51" s="133">
        <v>70</v>
      </c>
      <c r="F51" s="133">
        <v>70</v>
      </c>
      <c r="G51" s="133"/>
      <c r="H51" s="133"/>
    </row>
    <row r="52" spans="2:24" ht="15" thickBot="1">
      <c r="B52" s="127" t="s">
        <v>28</v>
      </c>
      <c r="C52" s="873" t="s">
        <v>29</v>
      </c>
      <c r="D52" s="873">
        <v>30</v>
      </c>
      <c r="E52" s="873">
        <v>30</v>
      </c>
      <c r="F52" s="873">
        <v>30</v>
      </c>
      <c r="G52" s="873"/>
      <c r="H52" s="873"/>
    </row>
    <row r="53" spans="2:24" ht="24.6" thickBot="1">
      <c r="B53" s="127" t="s">
        <v>30</v>
      </c>
      <c r="C53" s="873"/>
      <c r="D53" s="873"/>
      <c r="E53" s="873"/>
      <c r="F53" s="873"/>
      <c r="G53" s="873"/>
      <c r="H53" s="873"/>
    </row>
    <row r="54" spans="2:24" ht="15" thickBot="1">
      <c r="B54" s="953" t="s">
        <v>1267</v>
      </c>
      <c r="C54" s="954">
        <v>500</v>
      </c>
      <c r="D54" s="954">
        <v>500</v>
      </c>
      <c r="E54" s="954">
        <v>500</v>
      </c>
      <c r="F54" s="954">
        <v>500</v>
      </c>
      <c r="G54" s="954" t="s">
        <v>25</v>
      </c>
      <c r="H54" s="954"/>
    </row>
    <row r="55" spans="2:24" ht="15" thickBot="1">
      <c r="B55" s="127" t="s">
        <v>31</v>
      </c>
      <c r="C55" s="873"/>
      <c r="D55" s="873"/>
      <c r="E55" s="873"/>
      <c r="F55" s="873"/>
      <c r="G55" s="873"/>
      <c r="H55" s="873"/>
    </row>
    <row r="56" spans="2:24">
      <c r="B56" s="36" t="s">
        <v>353</v>
      </c>
      <c r="C56" s="42">
        <f>C49*$G$4*1000</f>
        <v>596</v>
      </c>
      <c r="D56" s="42">
        <f>D49*$G$4*1000</f>
        <v>596</v>
      </c>
      <c r="E56" s="42">
        <f>E49*$G$4*1000</f>
        <v>596</v>
      </c>
      <c r="F56" s="42">
        <f>F49*$G$4*1000</f>
        <v>596</v>
      </c>
      <c r="G56" s="63" t="s">
        <v>332</v>
      </c>
      <c r="H56" s="63"/>
    </row>
    <row r="57" spans="2:24">
      <c r="B57" s="36" t="s">
        <v>354</v>
      </c>
      <c r="C57" s="42">
        <f>C56*$G57</f>
        <v>238400</v>
      </c>
      <c r="D57" s="42">
        <f>D56*$G57</f>
        <v>238400</v>
      </c>
      <c r="E57" s="42">
        <f>E56*$G57</f>
        <v>238400</v>
      </c>
      <c r="F57" s="42">
        <f>F56*$G57</f>
        <v>238400</v>
      </c>
      <c r="G57" s="67">
        <v>400</v>
      </c>
      <c r="H57" s="63" t="s">
        <v>330</v>
      </c>
    </row>
    <row r="58" spans="2:24">
      <c r="B58" s="36" t="s">
        <v>355</v>
      </c>
      <c r="C58" s="42">
        <f>C54*$G$4/C37</f>
        <v>9.3125</v>
      </c>
      <c r="D58" s="42">
        <f>D54*$G$4/D37</f>
        <v>9.3125</v>
      </c>
      <c r="E58" s="42">
        <f>E54*$G$4/E37</f>
        <v>9.3125</v>
      </c>
      <c r="F58" s="42">
        <f>F54*$G$4/F37</f>
        <v>9.3125</v>
      </c>
      <c r="G58" s="63" t="s">
        <v>333</v>
      </c>
      <c r="H58" s="63"/>
    </row>
    <row r="59" spans="2:24" ht="15" thickBot="1">
      <c r="B59" s="36" t="s">
        <v>356</v>
      </c>
      <c r="C59" s="42">
        <f>C55*$G$4</f>
        <v>0</v>
      </c>
      <c r="D59" s="42">
        <f>D55*$G$4</f>
        <v>0</v>
      </c>
      <c r="E59" s="42">
        <f>E55*$G$4</f>
        <v>0</v>
      </c>
      <c r="F59" s="42">
        <f>F55*$G$4</f>
        <v>0</v>
      </c>
      <c r="G59" s="66"/>
      <c r="H59" s="63"/>
    </row>
    <row r="60" spans="2:24">
      <c r="B60" s="1118" t="s">
        <v>0</v>
      </c>
      <c r="C60" s="1120" t="s">
        <v>1268</v>
      </c>
      <c r="D60" s="1121"/>
      <c r="E60" s="1121"/>
      <c r="F60" s="1121"/>
      <c r="G60" s="1121"/>
      <c r="H60" s="1122"/>
      <c r="J60" s="1120" t="str">
        <f>C60</f>
        <v>Oil burner (bio oil)</v>
      </c>
      <c r="K60" s="1121"/>
      <c r="L60" s="1121"/>
      <c r="M60" s="1121"/>
      <c r="N60" s="1121"/>
      <c r="O60" s="1122"/>
    </row>
    <row r="61" spans="2:24" ht="15" thickBot="1">
      <c r="B61" s="1119"/>
      <c r="C61" s="1001" t="s">
        <v>34</v>
      </c>
      <c r="D61" s="1002"/>
      <c r="E61" s="1002"/>
      <c r="F61" s="1002"/>
      <c r="G61" s="1002"/>
      <c r="H61" s="1003"/>
      <c r="J61" s="1001" t="str">
        <f>C61</f>
        <v>One-family house, new building</v>
      </c>
      <c r="K61" s="1002"/>
      <c r="L61" s="1002"/>
      <c r="M61" s="1002"/>
      <c r="N61" s="1002"/>
      <c r="O61" s="1003"/>
    </row>
    <row r="62" spans="2:24" ht="15" thickBot="1">
      <c r="B62" s="127"/>
      <c r="C62" s="873">
        <v>2015</v>
      </c>
      <c r="D62" s="873">
        <v>2020</v>
      </c>
      <c r="E62" s="873">
        <v>2030</v>
      </c>
      <c r="F62" s="873">
        <v>2050</v>
      </c>
      <c r="G62" s="873" t="s">
        <v>2</v>
      </c>
      <c r="H62" s="873" t="s">
        <v>3</v>
      </c>
      <c r="J62" s="53" t="s">
        <v>357</v>
      </c>
    </row>
    <row r="63" spans="2:24" ht="28.2" thickBot="1">
      <c r="B63" s="129" t="s">
        <v>4</v>
      </c>
      <c r="C63" s="130"/>
      <c r="D63" s="130"/>
      <c r="E63" s="130"/>
      <c r="F63" s="130"/>
      <c r="G63" s="130"/>
      <c r="H63" s="131"/>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27" t="s">
        <v>5</v>
      </c>
      <c r="C64" s="873">
        <v>25</v>
      </c>
      <c r="D64" s="873">
        <v>25</v>
      </c>
      <c r="E64" s="873">
        <v>25</v>
      </c>
      <c r="F64" s="873">
        <v>25</v>
      </c>
      <c r="G64" s="873" t="s">
        <v>6</v>
      </c>
      <c r="H64" s="873"/>
      <c r="J64" s="50"/>
      <c r="K64" s="50"/>
      <c r="L64" s="51"/>
      <c r="M64" s="51"/>
      <c r="N64" s="51"/>
      <c r="O64" s="52"/>
      <c r="P64" s="50"/>
      <c r="Q64" s="50"/>
      <c r="R64" s="50"/>
      <c r="S64" s="50"/>
      <c r="T64" s="50"/>
      <c r="U64" s="50"/>
      <c r="V64" s="50"/>
      <c r="W64" s="50"/>
      <c r="X64" s="50"/>
    </row>
    <row r="65" spans="2:24" ht="24.6" thickBot="1">
      <c r="B65" s="127" t="s">
        <v>7</v>
      </c>
      <c r="C65" s="873">
        <v>100</v>
      </c>
      <c r="D65" s="873">
        <v>100</v>
      </c>
      <c r="E65" s="873">
        <v>100</v>
      </c>
      <c r="F65" s="873">
        <v>100</v>
      </c>
      <c r="G65" s="873"/>
      <c r="H65" s="873"/>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27" t="s">
        <v>8</v>
      </c>
      <c r="C66" s="873">
        <v>100</v>
      </c>
      <c r="D66" s="873">
        <v>100</v>
      </c>
      <c r="E66" s="873">
        <v>100</v>
      </c>
      <c r="F66" s="873">
        <v>100</v>
      </c>
      <c r="G66" s="873"/>
      <c r="H66" s="873"/>
      <c r="J66" s="58">
        <f>C62</f>
        <v>2015</v>
      </c>
      <c r="K66" s="58">
        <f>J66</f>
        <v>2015</v>
      </c>
      <c r="L66" s="58">
        <f>C67/100</f>
        <v>1</v>
      </c>
      <c r="M66" s="58"/>
      <c r="N66" s="58">
        <f>C68</f>
        <v>20</v>
      </c>
      <c r="O66" s="59">
        <f>C83</f>
        <v>3576</v>
      </c>
      <c r="P66" s="59">
        <f>C85</f>
        <v>149</v>
      </c>
      <c r="Q66" s="59">
        <f>C86</f>
        <v>0</v>
      </c>
      <c r="R66" s="58"/>
      <c r="S66" s="58"/>
      <c r="T66" s="58">
        <f>C70</f>
        <v>0</v>
      </c>
      <c r="U66" s="78" t="str">
        <f>C71</f>
        <v>&gt; 30</v>
      </c>
      <c r="V66" s="78">
        <f>C72</f>
        <v>0</v>
      </c>
      <c r="W66" s="78">
        <f>C73</f>
        <v>0</v>
      </c>
      <c r="X66" s="78">
        <f>C74</f>
        <v>0</v>
      </c>
    </row>
    <row r="67" spans="2:24" ht="15" thickBot="1">
      <c r="B67" s="127" t="s">
        <v>9</v>
      </c>
      <c r="C67" s="873">
        <v>100</v>
      </c>
      <c r="D67" s="873">
        <v>100</v>
      </c>
      <c r="E67" s="873">
        <v>100</v>
      </c>
      <c r="F67" s="873">
        <v>100</v>
      </c>
      <c r="G67" s="873"/>
      <c r="H67" s="873" t="s">
        <v>10</v>
      </c>
      <c r="J67" s="58">
        <f>D62</f>
        <v>2020</v>
      </c>
      <c r="K67" s="58"/>
      <c r="L67" s="58">
        <f>D67/100</f>
        <v>1</v>
      </c>
      <c r="M67" s="58"/>
      <c r="N67" s="58">
        <f>D68</f>
        <v>20</v>
      </c>
      <c r="O67" s="59">
        <f>D83</f>
        <v>3576</v>
      </c>
      <c r="P67" s="59">
        <f>D85</f>
        <v>149</v>
      </c>
      <c r="Q67" s="59">
        <f>D86</f>
        <v>0</v>
      </c>
      <c r="R67" s="58"/>
      <c r="S67" s="58"/>
      <c r="T67" s="58">
        <f>D70</f>
        <v>0</v>
      </c>
      <c r="U67" s="78" t="str">
        <f>D71</f>
        <v>&gt; 30</v>
      </c>
      <c r="V67" s="78">
        <f>D72</f>
        <v>0</v>
      </c>
      <c r="W67" s="78">
        <f>D73</f>
        <v>0</v>
      </c>
      <c r="X67" s="78">
        <f>D74</f>
        <v>0</v>
      </c>
    </row>
    <row r="68" spans="2:24" ht="15" thickBot="1">
      <c r="B68" s="127" t="s">
        <v>11</v>
      </c>
      <c r="C68" s="873">
        <v>20</v>
      </c>
      <c r="D68" s="873">
        <v>20</v>
      </c>
      <c r="E68" s="873">
        <v>20</v>
      </c>
      <c r="F68" s="873">
        <v>20</v>
      </c>
      <c r="G68" s="873"/>
      <c r="H68" s="873">
        <v>4</v>
      </c>
      <c r="J68" s="58">
        <f>E62</f>
        <v>2030</v>
      </c>
      <c r="K68" s="58"/>
      <c r="L68" s="58">
        <f>E67/100</f>
        <v>1</v>
      </c>
      <c r="M68" s="58"/>
      <c r="N68" s="58">
        <f>E68</f>
        <v>20</v>
      </c>
      <c r="O68" s="59">
        <f>E83</f>
        <v>3576</v>
      </c>
      <c r="P68" s="59">
        <f>E85</f>
        <v>149</v>
      </c>
      <c r="Q68" s="59">
        <f>E86</f>
        <v>0</v>
      </c>
      <c r="R68" s="58"/>
      <c r="S68" s="58"/>
      <c r="T68" s="58">
        <f>E70</f>
        <v>0</v>
      </c>
      <c r="U68" s="78" t="str">
        <f>E71</f>
        <v>&gt; 30</v>
      </c>
      <c r="V68" s="78">
        <f>E72</f>
        <v>0</v>
      </c>
      <c r="W68" s="78">
        <f>E73</f>
        <v>0</v>
      </c>
      <c r="X68" s="78">
        <f>E74</f>
        <v>0</v>
      </c>
    </row>
    <row r="69" spans="2:24" ht="15" thickBot="1">
      <c r="B69" s="129" t="s">
        <v>12</v>
      </c>
      <c r="C69" s="130"/>
      <c r="D69" s="130"/>
      <c r="E69" s="130"/>
      <c r="F69" s="130"/>
      <c r="G69" s="130"/>
      <c r="H69" s="131"/>
      <c r="J69" s="58">
        <f>F62</f>
        <v>2050</v>
      </c>
      <c r="K69" s="58"/>
      <c r="L69" s="58">
        <f>F67/100</f>
        <v>1</v>
      </c>
      <c r="M69" s="58"/>
      <c r="N69" s="58">
        <f>F68</f>
        <v>20</v>
      </c>
      <c r="O69" s="59">
        <f>F83</f>
        <v>3576</v>
      </c>
      <c r="P69" s="59">
        <f>F85</f>
        <v>149</v>
      </c>
      <c r="Q69" s="59">
        <f>F86</f>
        <v>0</v>
      </c>
      <c r="R69" s="58"/>
      <c r="S69" s="58"/>
      <c r="T69" s="58">
        <f>F70</f>
        <v>0</v>
      </c>
      <c r="U69" s="78" t="str">
        <f>F71</f>
        <v>&gt; 30</v>
      </c>
      <c r="V69" s="78">
        <f>F72</f>
        <v>0</v>
      </c>
      <c r="W69" s="78">
        <f>F73</f>
        <v>0</v>
      </c>
      <c r="X69" s="78">
        <f>F74</f>
        <v>0</v>
      </c>
    </row>
    <row r="70" spans="2:24" ht="15.6" thickBot="1">
      <c r="B70" s="127" t="s">
        <v>13</v>
      </c>
      <c r="C70" s="873">
        <v>0</v>
      </c>
      <c r="D70" s="873">
        <v>0</v>
      </c>
      <c r="E70" s="873">
        <v>0</v>
      </c>
      <c r="F70" s="873">
        <v>0</v>
      </c>
      <c r="G70" s="873" t="s">
        <v>14</v>
      </c>
      <c r="H70" s="873"/>
    </row>
    <row r="71" spans="2:24" ht="15.6" thickBot="1">
      <c r="B71" s="127" t="s">
        <v>15</v>
      </c>
      <c r="C71" s="873" t="s">
        <v>1269</v>
      </c>
      <c r="D71" s="873" t="s">
        <v>1269</v>
      </c>
      <c r="E71" s="873" t="s">
        <v>1269</v>
      </c>
      <c r="F71" s="873" t="s">
        <v>1269</v>
      </c>
      <c r="G71" s="873" t="s">
        <v>16</v>
      </c>
      <c r="H71" s="873"/>
    </row>
    <row r="72" spans="2:24" ht="15.6" thickBot="1">
      <c r="B72" s="127" t="s">
        <v>17</v>
      </c>
      <c r="C72" s="873">
        <v>0</v>
      </c>
      <c r="D72" s="873">
        <v>0</v>
      </c>
      <c r="E72" s="873">
        <v>0</v>
      </c>
      <c r="F72" s="873">
        <v>0</v>
      </c>
      <c r="G72" s="873"/>
      <c r="H72" s="873"/>
    </row>
    <row r="73" spans="2:24" ht="15.6" thickBot="1">
      <c r="B73" s="127" t="s">
        <v>18</v>
      </c>
      <c r="C73" s="873">
        <v>0</v>
      </c>
      <c r="D73" s="873">
        <v>0</v>
      </c>
      <c r="E73" s="873">
        <v>0</v>
      </c>
      <c r="F73" s="873">
        <v>0</v>
      </c>
      <c r="G73" s="873"/>
      <c r="H73" s="873"/>
    </row>
    <row r="74" spans="2:24" ht="15" thickBot="1">
      <c r="B74" s="127" t="s">
        <v>19</v>
      </c>
      <c r="C74" s="873"/>
      <c r="D74" s="873"/>
      <c r="E74" s="873"/>
      <c r="F74" s="873"/>
      <c r="G74" s="873" t="s">
        <v>20</v>
      </c>
      <c r="H74" s="873" t="s">
        <v>21</v>
      </c>
    </row>
    <row r="75" spans="2:24" ht="15" thickBot="1">
      <c r="B75" s="129" t="s">
        <v>22</v>
      </c>
      <c r="C75" s="130"/>
      <c r="D75" s="130"/>
      <c r="E75" s="130"/>
      <c r="F75" s="130"/>
      <c r="G75" s="68" t="s">
        <v>329</v>
      </c>
      <c r="H75" s="873"/>
    </row>
    <row r="76" spans="2:24" ht="15" thickBot="1">
      <c r="B76" s="127" t="s">
        <v>23</v>
      </c>
      <c r="C76" s="43">
        <f>C77/C64</f>
        <v>0.48</v>
      </c>
      <c r="D76" s="43">
        <f>D77/D64</f>
        <v>0.48</v>
      </c>
      <c r="E76" s="43">
        <f>E77/E64</f>
        <v>0.48</v>
      </c>
      <c r="F76" s="43">
        <f>F77/F64</f>
        <v>0.48</v>
      </c>
      <c r="G76" s="73">
        <f>G84</f>
        <v>25</v>
      </c>
      <c r="H76" s="73" t="str">
        <f>H84</f>
        <v>kW</v>
      </c>
    </row>
    <row r="77" spans="2:24">
      <c r="B77" s="132" t="s">
        <v>24</v>
      </c>
      <c r="C77" s="133">
        <v>12</v>
      </c>
      <c r="D77" s="133">
        <v>12</v>
      </c>
      <c r="E77" s="133">
        <v>12</v>
      </c>
      <c r="F77" s="133">
        <v>12</v>
      </c>
      <c r="G77" s="133" t="s">
        <v>25</v>
      </c>
      <c r="H77" s="133"/>
    </row>
    <row r="78" spans="2:24">
      <c r="B78" s="132" t="s">
        <v>26</v>
      </c>
      <c r="C78" s="133" t="s">
        <v>27</v>
      </c>
      <c r="D78" s="133">
        <v>70</v>
      </c>
      <c r="E78" s="133">
        <v>70</v>
      </c>
      <c r="F78" s="133">
        <v>70</v>
      </c>
      <c r="G78" s="133"/>
      <c r="H78" s="133"/>
    </row>
    <row r="79" spans="2:24" ht="15" thickBot="1">
      <c r="B79" s="127" t="s">
        <v>28</v>
      </c>
      <c r="C79" s="873" t="s">
        <v>29</v>
      </c>
      <c r="D79" s="873">
        <v>30</v>
      </c>
      <c r="E79" s="873">
        <v>30</v>
      </c>
      <c r="F79" s="873">
        <v>30</v>
      </c>
      <c r="G79" s="873"/>
      <c r="H79" s="873"/>
    </row>
    <row r="80" spans="2:24" ht="24.6" thickBot="1">
      <c r="B80" s="127" t="s">
        <v>30</v>
      </c>
      <c r="C80" s="873"/>
      <c r="D80" s="873"/>
      <c r="E80" s="873"/>
      <c r="F80" s="873"/>
      <c r="G80" s="873"/>
      <c r="H80" s="873"/>
    </row>
    <row r="81" spans="2:24" ht="15" thickBot="1">
      <c r="B81" s="127" t="s">
        <v>1267</v>
      </c>
      <c r="C81" s="954">
        <v>500</v>
      </c>
      <c r="D81" s="954">
        <v>500</v>
      </c>
      <c r="E81" s="954">
        <v>500</v>
      </c>
      <c r="F81" s="954">
        <v>500</v>
      </c>
      <c r="G81" s="954" t="s">
        <v>25</v>
      </c>
      <c r="H81" s="873"/>
    </row>
    <row r="82" spans="2:24" ht="15" thickBot="1">
      <c r="B82" s="127" t="s">
        <v>31</v>
      </c>
      <c r="C82" s="873"/>
      <c r="D82" s="873"/>
      <c r="E82" s="873"/>
      <c r="F82" s="873"/>
      <c r="G82" s="873"/>
      <c r="H82" s="873"/>
    </row>
    <row r="83" spans="2:24">
      <c r="B83" s="36" t="s">
        <v>353</v>
      </c>
      <c r="C83" s="42">
        <f>C76*$G$4*1000</f>
        <v>3576</v>
      </c>
      <c r="D83" s="42">
        <f>D76*$G$4*1000</f>
        <v>3576</v>
      </c>
      <c r="E83" s="42">
        <f>E76*$G$4*1000</f>
        <v>3576</v>
      </c>
      <c r="F83" s="42">
        <f>F76*$G$4*1000</f>
        <v>3576</v>
      </c>
      <c r="G83" s="63" t="s">
        <v>332</v>
      </c>
      <c r="H83" s="63"/>
    </row>
    <row r="84" spans="2:24">
      <c r="B84" s="36" t="s">
        <v>354</v>
      </c>
      <c r="C84" s="42">
        <f>C83*$G84</f>
        <v>89400</v>
      </c>
      <c r="D84" s="42">
        <f>D83*$G84</f>
        <v>89400</v>
      </c>
      <c r="E84" s="42">
        <f>E83*$G84</f>
        <v>89400</v>
      </c>
      <c r="F84" s="42">
        <f>F83*$G84</f>
        <v>89400</v>
      </c>
      <c r="G84" s="67">
        <f>C64</f>
        <v>25</v>
      </c>
      <c r="H84" s="63" t="s">
        <v>330</v>
      </c>
    </row>
    <row r="85" spans="2:24">
      <c r="B85" s="36" t="s">
        <v>355</v>
      </c>
      <c r="C85" s="42">
        <f>C81*$G$4/C64</f>
        <v>149</v>
      </c>
      <c r="D85" s="42">
        <f>D81*$G$4/D64</f>
        <v>149</v>
      </c>
      <c r="E85" s="42">
        <f>E81*$G$4/E64</f>
        <v>149</v>
      </c>
      <c r="F85" s="42">
        <f>F81*$G$4/F64</f>
        <v>149</v>
      </c>
      <c r="G85" s="63" t="s">
        <v>333</v>
      </c>
      <c r="H85" s="63"/>
    </row>
    <row r="86" spans="2:24" ht="15" thickBot="1">
      <c r="B86" s="36" t="s">
        <v>356</v>
      </c>
      <c r="C86" s="42">
        <f>C82*$G$4</f>
        <v>0</v>
      </c>
      <c r="D86" s="42">
        <f>D82*$G$4</f>
        <v>0</v>
      </c>
      <c r="E86" s="42">
        <f>E82*$G$4</f>
        <v>0</v>
      </c>
      <c r="F86" s="42">
        <f>F82*$G$4</f>
        <v>0</v>
      </c>
      <c r="G86" s="66"/>
      <c r="H86" s="63"/>
    </row>
    <row r="87" spans="2:24">
      <c r="B87" s="1118" t="s">
        <v>0</v>
      </c>
      <c r="C87" s="1120" t="s">
        <v>1268</v>
      </c>
      <c r="D87" s="1121"/>
      <c r="E87" s="1121"/>
      <c r="F87" s="1121"/>
      <c r="G87" s="1121"/>
      <c r="H87" s="1122"/>
      <c r="J87" s="1120" t="str">
        <f>C87</f>
        <v>Oil burner (bio oil)</v>
      </c>
      <c r="K87" s="1121"/>
      <c r="L87" s="1121"/>
      <c r="M87" s="1121"/>
      <c r="N87" s="1121"/>
      <c r="O87" s="1122"/>
    </row>
    <row r="88" spans="2:24" ht="15" thickBot="1">
      <c r="B88" s="1119"/>
      <c r="C88" s="1001" t="s">
        <v>35</v>
      </c>
      <c r="D88" s="1002"/>
      <c r="E88" s="1002"/>
      <c r="F88" s="1002"/>
      <c r="G88" s="1002"/>
      <c r="H88" s="1003"/>
      <c r="J88" s="1001" t="str">
        <f>C88</f>
        <v>Apartment complex, new building</v>
      </c>
      <c r="K88" s="1002"/>
      <c r="L88" s="1002"/>
      <c r="M88" s="1002"/>
      <c r="N88" s="1002"/>
      <c r="O88" s="1003"/>
    </row>
    <row r="89" spans="2:24" ht="15" thickBot="1">
      <c r="B89" s="127"/>
      <c r="C89" s="873">
        <v>2015</v>
      </c>
      <c r="D89" s="873">
        <v>2020</v>
      </c>
      <c r="E89" s="873">
        <v>2030</v>
      </c>
      <c r="F89" s="873">
        <v>2050</v>
      </c>
      <c r="G89" s="873" t="s">
        <v>2</v>
      </c>
      <c r="H89" s="873" t="s">
        <v>3</v>
      </c>
      <c r="J89" s="53" t="s">
        <v>357</v>
      </c>
    </row>
    <row r="90" spans="2:24" ht="28.2" thickBot="1">
      <c r="B90" s="129" t="s">
        <v>4</v>
      </c>
      <c r="C90" s="130"/>
      <c r="D90" s="130"/>
      <c r="E90" s="130"/>
      <c r="F90" s="130"/>
      <c r="G90" s="130"/>
      <c r="H90" s="131"/>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27" t="s">
        <v>5</v>
      </c>
      <c r="C91" s="873">
        <v>400</v>
      </c>
      <c r="D91" s="873">
        <v>400</v>
      </c>
      <c r="E91" s="873">
        <v>400</v>
      </c>
      <c r="F91" s="873">
        <v>400</v>
      </c>
      <c r="G91" s="873" t="s">
        <v>6</v>
      </c>
      <c r="H91" s="873"/>
      <c r="J91" s="50"/>
      <c r="K91" s="50"/>
      <c r="L91" s="51"/>
      <c r="M91" s="51"/>
      <c r="N91" s="51"/>
      <c r="O91" s="52"/>
      <c r="P91" s="50"/>
      <c r="Q91" s="50"/>
      <c r="R91" s="50"/>
      <c r="S91" s="50"/>
      <c r="T91" s="50"/>
      <c r="U91" s="50"/>
      <c r="V91" s="50"/>
      <c r="W91" s="50"/>
      <c r="X91" s="50"/>
    </row>
    <row r="92" spans="2:24" ht="24.6" thickBot="1">
      <c r="B92" s="127" t="s">
        <v>7</v>
      </c>
      <c r="C92" s="873">
        <v>100</v>
      </c>
      <c r="D92" s="873">
        <v>100</v>
      </c>
      <c r="E92" s="873">
        <v>100</v>
      </c>
      <c r="F92" s="873">
        <v>100</v>
      </c>
      <c r="G92" s="873"/>
      <c r="H92" s="873"/>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27" t="s">
        <v>8</v>
      </c>
      <c r="C93" s="873">
        <v>100</v>
      </c>
      <c r="D93" s="873">
        <v>100</v>
      </c>
      <c r="E93" s="873">
        <v>100</v>
      </c>
      <c r="F93" s="873">
        <v>100</v>
      </c>
      <c r="G93" s="873"/>
      <c r="H93" s="873"/>
      <c r="J93" s="58">
        <f>C89</f>
        <v>2015</v>
      </c>
      <c r="K93" s="58">
        <f>J93</f>
        <v>2015</v>
      </c>
      <c r="L93" s="58">
        <f>C94/100</f>
        <v>1</v>
      </c>
      <c r="M93" s="58"/>
      <c r="N93" s="58">
        <f>C95</f>
        <v>20</v>
      </c>
      <c r="O93" s="59">
        <f>C110</f>
        <v>745.00000000000011</v>
      </c>
      <c r="P93" s="59">
        <f>C112</f>
        <v>18.625</v>
      </c>
      <c r="Q93" s="59">
        <f>C113</f>
        <v>0</v>
      </c>
      <c r="R93" s="58"/>
      <c r="S93" s="58"/>
      <c r="T93" s="58">
        <f>C97</f>
        <v>0</v>
      </c>
      <c r="U93" s="78" t="str">
        <f>C98</f>
        <v>&gt; 30</v>
      </c>
      <c r="V93" s="78">
        <f>C99</f>
        <v>0</v>
      </c>
      <c r="W93" s="78">
        <f>C100</f>
        <v>0</v>
      </c>
      <c r="X93" s="78" t="str">
        <f>C101</f>
        <v>-</v>
      </c>
    </row>
    <row r="94" spans="2:24" ht="15" thickBot="1">
      <c r="B94" s="127" t="s">
        <v>9</v>
      </c>
      <c r="C94" s="873">
        <v>100</v>
      </c>
      <c r="D94" s="873">
        <v>100</v>
      </c>
      <c r="E94" s="873">
        <v>100</v>
      </c>
      <c r="F94" s="873">
        <v>100</v>
      </c>
      <c r="G94" s="873"/>
      <c r="H94" s="873" t="s">
        <v>10</v>
      </c>
      <c r="J94" s="58">
        <f>D89</f>
        <v>2020</v>
      </c>
      <c r="K94" s="58"/>
      <c r="L94" s="58">
        <f>D94/100</f>
        <v>1</v>
      </c>
      <c r="M94" s="58"/>
      <c r="N94" s="58">
        <f>D95</f>
        <v>20</v>
      </c>
      <c r="O94" s="59">
        <f>D110</f>
        <v>745.00000000000011</v>
      </c>
      <c r="P94" s="59">
        <f>D112</f>
        <v>18.625</v>
      </c>
      <c r="Q94" s="59">
        <f>D113</f>
        <v>0</v>
      </c>
      <c r="R94" s="58"/>
      <c r="S94" s="58"/>
      <c r="T94" s="58">
        <f>D97</f>
        <v>0</v>
      </c>
      <c r="U94" s="78" t="str">
        <f>D98</f>
        <v>&gt; 30</v>
      </c>
      <c r="V94" s="78">
        <f>D99</f>
        <v>0</v>
      </c>
      <c r="W94" s="78">
        <f>D100</f>
        <v>0</v>
      </c>
      <c r="X94" s="78" t="str">
        <f>D101</f>
        <v>-</v>
      </c>
    </row>
    <row r="95" spans="2:24" ht="15" thickBot="1">
      <c r="B95" s="127" t="s">
        <v>11</v>
      </c>
      <c r="C95" s="873">
        <v>20</v>
      </c>
      <c r="D95" s="873">
        <v>20</v>
      </c>
      <c r="E95" s="873">
        <v>20</v>
      </c>
      <c r="F95" s="873">
        <v>20</v>
      </c>
      <c r="G95" s="873"/>
      <c r="H95" s="873">
        <v>4</v>
      </c>
      <c r="J95" s="58">
        <f>E89</f>
        <v>2030</v>
      </c>
      <c r="K95" s="58"/>
      <c r="L95" s="58">
        <f>E94/100</f>
        <v>1</v>
      </c>
      <c r="M95" s="58"/>
      <c r="N95" s="58">
        <f>E95</f>
        <v>20</v>
      </c>
      <c r="O95" s="59">
        <f>E110</f>
        <v>745.00000000000011</v>
      </c>
      <c r="P95" s="59">
        <f>E112</f>
        <v>18.625</v>
      </c>
      <c r="Q95" s="59">
        <f>E113</f>
        <v>0</v>
      </c>
      <c r="R95" s="58"/>
      <c r="S95" s="58"/>
      <c r="T95" s="58">
        <f>E97</f>
        <v>0</v>
      </c>
      <c r="U95" s="78" t="str">
        <f>E98</f>
        <v>&gt; 30</v>
      </c>
      <c r="V95" s="78">
        <f>E99</f>
        <v>0</v>
      </c>
      <c r="W95" s="78">
        <f>E100</f>
        <v>0</v>
      </c>
      <c r="X95" s="78" t="str">
        <f>E101</f>
        <v>-</v>
      </c>
    </row>
    <row r="96" spans="2:24" ht="15" thickBot="1">
      <c r="B96" s="129" t="s">
        <v>12</v>
      </c>
      <c r="C96" s="130"/>
      <c r="D96" s="130"/>
      <c r="E96" s="130"/>
      <c r="F96" s="130"/>
      <c r="G96" s="130"/>
      <c r="H96" s="131"/>
      <c r="J96" s="58">
        <f>F89</f>
        <v>2050</v>
      </c>
      <c r="K96" s="58"/>
      <c r="L96" s="58">
        <f>F94/100</f>
        <v>1</v>
      </c>
      <c r="M96" s="58"/>
      <c r="N96" s="58">
        <f>F95</f>
        <v>20</v>
      </c>
      <c r="O96" s="59">
        <f>F110</f>
        <v>745.00000000000011</v>
      </c>
      <c r="P96" s="59">
        <f>F112</f>
        <v>18.625</v>
      </c>
      <c r="Q96" s="59">
        <f>F113</f>
        <v>0</v>
      </c>
      <c r="R96" s="58"/>
      <c r="S96" s="58"/>
      <c r="T96" s="58">
        <f>F97</f>
        <v>0</v>
      </c>
      <c r="U96" s="78" t="str">
        <f>F98</f>
        <v>&gt; 30</v>
      </c>
      <c r="V96" s="78">
        <f>F99</f>
        <v>0</v>
      </c>
      <c r="W96" s="78">
        <f>F100</f>
        <v>0</v>
      </c>
      <c r="X96" s="78" t="str">
        <f>F101</f>
        <v>-</v>
      </c>
    </row>
    <row r="97" spans="2:8" ht="15.6" thickBot="1">
      <c r="B97" s="127" t="s">
        <v>13</v>
      </c>
      <c r="C97" s="873">
        <v>0</v>
      </c>
      <c r="D97" s="873">
        <v>0</v>
      </c>
      <c r="E97" s="873">
        <v>0</v>
      </c>
      <c r="F97" s="873">
        <v>0</v>
      </c>
      <c r="G97" s="873" t="s">
        <v>14</v>
      </c>
      <c r="H97" s="873"/>
    </row>
    <row r="98" spans="2:8" ht="15.6" thickBot="1">
      <c r="B98" s="127" t="s">
        <v>15</v>
      </c>
      <c r="C98" s="873" t="s">
        <v>1269</v>
      </c>
      <c r="D98" s="873" t="s">
        <v>1269</v>
      </c>
      <c r="E98" s="873" t="s">
        <v>1269</v>
      </c>
      <c r="F98" s="873" t="s">
        <v>1269</v>
      </c>
      <c r="G98" s="873" t="s">
        <v>16</v>
      </c>
      <c r="H98" s="873"/>
    </row>
    <row r="99" spans="2:8" ht="15.6" thickBot="1">
      <c r="B99" s="127" t="s">
        <v>17</v>
      </c>
      <c r="C99" s="873">
        <v>0</v>
      </c>
      <c r="D99" s="873">
        <v>0</v>
      </c>
      <c r="E99" s="873">
        <v>0</v>
      </c>
      <c r="F99" s="873">
        <v>0</v>
      </c>
      <c r="G99" s="873"/>
      <c r="H99" s="873"/>
    </row>
    <row r="100" spans="2:8" ht="15.6" thickBot="1">
      <c r="B100" s="127" t="s">
        <v>18</v>
      </c>
      <c r="C100" s="873">
        <v>0</v>
      </c>
      <c r="D100" s="873">
        <v>0</v>
      </c>
      <c r="E100" s="873">
        <v>0</v>
      </c>
      <c r="F100" s="873">
        <v>0</v>
      </c>
      <c r="G100" s="873"/>
      <c r="H100" s="873"/>
    </row>
    <row r="101" spans="2:8" ht="15" thickBot="1">
      <c r="B101" s="127" t="s">
        <v>19</v>
      </c>
      <c r="C101" s="873" t="s">
        <v>36</v>
      </c>
      <c r="D101" s="873" t="s">
        <v>36</v>
      </c>
      <c r="E101" s="873" t="s">
        <v>36</v>
      </c>
      <c r="F101" s="873" t="s">
        <v>36</v>
      </c>
      <c r="G101" s="873" t="s">
        <v>20</v>
      </c>
      <c r="H101" s="873" t="s">
        <v>21</v>
      </c>
    </row>
    <row r="102" spans="2:8" ht="15" thickBot="1">
      <c r="B102" s="129" t="s">
        <v>22</v>
      </c>
      <c r="C102" s="130"/>
      <c r="D102" s="130"/>
      <c r="E102" s="130"/>
      <c r="F102" s="130"/>
      <c r="G102" s="68" t="s">
        <v>329</v>
      </c>
      <c r="H102" s="873"/>
    </row>
    <row r="103" spans="2:8" ht="15" thickBot="1">
      <c r="B103" s="127" t="s">
        <v>23</v>
      </c>
      <c r="C103" s="43">
        <f>C104/C91</f>
        <v>0.1</v>
      </c>
      <c r="D103" s="43">
        <f>D104/D91</f>
        <v>0.1</v>
      </c>
      <c r="E103" s="43">
        <f>E104/E91</f>
        <v>0.1</v>
      </c>
      <c r="F103" s="43">
        <f>F104/F91</f>
        <v>0.1</v>
      </c>
      <c r="G103" s="73">
        <f>G111</f>
        <v>400</v>
      </c>
      <c r="H103" s="73" t="str">
        <f>H111</f>
        <v>kW</v>
      </c>
    </row>
    <row r="104" spans="2:8">
      <c r="B104" s="132" t="s">
        <v>1270</v>
      </c>
      <c r="C104" s="133">
        <v>40</v>
      </c>
      <c r="D104" s="133">
        <v>40</v>
      </c>
      <c r="E104" s="133">
        <v>40</v>
      </c>
      <c r="F104" s="133">
        <v>40</v>
      </c>
      <c r="G104" s="133" t="s">
        <v>25</v>
      </c>
      <c r="H104" s="133"/>
    </row>
    <row r="105" spans="2:8">
      <c r="B105" s="132" t="s">
        <v>26</v>
      </c>
      <c r="C105" s="133" t="s">
        <v>27</v>
      </c>
      <c r="D105" s="133">
        <v>70</v>
      </c>
      <c r="E105" s="133">
        <v>70</v>
      </c>
      <c r="F105" s="133">
        <v>70</v>
      </c>
      <c r="G105" s="133"/>
      <c r="H105" s="133"/>
    </row>
    <row r="106" spans="2:8" ht="15" thickBot="1">
      <c r="B106" s="127" t="s">
        <v>28</v>
      </c>
      <c r="C106" s="873" t="s">
        <v>29</v>
      </c>
      <c r="D106" s="873">
        <v>30</v>
      </c>
      <c r="E106" s="873">
        <v>30</v>
      </c>
      <c r="F106" s="873">
        <v>30</v>
      </c>
      <c r="G106" s="873"/>
      <c r="H106" s="873"/>
    </row>
    <row r="107" spans="2:8" ht="24.6" thickBot="1">
      <c r="B107" s="127" t="s">
        <v>30</v>
      </c>
      <c r="C107" s="873"/>
      <c r="D107" s="873"/>
      <c r="E107" s="873"/>
      <c r="F107" s="873"/>
      <c r="G107" s="873"/>
      <c r="H107" s="873"/>
    </row>
    <row r="108" spans="2:8" ht="15" thickBot="1">
      <c r="B108" s="127" t="s">
        <v>1267</v>
      </c>
      <c r="C108" s="954">
        <v>1000</v>
      </c>
      <c r="D108" s="954">
        <v>1000</v>
      </c>
      <c r="E108" s="954">
        <v>1000</v>
      </c>
      <c r="F108" s="954">
        <v>1000</v>
      </c>
      <c r="G108" s="954" t="s">
        <v>25</v>
      </c>
      <c r="H108" s="873"/>
    </row>
    <row r="109" spans="2:8" ht="15" thickBot="1">
      <c r="B109" s="127" t="s">
        <v>31</v>
      </c>
      <c r="C109" s="873"/>
      <c r="D109" s="873"/>
      <c r="E109" s="873"/>
      <c r="F109" s="873"/>
      <c r="G109" s="873"/>
      <c r="H109" s="873"/>
    </row>
    <row r="110" spans="2:8">
      <c r="B110" s="36" t="s">
        <v>353</v>
      </c>
      <c r="C110" s="42">
        <f>C103*$G$4*1000</f>
        <v>745.00000000000011</v>
      </c>
      <c r="D110" s="42">
        <f>D103*$G$4*1000</f>
        <v>745.00000000000011</v>
      </c>
      <c r="E110" s="42">
        <f>E103*$G$4*1000</f>
        <v>745.00000000000011</v>
      </c>
      <c r="F110" s="42">
        <f>F103*$G$4*1000</f>
        <v>745.00000000000011</v>
      </c>
      <c r="G110" s="63" t="s">
        <v>332</v>
      </c>
      <c r="H110" s="63"/>
    </row>
    <row r="111" spans="2:8">
      <c r="B111" s="36" t="s">
        <v>354</v>
      </c>
      <c r="C111" s="42">
        <f>C110*$G111</f>
        <v>298000.00000000006</v>
      </c>
      <c r="D111" s="42">
        <f>D110*$G111</f>
        <v>298000.00000000006</v>
      </c>
      <c r="E111" s="42">
        <f>E110*$G111</f>
        <v>298000.00000000006</v>
      </c>
      <c r="F111" s="42">
        <f>F110*$G111</f>
        <v>298000.00000000006</v>
      </c>
      <c r="G111" s="67">
        <f>C91</f>
        <v>400</v>
      </c>
      <c r="H111" s="63" t="s">
        <v>330</v>
      </c>
    </row>
    <row r="112" spans="2:8">
      <c r="B112" s="36" t="s">
        <v>355</v>
      </c>
      <c r="C112" s="42">
        <f>C108*$G$4/C91</f>
        <v>18.625</v>
      </c>
      <c r="D112" s="42">
        <f>D108*$G$4/D91</f>
        <v>18.625</v>
      </c>
      <c r="E112" s="42">
        <f>E108*$G$4/E91</f>
        <v>18.625</v>
      </c>
      <c r="F112" s="42">
        <f>F108*$G$4/F91</f>
        <v>18.625</v>
      </c>
      <c r="G112" s="63" t="s">
        <v>333</v>
      </c>
      <c r="H112" s="63"/>
    </row>
    <row r="113" spans="2:8" ht="15" thickBot="1">
      <c r="B113" s="36" t="s">
        <v>356</v>
      </c>
      <c r="C113" s="42">
        <f>C109*$G$4</f>
        <v>0</v>
      </c>
      <c r="D113" s="42">
        <f>D109*$G$4</f>
        <v>0</v>
      </c>
      <c r="E113" s="42">
        <f>E109*$G$4</f>
        <v>0</v>
      </c>
      <c r="F113" s="42">
        <f>F109*$G$4</f>
        <v>0</v>
      </c>
      <c r="G113" s="66"/>
      <c r="H113" s="63"/>
    </row>
    <row r="156" spans="7:7">
      <c r="G156" s="226" t="s">
        <v>665</v>
      </c>
    </row>
  </sheetData>
  <mergeCells count="20">
    <mergeCell ref="B60:B61"/>
    <mergeCell ref="C60:H60"/>
    <mergeCell ref="J60:O60"/>
    <mergeCell ref="C61:H61"/>
    <mergeCell ref="J61:O61"/>
    <mergeCell ref="B87:B88"/>
    <mergeCell ref="C87:H87"/>
    <mergeCell ref="J87:O87"/>
    <mergeCell ref="C88:H88"/>
    <mergeCell ref="J88:O88"/>
    <mergeCell ref="B6:B7"/>
    <mergeCell ref="C6:H6"/>
    <mergeCell ref="J6:O6"/>
    <mergeCell ref="C7:H7"/>
    <mergeCell ref="J7:O7"/>
    <mergeCell ref="B33:B34"/>
    <mergeCell ref="C33:H33"/>
    <mergeCell ref="J33:O33"/>
    <mergeCell ref="C34:H34"/>
    <mergeCell ref="J34:O34"/>
  </mergeCells>
  <pageMargins left="0.7" right="0.7" top="0.75" bottom="0.75" header="0.3" footer="0.3"/>
  <pageSetup paperSize="9" orientation="portrait"/>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4"/>
  </sheetPr>
  <dimension ref="B2:X156"/>
  <sheetViews>
    <sheetView workbookViewId="0">
      <selection activeCell="J26" sqref="J26"/>
    </sheetView>
  </sheetViews>
  <sheetFormatPr defaultRowHeight="14.4"/>
  <cols>
    <col min="2" max="2" width="36.6640625" customWidth="1"/>
    <col min="3" max="6" width="11" bestFit="1" customWidth="1"/>
  </cols>
  <sheetData>
    <row r="2" spans="2:24">
      <c r="B2" s="8" t="s">
        <v>308</v>
      </c>
    </row>
    <row r="4" spans="2:24" ht="15" thickBot="1">
      <c r="E4" t="s">
        <v>358</v>
      </c>
      <c r="G4" s="36">
        <v>7.45</v>
      </c>
      <c r="H4" t="s">
        <v>328</v>
      </c>
    </row>
    <row r="5" spans="2:24" ht="15" customHeight="1">
      <c r="B5" s="1118" t="s">
        <v>0</v>
      </c>
      <c r="C5" s="1120" t="s">
        <v>37</v>
      </c>
      <c r="D5" s="1121"/>
      <c r="E5" s="1121"/>
      <c r="F5" s="1121"/>
      <c r="G5" s="1121"/>
      <c r="H5" s="1122"/>
      <c r="J5" s="1120" t="str">
        <f>C5</f>
        <v>Natural gas boiler</v>
      </c>
      <c r="K5" s="1121"/>
      <c r="L5" s="1121"/>
      <c r="M5" s="1121"/>
      <c r="N5" s="1121"/>
      <c r="O5" s="1122"/>
    </row>
    <row r="6" spans="2:24" ht="15.75" customHeight="1" thickBot="1">
      <c r="B6" s="1119"/>
      <c r="C6" s="1001" t="s">
        <v>38</v>
      </c>
      <c r="D6" s="1002"/>
      <c r="E6" s="1002"/>
      <c r="F6" s="1002"/>
      <c r="G6" s="1002"/>
      <c r="H6" s="1003"/>
      <c r="J6" s="1001" t="str">
        <f>C6</f>
        <v>One-family house, existing and new building</v>
      </c>
      <c r="K6" s="1002"/>
      <c r="L6" s="1002"/>
      <c r="M6" s="1002"/>
      <c r="N6" s="1002"/>
      <c r="O6" s="1003"/>
    </row>
    <row r="7" spans="2:24" ht="15" thickBot="1">
      <c r="B7" s="1"/>
      <c r="C7" s="80">
        <v>2015</v>
      </c>
      <c r="D7" s="80">
        <v>2020</v>
      </c>
      <c r="E7" s="80">
        <v>2030</v>
      </c>
      <c r="F7" s="80">
        <v>2050</v>
      </c>
      <c r="G7" s="80" t="s">
        <v>2</v>
      </c>
      <c r="H7" s="80" t="s">
        <v>3</v>
      </c>
      <c r="J7" s="53" t="s">
        <v>357</v>
      </c>
    </row>
    <row r="8" spans="2:24" ht="28.2" thickBot="1">
      <c r="B8" s="129" t="s">
        <v>4</v>
      </c>
      <c r="C8" s="130"/>
      <c r="D8" s="130"/>
      <c r="E8" s="130"/>
      <c r="F8" s="130"/>
      <c r="G8" s="130"/>
      <c r="H8" s="131"/>
      <c r="J8" s="46" t="s">
        <v>335</v>
      </c>
      <c r="K8" s="46" t="s">
        <v>336</v>
      </c>
      <c r="L8" s="47" t="s">
        <v>337</v>
      </c>
      <c r="M8" s="47" t="s">
        <v>338</v>
      </c>
      <c r="N8" s="47" t="s">
        <v>339</v>
      </c>
      <c r="O8" s="48" t="s">
        <v>340</v>
      </c>
      <c r="P8" s="49" t="s">
        <v>341</v>
      </c>
      <c r="Q8" s="49" t="s">
        <v>342</v>
      </c>
      <c r="R8" s="49" t="s">
        <v>343</v>
      </c>
      <c r="S8" s="49" t="s">
        <v>344</v>
      </c>
      <c r="T8" s="49" t="s">
        <v>345</v>
      </c>
      <c r="U8" s="49" t="s">
        <v>346</v>
      </c>
      <c r="V8" s="49" t="s">
        <v>347</v>
      </c>
      <c r="W8" s="49" t="s">
        <v>348</v>
      </c>
      <c r="X8" s="49" t="s">
        <v>349</v>
      </c>
    </row>
    <row r="9" spans="2:24" ht="15" thickBot="1">
      <c r="B9" s="127" t="s">
        <v>5</v>
      </c>
      <c r="C9" s="140" t="s">
        <v>277</v>
      </c>
      <c r="D9" s="140" t="s">
        <v>278</v>
      </c>
      <c r="E9" s="140" t="s">
        <v>279</v>
      </c>
      <c r="F9" s="140" t="s">
        <v>280</v>
      </c>
      <c r="G9" s="134"/>
      <c r="H9" s="134"/>
      <c r="J9" s="50"/>
      <c r="K9" s="50"/>
      <c r="L9" s="51"/>
      <c r="M9" s="51"/>
      <c r="N9" s="51"/>
      <c r="O9" s="52"/>
      <c r="P9" s="50"/>
      <c r="Q9" s="50"/>
      <c r="R9" s="50"/>
      <c r="S9" s="50"/>
      <c r="T9" s="50"/>
      <c r="U9" s="50"/>
      <c r="V9" s="50"/>
      <c r="W9" s="50"/>
      <c r="X9" s="50"/>
    </row>
    <row r="10" spans="2:24" ht="72.599999999999994" thickBot="1">
      <c r="B10" s="127" t="s">
        <v>7</v>
      </c>
      <c r="C10" s="134">
        <v>100</v>
      </c>
      <c r="D10" s="134">
        <v>100</v>
      </c>
      <c r="E10" s="134">
        <v>100</v>
      </c>
      <c r="F10" s="134">
        <v>100</v>
      </c>
      <c r="G10" s="134"/>
      <c r="H10" s="134"/>
      <c r="I10" s="74" t="str">
        <f>B12</f>
        <v>Total efficiency, annual average, net (%)</v>
      </c>
      <c r="J10" s="56"/>
      <c r="K10" s="56"/>
      <c r="L10" s="57"/>
      <c r="M10" s="57"/>
      <c r="N10" s="57"/>
      <c r="O10" s="56" t="s">
        <v>350</v>
      </c>
      <c r="P10" s="56" t="s">
        <v>326</v>
      </c>
      <c r="Q10" s="56" t="s">
        <v>327</v>
      </c>
      <c r="R10" s="56" t="s">
        <v>351</v>
      </c>
      <c r="S10" s="56" t="s">
        <v>351</v>
      </c>
      <c r="T10" s="56" t="s">
        <v>352</v>
      </c>
      <c r="U10" s="56" t="s">
        <v>352</v>
      </c>
      <c r="V10" s="56" t="s">
        <v>352</v>
      </c>
      <c r="W10" s="56" t="s">
        <v>352</v>
      </c>
      <c r="X10" s="56" t="s">
        <v>352</v>
      </c>
    </row>
    <row r="11" spans="2:24" ht="24.6" thickBot="1">
      <c r="B11" s="127" t="s">
        <v>8</v>
      </c>
      <c r="C11" s="134">
        <v>100</v>
      </c>
      <c r="D11" s="134">
        <v>100</v>
      </c>
      <c r="E11" s="134">
        <v>100</v>
      </c>
      <c r="F11" s="134">
        <v>100</v>
      </c>
      <c r="G11" s="134"/>
      <c r="H11" s="134"/>
    </row>
    <row r="12" spans="2:24" ht="15" thickBot="1">
      <c r="B12" s="127" t="s">
        <v>9</v>
      </c>
      <c r="C12" s="134" t="s">
        <v>39</v>
      </c>
      <c r="D12" s="134" t="s">
        <v>39</v>
      </c>
      <c r="E12" s="134" t="s">
        <v>39</v>
      </c>
      <c r="F12" s="134" t="s">
        <v>39</v>
      </c>
      <c r="G12" s="134" t="s">
        <v>6</v>
      </c>
      <c r="H12" s="134">
        <v>1</v>
      </c>
      <c r="I12" s="71">
        <f>102</f>
        <v>102</v>
      </c>
      <c r="J12" s="58">
        <f>C7</f>
        <v>2015</v>
      </c>
      <c r="K12" s="58">
        <f>J12</f>
        <v>2015</v>
      </c>
      <c r="L12" s="58">
        <f>I12/100</f>
        <v>1.02</v>
      </c>
      <c r="M12" s="58"/>
      <c r="N12" s="58">
        <f>C14</f>
        <v>22</v>
      </c>
      <c r="O12" s="59">
        <f>C29</f>
        <v>2980.0000000000005</v>
      </c>
      <c r="P12" s="59">
        <f>C31</f>
        <v>100.575</v>
      </c>
      <c r="Q12" s="59">
        <f>C32</f>
        <v>14.9</v>
      </c>
      <c r="R12" s="58"/>
      <c r="S12" s="58"/>
      <c r="T12" s="58">
        <f>C16</f>
        <v>0</v>
      </c>
      <c r="U12" s="78">
        <f>C17</f>
        <v>20</v>
      </c>
      <c r="V12" s="78">
        <f>C18</f>
        <v>2</v>
      </c>
      <c r="W12" s="78">
        <f>C19</f>
        <v>0</v>
      </c>
      <c r="X12" s="78">
        <f>C20</f>
        <v>0</v>
      </c>
    </row>
    <row r="13" spans="2:24" ht="15" thickBot="1">
      <c r="B13" s="127" t="s">
        <v>40</v>
      </c>
      <c r="C13" s="134" t="s">
        <v>41</v>
      </c>
      <c r="D13" s="134" t="s">
        <v>42</v>
      </c>
      <c r="E13" s="134" t="s">
        <v>43</v>
      </c>
      <c r="F13" s="134" t="s">
        <v>44</v>
      </c>
      <c r="G13" s="134"/>
      <c r="H13" s="134"/>
      <c r="I13" s="71">
        <f>102</f>
        <v>102</v>
      </c>
      <c r="J13" s="58">
        <f>D7</f>
        <v>2020</v>
      </c>
      <c r="K13" s="58"/>
      <c r="L13" s="58">
        <f>I13/100</f>
        <v>1.02</v>
      </c>
      <c r="M13" s="58"/>
      <c r="N13" s="58">
        <f>D14</f>
        <v>22</v>
      </c>
      <c r="O13" s="59">
        <f>D29</f>
        <v>2980.0000000000005</v>
      </c>
      <c r="P13" s="59">
        <f>D31</f>
        <v>100.575</v>
      </c>
      <c r="Q13" s="59">
        <f>D32</f>
        <v>14.9</v>
      </c>
      <c r="R13" s="58"/>
      <c r="S13" s="58"/>
      <c r="T13" s="58">
        <f>D16</f>
        <v>0</v>
      </c>
      <c r="U13" s="78">
        <f>D17</f>
        <v>10</v>
      </c>
      <c r="V13" s="78">
        <f>D18</f>
        <v>1</v>
      </c>
      <c r="W13" s="78">
        <f>D19</f>
        <v>0</v>
      </c>
      <c r="X13" s="78">
        <f>D20</f>
        <v>0</v>
      </c>
    </row>
    <row r="14" spans="2:24" ht="15" thickBot="1">
      <c r="B14" s="127" t="s">
        <v>11</v>
      </c>
      <c r="C14" s="134">
        <v>22</v>
      </c>
      <c r="D14" s="134">
        <v>22</v>
      </c>
      <c r="E14" s="134">
        <v>22</v>
      </c>
      <c r="F14" s="134">
        <v>22</v>
      </c>
      <c r="G14" s="134" t="s">
        <v>45</v>
      </c>
      <c r="H14" s="134">
        <v>2</v>
      </c>
      <c r="I14" s="71">
        <f>102</f>
        <v>102</v>
      </c>
      <c r="J14" s="58">
        <f>E7</f>
        <v>2030</v>
      </c>
      <c r="K14" s="58"/>
      <c r="L14" s="58">
        <f>I14/100</f>
        <v>1.02</v>
      </c>
      <c r="M14" s="58"/>
      <c r="N14" s="58">
        <f>E14</f>
        <v>22</v>
      </c>
      <c r="O14" s="59">
        <f>E29</f>
        <v>2980.0000000000005</v>
      </c>
      <c r="P14" s="59">
        <f>E31</f>
        <v>100.575</v>
      </c>
      <c r="Q14" s="59">
        <f>E32</f>
        <v>14.9</v>
      </c>
      <c r="R14" s="58"/>
      <c r="S14" s="58"/>
      <c r="T14" s="58">
        <f>E16</f>
        <v>0</v>
      </c>
      <c r="U14" s="78">
        <f>E17</f>
        <v>5</v>
      </c>
      <c r="V14" s="78">
        <f>E18</f>
        <v>0.5</v>
      </c>
      <c r="W14" s="78">
        <f>E19</f>
        <v>0</v>
      </c>
      <c r="X14" s="78">
        <f>E20</f>
        <v>0</v>
      </c>
    </row>
    <row r="15" spans="2:24" ht="15" thickBot="1">
      <c r="B15" s="129" t="s">
        <v>12</v>
      </c>
      <c r="C15" s="130"/>
      <c r="D15" s="130"/>
      <c r="E15" s="130"/>
      <c r="F15" s="130"/>
      <c r="G15" s="130"/>
      <c r="H15" s="131"/>
      <c r="I15" s="71">
        <f>102</f>
        <v>102</v>
      </c>
      <c r="J15" s="58">
        <f>F7</f>
        <v>2050</v>
      </c>
      <c r="K15" s="58"/>
      <c r="L15" s="58">
        <f>I15/100</f>
        <v>1.02</v>
      </c>
      <c r="M15" s="58"/>
      <c r="N15" s="58">
        <f>F14</f>
        <v>22</v>
      </c>
      <c r="O15" s="59">
        <f>F29</f>
        <v>2980.0000000000005</v>
      </c>
      <c r="P15" s="59">
        <f>F31</f>
        <v>100.575</v>
      </c>
      <c r="Q15" s="59">
        <f>F32</f>
        <v>14.9</v>
      </c>
      <c r="R15" s="58"/>
      <c r="S15" s="58"/>
      <c r="T15" s="58">
        <f>F16</f>
        <v>0</v>
      </c>
      <c r="U15" s="78">
        <f>F17</f>
        <v>5</v>
      </c>
      <c r="V15" s="78">
        <f>F18</f>
        <v>0.5</v>
      </c>
      <c r="W15" s="78">
        <f>F19</f>
        <v>0</v>
      </c>
      <c r="X15" s="78">
        <f>F20</f>
        <v>0</v>
      </c>
    </row>
    <row r="16" spans="2:24" ht="15.6" thickBot="1">
      <c r="B16" s="127" t="s">
        <v>13</v>
      </c>
      <c r="C16" s="35">
        <v>0</v>
      </c>
      <c r="D16" s="35">
        <v>0</v>
      </c>
      <c r="E16" s="35">
        <v>0</v>
      </c>
      <c r="F16" s="35">
        <v>0</v>
      </c>
      <c r="G16" s="128"/>
      <c r="H16" s="128">
        <v>5</v>
      </c>
    </row>
    <row r="17" spans="2:10" ht="15.6" thickBot="1">
      <c r="B17" s="127" t="s">
        <v>15</v>
      </c>
      <c r="C17" s="128">
        <v>20</v>
      </c>
      <c r="D17" s="128">
        <v>10</v>
      </c>
      <c r="E17" s="128">
        <v>5</v>
      </c>
      <c r="F17" s="43">
        <f>E17</f>
        <v>5</v>
      </c>
      <c r="G17" s="128" t="s">
        <v>46</v>
      </c>
      <c r="H17" s="128">
        <v>4</v>
      </c>
    </row>
    <row r="18" spans="2:10" ht="15.6" thickBot="1">
      <c r="B18" s="127" t="s">
        <v>17</v>
      </c>
      <c r="C18" s="128">
        <v>2</v>
      </c>
      <c r="D18" s="128">
        <v>1</v>
      </c>
      <c r="E18" s="128">
        <v>0.5</v>
      </c>
      <c r="F18" s="43">
        <f>E18</f>
        <v>0.5</v>
      </c>
      <c r="G18" s="128" t="s">
        <v>25</v>
      </c>
      <c r="H18" s="128">
        <v>5</v>
      </c>
    </row>
    <row r="19" spans="2:10" ht="15.6" thickBot="1">
      <c r="B19" s="127" t="s">
        <v>18</v>
      </c>
      <c r="C19" s="35">
        <v>0</v>
      </c>
      <c r="D19" s="35">
        <v>0</v>
      </c>
      <c r="E19" s="35">
        <v>0</v>
      </c>
      <c r="F19" s="35">
        <v>0</v>
      </c>
      <c r="G19" s="128"/>
      <c r="H19" s="128"/>
    </row>
    <row r="20" spans="2:10" ht="15" thickBot="1">
      <c r="B20" s="127" t="s">
        <v>19</v>
      </c>
      <c r="C20" s="35">
        <v>0</v>
      </c>
      <c r="D20" s="35">
        <v>0</v>
      </c>
      <c r="E20" s="35">
        <v>0</v>
      </c>
      <c r="F20" s="35">
        <v>0</v>
      </c>
      <c r="G20" s="128"/>
      <c r="H20" s="128"/>
      <c r="I20" s="64"/>
      <c r="J20" s="64"/>
    </row>
    <row r="21" spans="2:10" ht="15" thickBot="1">
      <c r="B21" s="3" t="s">
        <v>22</v>
      </c>
      <c r="C21" s="44" t="s">
        <v>325</v>
      </c>
      <c r="D21" s="4"/>
      <c r="E21" s="4"/>
      <c r="F21" s="4"/>
      <c r="G21" s="68" t="s">
        <v>329</v>
      </c>
      <c r="H21" s="39"/>
      <c r="I21" s="64"/>
      <c r="J21" s="64"/>
    </row>
    <row r="22" spans="2:10" ht="15" thickBot="1">
      <c r="B22" s="1" t="s">
        <v>23</v>
      </c>
      <c r="C22" s="43">
        <f>C23/$G30</f>
        <v>0.4</v>
      </c>
      <c r="D22" s="43">
        <f>D23/$G30</f>
        <v>0.4</v>
      </c>
      <c r="E22" s="43">
        <f>E23/$G30</f>
        <v>0.4</v>
      </c>
      <c r="F22" s="43">
        <f>F23/$G30</f>
        <v>0.4</v>
      </c>
      <c r="G22" s="73">
        <f>G30</f>
        <v>10</v>
      </c>
      <c r="H22" s="73" t="str">
        <f>H30</f>
        <v>kW</v>
      </c>
      <c r="I22" s="64"/>
      <c r="J22" s="64"/>
    </row>
    <row r="23" spans="2:10">
      <c r="B23" s="142" t="s">
        <v>24</v>
      </c>
      <c r="C23" s="137">
        <v>4</v>
      </c>
      <c r="D23" s="137">
        <v>4</v>
      </c>
      <c r="E23" s="137">
        <v>4</v>
      </c>
      <c r="F23" s="137">
        <v>4</v>
      </c>
      <c r="G23" s="137" t="s">
        <v>33</v>
      </c>
      <c r="H23" s="137"/>
      <c r="I23" s="64"/>
      <c r="J23" s="64"/>
    </row>
    <row r="24" spans="2:10">
      <c r="B24" s="143" t="s">
        <v>26</v>
      </c>
      <c r="C24" s="138" t="s">
        <v>47</v>
      </c>
      <c r="D24" s="138">
        <v>45</v>
      </c>
      <c r="E24" s="138">
        <v>45</v>
      </c>
      <c r="F24" s="138">
        <v>45</v>
      </c>
      <c r="G24" s="138"/>
      <c r="H24" s="138"/>
      <c r="I24" s="64"/>
      <c r="J24" s="64"/>
    </row>
    <row r="25" spans="2:10" ht="15" thickBot="1">
      <c r="B25" s="144" t="s">
        <v>28</v>
      </c>
      <c r="C25" s="139" t="s">
        <v>48</v>
      </c>
      <c r="D25" s="139">
        <v>55</v>
      </c>
      <c r="E25" s="139">
        <v>55</v>
      </c>
      <c r="F25" s="139">
        <v>55</v>
      </c>
      <c r="G25" s="139"/>
      <c r="H25" s="139"/>
      <c r="I25" s="64"/>
      <c r="J25" s="64"/>
    </row>
    <row r="26" spans="2:10" ht="23.4" thickBot="1">
      <c r="B26" s="144" t="s">
        <v>30</v>
      </c>
      <c r="C26" s="139">
        <v>2</v>
      </c>
      <c r="D26" s="139">
        <v>2</v>
      </c>
      <c r="E26" s="139">
        <v>2</v>
      </c>
      <c r="F26" s="139">
        <v>2</v>
      </c>
      <c r="G26" s="139" t="s">
        <v>49</v>
      </c>
      <c r="H26" s="139">
        <v>6</v>
      </c>
      <c r="I26" s="64"/>
      <c r="J26" s="64"/>
    </row>
    <row r="27" spans="2:10" ht="15" thickBot="1">
      <c r="B27" s="144" t="s">
        <v>64</v>
      </c>
      <c r="C27" s="139">
        <v>135</v>
      </c>
      <c r="D27" s="139">
        <v>135</v>
      </c>
      <c r="E27" s="139">
        <v>135</v>
      </c>
      <c r="F27" s="139">
        <v>135</v>
      </c>
      <c r="G27" s="139" t="s">
        <v>51</v>
      </c>
      <c r="H27" s="139"/>
      <c r="I27" s="64"/>
      <c r="J27" s="64"/>
    </row>
    <row r="28" spans="2:10" ht="15" thickBot="1">
      <c r="B28" s="144" t="s">
        <v>130</v>
      </c>
      <c r="C28" s="139">
        <v>100</v>
      </c>
      <c r="D28" s="139">
        <v>100</v>
      </c>
      <c r="E28" s="139">
        <v>100</v>
      </c>
      <c r="F28" s="139">
        <v>100</v>
      </c>
      <c r="G28" s="139" t="s">
        <v>52</v>
      </c>
      <c r="H28" s="139"/>
      <c r="I28" s="64"/>
      <c r="J28" s="64"/>
    </row>
    <row r="29" spans="2:10">
      <c r="B29" s="36" t="s">
        <v>353</v>
      </c>
      <c r="C29" s="42">
        <f t="shared" ref="C29:F30" si="0">C22*$G$4*1000</f>
        <v>2980.0000000000005</v>
      </c>
      <c r="D29" s="42">
        <f t="shared" si="0"/>
        <v>2980.0000000000005</v>
      </c>
      <c r="E29" s="42">
        <f t="shared" si="0"/>
        <v>2980.0000000000005</v>
      </c>
      <c r="F29" s="42">
        <f t="shared" si="0"/>
        <v>2980.0000000000005</v>
      </c>
      <c r="G29" s="63" t="s">
        <v>332</v>
      </c>
      <c r="H29" s="63"/>
      <c r="I29" s="64"/>
      <c r="J29" s="64"/>
    </row>
    <row r="30" spans="2:10">
      <c r="B30" s="36" t="s">
        <v>354</v>
      </c>
      <c r="C30" s="45">
        <f t="shared" si="0"/>
        <v>29800</v>
      </c>
      <c r="D30" s="42">
        <f t="shared" si="0"/>
        <v>29800</v>
      </c>
      <c r="E30" s="42">
        <f t="shared" si="0"/>
        <v>29800</v>
      </c>
      <c r="F30" s="42">
        <f t="shared" si="0"/>
        <v>29800</v>
      </c>
      <c r="G30" s="67">
        <v>10</v>
      </c>
      <c r="H30" s="63" t="s">
        <v>330</v>
      </c>
      <c r="I30" s="64"/>
      <c r="J30" s="64"/>
    </row>
    <row r="31" spans="2:10">
      <c r="B31" s="36" t="s">
        <v>355</v>
      </c>
      <c r="C31" s="42">
        <f>C27*$G$4/$G$30</f>
        <v>100.575</v>
      </c>
      <c r="D31" s="42">
        <f>D27*$G$4/$G$30</f>
        <v>100.575</v>
      </c>
      <c r="E31" s="42">
        <f>E27*$G$4/$G$30</f>
        <v>100.575</v>
      </c>
      <c r="F31" s="42">
        <f>F27*$G$4/$G$30</f>
        <v>100.575</v>
      </c>
      <c r="G31" s="63" t="s">
        <v>333</v>
      </c>
      <c r="H31" s="63"/>
    </row>
    <row r="32" spans="2:10" ht="15" thickBot="1">
      <c r="B32" s="36" t="s">
        <v>356</v>
      </c>
      <c r="C32" s="36">
        <f>C28*$G$4/50</f>
        <v>14.9</v>
      </c>
      <c r="D32" s="36">
        <f>D28*$G$4/50</f>
        <v>14.9</v>
      </c>
      <c r="E32" s="36">
        <f>E28*$G$4/50</f>
        <v>14.9</v>
      </c>
      <c r="F32" s="36">
        <f>F28*$G$4/50</f>
        <v>14.9</v>
      </c>
      <c r="G32" s="66"/>
      <c r="H32" s="63"/>
    </row>
    <row r="33" spans="2:24" ht="15" customHeight="1">
      <c r="B33" s="1118" t="s">
        <v>0</v>
      </c>
      <c r="C33" s="1120" t="s">
        <v>37</v>
      </c>
      <c r="D33" s="1121"/>
      <c r="E33" s="1121"/>
      <c r="F33" s="1121"/>
      <c r="G33" s="1121"/>
      <c r="H33" s="1122"/>
      <c r="J33" s="1120" t="str">
        <f>C33</f>
        <v>Natural gas boiler</v>
      </c>
      <c r="K33" s="1121"/>
      <c r="L33" s="1121"/>
      <c r="M33" s="1121"/>
      <c r="N33" s="1121"/>
      <c r="O33" s="1122"/>
    </row>
    <row r="34" spans="2:24" ht="15.75" customHeight="1" thickBot="1">
      <c r="B34" s="1119"/>
      <c r="C34" s="1001" t="s">
        <v>53</v>
      </c>
      <c r="D34" s="1002"/>
      <c r="E34" s="1002"/>
      <c r="F34" s="1002"/>
      <c r="G34" s="1002"/>
      <c r="H34" s="1003"/>
      <c r="J34" s="1001" t="str">
        <f>C34</f>
        <v>Apartment complex, existing and new building</v>
      </c>
      <c r="K34" s="1002"/>
      <c r="L34" s="1002"/>
      <c r="M34" s="1002"/>
      <c r="N34" s="1002"/>
      <c r="O34" s="1003"/>
    </row>
    <row r="35" spans="2:24" ht="15" thickBot="1">
      <c r="B35" s="1"/>
      <c r="C35" s="80">
        <v>2015</v>
      </c>
      <c r="D35" s="80">
        <v>2020</v>
      </c>
      <c r="E35" s="80">
        <v>2030</v>
      </c>
      <c r="F35" s="80">
        <v>2050</v>
      </c>
      <c r="G35" s="80" t="s">
        <v>2</v>
      </c>
      <c r="H35" s="80" t="s">
        <v>3</v>
      </c>
      <c r="J35" s="53" t="s">
        <v>357</v>
      </c>
    </row>
    <row r="36" spans="2:24" ht="28.2" thickBot="1">
      <c r="B36" s="129" t="s">
        <v>4</v>
      </c>
      <c r="C36" s="130"/>
      <c r="D36" s="130"/>
      <c r="E36" s="130"/>
      <c r="F36" s="130"/>
      <c r="G36" s="130"/>
      <c r="H36" s="131"/>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27" t="s">
        <v>5</v>
      </c>
      <c r="C37" s="128" t="s">
        <v>54</v>
      </c>
      <c r="D37" s="128" t="s">
        <v>54</v>
      </c>
      <c r="E37" s="128" t="s">
        <v>54</v>
      </c>
      <c r="F37" s="128" t="s">
        <v>54</v>
      </c>
      <c r="G37" s="128"/>
      <c r="H37" s="128"/>
      <c r="J37" s="50"/>
      <c r="K37" s="50"/>
      <c r="L37" s="51"/>
      <c r="M37" s="51"/>
      <c r="N37" s="51"/>
      <c r="O37" s="52"/>
      <c r="P37" s="50"/>
      <c r="Q37" s="50"/>
      <c r="R37" s="50"/>
      <c r="S37" s="50"/>
      <c r="T37" s="50"/>
      <c r="U37" s="50"/>
      <c r="V37" s="50"/>
      <c r="W37" s="50"/>
      <c r="X37" s="50"/>
    </row>
    <row r="38" spans="2:24" ht="72.599999999999994" thickBot="1">
      <c r="B38" s="127" t="s">
        <v>7</v>
      </c>
      <c r="C38" s="128">
        <v>100</v>
      </c>
      <c r="D38" s="128">
        <v>100</v>
      </c>
      <c r="E38" s="128">
        <v>100</v>
      </c>
      <c r="F38" s="128">
        <v>100</v>
      </c>
      <c r="G38" s="128"/>
      <c r="H38" s="128"/>
      <c r="I38" s="74" t="str">
        <f>B40</f>
        <v>Total efficiency, annual average, net (%)</v>
      </c>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27" t="s">
        <v>8</v>
      </c>
      <c r="C39" s="128">
        <v>100</v>
      </c>
      <c r="D39" s="128">
        <v>100</v>
      </c>
      <c r="E39" s="128">
        <v>100</v>
      </c>
      <c r="F39" s="128">
        <v>100</v>
      </c>
      <c r="G39" s="128"/>
      <c r="H39" s="128"/>
      <c r="I39" s="71">
        <f>102</f>
        <v>102</v>
      </c>
      <c r="J39" s="58">
        <f>C35</f>
        <v>2015</v>
      </c>
      <c r="K39" s="58">
        <f>J39</f>
        <v>2015</v>
      </c>
      <c r="L39" s="58">
        <f>I39/100</f>
        <v>1.02</v>
      </c>
      <c r="M39" s="58"/>
      <c r="N39" s="58">
        <f>C42</f>
        <v>25</v>
      </c>
      <c r="O39" s="59">
        <f>C57</f>
        <v>943.66666666666674</v>
      </c>
      <c r="P39" s="59">
        <f>C59</f>
        <v>29.8</v>
      </c>
      <c r="Q39" s="59">
        <f>C60</f>
        <v>14.9</v>
      </c>
      <c r="R39" s="58"/>
      <c r="S39" s="58"/>
      <c r="T39" s="58">
        <f>C44</f>
        <v>0</v>
      </c>
      <c r="U39" s="78">
        <f>C45</f>
        <v>20</v>
      </c>
      <c r="V39" s="78">
        <f>C46</f>
        <v>2</v>
      </c>
      <c r="W39" s="78">
        <f>C47</f>
        <v>0</v>
      </c>
      <c r="X39" s="78">
        <f>C48</f>
        <v>0</v>
      </c>
    </row>
    <row r="40" spans="2:24" ht="15" thickBot="1">
      <c r="B40" s="127" t="s">
        <v>9</v>
      </c>
      <c r="C40" s="128" t="s">
        <v>39</v>
      </c>
      <c r="D40" s="128" t="s">
        <v>39</v>
      </c>
      <c r="E40" s="128" t="s">
        <v>39</v>
      </c>
      <c r="F40" s="128" t="s">
        <v>39</v>
      </c>
      <c r="G40" s="128"/>
      <c r="H40" s="128"/>
      <c r="I40" s="71">
        <f>102</f>
        <v>102</v>
      </c>
      <c r="J40" s="58">
        <f>D35</f>
        <v>2020</v>
      </c>
      <c r="K40" s="58"/>
      <c r="L40" s="58">
        <f>I40/100</f>
        <v>1.02</v>
      </c>
      <c r="M40" s="58"/>
      <c r="N40" s="58">
        <f>D42</f>
        <v>25</v>
      </c>
      <c r="O40" s="59">
        <f>D57</f>
        <v>918.83333333333337</v>
      </c>
      <c r="P40" s="59">
        <f>D59</f>
        <v>29.8</v>
      </c>
      <c r="Q40" s="59">
        <f>D60</f>
        <v>14.9</v>
      </c>
      <c r="R40" s="58"/>
      <c r="S40" s="58"/>
      <c r="T40" s="58">
        <f>D44</f>
        <v>0</v>
      </c>
      <c r="U40" s="78">
        <f>D45</f>
        <v>10</v>
      </c>
      <c r="V40" s="78">
        <f>D46</f>
        <v>1</v>
      </c>
      <c r="W40" s="78">
        <f>D47</f>
        <v>0</v>
      </c>
      <c r="X40" s="78">
        <f>D48</f>
        <v>0</v>
      </c>
    </row>
    <row r="41" spans="2:24" ht="15" thickBot="1">
      <c r="B41" s="127" t="s">
        <v>40</v>
      </c>
      <c r="C41" s="128">
        <v>400</v>
      </c>
      <c r="D41" s="128">
        <v>300</v>
      </c>
      <c r="E41" s="128">
        <v>200</v>
      </c>
      <c r="F41" s="128">
        <v>100</v>
      </c>
      <c r="G41" s="128"/>
      <c r="H41" s="128"/>
      <c r="I41" s="71">
        <f>102</f>
        <v>102</v>
      </c>
      <c r="J41" s="58">
        <f>E35</f>
        <v>2030</v>
      </c>
      <c r="K41" s="58"/>
      <c r="L41" s="58">
        <f>I41/100</f>
        <v>1.02</v>
      </c>
      <c r="M41" s="58"/>
      <c r="N41" s="58">
        <f>E42</f>
        <v>25</v>
      </c>
      <c r="O41" s="59">
        <f>E57</f>
        <v>894.00000000000011</v>
      </c>
      <c r="P41" s="59">
        <f>E59</f>
        <v>29.8</v>
      </c>
      <c r="Q41" s="59">
        <f>E60</f>
        <v>14.9</v>
      </c>
      <c r="R41" s="58"/>
      <c r="S41" s="58"/>
      <c r="T41" s="58">
        <f>E44</f>
        <v>0</v>
      </c>
      <c r="U41" s="78">
        <f>E45</f>
        <v>5</v>
      </c>
      <c r="V41" s="78">
        <f>E46</f>
        <v>0.5</v>
      </c>
      <c r="W41" s="78">
        <f>E47</f>
        <v>0</v>
      </c>
      <c r="X41" s="78">
        <f>E48</f>
        <v>0</v>
      </c>
    </row>
    <row r="42" spans="2:24" ht="15" thickBot="1">
      <c r="B42" s="127" t="s">
        <v>11</v>
      </c>
      <c r="C42" s="128">
        <v>25</v>
      </c>
      <c r="D42" s="128">
        <v>25</v>
      </c>
      <c r="E42" s="128">
        <v>25</v>
      </c>
      <c r="F42" s="128">
        <v>25</v>
      </c>
      <c r="G42" s="128"/>
      <c r="H42" s="128"/>
      <c r="I42" s="71">
        <f>102</f>
        <v>102</v>
      </c>
      <c r="J42" s="58">
        <f>F35</f>
        <v>2050</v>
      </c>
      <c r="K42" s="58"/>
      <c r="L42" s="58">
        <f>I42/100</f>
        <v>1.02</v>
      </c>
      <c r="M42" s="58"/>
      <c r="N42" s="58">
        <f>F42</f>
        <v>25</v>
      </c>
      <c r="O42" s="59">
        <f>F57</f>
        <v>894.00000000000011</v>
      </c>
      <c r="P42" s="59">
        <f>F59</f>
        <v>29.8</v>
      </c>
      <c r="Q42" s="59">
        <f>F60</f>
        <v>14.9</v>
      </c>
      <c r="R42" s="58"/>
      <c r="S42" s="58"/>
      <c r="T42" s="58">
        <f>F44</f>
        <v>0</v>
      </c>
      <c r="U42" s="78">
        <f>F45</f>
        <v>5</v>
      </c>
      <c r="V42" s="78">
        <f>F46</f>
        <v>0.5</v>
      </c>
      <c r="W42" s="78">
        <f>F47</f>
        <v>0</v>
      </c>
      <c r="X42" s="78">
        <f>F48</f>
        <v>0</v>
      </c>
    </row>
    <row r="43" spans="2:24" ht="15" thickBot="1">
      <c r="B43" s="129" t="s">
        <v>12</v>
      </c>
      <c r="C43" s="130"/>
      <c r="D43" s="130"/>
      <c r="E43" s="130"/>
      <c r="F43" s="130"/>
      <c r="G43" s="130"/>
      <c r="H43" s="131"/>
    </row>
    <row r="44" spans="2:24" ht="15.6" thickBot="1">
      <c r="B44" s="127" t="s">
        <v>13</v>
      </c>
      <c r="C44" s="35">
        <v>0</v>
      </c>
      <c r="D44" s="35">
        <v>0</v>
      </c>
      <c r="E44" s="35">
        <v>0</v>
      </c>
      <c r="F44" s="35">
        <v>0</v>
      </c>
      <c r="G44" s="128"/>
      <c r="H44" s="128"/>
    </row>
    <row r="45" spans="2:24" ht="15.6" thickBot="1">
      <c r="B45" s="127" t="s">
        <v>15</v>
      </c>
      <c r="C45" s="128">
        <v>20</v>
      </c>
      <c r="D45" s="128">
        <v>10</v>
      </c>
      <c r="E45" s="128">
        <v>5</v>
      </c>
      <c r="F45" s="128">
        <v>5</v>
      </c>
      <c r="G45" s="128"/>
      <c r="H45" s="128"/>
    </row>
    <row r="46" spans="2:24" ht="15.6" thickBot="1">
      <c r="B46" s="127" t="s">
        <v>17</v>
      </c>
      <c r="C46" s="128">
        <v>2</v>
      </c>
      <c r="D46" s="128">
        <v>1</v>
      </c>
      <c r="E46" s="128">
        <v>0.5</v>
      </c>
      <c r="F46" s="128">
        <v>0.5</v>
      </c>
      <c r="G46" s="128"/>
      <c r="H46" s="128"/>
    </row>
    <row r="47" spans="2:24" ht="15.6" thickBot="1">
      <c r="B47" s="127" t="s">
        <v>18</v>
      </c>
      <c r="C47" s="35">
        <v>0</v>
      </c>
      <c r="D47" s="35">
        <v>0</v>
      </c>
      <c r="E47" s="35">
        <v>0</v>
      </c>
      <c r="F47" s="35">
        <v>0</v>
      </c>
      <c r="G47" s="128"/>
      <c r="H47" s="128"/>
    </row>
    <row r="48" spans="2:24" ht="15" thickBot="1">
      <c r="B48" s="127" t="s">
        <v>19</v>
      </c>
      <c r="C48" s="35">
        <v>0</v>
      </c>
      <c r="D48" s="35">
        <v>0</v>
      </c>
      <c r="E48" s="35">
        <v>0</v>
      </c>
      <c r="F48" s="35">
        <v>0</v>
      </c>
      <c r="G48" s="128"/>
      <c r="H48" s="128"/>
    </row>
    <row r="49" spans="2:13" ht="15" thickBot="1">
      <c r="B49" s="3" t="s">
        <v>22</v>
      </c>
      <c r="C49" s="4"/>
      <c r="D49" s="4"/>
      <c r="E49" s="4"/>
      <c r="F49" s="4"/>
      <c r="G49" s="68" t="s">
        <v>329</v>
      </c>
      <c r="H49" s="39"/>
      <c r="I49" s="64"/>
      <c r="J49" s="64"/>
      <c r="K49" s="64"/>
      <c r="L49" s="64">
        <f>35/750</f>
        <v>4.6666666666666669E-2</v>
      </c>
    </row>
    <row r="50" spans="2:13" ht="15" thickBot="1">
      <c r="B50" s="1" t="s">
        <v>23</v>
      </c>
      <c r="C50" s="41">
        <f>(4/20+40/750)/2</f>
        <v>0.12666666666666668</v>
      </c>
      <c r="D50" s="41">
        <f>(4/20+35/750)/2</f>
        <v>0.12333333333333334</v>
      </c>
      <c r="E50" s="41">
        <f>(4/20+30/750)/2</f>
        <v>0.12000000000000001</v>
      </c>
      <c r="F50" s="41">
        <f>(4/20+30/750)/2</f>
        <v>0.12000000000000001</v>
      </c>
      <c r="G50" s="73">
        <f>G58</f>
        <v>500</v>
      </c>
      <c r="H50" s="73" t="str">
        <f>H58</f>
        <v>kW</v>
      </c>
      <c r="I50" s="64"/>
      <c r="J50" s="64"/>
      <c r="K50" s="64"/>
      <c r="L50" s="64">
        <f>4/20</f>
        <v>0.2</v>
      </c>
      <c r="M50">
        <f>L50/L49</f>
        <v>4.2857142857142856</v>
      </c>
    </row>
    <row r="51" spans="2:13">
      <c r="B51" s="132" t="s">
        <v>24</v>
      </c>
      <c r="C51" s="141" t="s">
        <v>281</v>
      </c>
      <c r="D51" s="141" t="s">
        <v>282</v>
      </c>
      <c r="E51" s="141" t="s">
        <v>283</v>
      </c>
      <c r="F51" s="141" t="s">
        <v>283</v>
      </c>
      <c r="G51" s="133" t="s">
        <v>55</v>
      </c>
      <c r="H51" s="133"/>
      <c r="I51" s="64"/>
      <c r="J51" s="64"/>
      <c r="K51" s="64"/>
      <c r="L51" s="64"/>
    </row>
    <row r="52" spans="2:13">
      <c r="B52" s="132" t="s">
        <v>26</v>
      </c>
      <c r="C52" s="133" t="s">
        <v>56</v>
      </c>
      <c r="D52" s="133" t="s">
        <v>56</v>
      </c>
      <c r="E52" s="133" t="s">
        <v>56</v>
      </c>
      <c r="F52" s="133" t="s">
        <v>56</v>
      </c>
      <c r="G52" s="133"/>
      <c r="H52" s="133"/>
      <c r="I52" s="64"/>
      <c r="J52" s="64"/>
      <c r="K52" s="64"/>
      <c r="L52" s="64"/>
    </row>
    <row r="53" spans="2:13" ht="15" thickBot="1">
      <c r="B53" s="127" t="s">
        <v>28</v>
      </c>
      <c r="C53" s="128" t="s">
        <v>57</v>
      </c>
      <c r="D53" s="128" t="s">
        <v>57</v>
      </c>
      <c r="E53" s="128" t="s">
        <v>57</v>
      </c>
      <c r="F53" s="128" t="s">
        <v>57</v>
      </c>
      <c r="G53" s="128"/>
      <c r="H53" s="128"/>
      <c r="I53" s="64"/>
      <c r="J53" s="64"/>
      <c r="K53" s="64"/>
      <c r="L53" s="64"/>
    </row>
    <row r="54" spans="2:13" ht="24.6" thickBot="1">
      <c r="B54" s="127" t="s">
        <v>30</v>
      </c>
      <c r="C54" s="128">
        <v>2</v>
      </c>
      <c r="D54" s="128">
        <v>2</v>
      </c>
      <c r="E54" s="128">
        <v>2</v>
      </c>
      <c r="F54" s="128">
        <v>2</v>
      </c>
      <c r="G54" s="128" t="s">
        <v>49</v>
      </c>
      <c r="H54" s="128">
        <v>6</v>
      </c>
      <c r="I54" s="64"/>
      <c r="J54" s="64"/>
      <c r="K54" s="64"/>
      <c r="L54" s="64"/>
    </row>
    <row r="55" spans="2:13" ht="15" thickBot="1">
      <c r="B55" s="127" t="s">
        <v>50</v>
      </c>
      <c r="C55" s="128">
        <v>4</v>
      </c>
      <c r="D55" s="128">
        <v>4</v>
      </c>
      <c r="E55" s="128">
        <v>4</v>
      </c>
      <c r="F55" s="128">
        <v>4</v>
      </c>
      <c r="G55" s="128"/>
      <c r="H55" s="128"/>
      <c r="I55" s="64"/>
      <c r="J55" s="64"/>
      <c r="K55" s="64"/>
      <c r="L55" s="64"/>
    </row>
    <row r="56" spans="2:13" ht="15" thickBot="1">
      <c r="B56" s="127" t="s">
        <v>31</v>
      </c>
      <c r="C56" s="128">
        <v>2</v>
      </c>
      <c r="D56" s="128">
        <v>2</v>
      </c>
      <c r="E56" s="128">
        <v>2</v>
      </c>
      <c r="F56" s="128">
        <v>2</v>
      </c>
      <c r="G56" s="128"/>
      <c r="H56" s="128"/>
      <c r="I56" s="64"/>
      <c r="J56" s="64"/>
      <c r="K56" s="64"/>
      <c r="L56" s="64"/>
    </row>
    <row r="57" spans="2:13">
      <c r="B57" s="36" t="s">
        <v>353</v>
      </c>
      <c r="C57" s="42">
        <f>C50*$G$4*1000</f>
        <v>943.66666666666674</v>
      </c>
      <c r="D57" s="42">
        <f>D50*$G$4*1000</f>
        <v>918.83333333333337</v>
      </c>
      <c r="E57" s="42">
        <f>E50*$G$4*1000</f>
        <v>894.00000000000011</v>
      </c>
      <c r="F57" s="42">
        <f>F50*$G$4*1000</f>
        <v>894.00000000000011</v>
      </c>
      <c r="G57" s="63" t="s">
        <v>332</v>
      </c>
      <c r="H57" s="63"/>
      <c r="I57" s="64"/>
      <c r="J57" s="64"/>
      <c r="K57" s="64"/>
      <c r="L57" s="64"/>
    </row>
    <row r="58" spans="2:13">
      <c r="B58" s="36" t="s">
        <v>354</v>
      </c>
      <c r="C58" s="42">
        <f>C57*$G58</f>
        <v>471833.33333333337</v>
      </c>
      <c r="D58" s="42">
        <f>D57*$G58</f>
        <v>459416.66666666669</v>
      </c>
      <c r="E58" s="42">
        <f>E57*$G58</f>
        <v>447000.00000000006</v>
      </c>
      <c r="F58" s="42">
        <f>F57*$G58</f>
        <v>447000.00000000006</v>
      </c>
      <c r="G58" s="67">
        <v>500</v>
      </c>
      <c r="H58" s="63" t="s">
        <v>330</v>
      </c>
      <c r="I58" s="64"/>
      <c r="J58" s="64"/>
      <c r="K58" s="64"/>
      <c r="L58" s="64"/>
    </row>
    <row r="59" spans="2:13">
      <c r="B59" s="36" t="s">
        <v>355</v>
      </c>
      <c r="C59" s="36">
        <f t="shared" ref="C59:F60" si="1">C55*$G$4</f>
        <v>29.8</v>
      </c>
      <c r="D59" s="36">
        <f t="shared" si="1"/>
        <v>29.8</v>
      </c>
      <c r="E59" s="36">
        <f t="shared" si="1"/>
        <v>29.8</v>
      </c>
      <c r="F59" s="36">
        <f t="shared" si="1"/>
        <v>29.8</v>
      </c>
      <c r="G59" s="63" t="s">
        <v>333</v>
      </c>
      <c r="H59" s="63"/>
      <c r="I59" s="64"/>
      <c r="J59" s="64"/>
      <c r="K59" s="64"/>
      <c r="L59" s="64"/>
    </row>
    <row r="60" spans="2:13" ht="15" thickBot="1">
      <c r="B60" s="36" t="s">
        <v>356</v>
      </c>
      <c r="C60" s="36">
        <f t="shared" si="1"/>
        <v>14.9</v>
      </c>
      <c r="D60" s="36">
        <f t="shared" si="1"/>
        <v>14.9</v>
      </c>
      <c r="E60" s="36">
        <f t="shared" si="1"/>
        <v>14.9</v>
      </c>
      <c r="F60" s="36">
        <f t="shared" si="1"/>
        <v>14.9</v>
      </c>
      <c r="G60" s="66"/>
      <c r="H60" s="63"/>
      <c r="I60" s="64"/>
      <c r="J60" s="64"/>
      <c r="K60" s="64"/>
      <c r="L60" s="64"/>
    </row>
    <row r="61" spans="2:13">
      <c r="I61" s="64"/>
      <c r="J61" s="64"/>
      <c r="K61" s="64"/>
      <c r="L61" s="64"/>
    </row>
    <row r="62" spans="2:13">
      <c r="I62" s="64"/>
      <c r="J62" s="64"/>
      <c r="K62" s="64"/>
      <c r="L62" s="64"/>
    </row>
    <row r="156" spans="7:7">
      <c r="G156" s="280" t="s">
        <v>665</v>
      </c>
    </row>
  </sheetData>
  <mergeCells count="10">
    <mergeCell ref="J5:O5"/>
    <mergeCell ref="J6:O6"/>
    <mergeCell ref="J33:O33"/>
    <mergeCell ref="J34:O34"/>
    <mergeCell ref="B5:B6"/>
    <mergeCell ref="C5:H5"/>
    <mergeCell ref="C6:H6"/>
    <mergeCell ref="C33:H33"/>
    <mergeCell ref="B33:B34"/>
    <mergeCell ref="C34:H34"/>
  </mergeCells>
  <pageMargins left="0.7" right="0.7" top="0.75" bottom="0.75" header="0.3" footer="0.3"/>
  <pageSetup paperSize="9" orientation="portrait"/>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theme="4"/>
  </sheetPr>
  <dimension ref="B1:X156"/>
  <sheetViews>
    <sheetView workbookViewId="0">
      <selection activeCell="M27" sqref="M27"/>
    </sheetView>
  </sheetViews>
  <sheetFormatPr defaultColWidth="9.33203125" defaultRowHeight="14.4"/>
  <cols>
    <col min="1" max="1" width="9.33203125" style="239"/>
    <col min="2" max="2" width="40.6640625" style="239" customWidth="1"/>
    <col min="3" max="3" width="18.33203125" style="239" customWidth="1"/>
    <col min="4" max="5" width="11.5546875" style="239" bestFit="1" customWidth="1"/>
    <col min="6" max="6" width="12.6640625" style="239" bestFit="1" customWidth="1"/>
    <col min="7" max="8" width="9.33203125" style="239"/>
    <col min="9" max="9" width="7.5546875" style="239" customWidth="1"/>
    <col min="10" max="16384" width="9.33203125" style="239"/>
  </cols>
  <sheetData>
    <row r="1" spans="2:24">
      <c r="B1" s="244" t="s">
        <v>480</v>
      </c>
    </row>
    <row r="2" spans="2:24">
      <c r="B2" s="8" t="s">
        <v>481</v>
      </c>
    </row>
    <row r="3" spans="2:24">
      <c r="B3" s="8"/>
    </row>
    <row r="4" spans="2:24">
      <c r="E4" s="239" t="s">
        <v>358</v>
      </c>
      <c r="G4" s="36">
        <v>7.45</v>
      </c>
      <c r="H4" s="239" t="s">
        <v>328</v>
      </c>
    </row>
    <row r="5" spans="2:24" ht="15" thickBot="1"/>
    <row r="6" spans="2:24">
      <c r="B6" s="1129" t="s">
        <v>0</v>
      </c>
      <c r="C6" s="1130" t="s">
        <v>482</v>
      </c>
      <c r="D6" s="1131"/>
      <c r="E6" s="1131"/>
      <c r="F6" s="1131"/>
      <c r="G6" s="1131"/>
      <c r="H6" s="1132"/>
      <c r="J6" s="1120" t="str">
        <f>C6</f>
        <v>District Heating Boiler, Wood Chips</v>
      </c>
      <c r="K6" s="1121"/>
      <c r="L6" s="1121"/>
      <c r="M6" s="1121"/>
      <c r="N6" s="1121"/>
      <c r="O6" s="1122"/>
    </row>
    <row r="7" spans="2:24" ht="15" thickBot="1">
      <c r="B7" s="1129"/>
      <c r="C7" s="1133"/>
      <c r="D7" s="1134"/>
      <c r="E7" s="1134"/>
      <c r="F7" s="1134"/>
      <c r="G7" s="1134"/>
      <c r="H7" s="1135"/>
      <c r="J7" s="1001"/>
      <c r="K7" s="1002"/>
      <c r="L7" s="1002"/>
      <c r="M7" s="1002"/>
      <c r="N7" s="1002"/>
      <c r="O7" s="1003"/>
    </row>
    <row r="8" spans="2:24">
      <c r="B8" s="248"/>
      <c r="C8" s="249">
        <v>2015</v>
      </c>
      <c r="D8" s="249">
        <v>2020</v>
      </c>
      <c r="E8" s="249">
        <v>2030</v>
      </c>
      <c r="F8" s="249">
        <v>2050</v>
      </c>
      <c r="G8" s="249" t="s">
        <v>2</v>
      </c>
      <c r="H8" s="249" t="s">
        <v>3</v>
      </c>
      <c r="J8" s="53" t="s">
        <v>357</v>
      </c>
    </row>
    <row r="9" spans="2:24" ht="27.6">
      <c r="B9" s="250" t="s">
        <v>4</v>
      </c>
      <c r="C9" s="245"/>
      <c r="D9" s="245"/>
      <c r="E9" s="245"/>
      <c r="F9" s="245"/>
      <c r="G9" s="245"/>
      <c r="H9" s="251"/>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248" t="s">
        <v>483</v>
      </c>
      <c r="C10" s="252" t="s">
        <v>487</v>
      </c>
      <c r="D10" s="252" t="s">
        <v>487</v>
      </c>
      <c r="E10" s="252" t="s">
        <v>487</v>
      </c>
      <c r="F10" s="252" t="s">
        <v>487</v>
      </c>
      <c r="G10" s="253"/>
      <c r="H10" s="253" t="s">
        <v>488</v>
      </c>
      <c r="J10" s="50"/>
      <c r="K10" s="50"/>
      <c r="L10" s="51"/>
      <c r="M10" s="51"/>
      <c r="N10" s="51"/>
      <c r="O10" s="52"/>
      <c r="P10" s="50"/>
      <c r="Q10" s="50"/>
      <c r="R10" s="50"/>
      <c r="S10" s="50"/>
      <c r="T10" s="50"/>
      <c r="U10" s="50"/>
      <c r="V10" s="50"/>
      <c r="W10" s="50"/>
      <c r="X10" s="50"/>
    </row>
    <row r="11" spans="2:24">
      <c r="B11" s="248" t="s">
        <v>363</v>
      </c>
      <c r="C11" s="247">
        <v>108</v>
      </c>
      <c r="D11" s="247">
        <v>108</v>
      </c>
      <c r="E11" s="247">
        <v>108</v>
      </c>
      <c r="F11" s="247">
        <v>108</v>
      </c>
      <c r="G11" s="247"/>
      <c r="H11" s="253" t="s">
        <v>488</v>
      </c>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c r="B12" s="248" t="s">
        <v>484</v>
      </c>
      <c r="C12" s="247" t="s">
        <v>489</v>
      </c>
      <c r="D12" s="247" t="s">
        <v>489</v>
      </c>
      <c r="E12" s="247" t="s">
        <v>489</v>
      </c>
      <c r="F12" s="247" t="s">
        <v>489</v>
      </c>
      <c r="G12" s="247"/>
      <c r="H12" s="253" t="s">
        <v>86</v>
      </c>
      <c r="J12" s="58">
        <f>C8</f>
        <v>2015</v>
      </c>
      <c r="K12" s="58">
        <f>J12</f>
        <v>2015</v>
      </c>
      <c r="L12" s="58">
        <f>C11/100</f>
        <v>1.08</v>
      </c>
      <c r="M12" s="58"/>
      <c r="N12" s="58">
        <f>C13</f>
        <v>20</v>
      </c>
      <c r="O12" s="59">
        <f>C23</f>
        <v>5960.0000000000009</v>
      </c>
      <c r="P12" s="59">
        <f>C26*$D$39</f>
        <v>5.5875000000000004</v>
      </c>
      <c r="Q12" s="59">
        <f>C26*$D$40</f>
        <v>5.5875000000000004</v>
      </c>
      <c r="R12" s="58"/>
      <c r="S12" s="58"/>
      <c r="T12" s="58">
        <f>C16</f>
        <v>1.9</v>
      </c>
      <c r="U12" s="78">
        <f>C17</f>
        <v>81</v>
      </c>
      <c r="V12" s="78">
        <f>C18</f>
        <v>6.1</v>
      </c>
      <c r="W12" s="78">
        <f>C19</f>
        <v>0.8</v>
      </c>
      <c r="X12" s="78"/>
    </row>
    <row r="13" spans="2:24">
      <c r="B13" s="248" t="s">
        <v>11</v>
      </c>
      <c r="C13" s="247">
        <v>20</v>
      </c>
      <c r="D13" s="247">
        <v>20</v>
      </c>
      <c r="E13" s="247">
        <v>20</v>
      </c>
      <c r="F13" s="247">
        <v>20</v>
      </c>
      <c r="G13" s="247"/>
      <c r="H13" s="253" t="s">
        <v>488</v>
      </c>
      <c r="J13" s="58">
        <f>D8</f>
        <v>2020</v>
      </c>
      <c r="K13" s="58"/>
      <c r="L13" s="58">
        <f>D11/100</f>
        <v>1.08</v>
      </c>
      <c r="M13" s="58"/>
      <c r="N13" s="58">
        <f>D13</f>
        <v>20</v>
      </c>
      <c r="O13" s="59">
        <f>D23</f>
        <v>5960.0000000000009</v>
      </c>
      <c r="P13" s="59">
        <f>D26*D$39</f>
        <v>5.5875000000000004</v>
      </c>
      <c r="Q13" s="59">
        <f>D26*$D$40</f>
        <v>5.5875000000000004</v>
      </c>
      <c r="R13" s="58"/>
      <c r="S13" s="58"/>
      <c r="T13" s="58">
        <f>D16</f>
        <v>1.9</v>
      </c>
      <c r="U13" s="78">
        <f>D17</f>
        <v>81</v>
      </c>
      <c r="V13" s="78">
        <f>D18</f>
        <v>6.1</v>
      </c>
      <c r="W13" s="78">
        <f>D19</f>
        <v>0.8</v>
      </c>
      <c r="X13" s="78"/>
    </row>
    <row r="14" spans="2:24">
      <c r="B14" s="248" t="s">
        <v>273</v>
      </c>
      <c r="C14" s="247" t="s">
        <v>490</v>
      </c>
      <c r="D14" s="247" t="s">
        <v>490</v>
      </c>
      <c r="E14" s="247" t="s">
        <v>490</v>
      </c>
      <c r="F14" s="247" t="s">
        <v>490</v>
      </c>
      <c r="G14" s="247"/>
      <c r="H14" s="253" t="s">
        <v>86</v>
      </c>
      <c r="J14" s="58">
        <f>E8</f>
        <v>2030</v>
      </c>
      <c r="K14" s="58"/>
      <c r="L14" s="58">
        <f>E11/100</f>
        <v>1.08</v>
      </c>
      <c r="M14" s="58"/>
      <c r="N14" s="58">
        <f>E13</f>
        <v>20</v>
      </c>
      <c r="O14" s="59">
        <f>E23</f>
        <v>5960.0000000000009</v>
      </c>
      <c r="P14" s="59">
        <f>E26*$D$39</f>
        <v>5.5875000000000004</v>
      </c>
      <c r="Q14" s="59">
        <f>E26*$D$40</f>
        <v>5.5875000000000004</v>
      </c>
      <c r="R14" s="58"/>
      <c r="S14" s="58"/>
      <c r="T14" s="58">
        <f>E16</f>
        <v>1.9</v>
      </c>
      <c r="U14" s="78">
        <f>E17</f>
        <v>81</v>
      </c>
      <c r="V14" s="78">
        <f>E18</f>
        <v>6.1</v>
      </c>
      <c r="W14" s="78">
        <f>E19</f>
        <v>0.8</v>
      </c>
      <c r="X14" s="78"/>
    </row>
    <row r="15" spans="2:24">
      <c r="B15" s="254" t="s">
        <v>12</v>
      </c>
      <c r="C15" s="255"/>
      <c r="D15" s="255"/>
      <c r="E15" s="255"/>
      <c r="F15" s="255"/>
      <c r="G15" s="255"/>
      <c r="H15" s="256"/>
      <c r="J15" s="58">
        <f>F8</f>
        <v>2050</v>
      </c>
      <c r="K15" s="58"/>
      <c r="L15" s="58">
        <f>F11/100</f>
        <v>1.08</v>
      </c>
      <c r="M15" s="58"/>
      <c r="N15" s="58">
        <f>F13</f>
        <v>20</v>
      </c>
      <c r="O15" s="59">
        <f>F23</f>
        <v>5960.0000000000009</v>
      </c>
      <c r="P15" s="59">
        <f>F26*$D$39</f>
        <v>5.5875000000000004</v>
      </c>
      <c r="Q15" s="59">
        <f>F26*$D$40</f>
        <v>5.5875000000000004</v>
      </c>
      <c r="R15" s="58"/>
      <c r="S15" s="58"/>
      <c r="T15" s="58">
        <f>F16</f>
        <v>1.9</v>
      </c>
      <c r="U15" s="78">
        <f>F17</f>
        <v>81</v>
      </c>
      <c r="V15" s="78">
        <f>F18</f>
        <v>6.1</v>
      </c>
      <c r="W15" s="78">
        <f>F19</f>
        <v>0.8</v>
      </c>
      <c r="X15" s="78"/>
    </row>
    <row r="16" spans="2:24" ht="15">
      <c r="B16" s="248" t="s">
        <v>13</v>
      </c>
      <c r="C16" s="246">
        <v>1.9</v>
      </c>
      <c r="D16" s="246">
        <v>1.9</v>
      </c>
      <c r="E16" s="246">
        <v>1.9</v>
      </c>
      <c r="F16" s="246">
        <v>1.9</v>
      </c>
      <c r="G16" s="247"/>
      <c r="H16" s="253" t="s">
        <v>492</v>
      </c>
    </row>
    <row r="17" spans="2:15" ht="15">
      <c r="B17" s="248" t="s">
        <v>15</v>
      </c>
      <c r="C17" s="247">
        <v>81</v>
      </c>
      <c r="D17" s="247">
        <v>81</v>
      </c>
      <c r="E17" s="247">
        <v>81</v>
      </c>
      <c r="F17" s="247">
        <v>81</v>
      </c>
      <c r="G17" s="247"/>
      <c r="H17" s="253" t="s">
        <v>492</v>
      </c>
    </row>
    <row r="18" spans="2:15">
      <c r="B18" s="248" t="s">
        <v>491</v>
      </c>
      <c r="C18" s="247">
        <v>6.1</v>
      </c>
      <c r="D18" s="247">
        <v>6.1</v>
      </c>
      <c r="E18" s="247">
        <v>6.1</v>
      </c>
      <c r="F18" s="247">
        <v>6.1</v>
      </c>
      <c r="G18" s="247"/>
      <c r="H18" s="253" t="s">
        <v>492</v>
      </c>
    </row>
    <row r="19" spans="2:15">
      <c r="B19" s="248" t="s">
        <v>367</v>
      </c>
      <c r="C19" s="259">
        <v>0.8</v>
      </c>
      <c r="D19" s="259">
        <v>0.8</v>
      </c>
      <c r="E19" s="259">
        <v>0.8</v>
      </c>
      <c r="F19" s="259">
        <v>0.8</v>
      </c>
      <c r="G19" s="259"/>
      <c r="H19" s="253" t="s">
        <v>492</v>
      </c>
    </row>
    <row r="20" spans="2:15">
      <c r="B20" s="258" t="s">
        <v>22</v>
      </c>
      <c r="C20" s="260"/>
      <c r="D20" s="261"/>
      <c r="E20" s="261"/>
      <c r="F20" s="261"/>
      <c r="G20" s="262"/>
      <c r="H20" s="263"/>
    </row>
    <row r="21" spans="2:15">
      <c r="B21" s="248" t="s">
        <v>485</v>
      </c>
      <c r="C21" s="264" t="s">
        <v>493</v>
      </c>
      <c r="D21" s="264" t="s">
        <v>493</v>
      </c>
      <c r="E21" s="264" t="s">
        <v>493</v>
      </c>
      <c r="F21" s="264" t="s">
        <v>493</v>
      </c>
      <c r="G21" s="265"/>
      <c r="H21" s="265">
        <v>1</v>
      </c>
      <c r="I21" s="55"/>
      <c r="J21" s="55"/>
      <c r="K21" s="55"/>
      <c r="L21" s="55"/>
      <c r="M21" s="55"/>
      <c r="N21" s="55"/>
      <c r="O21" s="55"/>
    </row>
    <row r="22" spans="2:15">
      <c r="B22" s="248" t="s">
        <v>486</v>
      </c>
      <c r="C22" s="246">
        <v>5.4</v>
      </c>
      <c r="D22" s="246">
        <v>5.4</v>
      </c>
      <c r="E22" s="246">
        <v>5.4</v>
      </c>
      <c r="F22" s="246">
        <v>5.4</v>
      </c>
      <c r="G22" s="246"/>
      <c r="H22" s="246">
        <v>1</v>
      </c>
      <c r="I22" s="257"/>
      <c r="J22" s="54"/>
      <c r="K22" s="54"/>
      <c r="L22" s="75"/>
      <c r="M22" s="75"/>
      <c r="N22" s="54"/>
      <c r="O22" s="54"/>
    </row>
    <row r="23" spans="2:15">
      <c r="B23" s="36" t="s">
        <v>353</v>
      </c>
      <c r="C23" s="42">
        <f>((1.1+0.5)/2*$G$4)*1000</f>
        <v>5960.0000000000009</v>
      </c>
      <c r="D23" s="42">
        <f>((1.1+0.5)/2*$G$4)*1000</f>
        <v>5960.0000000000009</v>
      </c>
      <c r="E23" s="42">
        <f>((1.1+0.5)/2*$G$4)*1000</f>
        <v>5960.0000000000009</v>
      </c>
      <c r="F23" s="42">
        <f>((1.1+0.5)/2*$G$4)*1000</f>
        <v>5960.0000000000009</v>
      </c>
      <c r="G23" s="63" t="s">
        <v>332</v>
      </c>
      <c r="H23" s="63"/>
    </row>
    <row r="24" spans="2:15">
      <c r="B24" s="36" t="s">
        <v>354</v>
      </c>
      <c r="C24" s="42">
        <f>C23*$G$24</f>
        <v>2980000.0000000005</v>
      </c>
      <c r="D24" s="42">
        <f>D23*$G$24</f>
        <v>2980000.0000000005</v>
      </c>
      <c r="E24" s="42">
        <f>E23*$G$24</f>
        <v>2980000.0000000005</v>
      </c>
      <c r="F24" s="42">
        <f>F23*$G$24</f>
        <v>2980000.0000000005</v>
      </c>
      <c r="G24" s="67">
        <v>500</v>
      </c>
      <c r="H24" s="63" t="s">
        <v>330</v>
      </c>
      <c r="I24" s="37"/>
    </row>
    <row r="25" spans="2:15">
      <c r="B25" s="36" t="s">
        <v>355</v>
      </c>
      <c r="C25" s="42"/>
      <c r="D25" s="42"/>
      <c r="E25" s="42"/>
      <c r="F25" s="42"/>
      <c r="G25" s="63"/>
      <c r="H25" s="63"/>
    </row>
    <row r="26" spans="2:15" ht="15" thickBot="1">
      <c r="B26" s="36" t="s">
        <v>356</v>
      </c>
      <c r="C26" s="266">
        <f>C22*$G$4/3.6</f>
        <v>11.175000000000001</v>
      </c>
      <c r="D26" s="266">
        <f>D22*$G$4/3.6</f>
        <v>11.175000000000001</v>
      </c>
      <c r="E26" s="266">
        <f>E22*$G$4/3.6</f>
        <v>11.175000000000001</v>
      </c>
      <c r="F26" s="266">
        <f>F22*$G$4/3.6</f>
        <v>11.175000000000001</v>
      </c>
      <c r="G26" s="66"/>
      <c r="H26" s="63"/>
    </row>
    <row r="30" spans="2:15">
      <c r="B30" s="239" t="s">
        <v>494</v>
      </c>
    </row>
    <row r="31" spans="2:15">
      <c r="B31" s="239" t="s">
        <v>495</v>
      </c>
    </row>
    <row r="32" spans="2:15">
      <c r="B32" s="239" t="s">
        <v>496</v>
      </c>
    </row>
    <row r="34" spans="2:4">
      <c r="B34" s="338" t="s">
        <v>675</v>
      </c>
      <c r="C34" s="336"/>
      <c r="D34" s="336"/>
    </row>
    <row r="35" spans="2:4">
      <c r="B35" s="336"/>
      <c r="C35" s="336"/>
      <c r="D35" s="336"/>
    </row>
    <row r="36" spans="2:4">
      <c r="B36" s="336" t="s">
        <v>676</v>
      </c>
      <c r="C36" s="336"/>
      <c r="D36" s="336"/>
    </row>
    <row r="37" spans="2:4">
      <c r="B37" s="336" t="s">
        <v>677</v>
      </c>
      <c r="C37" s="336"/>
      <c r="D37" s="336"/>
    </row>
    <row r="38" spans="2:4">
      <c r="B38" s="336"/>
      <c r="C38" s="336"/>
      <c r="D38" s="336"/>
    </row>
    <row r="39" spans="2:4">
      <c r="B39" s="336" t="s">
        <v>678</v>
      </c>
      <c r="C39" s="336" t="s">
        <v>679</v>
      </c>
      <c r="D39" s="337">
        <v>0.5</v>
      </c>
    </row>
    <row r="40" spans="2:4">
      <c r="B40" s="336"/>
      <c r="C40" s="336" t="s">
        <v>680</v>
      </c>
      <c r="D40" s="337">
        <f>1-D39</f>
        <v>0.5</v>
      </c>
    </row>
    <row r="156" spans="7:7">
      <c r="G156" s="280" t="s">
        <v>665</v>
      </c>
    </row>
  </sheetData>
  <mergeCells count="5">
    <mergeCell ref="B6:B7"/>
    <mergeCell ref="C6:H6"/>
    <mergeCell ref="J6:O6"/>
    <mergeCell ref="C7:H7"/>
    <mergeCell ref="J7:O7"/>
  </mergeCells>
  <pageMargins left="0.7" right="0.7" top="0.75" bottom="0.75" header="0.3" footer="0.3"/>
  <pageSetup paperSize="9" orientation="portrait"/>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tabColor theme="4"/>
  </sheetPr>
  <dimension ref="B3:X156"/>
  <sheetViews>
    <sheetView topLeftCell="A85" workbookViewId="0">
      <selection activeCell="L46" sqref="L46"/>
    </sheetView>
  </sheetViews>
  <sheetFormatPr defaultRowHeight="14.4"/>
  <cols>
    <col min="2" max="2" width="40.6640625" customWidth="1"/>
    <col min="3" max="3" width="18.33203125" customWidth="1"/>
    <col min="4" max="5" width="11.5546875" bestFit="1" customWidth="1"/>
    <col min="6" max="6" width="12.6640625" bestFit="1" customWidth="1"/>
    <col min="9" max="9" width="7.5546875" customWidth="1"/>
  </cols>
  <sheetData>
    <row r="3" spans="2:24">
      <c r="B3" s="8" t="s">
        <v>310</v>
      </c>
    </row>
    <row r="4" spans="2:24">
      <c r="E4" t="s">
        <v>358</v>
      </c>
      <c r="G4" s="36">
        <v>7.45</v>
      </c>
      <c r="H4" t="s">
        <v>328</v>
      </c>
    </row>
    <row r="5" spans="2:24" ht="15" thickBot="1"/>
    <row r="6" spans="2:24">
      <c r="B6" s="1118" t="s">
        <v>0</v>
      </c>
      <c r="C6" s="1120" t="s">
        <v>66</v>
      </c>
      <c r="D6" s="1121"/>
      <c r="E6" s="1121"/>
      <c r="F6" s="1121"/>
      <c r="G6" s="1121"/>
      <c r="H6" s="1122"/>
      <c r="J6" s="1120" t="str">
        <f>C6</f>
        <v>Biomass boiler, automatic stoking</v>
      </c>
      <c r="K6" s="1121"/>
      <c r="L6" s="1121"/>
      <c r="M6" s="1121"/>
      <c r="N6" s="1121"/>
      <c r="O6" s="1122"/>
    </row>
    <row r="7" spans="2:24" ht="15" thickBot="1">
      <c r="B7" s="1119"/>
      <c r="C7" s="1001" t="s">
        <v>1</v>
      </c>
      <c r="D7" s="1002"/>
      <c r="E7" s="1002"/>
      <c r="F7" s="1002"/>
      <c r="G7" s="1002"/>
      <c r="H7" s="1003"/>
      <c r="J7" s="1001" t="str">
        <f>C7</f>
        <v>One-family house, existing building</v>
      </c>
      <c r="K7" s="1002"/>
      <c r="L7" s="1002"/>
      <c r="M7" s="1002"/>
      <c r="N7" s="1002"/>
      <c r="O7" s="100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7" t="s">
        <v>284</v>
      </c>
      <c r="D10" s="27" t="s">
        <v>277</v>
      </c>
      <c r="E10" s="27" t="s">
        <v>285</v>
      </c>
      <c r="F10" s="27" t="s">
        <v>285</v>
      </c>
      <c r="G10" s="2" t="s">
        <v>6</v>
      </c>
      <c r="H10" s="2" t="s">
        <v>67</v>
      </c>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c r="H12" s="2"/>
      <c r="J12" s="58">
        <f>C8</f>
        <v>2015</v>
      </c>
      <c r="K12" s="58">
        <f>J12</f>
        <v>2015</v>
      </c>
      <c r="L12" s="58">
        <f>C13/100</f>
        <v>0.8</v>
      </c>
      <c r="M12" s="58"/>
      <c r="N12" s="58">
        <f>C14</f>
        <v>20</v>
      </c>
      <c r="O12" s="59">
        <f>C29</f>
        <v>3600.8333333333339</v>
      </c>
      <c r="P12" s="59">
        <f>C31</f>
        <v>14.9</v>
      </c>
      <c r="Q12" s="59">
        <f>C32</f>
        <v>0</v>
      </c>
      <c r="R12" s="58"/>
      <c r="S12" s="58"/>
      <c r="T12" s="58">
        <f>C16</f>
        <v>0</v>
      </c>
      <c r="U12" s="78">
        <f>C17</f>
        <v>90</v>
      </c>
      <c r="V12" s="78">
        <f>C18</f>
        <v>3</v>
      </c>
      <c r="W12" s="78">
        <f>C19</f>
        <v>0</v>
      </c>
      <c r="X12" s="78">
        <f>C20</f>
        <v>10</v>
      </c>
    </row>
    <row r="13" spans="2:24" ht="15" thickBot="1">
      <c r="B13" s="1" t="s">
        <v>9</v>
      </c>
      <c r="C13" s="2">
        <v>80</v>
      </c>
      <c r="D13" s="2">
        <v>87</v>
      </c>
      <c r="E13" s="2">
        <v>91</v>
      </c>
      <c r="F13" s="2">
        <v>95</v>
      </c>
      <c r="G13" s="2" t="s">
        <v>59</v>
      </c>
      <c r="H13" s="2" t="s">
        <v>21</v>
      </c>
      <c r="J13" s="58">
        <f>D8</f>
        <v>2020</v>
      </c>
      <c r="K13" s="58"/>
      <c r="L13" s="58">
        <f>D13/100</f>
        <v>0.87</v>
      </c>
      <c r="M13" s="58"/>
      <c r="N13" s="58">
        <f>D14</f>
        <v>20</v>
      </c>
      <c r="O13" s="59">
        <f>D29</f>
        <v>3911.2500000000005</v>
      </c>
      <c r="P13" s="59">
        <f>D31</f>
        <v>14.9</v>
      </c>
      <c r="Q13" s="59">
        <f>D32</f>
        <v>0</v>
      </c>
      <c r="R13" s="58"/>
      <c r="S13" s="58"/>
      <c r="T13" s="58">
        <f>D16</f>
        <v>0</v>
      </c>
      <c r="U13" s="78">
        <f>D17</f>
        <v>70</v>
      </c>
      <c r="V13" s="78">
        <f>D18</f>
        <v>2</v>
      </c>
      <c r="W13" s="78">
        <f>D19</f>
        <v>0</v>
      </c>
      <c r="X13" s="78">
        <f>D20</f>
        <v>8</v>
      </c>
    </row>
    <row r="14" spans="2:24" ht="15" thickBot="1">
      <c r="B14" s="1" t="s">
        <v>11</v>
      </c>
      <c r="C14" s="2">
        <v>20</v>
      </c>
      <c r="D14" s="2">
        <v>20</v>
      </c>
      <c r="E14" s="2">
        <v>20</v>
      </c>
      <c r="F14" s="2">
        <v>20</v>
      </c>
      <c r="G14" s="2"/>
      <c r="H14" s="2">
        <v>7</v>
      </c>
      <c r="J14" s="58">
        <f>E8</f>
        <v>2030</v>
      </c>
      <c r="K14" s="58"/>
      <c r="L14" s="58">
        <f>E13/100</f>
        <v>0.91</v>
      </c>
      <c r="M14" s="58"/>
      <c r="N14" s="58">
        <f>E14</f>
        <v>20</v>
      </c>
      <c r="O14" s="59">
        <f>E29</f>
        <v>4842.5</v>
      </c>
      <c r="P14" s="59">
        <f>E31</f>
        <v>22.35</v>
      </c>
      <c r="Q14" s="59">
        <f>E32</f>
        <v>0</v>
      </c>
      <c r="R14" s="58"/>
      <c r="S14" s="58"/>
      <c r="T14" s="58">
        <f>E16</f>
        <v>0</v>
      </c>
      <c r="U14" s="78">
        <f>E17</f>
        <v>50</v>
      </c>
      <c r="V14" s="78">
        <f>E18</f>
        <v>1</v>
      </c>
      <c r="W14" s="78">
        <f>E19</f>
        <v>0</v>
      </c>
      <c r="X14" s="78">
        <f>E20</f>
        <v>6</v>
      </c>
    </row>
    <row r="15" spans="2:24" ht="15" thickBot="1">
      <c r="B15" s="3" t="s">
        <v>12</v>
      </c>
      <c r="C15" s="4"/>
      <c r="D15" s="4"/>
      <c r="E15" s="4"/>
      <c r="F15" s="4"/>
      <c r="G15" s="4"/>
      <c r="H15" s="5"/>
      <c r="J15" s="58">
        <f>F8</f>
        <v>2050</v>
      </c>
      <c r="K15" s="58"/>
      <c r="L15" s="58">
        <f>F13/100</f>
        <v>0.95</v>
      </c>
      <c r="M15" s="58"/>
      <c r="N15" s="58">
        <f>F14</f>
        <v>20</v>
      </c>
      <c r="O15" s="59">
        <f>F29</f>
        <v>4842.5</v>
      </c>
      <c r="P15" s="59">
        <f>F31</f>
        <v>22.35</v>
      </c>
      <c r="Q15" s="59">
        <f>F32</f>
        <v>0</v>
      </c>
      <c r="R15" s="58"/>
      <c r="S15" s="58"/>
      <c r="T15" s="58">
        <f>F16</f>
        <v>0</v>
      </c>
      <c r="U15" s="78">
        <f>F17</f>
        <v>40</v>
      </c>
      <c r="V15" s="78">
        <f>F18</f>
        <v>0</v>
      </c>
      <c r="W15" s="78">
        <f>F19</f>
        <v>0</v>
      </c>
      <c r="X15" s="78">
        <f>F20</f>
        <v>4</v>
      </c>
    </row>
    <row r="16" spans="2:24" ht="15.6" thickBot="1">
      <c r="B16" s="1" t="s">
        <v>13</v>
      </c>
      <c r="C16" s="35">
        <v>0</v>
      </c>
      <c r="D16" s="35">
        <v>0</v>
      </c>
      <c r="E16" s="35">
        <v>0</v>
      </c>
      <c r="F16" s="35">
        <v>0</v>
      </c>
      <c r="G16" s="2"/>
      <c r="H16" s="2"/>
    </row>
    <row r="17" spans="2:15" ht="15.6" thickBot="1">
      <c r="B17" s="1" t="s">
        <v>15</v>
      </c>
      <c r="C17" s="2">
        <v>90</v>
      </c>
      <c r="D17" s="2">
        <v>70</v>
      </c>
      <c r="E17" s="2">
        <v>50</v>
      </c>
      <c r="F17" s="2">
        <v>40</v>
      </c>
      <c r="G17" s="2"/>
      <c r="H17" s="2">
        <v>5</v>
      </c>
    </row>
    <row r="18" spans="2:15" ht="15.6" thickBot="1">
      <c r="B18" s="1" t="s">
        <v>17</v>
      </c>
      <c r="C18" s="2">
        <v>3</v>
      </c>
      <c r="D18" s="2">
        <v>2</v>
      </c>
      <c r="E18" s="2">
        <v>1</v>
      </c>
      <c r="F18" s="2">
        <v>0</v>
      </c>
      <c r="G18" s="2"/>
      <c r="H18" s="2" t="s">
        <v>69</v>
      </c>
    </row>
    <row r="19" spans="2:15" ht="15.6" thickBot="1">
      <c r="B19" s="1" t="s">
        <v>18</v>
      </c>
      <c r="C19" s="35">
        <v>0</v>
      </c>
      <c r="D19" s="35">
        <v>0</v>
      </c>
      <c r="E19" s="35">
        <v>0</v>
      </c>
      <c r="F19" s="35">
        <v>0</v>
      </c>
      <c r="G19" s="2"/>
      <c r="H19" s="2"/>
    </row>
    <row r="20" spans="2:15" ht="15" thickBot="1">
      <c r="B20" s="1" t="s">
        <v>19</v>
      </c>
      <c r="C20" s="2">
        <v>10</v>
      </c>
      <c r="D20" s="2">
        <v>8</v>
      </c>
      <c r="E20" s="2">
        <v>6</v>
      </c>
      <c r="F20" s="2">
        <v>4</v>
      </c>
      <c r="G20" s="2" t="s">
        <v>16</v>
      </c>
      <c r="H20" s="2" t="s">
        <v>69</v>
      </c>
    </row>
    <row r="21" spans="2:15" ht="15" thickBot="1">
      <c r="B21" s="3" t="s">
        <v>22</v>
      </c>
      <c r="C21" s="4"/>
      <c r="D21" s="4"/>
      <c r="E21" s="4"/>
      <c r="F21" s="4"/>
      <c r="G21" s="68" t="s">
        <v>329</v>
      </c>
      <c r="H21" s="39"/>
    </row>
    <row r="22" spans="2:15" ht="15" thickBot="1">
      <c r="B22" s="1" t="s">
        <v>23</v>
      </c>
      <c r="C22" s="41">
        <f>(2.5/6+11/20)/2</f>
        <v>0.48333333333333339</v>
      </c>
      <c r="D22" s="41">
        <f>(2.5/5+11/20)/2</f>
        <v>0.52500000000000002</v>
      </c>
      <c r="E22" s="41">
        <f>(3/4+11/20)/2</f>
        <v>0.65</v>
      </c>
      <c r="F22" s="41">
        <f>(3/4+11/20)/2</f>
        <v>0.65</v>
      </c>
      <c r="G22" s="73">
        <f>G30</f>
        <v>13</v>
      </c>
      <c r="H22" s="73" t="str">
        <f>H30</f>
        <v>kW</v>
      </c>
      <c r="I22" s="62"/>
      <c r="J22" s="55"/>
      <c r="K22" s="55"/>
      <c r="L22" s="55"/>
      <c r="M22" s="55"/>
      <c r="N22" s="55"/>
      <c r="O22" s="55"/>
    </row>
    <row r="23" spans="2:15">
      <c r="B23" s="6" t="s">
        <v>24</v>
      </c>
      <c r="C23" s="7" t="s">
        <v>70</v>
      </c>
      <c r="D23" s="7" t="s">
        <v>70</v>
      </c>
      <c r="E23" s="28" t="s">
        <v>286</v>
      </c>
      <c r="F23" s="28" t="s">
        <v>286</v>
      </c>
      <c r="G23" s="7" t="s">
        <v>33</v>
      </c>
      <c r="H23" s="54"/>
      <c r="I23" s="77"/>
      <c r="J23" s="54"/>
      <c r="K23" s="54"/>
      <c r="L23" s="75"/>
      <c r="M23" s="75"/>
      <c r="N23" s="54"/>
      <c r="O23" s="54"/>
    </row>
    <row r="24" spans="2:15">
      <c r="B24" s="6" t="s">
        <v>71</v>
      </c>
      <c r="C24" s="29" t="s">
        <v>72</v>
      </c>
      <c r="D24" s="28" t="s">
        <v>72</v>
      </c>
      <c r="E24" s="29" t="s">
        <v>70</v>
      </c>
      <c r="F24" s="29" t="s">
        <v>70</v>
      </c>
      <c r="G24" s="7"/>
      <c r="H24" s="54"/>
      <c r="I24" s="77"/>
      <c r="J24" s="76"/>
      <c r="K24" s="75"/>
      <c r="L24" s="76"/>
      <c r="M24" s="76"/>
      <c r="N24" s="54"/>
      <c r="O24" s="54"/>
    </row>
    <row r="25" spans="2:15" ht="15" thickBot="1">
      <c r="B25" s="1" t="s">
        <v>73</v>
      </c>
      <c r="C25" s="2" t="s">
        <v>74</v>
      </c>
      <c r="D25" s="2" t="s">
        <v>74</v>
      </c>
      <c r="E25" s="2" t="s">
        <v>74</v>
      </c>
      <c r="F25" s="2" t="s">
        <v>74</v>
      </c>
      <c r="G25" s="2"/>
      <c r="H25" s="38"/>
      <c r="I25" s="77"/>
      <c r="J25" s="54"/>
      <c r="K25" s="54"/>
      <c r="L25" s="54"/>
      <c r="M25" s="54"/>
      <c r="N25" s="54"/>
      <c r="O25" s="54"/>
    </row>
    <row r="26" spans="2:15" ht="15" thickBot="1">
      <c r="B26" s="1" t="s">
        <v>30</v>
      </c>
      <c r="C26" s="2">
        <v>1.6</v>
      </c>
      <c r="D26" s="2">
        <v>1.6</v>
      </c>
      <c r="E26" s="2">
        <v>1.6</v>
      </c>
      <c r="F26" s="2">
        <v>1.6</v>
      </c>
      <c r="G26" s="2" t="s">
        <v>75</v>
      </c>
      <c r="H26" s="38"/>
      <c r="I26" s="62"/>
      <c r="J26" s="55"/>
      <c r="K26" s="55"/>
      <c r="L26" s="55"/>
      <c r="M26" s="55"/>
      <c r="N26" s="55"/>
      <c r="O26" s="55"/>
    </row>
    <row r="27" spans="2:15" ht="15" thickBot="1">
      <c r="B27" s="1" t="s">
        <v>50</v>
      </c>
      <c r="C27" s="2">
        <v>2</v>
      </c>
      <c r="D27" s="2">
        <v>2</v>
      </c>
      <c r="E27" s="2">
        <v>3</v>
      </c>
      <c r="F27" s="2">
        <v>3</v>
      </c>
      <c r="G27" s="2" t="s">
        <v>76</v>
      </c>
      <c r="H27" s="2">
        <v>6</v>
      </c>
    </row>
    <row r="28" spans="2:15" ht="15" thickBot="1">
      <c r="B28" s="1" t="s">
        <v>31</v>
      </c>
      <c r="C28" s="35">
        <v>0</v>
      </c>
      <c r="D28" s="35">
        <v>0</v>
      </c>
      <c r="E28" s="35">
        <v>0</v>
      </c>
      <c r="F28" s="35">
        <v>0</v>
      </c>
      <c r="G28" s="2"/>
      <c r="H28" s="2"/>
    </row>
    <row r="29" spans="2:15">
      <c r="B29" s="36" t="s">
        <v>353</v>
      </c>
      <c r="C29" s="42">
        <f>C22*$G$4*1000</f>
        <v>3600.8333333333339</v>
      </c>
      <c r="D29" s="42">
        <f>D22*$G$4*1000</f>
        <v>3911.2500000000005</v>
      </c>
      <c r="E29" s="42">
        <f>E22*$G$4*1000</f>
        <v>4842.5</v>
      </c>
      <c r="F29" s="42">
        <f>F22*$G$4*1000</f>
        <v>4842.5</v>
      </c>
      <c r="G29" s="63" t="s">
        <v>332</v>
      </c>
      <c r="H29" s="63"/>
    </row>
    <row r="30" spans="2:15">
      <c r="B30" s="36" t="s">
        <v>354</v>
      </c>
      <c r="C30" s="42">
        <f>C29*$G$30</f>
        <v>46810.833333333343</v>
      </c>
      <c r="D30" s="42">
        <f>D29*$G$30</f>
        <v>50846.250000000007</v>
      </c>
      <c r="E30" s="42">
        <f>E29*$G$30</f>
        <v>62952.5</v>
      </c>
      <c r="F30" s="42">
        <f>F29*$G$30</f>
        <v>62952.5</v>
      </c>
      <c r="G30" s="67">
        <v>13</v>
      </c>
      <c r="H30" s="63" t="s">
        <v>330</v>
      </c>
      <c r="I30" s="37"/>
    </row>
    <row r="31" spans="2:15">
      <c r="B31" s="36" t="s">
        <v>355</v>
      </c>
      <c r="C31" s="42">
        <f>C27*$G$4</f>
        <v>14.9</v>
      </c>
      <c r="D31" s="42">
        <f>D27*$G$4</f>
        <v>14.9</v>
      </c>
      <c r="E31" s="42">
        <f>E27*$G$4</f>
        <v>22.35</v>
      </c>
      <c r="F31" s="42">
        <f>F27*$G$4</f>
        <v>22.35</v>
      </c>
      <c r="G31" s="63" t="s">
        <v>333</v>
      </c>
      <c r="H31" s="63"/>
    </row>
    <row r="32" spans="2:15" ht="15" thickBot="1">
      <c r="B32" s="36" t="s">
        <v>356</v>
      </c>
      <c r="C32" s="105">
        <f>C28</f>
        <v>0</v>
      </c>
      <c r="D32" s="105">
        <f>D28</f>
        <v>0</v>
      </c>
      <c r="E32" s="105">
        <f>E28</f>
        <v>0</v>
      </c>
      <c r="F32" s="105">
        <f>F28</f>
        <v>0</v>
      </c>
      <c r="G32" s="66"/>
      <c r="H32" s="63"/>
    </row>
    <row r="33" spans="2:24">
      <c r="B33" s="1118" t="s">
        <v>0</v>
      </c>
      <c r="C33" s="1120" t="s">
        <v>66</v>
      </c>
      <c r="D33" s="1121"/>
      <c r="E33" s="1121"/>
      <c r="F33" s="1121"/>
      <c r="G33" s="1121"/>
      <c r="H33" s="1122"/>
      <c r="J33" s="1120" t="str">
        <f>C33</f>
        <v>Biomass boiler, automatic stoking</v>
      </c>
      <c r="K33" s="1121"/>
      <c r="L33" s="1121"/>
      <c r="M33" s="1121"/>
      <c r="N33" s="1121"/>
      <c r="O33" s="1122"/>
    </row>
    <row r="34" spans="2:24" ht="15" thickBot="1">
      <c r="B34" s="1119"/>
      <c r="C34" s="1001" t="s">
        <v>32</v>
      </c>
      <c r="D34" s="1002"/>
      <c r="E34" s="1002"/>
      <c r="F34" s="1002"/>
      <c r="G34" s="1002"/>
      <c r="H34" s="1003"/>
      <c r="J34" s="1001" t="str">
        <f>C34</f>
        <v>Apartment complex, existing building</v>
      </c>
      <c r="K34" s="1002"/>
      <c r="L34" s="1002"/>
      <c r="M34" s="1002"/>
      <c r="N34" s="1002"/>
      <c r="O34" s="100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9" t="s">
        <v>77</v>
      </c>
      <c r="D37" s="9" t="s">
        <v>77</v>
      </c>
      <c r="E37" s="9" t="s">
        <v>77</v>
      </c>
      <c r="F37" s="9" t="s">
        <v>77</v>
      </c>
      <c r="G37" s="9"/>
      <c r="H37" s="9"/>
      <c r="J37" s="50"/>
      <c r="K37" s="50"/>
      <c r="L37" s="51"/>
      <c r="M37" s="51"/>
      <c r="N37" s="51"/>
      <c r="O37" s="52"/>
      <c r="P37" s="50"/>
      <c r="Q37" s="50"/>
      <c r="R37" s="50"/>
      <c r="S37" s="50"/>
      <c r="T37" s="50"/>
      <c r="U37" s="50"/>
      <c r="V37" s="50"/>
      <c r="W37" s="50"/>
      <c r="X37" s="50"/>
    </row>
    <row r="38" spans="2:24" ht="24.6" thickBot="1">
      <c r="B38" s="1" t="s">
        <v>7</v>
      </c>
      <c r="C38" s="9">
        <v>100</v>
      </c>
      <c r="D38" s="9">
        <v>100</v>
      </c>
      <c r="E38" s="9">
        <v>100</v>
      </c>
      <c r="F38" s="9">
        <v>100</v>
      </c>
      <c r="G38" s="9"/>
      <c r="H38" s="9"/>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9">
        <v>100</v>
      </c>
      <c r="D39" s="9">
        <v>100</v>
      </c>
      <c r="E39" s="9">
        <v>100</v>
      </c>
      <c r="F39" s="9">
        <v>100</v>
      </c>
      <c r="G39" s="9"/>
      <c r="H39" s="9"/>
      <c r="J39" s="58">
        <f>C35</f>
        <v>2015</v>
      </c>
      <c r="K39" s="58">
        <f>J39</f>
        <v>2015</v>
      </c>
      <c r="L39" s="58">
        <f>C40/100</f>
        <v>0.85</v>
      </c>
      <c r="M39" s="58"/>
      <c r="N39" s="58">
        <f>C41</f>
        <v>20</v>
      </c>
      <c r="O39" s="59">
        <f>C56</f>
        <v>1490.0000000000002</v>
      </c>
      <c r="P39" s="59">
        <f>C58</f>
        <v>46.935000000000002</v>
      </c>
      <c r="Q39" s="59">
        <f>C59</f>
        <v>0</v>
      </c>
      <c r="R39" s="58"/>
      <c r="S39" s="58"/>
      <c r="T39" s="58">
        <f>C43</f>
        <v>0</v>
      </c>
      <c r="U39" s="78">
        <f>C44</f>
        <v>90</v>
      </c>
      <c r="V39" s="78">
        <f>C45</f>
        <v>3</v>
      </c>
      <c r="W39" s="78">
        <f>C46</f>
        <v>0</v>
      </c>
      <c r="X39" s="78">
        <f>C47</f>
        <v>10</v>
      </c>
    </row>
    <row r="40" spans="2:24" ht="15" thickBot="1">
      <c r="B40" s="1" t="s">
        <v>9</v>
      </c>
      <c r="C40" s="9">
        <v>85</v>
      </c>
      <c r="D40" s="9">
        <v>87</v>
      </c>
      <c r="E40" s="9">
        <v>91</v>
      </c>
      <c r="F40" s="9">
        <v>95</v>
      </c>
      <c r="G40" s="9"/>
      <c r="H40" s="9">
        <v>5</v>
      </c>
      <c r="J40" s="58">
        <f>D35</f>
        <v>2020</v>
      </c>
      <c r="K40" s="58"/>
      <c r="L40" s="58">
        <f>D40/100</f>
        <v>0.87</v>
      </c>
      <c r="M40" s="58"/>
      <c r="N40" s="58">
        <f>D41</f>
        <v>20</v>
      </c>
      <c r="O40" s="59">
        <f>D56</f>
        <v>1490.0000000000002</v>
      </c>
      <c r="P40" s="59">
        <f>D58</f>
        <v>46.935000000000002</v>
      </c>
      <c r="Q40" s="59">
        <f>D59</f>
        <v>0</v>
      </c>
      <c r="R40" s="58"/>
      <c r="S40" s="58"/>
      <c r="T40" s="58">
        <f>D43</f>
        <v>0</v>
      </c>
      <c r="U40" s="78">
        <f>D44</f>
        <v>70</v>
      </c>
      <c r="V40" s="78">
        <f>D45</f>
        <v>2</v>
      </c>
      <c r="W40" s="78">
        <f>D46</f>
        <v>0</v>
      </c>
      <c r="X40" s="78">
        <f>D47</f>
        <v>8</v>
      </c>
    </row>
    <row r="41" spans="2:24" ht="15" thickBot="1">
      <c r="B41" s="1" t="s">
        <v>11</v>
      </c>
      <c r="C41" s="9">
        <v>20</v>
      </c>
      <c r="D41" s="9">
        <v>20</v>
      </c>
      <c r="E41" s="9">
        <v>20</v>
      </c>
      <c r="F41" s="9">
        <v>20</v>
      </c>
      <c r="G41" s="9"/>
      <c r="H41" s="9">
        <v>7</v>
      </c>
      <c r="J41" s="58">
        <f>E35</f>
        <v>2030</v>
      </c>
      <c r="K41" s="58"/>
      <c r="L41" s="58">
        <f>E40/100</f>
        <v>0.91</v>
      </c>
      <c r="M41" s="58"/>
      <c r="N41" s="58">
        <f>E41</f>
        <v>20</v>
      </c>
      <c r="O41" s="59">
        <f>E56</f>
        <v>1490.0000000000002</v>
      </c>
      <c r="P41" s="59">
        <f>E58</f>
        <v>52.15</v>
      </c>
      <c r="Q41" s="59">
        <f>E59</f>
        <v>0</v>
      </c>
      <c r="R41" s="58"/>
      <c r="S41" s="58"/>
      <c r="T41" s="58">
        <f>E43</f>
        <v>0</v>
      </c>
      <c r="U41" s="78">
        <f>E44</f>
        <v>50</v>
      </c>
      <c r="V41" s="78">
        <f>E45</f>
        <v>1</v>
      </c>
      <c r="W41" s="78">
        <f>E46</f>
        <v>0</v>
      </c>
      <c r="X41" s="78">
        <f>E47</f>
        <v>6</v>
      </c>
    </row>
    <row r="42" spans="2:24" ht="15" thickBot="1">
      <c r="B42" s="3" t="s">
        <v>12</v>
      </c>
      <c r="C42" s="12"/>
      <c r="D42" s="12"/>
      <c r="E42" s="12"/>
      <c r="F42" s="12"/>
      <c r="G42" s="12"/>
      <c r="H42" s="13"/>
      <c r="J42" s="58">
        <f>F35</f>
        <v>2050</v>
      </c>
      <c r="K42" s="58"/>
      <c r="L42" s="58">
        <f>F40/100</f>
        <v>0.95</v>
      </c>
      <c r="M42" s="58"/>
      <c r="N42" s="58">
        <f>F41</f>
        <v>20</v>
      </c>
      <c r="O42" s="59">
        <f>F56</f>
        <v>1490.0000000000002</v>
      </c>
      <c r="P42" s="59">
        <f>F58</f>
        <v>59.6</v>
      </c>
      <c r="Q42" s="59">
        <f>F59</f>
        <v>0</v>
      </c>
      <c r="R42" s="58"/>
      <c r="S42" s="58"/>
      <c r="T42" s="58">
        <f>F43</f>
        <v>0</v>
      </c>
      <c r="U42" s="78">
        <f>F44</f>
        <v>40</v>
      </c>
      <c r="V42" s="78">
        <f>F45</f>
        <v>0</v>
      </c>
      <c r="W42" s="78">
        <f>F46</f>
        <v>0</v>
      </c>
      <c r="X42" s="78">
        <f>F47</f>
        <v>4</v>
      </c>
    </row>
    <row r="43" spans="2:24" ht="15.6" thickBot="1">
      <c r="B43" s="1" t="s">
        <v>13</v>
      </c>
      <c r="C43" s="183">
        <v>0</v>
      </c>
      <c r="D43" s="183">
        <v>0</v>
      </c>
      <c r="E43" s="183">
        <v>0</v>
      </c>
      <c r="F43" s="183">
        <v>0</v>
      </c>
      <c r="G43" s="9"/>
      <c r="H43" s="9"/>
    </row>
    <row r="44" spans="2:24" ht="15.6" thickBot="1">
      <c r="B44" s="1" t="s">
        <v>15</v>
      </c>
      <c r="C44" s="9">
        <v>90</v>
      </c>
      <c r="D44" s="9">
        <v>70</v>
      </c>
      <c r="E44" s="9">
        <v>50</v>
      </c>
      <c r="F44" s="9">
        <v>40</v>
      </c>
      <c r="G44" s="9"/>
      <c r="H44" s="9">
        <v>5</v>
      </c>
    </row>
    <row r="45" spans="2:24" ht="15.6" thickBot="1">
      <c r="B45" s="1" t="s">
        <v>17</v>
      </c>
      <c r="C45" s="9">
        <v>3</v>
      </c>
      <c r="D45" s="9">
        <v>2</v>
      </c>
      <c r="E45" s="9">
        <v>1</v>
      </c>
      <c r="F45" s="9">
        <v>0</v>
      </c>
      <c r="G45" s="9"/>
      <c r="H45" s="9" t="s">
        <v>69</v>
      </c>
    </row>
    <row r="46" spans="2:24" ht="15.6" thickBot="1">
      <c r="B46" s="1" t="s">
        <v>18</v>
      </c>
      <c r="C46" s="183">
        <v>0</v>
      </c>
      <c r="D46" s="183">
        <v>0</v>
      </c>
      <c r="E46" s="183">
        <v>0</v>
      </c>
      <c r="F46" s="183">
        <v>0</v>
      </c>
      <c r="G46" s="9"/>
      <c r="H46" s="9"/>
    </row>
    <row r="47" spans="2:24" ht="15" thickBot="1">
      <c r="B47" s="1" t="s">
        <v>19</v>
      </c>
      <c r="C47" s="9">
        <v>10</v>
      </c>
      <c r="D47" s="9">
        <v>8</v>
      </c>
      <c r="E47" s="9">
        <v>6</v>
      </c>
      <c r="F47" s="9">
        <v>4</v>
      </c>
      <c r="G47" s="9"/>
      <c r="H47" s="9">
        <v>5</v>
      </c>
    </row>
    <row r="48" spans="2:24" ht="15" thickBot="1">
      <c r="B48" s="3" t="s">
        <v>22</v>
      </c>
      <c r="C48" s="12"/>
      <c r="D48" s="12"/>
      <c r="E48" s="12"/>
      <c r="F48" s="12"/>
      <c r="G48" s="12"/>
      <c r="H48" s="13"/>
    </row>
    <row r="49" spans="2:24" ht="15" thickBot="1">
      <c r="B49" s="1" t="s">
        <v>23</v>
      </c>
      <c r="C49" s="9">
        <v>0.17</v>
      </c>
      <c r="D49" s="9">
        <v>0.17</v>
      </c>
      <c r="E49" s="9">
        <v>0.17</v>
      </c>
      <c r="F49" s="9">
        <v>0.17</v>
      </c>
      <c r="G49" s="9"/>
      <c r="H49" s="9">
        <v>7</v>
      </c>
    </row>
    <row r="50" spans="2:24">
      <c r="B50" s="6" t="s">
        <v>24</v>
      </c>
      <c r="C50" s="14" t="s">
        <v>68</v>
      </c>
      <c r="D50" s="14" t="s">
        <v>68</v>
      </c>
      <c r="E50" s="14" t="s">
        <v>68</v>
      </c>
      <c r="F50" s="14" t="s">
        <v>68</v>
      </c>
      <c r="G50" s="14"/>
      <c r="H50" s="14"/>
    </row>
    <row r="51" spans="2:24">
      <c r="B51" s="6" t="s">
        <v>71</v>
      </c>
      <c r="C51" s="14" t="s">
        <v>68</v>
      </c>
      <c r="D51" s="14" t="s">
        <v>68</v>
      </c>
      <c r="E51" s="14" t="s">
        <v>68</v>
      </c>
      <c r="F51" s="14" t="s">
        <v>68</v>
      </c>
      <c r="G51" s="14"/>
      <c r="H51" s="14"/>
    </row>
    <row r="52" spans="2:24" ht="15" thickBot="1">
      <c r="B52" s="1" t="s">
        <v>73</v>
      </c>
      <c r="C52" s="9" t="s">
        <v>68</v>
      </c>
      <c r="D52" s="9" t="s">
        <v>68</v>
      </c>
      <c r="E52" s="9" t="s">
        <v>68</v>
      </c>
      <c r="F52" s="9" t="s">
        <v>68</v>
      </c>
      <c r="G52" s="9"/>
      <c r="H52" s="9"/>
    </row>
    <row r="53" spans="2:24" ht="15" thickBot="1">
      <c r="B53" s="1" t="s">
        <v>30</v>
      </c>
      <c r="C53" s="25" t="s">
        <v>287</v>
      </c>
      <c r="D53" s="25" t="s">
        <v>287</v>
      </c>
      <c r="E53" s="25" t="s">
        <v>288</v>
      </c>
      <c r="F53" s="25" t="s">
        <v>288</v>
      </c>
      <c r="G53" s="9" t="s">
        <v>76</v>
      </c>
      <c r="H53" s="9"/>
    </row>
    <row r="54" spans="2:24" ht="15" thickBot="1">
      <c r="B54" s="1" t="s">
        <v>50</v>
      </c>
      <c r="C54" s="9">
        <v>6.3</v>
      </c>
      <c r="D54" s="9">
        <v>6.3</v>
      </c>
      <c r="E54" s="9">
        <v>7</v>
      </c>
      <c r="F54" s="9">
        <v>8</v>
      </c>
      <c r="G54" s="9" t="s">
        <v>25</v>
      </c>
      <c r="H54" s="9">
        <v>7</v>
      </c>
    </row>
    <row r="55" spans="2:24" ht="15" thickBot="1">
      <c r="B55" s="1" t="s">
        <v>31</v>
      </c>
      <c r="C55" s="183">
        <v>0</v>
      </c>
      <c r="D55" s="183">
        <v>0</v>
      </c>
      <c r="E55" s="183">
        <v>0</v>
      </c>
      <c r="F55" s="183">
        <v>0</v>
      </c>
      <c r="G55" s="9"/>
      <c r="H55" s="9"/>
    </row>
    <row r="56" spans="2:24">
      <c r="B56" s="36" t="s">
        <v>353</v>
      </c>
      <c r="C56" s="42">
        <f>(C49+((5+25)/2/$G$57))*$G$4*1000</f>
        <v>1490.0000000000002</v>
      </c>
      <c r="D56" s="42">
        <f>(D49+((5+25)/2/$G$57))*$G$4*1000</f>
        <v>1490.0000000000002</v>
      </c>
      <c r="E56" s="42">
        <f>(E49+((5+25)/2/$G$57))*$G$4*1000</f>
        <v>1490.0000000000002</v>
      </c>
      <c r="F56" s="42">
        <f>(F49+((5+25)/2/$G$57))*$G$4*1000</f>
        <v>1490.0000000000002</v>
      </c>
      <c r="G56" s="63" t="s">
        <v>332</v>
      </c>
      <c r="H56" s="63"/>
    </row>
    <row r="57" spans="2:24">
      <c r="B57" s="36" t="s">
        <v>354</v>
      </c>
      <c r="C57" s="42">
        <f>C56*$G$57</f>
        <v>745000.00000000012</v>
      </c>
      <c r="D57" s="42">
        <f>D56*$G$57</f>
        <v>745000.00000000012</v>
      </c>
      <c r="E57" s="42">
        <f>E56*$G$57</f>
        <v>745000.00000000012</v>
      </c>
      <c r="F57" s="42">
        <f>F56*$G$57</f>
        <v>745000.00000000012</v>
      </c>
      <c r="G57" s="67">
        <v>500</v>
      </c>
      <c r="H57" s="63" t="s">
        <v>330</v>
      </c>
    </row>
    <row r="58" spans="2:24">
      <c r="B58" s="36" t="s">
        <v>355</v>
      </c>
      <c r="C58" s="42">
        <f>C54*$G$4</f>
        <v>46.935000000000002</v>
      </c>
      <c r="D58" s="42">
        <f>D54*$G$4</f>
        <v>46.935000000000002</v>
      </c>
      <c r="E58" s="42">
        <f>E54*$G$4</f>
        <v>52.15</v>
      </c>
      <c r="F58" s="42">
        <f>F54*$G$4</f>
        <v>59.6</v>
      </c>
      <c r="G58" s="63" t="s">
        <v>333</v>
      </c>
      <c r="H58" s="63"/>
    </row>
    <row r="59" spans="2:24" ht="15" thickBot="1">
      <c r="B59" s="36" t="s">
        <v>356</v>
      </c>
      <c r="C59" s="42">
        <f>C55</f>
        <v>0</v>
      </c>
      <c r="D59" s="42">
        <f>D55</f>
        <v>0</v>
      </c>
      <c r="E59" s="42">
        <f>E55</f>
        <v>0</v>
      </c>
      <c r="F59" s="42">
        <f>F55</f>
        <v>0</v>
      </c>
      <c r="G59" s="66"/>
      <c r="H59" s="63"/>
    </row>
    <row r="60" spans="2:24">
      <c r="B60" s="1118" t="s">
        <v>0</v>
      </c>
      <c r="C60" s="1120" t="s">
        <v>66</v>
      </c>
      <c r="D60" s="1121"/>
      <c r="E60" s="1121"/>
      <c r="F60" s="1121"/>
      <c r="G60" s="1121"/>
      <c r="H60" s="1122"/>
      <c r="J60" s="1120" t="str">
        <f>C60</f>
        <v>Biomass boiler, automatic stoking</v>
      </c>
      <c r="K60" s="1121"/>
      <c r="L60" s="1121"/>
      <c r="M60" s="1121"/>
      <c r="N60" s="1121"/>
      <c r="O60" s="1122"/>
    </row>
    <row r="61" spans="2:24" ht="15" thickBot="1">
      <c r="B61" s="1119"/>
      <c r="C61" s="1001" t="s">
        <v>34</v>
      </c>
      <c r="D61" s="1002"/>
      <c r="E61" s="1002"/>
      <c r="F61" s="1002"/>
      <c r="G61" s="1002"/>
      <c r="H61" s="1003"/>
      <c r="J61" s="1001" t="str">
        <f>C61</f>
        <v>One-family house, new building</v>
      </c>
      <c r="K61" s="1002"/>
      <c r="L61" s="1002"/>
      <c r="M61" s="1002"/>
      <c r="N61" s="1002"/>
      <c r="O61" s="1003"/>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5" t="s">
        <v>284</v>
      </c>
      <c r="D64" s="25" t="s">
        <v>289</v>
      </c>
      <c r="E64" s="25" t="s">
        <v>290</v>
      </c>
      <c r="F64" s="25" t="s">
        <v>291</v>
      </c>
      <c r="G64" s="9" t="s">
        <v>6</v>
      </c>
      <c r="H64" s="9" t="s">
        <v>67</v>
      </c>
      <c r="J64" s="50"/>
      <c r="K64" s="50"/>
      <c r="L64" s="51"/>
      <c r="M64" s="51"/>
      <c r="N64" s="51"/>
      <c r="O64" s="52"/>
      <c r="P64" s="50"/>
      <c r="Q64" s="50"/>
      <c r="R64" s="50"/>
      <c r="S64" s="50"/>
      <c r="T64" s="50"/>
      <c r="U64" s="50"/>
      <c r="V64" s="50"/>
      <c r="W64" s="50"/>
      <c r="X64" s="50"/>
    </row>
    <row r="65" spans="2:24" ht="24.6" thickBot="1">
      <c r="B65" s="1" t="s">
        <v>7</v>
      </c>
      <c r="C65" s="9">
        <v>100</v>
      </c>
      <c r="D65" s="9">
        <v>100</v>
      </c>
      <c r="E65" s="9">
        <v>100</v>
      </c>
      <c r="F65" s="9">
        <v>100</v>
      </c>
      <c r="G65" s="9"/>
      <c r="H65" s="9"/>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9">
        <v>100</v>
      </c>
      <c r="D66" s="9">
        <v>100</v>
      </c>
      <c r="E66" s="9">
        <v>100</v>
      </c>
      <c r="F66" s="9">
        <v>100</v>
      </c>
      <c r="G66" s="9"/>
      <c r="H66" s="9"/>
      <c r="J66" s="58">
        <f>C62</f>
        <v>2015</v>
      </c>
      <c r="K66" s="58">
        <f>J66</f>
        <v>2015</v>
      </c>
      <c r="L66" s="58">
        <f>C67/100</f>
        <v>0.8</v>
      </c>
      <c r="M66" s="58"/>
      <c r="N66" s="58">
        <f>C68</f>
        <v>20</v>
      </c>
      <c r="O66" s="59">
        <f>C83</f>
        <v>3620.2033333333338</v>
      </c>
      <c r="P66" s="59">
        <f>C85</f>
        <v>14.9</v>
      </c>
      <c r="Q66" s="59">
        <f>C86</f>
        <v>0</v>
      </c>
      <c r="R66" s="58"/>
      <c r="S66" s="58"/>
      <c r="T66" s="58">
        <f>C70</f>
        <v>0</v>
      </c>
      <c r="U66" s="78">
        <f>C71</f>
        <v>90</v>
      </c>
      <c r="V66" s="78">
        <f>C72</f>
        <v>3</v>
      </c>
      <c r="W66" s="78">
        <f>C73</f>
        <v>0</v>
      </c>
      <c r="X66" s="78">
        <f>C74</f>
        <v>10</v>
      </c>
    </row>
    <row r="67" spans="2:24" ht="15" thickBot="1">
      <c r="B67" s="1" t="s">
        <v>9</v>
      </c>
      <c r="C67" s="9">
        <v>80</v>
      </c>
      <c r="D67" s="9">
        <v>87</v>
      </c>
      <c r="E67" s="9">
        <v>91</v>
      </c>
      <c r="F67" s="9">
        <v>95</v>
      </c>
      <c r="G67" s="9" t="s">
        <v>59</v>
      </c>
      <c r="H67" s="9" t="s">
        <v>21</v>
      </c>
      <c r="J67" s="58">
        <f>D62</f>
        <v>2020</v>
      </c>
      <c r="K67" s="58"/>
      <c r="L67" s="58">
        <f>D67/100</f>
        <v>0.87</v>
      </c>
      <c r="M67" s="58"/>
      <c r="N67" s="58">
        <f>D68</f>
        <v>20</v>
      </c>
      <c r="O67" s="59">
        <f>D83</f>
        <v>4158.2588888888895</v>
      </c>
      <c r="P67" s="59">
        <f>D85</f>
        <v>14.9</v>
      </c>
      <c r="Q67" s="59">
        <f>D86</f>
        <v>0</v>
      </c>
      <c r="R67" s="58"/>
      <c r="S67" s="58"/>
      <c r="T67" s="58">
        <f>D70</f>
        <v>0</v>
      </c>
      <c r="U67" s="78">
        <f>D71</f>
        <v>70</v>
      </c>
      <c r="V67" s="78">
        <f>D72</f>
        <v>2</v>
      </c>
      <c r="W67" s="78">
        <f>D73</f>
        <v>0</v>
      </c>
      <c r="X67" s="78">
        <f>D74</f>
        <v>8</v>
      </c>
    </row>
    <row r="68" spans="2:24" ht="15" thickBot="1">
      <c r="B68" s="1" t="s">
        <v>11</v>
      </c>
      <c r="C68" s="9">
        <v>20</v>
      </c>
      <c r="D68" s="9">
        <v>20</v>
      </c>
      <c r="E68" s="9">
        <v>20</v>
      </c>
      <c r="F68" s="9">
        <v>20</v>
      </c>
      <c r="G68" s="9"/>
      <c r="H68" s="9">
        <v>7</v>
      </c>
      <c r="J68" s="58">
        <f>E62</f>
        <v>2030</v>
      </c>
      <c r="K68" s="58"/>
      <c r="L68" s="58">
        <f>E67/100</f>
        <v>0.91</v>
      </c>
      <c r="M68" s="58"/>
      <c r="N68" s="58">
        <f>E68</f>
        <v>20</v>
      </c>
      <c r="O68" s="59">
        <f>E83</f>
        <v>5606.8700000000008</v>
      </c>
      <c r="P68" s="59">
        <f>E85</f>
        <v>22.35</v>
      </c>
      <c r="Q68" s="59">
        <f>E86</f>
        <v>0</v>
      </c>
      <c r="R68" s="58"/>
      <c r="S68" s="58"/>
      <c r="T68" s="58">
        <f>E70</f>
        <v>0</v>
      </c>
      <c r="U68" s="78">
        <f>E71</f>
        <v>50</v>
      </c>
      <c r="V68" s="78">
        <f>E72</f>
        <v>1</v>
      </c>
      <c r="W68" s="78">
        <f>E73</f>
        <v>0</v>
      </c>
      <c r="X68" s="78">
        <f>E74</f>
        <v>6</v>
      </c>
    </row>
    <row r="69" spans="2:24" ht="15" thickBot="1">
      <c r="B69" s="3" t="s">
        <v>12</v>
      </c>
      <c r="C69" s="12"/>
      <c r="D69" s="12"/>
      <c r="E69" s="12"/>
      <c r="F69" s="12"/>
      <c r="G69" s="12"/>
      <c r="H69" s="13"/>
      <c r="J69" s="58">
        <f>F62</f>
        <v>2050</v>
      </c>
      <c r="K69" s="58"/>
      <c r="L69" s="58">
        <f>F67/100</f>
        <v>0.95</v>
      </c>
      <c r="M69" s="58"/>
      <c r="N69" s="58">
        <f>F68</f>
        <v>20</v>
      </c>
      <c r="O69" s="59">
        <f>F83</f>
        <v>6005.9771428571439</v>
      </c>
      <c r="P69" s="59">
        <f>F85</f>
        <v>22.35</v>
      </c>
      <c r="Q69" s="59">
        <f>F86</f>
        <v>0</v>
      </c>
      <c r="R69" s="58"/>
      <c r="S69" s="58"/>
      <c r="T69" s="58">
        <f>F70</f>
        <v>0</v>
      </c>
      <c r="U69" s="78">
        <f>F71</f>
        <v>40</v>
      </c>
      <c r="V69" s="78">
        <f>F72</f>
        <v>0</v>
      </c>
      <c r="W69" s="78">
        <f>F73</f>
        <v>0</v>
      </c>
      <c r="X69" s="78">
        <f>F74</f>
        <v>4</v>
      </c>
    </row>
    <row r="70" spans="2:24" ht="15.6" thickBot="1">
      <c r="B70" s="1" t="s">
        <v>13</v>
      </c>
      <c r="C70" s="183">
        <v>0</v>
      </c>
      <c r="D70" s="183">
        <v>0</v>
      </c>
      <c r="E70" s="183">
        <v>0</v>
      </c>
      <c r="F70" s="183">
        <v>0</v>
      </c>
      <c r="G70" s="9"/>
      <c r="H70" s="9"/>
    </row>
    <row r="71" spans="2:24" ht="15.6" thickBot="1">
      <c r="B71" s="1" t="s">
        <v>15</v>
      </c>
      <c r="C71" s="9">
        <v>90</v>
      </c>
      <c r="D71" s="9">
        <v>70</v>
      </c>
      <c r="E71" s="9">
        <v>50</v>
      </c>
      <c r="F71" s="9">
        <v>40</v>
      </c>
      <c r="G71" s="9"/>
      <c r="H71" s="9">
        <v>5</v>
      </c>
    </row>
    <row r="72" spans="2:24" ht="15.6" thickBot="1">
      <c r="B72" s="1" t="s">
        <v>17</v>
      </c>
      <c r="C72" s="9">
        <v>3</v>
      </c>
      <c r="D72" s="9">
        <v>2</v>
      </c>
      <c r="E72" s="9">
        <v>1</v>
      </c>
      <c r="F72" s="9">
        <v>0</v>
      </c>
      <c r="G72" s="9"/>
      <c r="H72" s="9" t="s">
        <v>69</v>
      </c>
    </row>
    <row r="73" spans="2:24" ht="15.6" thickBot="1">
      <c r="B73" s="1" t="s">
        <v>18</v>
      </c>
      <c r="C73" s="183">
        <v>0</v>
      </c>
      <c r="D73" s="183">
        <v>0</v>
      </c>
      <c r="E73" s="183">
        <v>0</v>
      </c>
      <c r="F73" s="183">
        <v>0</v>
      </c>
      <c r="G73" s="9"/>
      <c r="H73" s="9"/>
    </row>
    <row r="74" spans="2:24" ht="15" thickBot="1">
      <c r="B74" s="1" t="s">
        <v>19</v>
      </c>
      <c r="C74" s="9">
        <v>10</v>
      </c>
      <c r="D74" s="9">
        <v>8</v>
      </c>
      <c r="E74" s="9">
        <v>6</v>
      </c>
      <c r="F74" s="9">
        <v>4</v>
      </c>
      <c r="G74" s="9" t="s">
        <v>16</v>
      </c>
      <c r="H74" s="9" t="s">
        <v>69</v>
      </c>
    </row>
    <row r="75" spans="2:24" ht="15" thickBot="1">
      <c r="B75" s="3" t="s">
        <v>22</v>
      </c>
      <c r="C75" s="4"/>
      <c r="D75" s="4"/>
      <c r="E75" s="4"/>
      <c r="F75" s="4"/>
      <c r="G75" s="68" t="s">
        <v>329</v>
      </c>
      <c r="H75" s="39"/>
    </row>
    <row r="76" spans="2:24" ht="15" thickBot="1">
      <c r="B76" s="1" t="s">
        <v>23</v>
      </c>
      <c r="C76" s="41">
        <f>(2.5/6+11/20)/2</f>
        <v>0.48333333333333339</v>
      </c>
      <c r="D76" s="41">
        <f>(2.5/5+11/18)/2</f>
        <v>0.55555555555555558</v>
      </c>
      <c r="E76" s="41">
        <f>(3/4+12/16)/2</f>
        <v>0.75</v>
      </c>
      <c r="F76" s="41">
        <f>(3/4+12/14)/2</f>
        <v>0.8035714285714286</v>
      </c>
      <c r="G76" s="73">
        <f>G84</f>
        <v>500</v>
      </c>
      <c r="H76" s="73" t="str">
        <f>H84</f>
        <v>kW</v>
      </c>
    </row>
    <row r="77" spans="2:24">
      <c r="B77" s="6" t="s">
        <v>24</v>
      </c>
      <c r="C77" s="30" t="s">
        <v>70</v>
      </c>
      <c r="D77" s="30" t="s">
        <v>70</v>
      </c>
      <c r="E77" s="31" t="s">
        <v>286</v>
      </c>
      <c r="F77" s="31" t="s">
        <v>286</v>
      </c>
      <c r="G77" s="14" t="s">
        <v>33</v>
      </c>
      <c r="H77" s="14"/>
    </row>
    <row r="78" spans="2:24">
      <c r="B78" s="6" t="s">
        <v>71</v>
      </c>
      <c r="C78" s="30" t="s">
        <v>72</v>
      </c>
      <c r="D78" s="31" t="s">
        <v>72</v>
      </c>
      <c r="E78" s="14" t="s">
        <v>70</v>
      </c>
      <c r="F78" s="14" t="s">
        <v>70</v>
      </c>
      <c r="G78" s="14"/>
      <c r="H78" s="14"/>
    </row>
    <row r="79" spans="2:24" ht="15" thickBot="1">
      <c r="B79" s="1" t="s">
        <v>73</v>
      </c>
      <c r="C79" s="9" t="s">
        <v>74</v>
      </c>
      <c r="D79" s="9" t="s">
        <v>74</v>
      </c>
      <c r="E79" s="9" t="s">
        <v>74</v>
      </c>
      <c r="F79" s="9" t="s">
        <v>74</v>
      </c>
      <c r="G79" s="9"/>
      <c r="H79" s="9"/>
    </row>
    <row r="80" spans="2:24" ht="15" thickBot="1">
      <c r="B80" s="1" t="s">
        <v>30</v>
      </c>
      <c r="C80" s="9">
        <v>1.3</v>
      </c>
      <c r="D80" s="9">
        <v>1.3</v>
      </c>
      <c r="E80" s="9">
        <v>1.3</v>
      </c>
      <c r="F80" s="9">
        <v>1.3</v>
      </c>
      <c r="G80" s="9" t="s">
        <v>75</v>
      </c>
      <c r="H80" s="9"/>
    </row>
    <row r="81" spans="2:24" ht="15" thickBot="1">
      <c r="B81" s="1" t="s">
        <v>50</v>
      </c>
      <c r="C81" s="9">
        <v>2</v>
      </c>
      <c r="D81" s="9">
        <v>2</v>
      </c>
      <c r="E81" s="9">
        <v>3</v>
      </c>
      <c r="F81" s="9">
        <v>3</v>
      </c>
      <c r="G81" s="9" t="s">
        <v>76</v>
      </c>
      <c r="H81" s="9">
        <v>6</v>
      </c>
    </row>
    <row r="82" spans="2:24" ht="15" thickBot="1">
      <c r="B82" s="1" t="s">
        <v>31</v>
      </c>
      <c r="C82" s="183">
        <v>0</v>
      </c>
      <c r="D82" s="183">
        <v>0</v>
      </c>
      <c r="E82" s="183">
        <v>0</v>
      </c>
      <c r="F82" s="183">
        <v>0</v>
      </c>
      <c r="G82" s="9"/>
      <c r="H82" s="9"/>
    </row>
    <row r="83" spans="2:24">
      <c r="B83" s="36" t="s">
        <v>353</v>
      </c>
      <c r="C83" s="42">
        <f>(C76+C80/$G$76)*$G$4*1000</f>
        <v>3620.2033333333338</v>
      </c>
      <c r="D83" s="42">
        <f>(D76+D80/$G$76)*$G$4*1000</f>
        <v>4158.2588888888895</v>
      </c>
      <c r="E83" s="42">
        <f>(E76+E80/$G$76)*$G$4*1000</f>
        <v>5606.8700000000008</v>
      </c>
      <c r="F83" s="42">
        <f>(F76+F80/$G$76)*$G$4*1000</f>
        <v>6005.9771428571439</v>
      </c>
      <c r="G83" s="63" t="s">
        <v>332</v>
      </c>
      <c r="H83" s="63"/>
    </row>
    <row r="84" spans="2:24">
      <c r="B84" s="36" t="s">
        <v>354</v>
      </c>
      <c r="C84" s="42">
        <f>C83*$G84</f>
        <v>1810101.666666667</v>
      </c>
      <c r="D84" s="42">
        <f>D83*$G84</f>
        <v>2079129.4444444447</v>
      </c>
      <c r="E84" s="42">
        <f>E83*$G84</f>
        <v>2803435.0000000005</v>
      </c>
      <c r="F84" s="42">
        <f>F83*$G84</f>
        <v>3002988.5714285718</v>
      </c>
      <c r="G84" s="67">
        <v>500</v>
      </c>
      <c r="H84" s="63" t="s">
        <v>330</v>
      </c>
    </row>
    <row r="85" spans="2:24">
      <c r="B85" s="36" t="s">
        <v>355</v>
      </c>
      <c r="C85" s="42">
        <f>C81*$G$4</f>
        <v>14.9</v>
      </c>
      <c r="D85" s="42">
        <f>D81*$G$4</f>
        <v>14.9</v>
      </c>
      <c r="E85" s="42">
        <f>E81*$G$4</f>
        <v>22.35</v>
      </c>
      <c r="F85" s="42">
        <f>F81*$G$4</f>
        <v>22.35</v>
      </c>
      <c r="G85" s="63" t="s">
        <v>333</v>
      </c>
      <c r="H85" s="63"/>
    </row>
    <row r="86" spans="2:24" ht="15" thickBot="1">
      <c r="B86" s="36" t="s">
        <v>356</v>
      </c>
      <c r="C86" s="42">
        <f>C82</f>
        <v>0</v>
      </c>
      <c r="D86" s="42">
        <f>D82</f>
        <v>0</v>
      </c>
      <c r="E86" s="42">
        <f>E82</f>
        <v>0</v>
      </c>
      <c r="F86" s="42">
        <f>F82</f>
        <v>0</v>
      </c>
      <c r="G86" s="66"/>
      <c r="H86" s="63"/>
    </row>
    <row r="87" spans="2:24">
      <c r="B87" s="1118" t="s">
        <v>0</v>
      </c>
      <c r="C87" s="1120" t="s">
        <v>66</v>
      </c>
      <c r="D87" s="1121"/>
      <c r="E87" s="1121"/>
      <c r="F87" s="1121"/>
      <c r="G87" s="1121"/>
      <c r="H87" s="1122"/>
      <c r="J87" s="1120" t="str">
        <f>C87</f>
        <v>Biomass boiler, automatic stoking</v>
      </c>
      <c r="K87" s="1121"/>
      <c r="L87" s="1121"/>
      <c r="M87" s="1121"/>
      <c r="N87" s="1121"/>
      <c r="O87" s="1122"/>
    </row>
    <row r="88" spans="2:24" ht="15" thickBot="1">
      <c r="B88" s="1119"/>
      <c r="C88" s="1001" t="s">
        <v>35</v>
      </c>
      <c r="D88" s="1002"/>
      <c r="E88" s="1002"/>
      <c r="F88" s="1002"/>
      <c r="G88" s="1002"/>
      <c r="H88" s="1003"/>
      <c r="J88" s="1001" t="str">
        <f>C88</f>
        <v>Apartment complex, new building</v>
      </c>
      <c r="K88" s="1002"/>
      <c r="L88" s="1002"/>
      <c r="M88" s="1002"/>
      <c r="N88" s="1002"/>
      <c r="O88" s="1003"/>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9" t="s">
        <v>77</v>
      </c>
      <c r="D91" s="9" t="s">
        <v>77</v>
      </c>
      <c r="E91" s="9" t="s">
        <v>77</v>
      </c>
      <c r="F91" s="9" t="s">
        <v>77</v>
      </c>
      <c r="G91" s="9"/>
      <c r="H91" s="9"/>
      <c r="J91" s="50"/>
      <c r="K91" s="50"/>
      <c r="L91" s="51"/>
      <c r="M91" s="51"/>
      <c r="N91" s="51"/>
      <c r="O91" s="52"/>
      <c r="P91" s="50"/>
      <c r="Q91" s="50"/>
      <c r="R91" s="50"/>
      <c r="S91" s="50"/>
      <c r="T91" s="50"/>
      <c r="U91" s="50"/>
      <c r="V91" s="50"/>
      <c r="W91" s="50"/>
      <c r="X91" s="50"/>
    </row>
    <row r="92" spans="2:24" ht="24.6" thickBot="1">
      <c r="B92" s="1" t="s">
        <v>7</v>
      </c>
      <c r="C92" s="9">
        <v>100</v>
      </c>
      <c r="D92" s="9">
        <v>100</v>
      </c>
      <c r="E92" s="9">
        <v>100</v>
      </c>
      <c r="F92" s="9">
        <v>100</v>
      </c>
      <c r="G92" s="9"/>
      <c r="H92" s="9"/>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9">
        <v>100</v>
      </c>
      <c r="D93" s="9">
        <v>100</v>
      </c>
      <c r="E93" s="9">
        <v>100</v>
      </c>
      <c r="F93" s="9">
        <v>100</v>
      </c>
      <c r="G93" s="9"/>
      <c r="H93" s="9"/>
      <c r="J93" s="58">
        <f>C89</f>
        <v>2015</v>
      </c>
      <c r="K93" s="58">
        <f>J93</f>
        <v>2015</v>
      </c>
      <c r="L93" s="58">
        <f>C94/100</f>
        <v>0.8</v>
      </c>
      <c r="M93" s="58"/>
      <c r="N93" s="58">
        <f>C95</f>
        <v>20</v>
      </c>
      <c r="O93" s="59">
        <f>C110</f>
        <v>1490.0000000000002</v>
      </c>
      <c r="P93" s="59">
        <f>C112</f>
        <v>46.935000000000002</v>
      </c>
      <c r="Q93" s="59">
        <f>C113</f>
        <v>0</v>
      </c>
      <c r="R93" s="58"/>
      <c r="S93" s="58"/>
      <c r="T93" s="58">
        <f>C97</f>
        <v>0</v>
      </c>
      <c r="U93" s="78">
        <f>C98</f>
        <v>90</v>
      </c>
      <c r="V93" s="78">
        <f>C99</f>
        <v>3</v>
      </c>
      <c r="W93" s="78">
        <f>C100</f>
        <v>0</v>
      </c>
      <c r="X93" s="78">
        <f>C101</f>
        <v>10</v>
      </c>
    </row>
    <row r="94" spans="2:24" ht="15" thickBot="1">
      <c r="B94" s="1" t="s">
        <v>9</v>
      </c>
      <c r="C94" s="9">
        <v>80</v>
      </c>
      <c r="D94" s="9">
        <v>87</v>
      </c>
      <c r="E94" s="9">
        <v>91</v>
      </c>
      <c r="F94" s="9">
        <v>95</v>
      </c>
      <c r="G94" s="9"/>
      <c r="H94" s="9">
        <v>5</v>
      </c>
      <c r="J94" s="58">
        <f>D89</f>
        <v>2020</v>
      </c>
      <c r="K94" s="58"/>
      <c r="L94" s="58">
        <f>D94/100</f>
        <v>0.87</v>
      </c>
      <c r="M94" s="58"/>
      <c r="N94" s="58">
        <f>D95</f>
        <v>20</v>
      </c>
      <c r="O94" s="59">
        <f>D110</f>
        <v>1490.0000000000002</v>
      </c>
      <c r="P94" s="59">
        <f>D112</f>
        <v>46.935000000000002</v>
      </c>
      <c r="Q94" s="59">
        <f>D113</f>
        <v>0</v>
      </c>
      <c r="R94" s="58"/>
      <c r="S94" s="58"/>
      <c r="T94" s="58">
        <f>D97</f>
        <v>0</v>
      </c>
      <c r="U94" s="78">
        <f>D98</f>
        <v>70</v>
      </c>
      <c r="V94" s="78">
        <f>D99</f>
        <v>2</v>
      </c>
      <c r="W94" s="78">
        <f>D100</f>
        <v>0</v>
      </c>
      <c r="X94" s="78">
        <f>D101</f>
        <v>8</v>
      </c>
    </row>
    <row r="95" spans="2:24" ht="15" thickBot="1">
      <c r="B95" s="1" t="s">
        <v>11</v>
      </c>
      <c r="C95" s="9">
        <v>20</v>
      </c>
      <c r="D95" s="9">
        <v>20</v>
      </c>
      <c r="E95" s="9">
        <v>20</v>
      </c>
      <c r="F95" s="9">
        <v>20</v>
      </c>
      <c r="G95" s="9"/>
      <c r="H95" s="9">
        <v>7</v>
      </c>
      <c r="J95" s="58">
        <f>E89</f>
        <v>2030</v>
      </c>
      <c r="K95" s="58"/>
      <c r="L95" s="58">
        <f>E94/100</f>
        <v>0.91</v>
      </c>
      <c r="M95" s="58"/>
      <c r="N95" s="58">
        <f>E95</f>
        <v>20</v>
      </c>
      <c r="O95" s="59">
        <f>E110</f>
        <v>1490.0000000000002</v>
      </c>
      <c r="P95" s="59">
        <f>E112</f>
        <v>52.15</v>
      </c>
      <c r="Q95" s="59">
        <f>E113</f>
        <v>0</v>
      </c>
      <c r="R95" s="58"/>
      <c r="S95" s="58"/>
      <c r="T95" s="58">
        <f>E97</f>
        <v>0</v>
      </c>
      <c r="U95" s="78">
        <f>E98</f>
        <v>50</v>
      </c>
      <c r="V95" s="78">
        <f>E99</f>
        <v>1</v>
      </c>
      <c r="W95" s="78">
        <f>E100</f>
        <v>0</v>
      </c>
      <c r="X95" s="78">
        <f>E101</f>
        <v>6</v>
      </c>
    </row>
    <row r="96" spans="2:24" ht="15" thickBot="1">
      <c r="B96" s="3" t="s">
        <v>12</v>
      </c>
      <c r="C96" s="12"/>
      <c r="D96" s="12"/>
      <c r="E96" s="12"/>
      <c r="F96" s="12"/>
      <c r="G96" s="12"/>
      <c r="H96" s="13"/>
      <c r="J96" s="58">
        <f>F89</f>
        <v>2050</v>
      </c>
      <c r="K96" s="58"/>
      <c r="L96" s="58">
        <f>F94/100</f>
        <v>0.95</v>
      </c>
      <c r="M96" s="58"/>
      <c r="N96" s="58">
        <f>F95</f>
        <v>20</v>
      </c>
      <c r="O96" s="59">
        <f>F110</f>
        <v>1490.0000000000002</v>
      </c>
      <c r="P96" s="59">
        <f>F112</f>
        <v>59.6</v>
      </c>
      <c r="Q96" s="59">
        <f>F113</f>
        <v>0</v>
      </c>
      <c r="R96" s="58"/>
      <c r="S96" s="58"/>
      <c r="T96" s="58">
        <f>F97</f>
        <v>0</v>
      </c>
      <c r="U96" s="78">
        <f>F98</f>
        <v>40</v>
      </c>
      <c r="V96" s="78">
        <f>F99</f>
        <v>0</v>
      </c>
      <c r="W96" s="78">
        <f>F100</f>
        <v>0</v>
      </c>
      <c r="X96" s="78">
        <f>F101</f>
        <v>4</v>
      </c>
    </row>
    <row r="97" spans="2:8" ht="15.6" thickBot="1">
      <c r="B97" s="1" t="s">
        <v>13</v>
      </c>
      <c r="C97" s="183">
        <v>0</v>
      </c>
      <c r="D97" s="183">
        <v>0</v>
      </c>
      <c r="E97" s="183">
        <v>0</v>
      </c>
      <c r="F97" s="183">
        <v>0</v>
      </c>
      <c r="G97" s="9"/>
      <c r="H97" s="9"/>
    </row>
    <row r="98" spans="2:8" ht="15.6" thickBot="1">
      <c r="B98" s="1" t="s">
        <v>15</v>
      </c>
      <c r="C98" s="9">
        <v>90</v>
      </c>
      <c r="D98" s="9">
        <v>70</v>
      </c>
      <c r="E98" s="9">
        <v>50</v>
      </c>
      <c r="F98" s="9">
        <v>40</v>
      </c>
      <c r="G98" s="9"/>
      <c r="H98" s="9">
        <v>5</v>
      </c>
    </row>
    <row r="99" spans="2:8" ht="15.6" thickBot="1">
      <c r="B99" s="1" t="s">
        <v>17</v>
      </c>
      <c r="C99" s="9">
        <v>3</v>
      </c>
      <c r="D99" s="9">
        <v>2</v>
      </c>
      <c r="E99" s="9">
        <v>1</v>
      </c>
      <c r="F99" s="9">
        <v>0</v>
      </c>
      <c r="G99" s="9"/>
      <c r="H99" s="9" t="s">
        <v>69</v>
      </c>
    </row>
    <row r="100" spans="2:8" ht="15.6" thickBot="1">
      <c r="B100" s="1" t="s">
        <v>18</v>
      </c>
      <c r="C100" s="183">
        <v>0</v>
      </c>
      <c r="D100" s="183">
        <v>0</v>
      </c>
      <c r="E100" s="183">
        <v>0</v>
      </c>
      <c r="F100" s="183">
        <v>0</v>
      </c>
      <c r="G100" s="9"/>
      <c r="H100" s="9"/>
    </row>
    <row r="101" spans="2:8" ht="15" thickBot="1">
      <c r="B101" s="1" t="s">
        <v>19</v>
      </c>
      <c r="C101" s="9">
        <v>10</v>
      </c>
      <c r="D101" s="9">
        <v>8</v>
      </c>
      <c r="E101" s="9">
        <v>6</v>
      </c>
      <c r="F101" s="9">
        <v>4</v>
      </c>
      <c r="G101" s="9"/>
      <c r="H101" s="9" t="s">
        <v>69</v>
      </c>
    </row>
    <row r="102" spans="2:8" ht="15" thickBot="1">
      <c r="B102" s="3" t="s">
        <v>22</v>
      </c>
      <c r="C102" s="12"/>
      <c r="D102" s="12"/>
      <c r="E102" s="12"/>
      <c r="F102" s="12"/>
      <c r="G102" s="12"/>
      <c r="H102" s="13"/>
    </row>
    <row r="103" spans="2:8" ht="15" thickBot="1">
      <c r="B103" s="1" t="s">
        <v>23</v>
      </c>
      <c r="C103" s="9">
        <v>0.17</v>
      </c>
      <c r="D103" s="9">
        <v>0.17</v>
      </c>
      <c r="E103" s="15">
        <v>0.17</v>
      </c>
      <c r="F103" s="15">
        <v>0.17</v>
      </c>
      <c r="G103" s="9"/>
      <c r="H103" s="9">
        <v>7</v>
      </c>
    </row>
    <row r="104" spans="2:8">
      <c r="B104" s="6" t="s">
        <v>24</v>
      </c>
      <c r="C104" s="14" t="s">
        <v>68</v>
      </c>
      <c r="D104" s="14" t="s">
        <v>68</v>
      </c>
      <c r="E104" s="14" t="s">
        <v>68</v>
      </c>
      <c r="F104" s="14" t="s">
        <v>68</v>
      </c>
      <c r="G104" s="14"/>
      <c r="H104" s="14"/>
    </row>
    <row r="105" spans="2:8">
      <c r="B105" s="6" t="s">
        <v>71</v>
      </c>
      <c r="C105" s="14" t="s">
        <v>68</v>
      </c>
      <c r="D105" s="14" t="s">
        <v>68</v>
      </c>
      <c r="E105" s="14" t="s">
        <v>68</v>
      </c>
      <c r="F105" s="14" t="s">
        <v>68</v>
      </c>
      <c r="G105" s="14"/>
      <c r="H105" s="14"/>
    </row>
    <row r="106" spans="2:8" ht="15" thickBot="1">
      <c r="B106" s="1" t="s">
        <v>73</v>
      </c>
      <c r="C106" s="9" t="s">
        <v>68</v>
      </c>
      <c r="D106" s="9" t="s">
        <v>68</v>
      </c>
      <c r="E106" s="9" t="s">
        <v>68</v>
      </c>
      <c r="F106" s="9" t="s">
        <v>68</v>
      </c>
      <c r="G106" s="9"/>
      <c r="H106" s="9"/>
    </row>
    <row r="107" spans="2:8" ht="15" thickBot="1">
      <c r="B107" s="1" t="s">
        <v>30</v>
      </c>
      <c r="C107" s="25" t="s">
        <v>287</v>
      </c>
      <c r="D107" s="25" t="s">
        <v>287</v>
      </c>
      <c r="E107" s="25" t="s">
        <v>288</v>
      </c>
      <c r="F107" s="25" t="s">
        <v>288</v>
      </c>
      <c r="G107" s="9" t="s">
        <v>76</v>
      </c>
      <c r="H107" s="9"/>
    </row>
    <row r="108" spans="2:8" ht="15" thickBot="1">
      <c r="B108" s="1" t="s">
        <v>50</v>
      </c>
      <c r="C108" s="9">
        <v>6.3</v>
      </c>
      <c r="D108" s="9">
        <v>6.3</v>
      </c>
      <c r="E108" s="9">
        <v>7</v>
      </c>
      <c r="F108" s="9">
        <v>8</v>
      </c>
      <c r="G108" s="9" t="s">
        <v>25</v>
      </c>
      <c r="H108" s="9">
        <v>7</v>
      </c>
    </row>
    <row r="109" spans="2:8" ht="15" thickBot="1">
      <c r="B109" s="1" t="s">
        <v>31</v>
      </c>
      <c r="C109" s="183">
        <v>0</v>
      </c>
      <c r="D109" s="183">
        <v>0</v>
      </c>
      <c r="E109" s="183">
        <v>0</v>
      </c>
      <c r="F109" s="183">
        <v>0</v>
      </c>
      <c r="G109" s="9"/>
      <c r="H109" s="9"/>
    </row>
    <row r="110" spans="2:8">
      <c r="B110" s="36" t="s">
        <v>353</v>
      </c>
      <c r="C110" s="42">
        <f>(C103+((5+25)/2/$G$57))*$G$4*1000</f>
        <v>1490.0000000000002</v>
      </c>
      <c r="D110" s="42">
        <f>(D103+((5+25)/2/$G$57))*$G$4*1000</f>
        <v>1490.0000000000002</v>
      </c>
      <c r="E110" s="42">
        <f>(E103+((5+25)/2/$G$57))*$G$4*1000</f>
        <v>1490.0000000000002</v>
      </c>
      <c r="F110" s="42">
        <f>(F103+((5+25)/2/$G$57))*$G$4*1000</f>
        <v>1490.0000000000002</v>
      </c>
      <c r="G110" s="63" t="s">
        <v>332</v>
      </c>
      <c r="H110" s="63"/>
    </row>
    <row r="111" spans="2:8">
      <c r="B111" s="36" t="s">
        <v>354</v>
      </c>
      <c r="C111" s="42">
        <f>C110*$G111</f>
        <v>745000.00000000012</v>
      </c>
      <c r="D111" s="42">
        <f>D110*$G111</f>
        <v>745000.00000000012</v>
      </c>
      <c r="E111" s="42">
        <f>E110*$G111</f>
        <v>745000.00000000012</v>
      </c>
      <c r="F111" s="42">
        <f>F110*$G111</f>
        <v>745000.00000000012</v>
      </c>
      <c r="G111" s="67">
        <v>500</v>
      </c>
      <c r="H111" s="63" t="s">
        <v>330</v>
      </c>
    </row>
    <row r="112" spans="2:8">
      <c r="B112" s="36" t="s">
        <v>355</v>
      </c>
      <c r="C112" s="42">
        <f>C108*$G$4</f>
        <v>46.935000000000002</v>
      </c>
      <c r="D112" s="42">
        <f>D108*$G$4</f>
        <v>46.935000000000002</v>
      </c>
      <c r="E112" s="42">
        <f>E108*$G$4</f>
        <v>52.15</v>
      </c>
      <c r="F112" s="42">
        <f>F108*$G$4</f>
        <v>59.6</v>
      </c>
      <c r="G112" s="63" t="s">
        <v>333</v>
      </c>
      <c r="H112" s="63"/>
    </row>
    <row r="113" spans="2:8" ht="15" thickBot="1">
      <c r="B113" s="36" t="s">
        <v>356</v>
      </c>
      <c r="C113" s="42">
        <f>C109</f>
        <v>0</v>
      </c>
      <c r="D113" s="42">
        <f>D109</f>
        <v>0</v>
      </c>
      <c r="E113" s="42">
        <f>E109</f>
        <v>0</v>
      </c>
      <c r="F113" s="42">
        <f>F109</f>
        <v>0</v>
      </c>
      <c r="G113" s="66"/>
      <c r="H113" s="63"/>
    </row>
    <row r="156" spans="7:7">
      <c r="G156" s="280" t="s">
        <v>665</v>
      </c>
    </row>
  </sheetData>
  <mergeCells count="20">
    <mergeCell ref="J6:O6"/>
    <mergeCell ref="J7:O7"/>
    <mergeCell ref="B6:B7"/>
    <mergeCell ref="C6:H6"/>
    <mergeCell ref="C7:H7"/>
    <mergeCell ref="B87:B88"/>
    <mergeCell ref="C87:H87"/>
    <mergeCell ref="C88:H88"/>
    <mergeCell ref="B33:B34"/>
    <mergeCell ref="C33:H33"/>
    <mergeCell ref="C34:H34"/>
    <mergeCell ref="B60:B61"/>
    <mergeCell ref="C60:H60"/>
    <mergeCell ref="C61:H61"/>
    <mergeCell ref="J87:O87"/>
    <mergeCell ref="J88:O88"/>
    <mergeCell ref="J60:O60"/>
    <mergeCell ref="J61:O61"/>
    <mergeCell ref="J33:O33"/>
    <mergeCell ref="J34:O34"/>
  </mergeCells>
  <pageMargins left="0.7" right="0.7" top="0.75" bottom="0.75" header="0.3" footer="0.3"/>
  <pageSetup paperSize="9" orientation="portrait"/>
  <legacy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
    <tabColor theme="4"/>
  </sheetPr>
  <dimension ref="B3:H156"/>
  <sheetViews>
    <sheetView topLeftCell="A4" workbookViewId="0">
      <selection activeCell="F153" sqref="F153"/>
    </sheetView>
  </sheetViews>
  <sheetFormatPr defaultRowHeight="14.4"/>
  <cols>
    <col min="2" max="2" width="36.6640625" customWidth="1"/>
  </cols>
  <sheetData>
    <row r="3" spans="2:8">
      <c r="B3" s="8" t="s">
        <v>311</v>
      </c>
    </row>
    <row r="5" spans="2:8" ht="15" thickBot="1"/>
    <row r="6" spans="2:8">
      <c r="B6" s="1118" t="s">
        <v>0</v>
      </c>
      <c r="C6" s="1120" t="s">
        <v>78</v>
      </c>
      <c r="D6" s="1121"/>
      <c r="E6" s="1121"/>
      <c r="F6" s="1121"/>
      <c r="G6" s="1121"/>
      <c r="H6" s="1122"/>
    </row>
    <row r="7" spans="2:8" ht="15" thickBot="1">
      <c r="B7" s="1119"/>
      <c r="C7" s="1001" t="s">
        <v>1</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7" t="s">
        <v>284</v>
      </c>
      <c r="D10" s="27" t="s">
        <v>277</v>
      </c>
      <c r="E10" s="27" t="s">
        <v>285</v>
      </c>
      <c r="F10" s="27" t="s">
        <v>285</v>
      </c>
      <c r="G10" s="2" t="s">
        <v>6</v>
      </c>
      <c r="H10" s="2" t="s">
        <v>67</v>
      </c>
    </row>
    <row r="11" spans="2:8" ht="24.6" thickBot="1">
      <c r="B11" s="1" t="s">
        <v>7</v>
      </c>
      <c r="C11" s="2">
        <v>100</v>
      </c>
      <c r="D11" s="2">
        <v>100</v>
      </c>
      <c r="E11" s="2">
        <v>100</v>
      </c>
      <c r="F11" s="2">
        <v>100</v>
      </c>
      <c r="G11" s="2"/>
      <c r="H11" s="2"/>
    </row>
    <row r="12" spans="2:8" ht="24.6" thickBot="1">
      <c r="B12" s="1" t="s">
        <v>8</v>
      </c>
      <c r="C12" s="2">
        <v>100</v>
      </c>
      <c r="D12" s="2">
        <v>100</v>
      </c>
      <c r="E12" s="2">
        <v>100</v>
      </c>
      <c r="F12" s="2">
        <v>100</v>
      </c>
      <c r="G12" s="2"/>
      <c r="H12" s="2"/>
    </row>
    <row r="13" spans="2:8" ht="15" thickBot="1">
      <c r="B13" s="1" t="s">
        <v>9</v>
      </c>
      <c r="C13" s="2">
        <v>75</v>
      </c>
      <c r="D13" s="2">
        <v>82</v>
      </c>
      <c r="E13" s="2">
        <v>86</v>
      </c>
      <c r="F13" s="2">
        <v>90</v>
      </c>
      <c r="G13" s="2"/>
      <c r="H13" s="2">
        <v>5</v>
      </c>
    </row>
    <row r="14" spans="2:8" ht="15" thickBot="1">
      <c r="B14" s="1" t="s">
        <v>11</v>
      </c>
      <c r="C14" s="2">
        <v>20</v>
      </c>
      <c r="D14" s="2">
        <v>20</v>
      </c>
      <c r="E14" s="2">
        <v>20</v>
      </c>
      <c r="F14" s="2">
        <v>20</v>
      </c>
      <c r="G14" s="2"/>
      <c r="H14" s="2">
        <v>6</v>
      </c>
    </row>
    <row r="15" spans="2:8" ht="15" thickBot="1">
      <c r="B15" s="3" t="s">
        <v>12</v>
      </c>
      <c r="C15" s="4"/>
      <c r="D15" s="4"/>
      <c r="E15" s="4"/>
      <c r="F15" s="4"/>
      <c r="G15" s="4"/>
      <c r="H15" s="5"/>
    </row>
    <row r="16" spans="2:8" ht="15.6" thickBot="1">
      <c r="B16" s="1" t="s">
        <v>13</v>
      </c>
      <c r="C16" s="35">
        <v>0</v>
      </c>
      <c r="D16" s="35">
        <v>0</v>
      </c>
      <c r="E16" s="35">
        <v>0</v>
      </c>
      <c r="F16" s="35">
        <v>0</v>
      </c>
      <c r="G16" s="2"/>
      <c r="H16" s="2"/>
    </row>
    <row r="17" spans="2:8" ht="15.6" thickBot="1">
      <c r="B17" s="1" t="s">
        <v>15</v>
      </c>
      <c r="C17" s="2">
        <v>80</v>
      </c>
      <c r="D17" s="2">
        <v>70</v>
      </c>
      <c r="E17" s="2">
        <v>60</v>
      </c>
      <c r="F17" s="2">
        <v>50</v>
      </c>
      <c r="G17" s="2"/>
      <c r="H17" s="2">
        <v>5</v>
      </c>
    </row>
    <row r="18" spans="2:8" ht="15.6" thickBot="1">
      <c r="B18" s="1" t="s">
        <v>17</v>
      </c>
      <c r="C18" s="2">
        <v>3</v>
      </c>
      <c r="D18" s="2">
        <v>2</v>
      </c>
      <c r="E18" s="2">
        <v>1</v>
      </c>
      <c r="F18" s="2">
        <v>0</v>
      </c>
      <c r="G18" s="2"/>
      <c r="H18" s="2" t="s">
        <v>69</v>
      </c>
    </row>
    <row r="19" spans="2:8" ht="15.6" thickBot="1">
      <c r="B19" s="1" t="s">
        <v>18</v>
      </c>
      <c r="C19" s="35">
        <v>0</v>
      </c>
      <c r="D19" s="35">
        <v>0</v>
      </c>
      <c r="E19" s="35">
        <v>0</v>
      </c>
      <c r="F19" s="35">
        <v>0</v>
      </c>
      <c r="G19" s="2"/>
      <c r="H19" s="2"/>
    </row>
    <row r="20" spans="2:8" ht="15" thickBot="1">
      <c r="B20" s="1" t="s">
        <v>19</v>
      </c>
      <c r="C20" s="2">
        <v>15</v>
      </c>
      <c r="D20" s="2">
        <v>12</v>
      </c>
      <c r="E20" s="2">
        <v>9</v>
      </c>
      <c r="F20" s="2">
        <v>6</v>
      </c>
      <c r="G20" s="2" t="s">
        <v>16</v>
      </c>
      <c r="H20" s="2">
        <v>5</v>
      </c>
    </row>
    <row r="21" spans="2:8" ht="15" thickBot="1">
      <c r="B21" s="3" t="s">
        <v>22</v>
      </c>
      <c r="C21" s="4"/>
      <c r="D21" s="4"/>
      <c r="E21" s="4"/>
      <c r="F21" s="4"/>
      <c r="G21" s="4"/>
      <c r="H21" s="5"/>
    </row>
    <row r="22" spans="2:8" ht="15" thickBot="1">
      <c r="B22" s="1" t="s">
        <v>23</v>
      </c>
      <c r="C22" s="2" t="s">
        <v>68</v>
      </c>
      <c r="D22" s="2" t="s">
        <v>68</v>
      </c>
      <c r="E22" s="2" t="s">
        <v>68</v>
      </c>
      <c r="F22" s="2" t="s">
        <v>68</v>
      </c>
      <c r="G22" s="2"/>
      <c r="H22" s="2"/>
    </row>
    <row r="23" spans="2:8">
      <c r="B23" s="6" t="s">
        <v>24</v>
      </c>
      <c r="C23" s="7">
        <v>4.5</v>
      </c>
      <c r="D23" s="7">
        <v>4.5</v>
      </c>
      <c r="E23" s="7">
        <v>4.5</v>
      </c>
      <c r="F23" s="7">
        <v>4.5</v>
      </c>
      <c r="G23" s="7"/>
      <c r="H23" s="7"/>
    </row>
    <row r="24" spans="2:8">
      <c r="B24" s="6" t="s">
        <v>71</v>
      </c>
      <c r="C24" s="7" t="s">
        <v>79</v>
      </c>
      <c r="D24" s="7">
        <v>3</v>
      </c>
      <c r="E24" s="7">
        <v>3</v>
      </c>
      <c r="F24" s="7">
        <v>3</v>
      </c>
      <c r="G24" s="7"/>
      <c r="H24" s="7"/>
    </row>
    <row r="25" spans="2:8" ht="15" thickBot="1">
      <c r="B25" s="1" t="s">
        <v>73</v>
      </c>
      <c r="C25" s="2" t="s">
        <v>80</v>
      </c>
      <c r="D25" s="2">
        <v>1.5</v>
      </c>
      <c r="E25" s="2">
        <v>1.5</v>
      </c>
      <c r="F25" s="2">
        <v>1.5</v>
      </c>
      <c r="G25" s="2"/>
      <c r="H25" s="2"/>
    </row>
    <row r="26" spans="2:8" ht="24.6" thickBot="1">
      <c r="B26" s="1" t="s">
        <v>30</v>
      </c>
      <c r="C26" s="2">
        <v>3.1</v>
      </c>
      <c r="D26" s="2">
        <v>3.1</v>
      </c>
      <c r="E26" s="2">
        <v>3.1</v>
      </c>
      <c r="F26" s="2">
        <v>3.1</v>
      </c>
      <c r="G26" s="2" t="s">
        <v>14</v>
      </c>
      <c r="H26" s="2"/>
    </row>
    <row r="27" spans="2:8" ht="15" thickBot="1">
      <c r="B27" s="1" t="s">
        <v>50</v>
      </c>
      <c r="C27" s="2">
        <v>2</v>
      </c>
      <c r="D27" s="2">
        <v>2</v>
      </c>
      <c r="E27" s="2">
        <v>2</v>
      </c>
      <c r="F27" s="2">
        <v>2</v>
      </c>
      <c r="G27" s="2" t="s">
        <v>20</v>
      </c>
      <c r="H27" s="2">
        <v>6</v>
      </c>
    </row>
    <row r="28" spans="2:8" ht="15" thickBot="1">
      <c r="B28" s="1" t="s">
        <v>31</v>
      </c>
      <c r="C28" s="2" t="s">
        <v>68</v>
      </c>
      <c r="D28" s="2" t="s">
        <v>68</v>
      </c>
      <c r="E28" s="2" t="s">
        <v>68</v>
      </c>
      <c r="F28" s="2" t="s">
        <v>68</v>
      </c>
      <c r="G28" s="2"/>
      <c r="H28" s="2"/>
    </row>
    <row r="32" spans="2:8" ht="15" thickBot="1"/>
    <row r="33" spans="2:8">
      <c r="B33" s="1118" t="s">
        <v>0</v>
      </c>
      <c r="C33" s="1120" t="s">
        <v>78</v>
      </c>
      <c r="D33" s="1121"/>
      <c r="E33" s="1121"/>
      <c r="F33" s="1121"/>
      <c r="G33" s="1121"/>
      <c r="H33" s="1122"/>
    </row>
    <row r="34" spans="2:8" ht="15" thickBot="1">
      <c r="B34" s="1119"/>
      <c r="C34" s="1001" t="s">
        <v>34</v>
      </c>
      <c r="D34" s="1002"/>
      <c r="E34" s="1002"/>
      <c r="F34" s="1002"/>
      <c r="G34" s="1002"/>
      <c r="H34" s="100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7" t="s">
        <v>284</v>
      </c>
      <c r="D37" s="27" t="s">
        <v>289</v>
      </c>
      <c r="E37" s="27" t="s">
        <v>290</v>
      </c>
      <c r="F37" s="27" t="s">
        <v>291</v>
      </c>
      <c r="G37" s="2" t="s">
        <v>6</v>
      </c>
      <c r="H37" s="2" t="s">
        <v>67</v>
      </c>
    </row>
    <row r="38" spans="2:8" ht="24.6" thickBot="1">
      <c r="B38" s="1" t="s">
        <v>7</v>
      </c>
      <c r="C38" s="2">
        <v>100</v>
      </c>
      <c r="D38" s="2">
        <v>100</v>
      </c>
      <c r="E38" s="2">
        <v>100</v>
      </c>
      <c r="F38" s="2">
        <v>100</v>
      </c>
      <c r="G38" s="2"/>
      <c r="H38" s="2"/>
    </row>
    <row r="39" spans="2:8" ht="24.6" thickBot="1">
      <c r="B39" s="1" t="s">
        <v>8</v>
      </c>
      <c r="C39" s="2">
        <v>100</v>
      </c>
      <c r="D39" s="2">
        <v>100</v>
      </c>
      <c r="E39" s="2">
        <v>100</v>
      </c>
      <c r="F39" s="2">
        <v>100</v>
      </c>
      <c r="G39" s="2"/>
      <c r="H39" s="2"/>
    </row>
    <row r="40" spans="2:8" ht="15" thickBot="1">
      <c r="B40" s="1" t="s">
        <v>9</v>
      </c>
      <c r="C40" s="2">
        <v>75</v>
      </c>
      <c r="D40" s="2">
        <v>82</v>
      </c>
      <c r="E40" s="2">
        <v>86</v>
      </c>
      <c r="F40" s="2">
        <v>90</v>
      </c>
      <c r="G40" s="2"/>
      <c r="H40" s="2">
        <v>5</v>
      </c>
    </row>
    <row r="41" spans="2:8" ht="15" thickBot="1">
      <c r="B41" s="1" t="s">
        <v>11</v>
      </c>
      <c r="C41" s="2">
        <v>20</v>
      </c>
      <c r="D41" s="2">
        <v>20</v>
      </c>
      <c r="E41" s="2">
        <v>20</v>
      </c>
      <c r="F41" s="2">
        <v>20</v>
      </c>
      <c r="G41" s="2"/>
      <c r="H41" s="2">
        <v>6</v>
      </c>
    </row>
    <row r="42" spans="2:8" ht="15" thickBot="1">
      <c r="B42" s="3" t="s">
        <v>12</v>
      </c>
      <c r="C42" s="4"/>
      <c r="D42" s="4"/>
      <c r="E42" s="4"/>
      <c r="F42" s="4"/>
      <c r="G42" s="4"/>
      <c r="H42" s="5"/>
    </row>
    <row r="43" spans="2:8" ht="15.6" thickBot="1">
      <c r="B43" s="1" t="s">
        <v>13</v>
      </c>
      <c r="C43" s="35">
        <v>0</v>
      </c>
      <c r="D43" s="35">
        <v>0</v>
      </c>
      <c r="E43" s="35">
        <v>0</v>
      </c>
      <c r="F43" s="35">
        <v>0</v>
      </c>
      <c r="G43" s="2"/>
      <c r="H43" s="2"/>
    </row>
    <row r="44" spans="2:8" ht="15.6" thickBot="1">
      <c r="B44" s="1" t="s">
        <v>15</v>
      </c>
      <c r="C44" s="2">
        <v>80</v>
      </c>
      <c r="D44" s="2">
        <v>70</v>
      </c>
      <c r="E44" s="2">
        <v>60</v>
      </c>
      <c r="F44" s="2">
        <v>50</v>
      </c>
      <c r="G44" s="2"/>
      <c r="H44" s="2">
        <v>5</v>
      </c>
    </row>
    <row r="45" spans="2:8" ht="15.6" thickBot="1">
      <c r="B45" s="1" t="s">
        <v>17</v>
      </c>
      <c r="C45" s="2">
        <v>3</v>
      </c>
      <c r="D45" s="2">
        <v>2</v>
      </c>
      <c r="E45" s="2">
        <v>1</v>
      </c>
      <c r="F45" s="2">
        <v>0</v>
      </c>
      <c r="G45" s="2"/>
      <c r="H45" s="2" t="s">
        <v>69</v>
      </c>
    </row>
    <row r="46" spans="2:8" ht="15.6" thickBot="1">
      <c r="B46" s="1" t="s">
        <v>18</v>
      </c>
      <c r="C46" s="35">
        <v>0</v>
      </c>
      <c r="D46" s="35">
        <v>0</v>
      </c>
      <c r="E46" s="35">
        <v>0</v>
      </c>
      <c r="F46" s="35">
        <v>0</v>
      </c>
      <c r="G46" s="2"/>
      <c r="H46" s="2"/>
    </row>
    <row r="47" spans="2:8" ht="15" thickBot="1">
      <c r="B47" s="1" t="s">
        <v>19</v>
      </c>
      <c r="C47" s="2">
        <v>15</v>
      </c>
      <c r="D47" s="2">
        <v>12</v>
      </c>
      <c r="E47" s="2">
        <v>9</v>
      </c>
      <c r="F47" s="2">
        <v>6</v>
      </c>
      <c r="G47" s="2" t="s">
        <v>16</v>
      </c>
      <c r="H47" s="2">
        <v>5</v>
      </c>
    </row>
    <row r="48" spans="2:8" ht="15" thickBot="1">
      <c r="B48" s="3" t="s">
        <v>22</v>
      </c>
      <c r="C48" s="4"/>
      <c r="D48" s="4"/>
      <c r="E48" s="4"/>
      <c r="F48" s="4"/>
      <c r="G48" s="4"/>
      <c r="H48" s="5"/>
    </row>
    <row r="49" spans="2:8" ht="15" thickBot="1">
      <c r="B49" s="1" t="s">
        <v>23</v>
      </c>
      <c r="C49" s="2" t="s">
        <v>68</v>
      </c>
      <c r="D49" s="2" t="s">
        <v>68</v>
      </c>
      <c r="E49" s="2" t="s">
        <v>68</v>
      </c>
      <c r="F49" s="2" t="s">
        <v>68</v>
      </c>
      <c r="G49" s="2"/>
      <c r="H49" s="2"/>
    </row>
    <row r="50" spans="2:8">
      <c r="B50" s="6" t="s">
        <v>24</v>
      </c>
      <c r="C50" s="7">
        <v>4.5</v>
      </c>
      <c r="D50" s="7">
        <v>4.5</v>
      </c>
      <c r="E50" s="7">
        <v>4.5</v>
      </c>
      <c r="F50" s="7">
        <v>4.5</v>
      </c>
      <c r="G50" s="7"/>
      <c r="H50" s="7"/>
    </row>
    <row r="51" spans="2:8">
      <c r="B51" s="6" t="s">
        <v>71</v>
      </c>
      <c r="C51" s="7" t="s">
        <v>79</v>
      </c>
      <c r="D51" s="7">
        <v>3</v>
      </c>
      <c r="E51" s="7">
        <v>3</v>
      </c>
      <c r="F51" s="7">
        <v>3</v>
      </c>
      <c r="G51" s="7"/>
      <c r="H51" s="7"/>
    </row>
    <row r="52" spans="2:8" ht="15" thickBot="1">
      <c r="B52" s="1" t="s">
        <v>73</v>
      </c>
      <c r="C52" s="2" t="s">
        <v>80</v>
      </c>
      <c r="D52" s="2">
        <v>1.5</v>
      </c>
      <c r="E52" s="2">
        <v>1.5</v>
      </c>
      <c r="F52" s="2">
        <v>1.5</v>
      </c>
      <c r="G52" s="2"/>
      <c r="H52" s="2"/>
    </row>
    <row r="53" spans="2:8" ht="24.6" thickBot="1">
      <c r="B53" s="1" t="s">
        <v>30</v>
      </c>
      <c r="C53" s="2">
        <v>2.8</v>
      </c>
      <c r="D53" s="2">
        <v>2.8</v>
      </c>
      <c r="E53" s="2">
        <v>2.8</v>
      </c>
      <c r="F53" s="2">
        <v>2.8</v>
      </c>
      <c r="G53" s="2" t="s">
        <v>14</v>
      </c>
      <c r="H53" s="2"/>
    </row>
    <row r="54" spans="2:8" ht="15" thickBot="1">
      <c r="B54" s="1" t="s">
        <v>50</v>
      </c>
      <c r="C54" s="2">
        <v>2</v>
      </c>
      <c r="D54" s="2">
        <v>2</v>
      </c>
      <c r="E54" s="2">
        <v>2</v>
      </c>
      <c r="F54" s="2">
        <v>2</v>
      </c>
      <c r="G54" s="2" t="s">
        <v>81</v>
      </c>
      <c r="H54" s="2"/>
    </row>
    <row r="55" spans="2:8" ht="15" thickBot="1">
      <c r="B55" s="1" t="s">
        <v>31</v>
      </c>
      <c r="C55" s="2" t="s">
        <v>68</v>
      </c>
      <c r="D55" s="2" t="s">
        <v>68</v>
      </c>
      <c r="E55" s="2" t="s">
        <v>68</v>
      </c>
      <c r="F55" s="2" t="s">
        <v>68</v>
      </c>
      <c r="G55" s="2"/>
      <c r="H55" s="2"/>
    </row>
    <row r="156" spans="7:7">
      <c r="G156" s="280" t="s">
        <v>665</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tabColor theme="4"/>
  </sheetPr>
  <dimension ref="B3:H156"/>
  <sheetViews>
    <sheetView workbookViewId="0">
      <selection activeCell="F153" sqref="F153"/>
    </sheetView>
  </sheetViews>
  <sheetFormatPr defaultRowHeight="14.4"/>
  <cols>
    <col min="2" max="2" width="36.6640625" customWidth="1"/>
  </cols>
  <sheetData>
    <row r="3" spans="2:8">
      <c r="B3" s="8" t="s">
        <v>312</v>
      </c>
    </row>
    <row r="5" spans="2:8" ht="15" thickBot="1"/>
    <row r="6" spans="2:8">
      <c r="B6" s="1118" t="s">
        <v>0</v>
      </c>
      <c r="C6" s="1120" t="s">
        <v>82</v>
      </c>
      <c r="D6" s="1121"/>
      <c r="E6" s="1121"/>
      <c r="F6" s="1121"/>
      <c r="G6" s="1121"/>
      <c r="H6" s="1122"/>
    </row>
    <row r="7" spans="2:8" ht="15" thickBot="1">
      <c r="B7" s="1119"/>
      <c r="C7" s="1001" t="s">
        <v>38</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32" t="s">
        <v>286</v>
      </c>
      <c r="D10" s="32" t="s">
        <v>292</v>
      </c>
      <c r="E10" s="33" t="s">
        <v>83</v>
      </c>
      <c r="F10" s="33" t="s">
        <v>84</v>
      </c>
      <c r="G10" s="9"/>
      <c r="H10" s="9"/>
    </row>
    <row r="11" spans="2:8" ht="24.6" thickBot="1">
      <c r="B11" s="1" t="s">
        <v>7</v>
      </c>
      <c r="C11" s="9" t="s">
        <v>85</v>
      </c>
      <c r="D11" s="9" t="s">
        <v>85</v>
      </c>
      <c r="E11" s="9" t="s">
        <v>85</v>
      </c>
      <c r="F11" s="9" t="s">
        <v>85</v>
      </c>
      <c r="G11" s="9" t="s">
        <v>16</v>
      </c>
      <c r="H11" s="9"/>
    </row>
    <row r="12" spans="2:8" ht="24.6" thickBot="1">
      <c r="B12" s="1" t="s">
        <v>8</v>
      </c>
      <c r="C12" s="9">
        <v>0</v>
      </c>
      <c r="D12" s="9">
        <v>0</v>
      </c>
      <c r="E12" s="9">
        <v>0</v>
      </c>
      <c r="F12" s="9">
        <v>0</v>
      </c>
      <c r="G12" s="9" t="s">
        <v>76</v>
      </c>
      <c r="H12" s="9"/>
    </row>
    <row r="13" spans="2:8" ht="15" thickBot="1">
      <c r="B13" s="1" t="s">
        <v>9</v>
      </c>
      <c r="C13" s="9">
        <v>65</v>
      </c>
      <c r="D13" s="9">
        <v>70</v>
      </c>
      <c r="E13" s="9">
        <v>75</v>
      </c>
      <c r="F13" s="9">
        <v>75</v>
      </c>
      <c r="G13" s="9"/>
      <c r="H13" s="9"/>
    </row>
    <row r="14" spans="2:8" ht="15" thickBot="1">
      <c r="B14" s="1" t="s">
        <v>11</v>
      </c>
      <c r="C14" s="9">
        <v>24</v>
      </c>
      <c r="D14" s="9">
        <v>24</v>
      </c>
      <c r="E14" s="9">
        <v>24</v>
      </c>
      <c r="F14" s="9">
        <v>24</v>
      </c>
      <c r="G14" s="9"/>
      <c r="H14" s="9">
        <v>2</v>
      </c>
    </row>
    <row r="15" spans="2:8" ht="15" thickBot="1">
      <c r="B15" s="3" t="s">
        <v>12</v>
      </c>
      <c r="C15" s="12"/>
      <c r="D15" s="12"/>
      <c r="E15" s="12"/>
      <c r="F15" s="12"/>
      <c r="G15" s="12"/>
      <c r="H15" s="13"/>
    </row>
    <row r="16" spans="2:8" ht="15.6" thickBot="1">
      <c r="B16" s="1" t="s">
        <v>13</v>
      </c>
      <c r="C16" s="183">
        <v>0</v>
      </c>
      <c r="D16" s="183">
        <v>0</v>
      </c>
      <c r="E16" s="183">
        <v>0</v>
      </c>
      <c r="F16" s="183">
        <v>0</v>
      </c>
      <c r="G16" s="9"/>
      <c r="H16" s="9"/>
    </row>
    <row r="17" spans="2:8" ht="15.6" thickBot="1">
      <c r="B17" s="1" t="s">
        <v>15</v>
      </c>
      <c r="C17" s="9">
        <v>90</v>
      </c>
      <c r="D17" s="9">
        <v>90</v>
      </c>
      <c r="E17" s="9">
        <v>90</v>
      </c>
      <c r="F17" s="9">
        <v>90</v>
      </c>
      <c r="G17" s="9"/>
      <c r="H17" s="9"/>
    </row>
    <row r="18" spans="2:8" ht="15.6" thickBot="1">
      <c r="B18" s="1" t="s">
        <v>17</v>
      </c>
      <c r="C18" s="9">
        <v>320</v>
      </c>
      <c r="D18" s="9">
        <v>125</v>
      </c>
      <c r="E18" s="9">
        <v>100</v>
      </c>
      <c r="F18" s="9">
        <v>100</v>
      </c>
      <c r="G18" s="9"/>
      <c r="H18" s="9">
        <v>1</v>
      </c>
    </row>
    <row r="19" spans="2:8" ht="15.6" thickBot="1">
      <c r="B19" s="1" t="s">
        <v>18</v>
      </c>
      <c r="C19" s="183">
        <v>0</v>
      </c>
      <c r="D19" s="183">
        <v>0</v>
      </c>
      <c r="E19" s="183">
        <v>0</v>
      </c>
      <c r="F19" s="183">
        <v>0</v>
      </c>
      <c r="G19" s="9"/>
      <c r="H19" s="9"/>
    </row>
    <row r="20" spans="2:8" ht="15" thickBot="1">
      <c r="B20" s="1" t="s">
        <v>19</v>
      </c>
      <c r="C20" s="9">
        <v>50</v>
      </c>
      <c r="D20" s="9">
        <v>40</v>
      </c>
      <c r="E20" s="9">
        <v>30</v>
      </c>
      <c r="F20" s="9">
        <v>25</v>
      </c>
      <c r="G20" s="9" t="s">
        <v>6</v>
      </c>
      <c r="H20" s="9">
        <v>1</v>
      </c>
    </row>
    <row r="21" spans="2:8" ht="15" thickBot="1">
      <c r="B21" s="3" t="s">
        <v>22</v>
      </c>
      <c r="C21" s="12"/>
      <c r="D21" s="12"/>
      <c r="E21" s="12"/>
      <c r="F21" s="12"/>
      <c r="G21" s="12"/>
      <c r="H21" s="13"/>
    </row>
    <row r="22" spans="2:8" ht="15" thickBot="1">
      <c r="B22" s="1" t="s">
        <v>23</v>
      </c>
      <c r="C22" s="9" t="s">
        <v>68</v>
      </c>
      <c r="D22" s="9" t="s">
        <v>68</v>
      </c>
      <c r="E22" s="9" t="s">
        <v>68</v>
      </c>
      <c r="F22" s="9" t="s">
        <v>68</v>
      </c>
      <c r="G22" s="9"/>
      <c r="H22" s="9"/>
    </row>
    <row r="23" spans="2:8">
      <c r="B23" s="6" t="s">
        <v>24</v>
      </c>
      <c r="C23" s="14">
        <v>2.6</v>
      </c>
      <c r="D23" s="14">
        <v>2.6</v>
      </c>
      <c r="E23" s="14">
        <v>3.5</v>
      </c>
      <c r="F23" s="14">
        <v>3.5</v>
      </c>
      <c r="G23" s="14" t="s">
        <v>20</v>
      </c>
      <c r="H23" s="14">
        <v>2</v>
      </c>
    </row>
    <row r="24" spans="2:8">
      <c r="B24" s="6" t="s">
        <v>71</v>
      </c>
      <c r="C24" s="14" t="s">
        <v>86</v>
      </c>
      <c r="D24" s="14">
        <v>2</v>
      </c>
      <c r="E24" s="14">
        <v>2.5</v>
      </c>
      <c r="F24" s="14">
        <v>2.5</v>
      </c>
      <c r="G24" s="14"/>
      <c r="H24" s="14">
        <v>2</v>
      </c>
    </row>
    <row r="25" spans="2:8" ht="15" thickBot="1">
      <c r="B25" s="1" t="s">
        <v>87</v>
      </c>
      <c r="C25" s="9" t="s">
        <v>88</v>
      </c>
      <c r="D25" s="9">
        <v>0.6</v>
      </c>
      <c r="E25" s="9">
        <v>1</v>
      </c>
      <c r="F25" s="9">
        <v>1</v>
      </c>
      <c r="G25" s="9"/>
      <c r="H25" s="9">
        <v>2</v>
      </c>
    </row>
    <row r="26" spans="2:8" ht="24.6" thickBot="1">
      <c r="B26" s="1" t="s">
        <v>30</v>
      </c>
      <c r="C26" s="9">
        <v>1.6</v>
      </c>
      <c r="D26" s="9">
        <v>1.6</v>
      </c>
      <c r="E26" s="9">
        <v>1.6</v>
      </c>
      <c r="F26" s="9">
        <v>1.6</v>
      </c>
      <c r="G26" s="9" t="s">
        <v>59</v>
      </c>
      <c r="H26" s="9"/>
    </row>
    <row r="27" spans="2:8" ht="15" thickBot="1">
      <c r="B27" s="1" t="s">
        <v>50</v>
      </c>
      <c r="C27" s="9">
        <v>0.1</v>
      </c>
      <c r="D27" s="9">
        <v>0.1</v>
      </c>
      <c r="E27" s="9">
        <v>0.1</v>
      </c>
      <c r="F27" s="9">
        <v>0.2</v>
      </c>
      <c r="G27" s="9"/>
      <c r="H27" s="9"/>
    </row>
    <row r="28" spans="2:8" ht="15" thickBot="1">
      <c r="B28" s="1" t="s">
        <v>31</v>
      </c>
      <c r="C28" s="9" t="s">
        <v>68</v>
      </c>
      <c r="D28" s="9" t="s">
        <v>68</v>
      </c>
      <c r="E28" s="9" t="s">
        <v>68</v>
      </c>
      <c r="F28" s="9" t="s">
        <v>68</v>
      </c>
      <c r="G28" s="9"/>
      <c r="H28" s="9"/>
    </row>
    <row r="32" spans="2:8" ht="15" thickBot="1"/>
    <row r="33" spans="2:8">
      <c r="B33" s="1118" t="s">
        <v>0</v>
      </c>
      <c r="C33" s="1120" t="s">
        <v>89</v>
      </c>
      <c r="D33" s="1121"/>
      <c r="E33" s="1121"/>
      <c r="F33" s="1121"/>
      <c r="G33" s="1121"/>
      <c r="H33" s="1122"/>
    </row>
    <row r="34" spans="2:8" ht="15" thickBot="1">
      <c r="B34" s="1119"/>
      <c r="C34" s="1001" t="s">
        <v>38</v>
      </c>
      <c r="D34" s="1002"/>
      <c r="E34" s="1002"/>
      <c r="F34" s="1002"/>
      <c r="G34" s="1002"/>
      <c r="H34" s="100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32" t="s">
        <v>293</v>
      </c>
      <c r="D37" s="32" t="s">
        <v>294</v>
      </c>
      <c r="E37" s="33" t="s">
        <v>90</v>
      </c>
      <c r="F37" s="33" t="s">
        <v>91</v>
      </c>
      <c r="G37" s="13"/>
      <c r="H37" s="13"/>
    </row>
    <row r="38" spans="2:8" ht="24.6" thickBot="1">
      <c r="B38" s="1" t="s">
        <v>7</v>
      </c>
      <c r="C38" s="9" t="s">
        <v>92</v>
      </c>
      <c r="D38" s="9" t="s">
        <v>92</v>
      </c>
      <c r="E38" s="9" t="s">
        <v>92</v>
      </c>
      <c r="F38" s="9" t="s">
        <v>92</v>
      </c>
      <c r="G38" s="13" t="s">
        <v>16</v>
      </c>
      <c r="H38" s="13"/>
    </row>
    <row r="39" spans="2:8" ht="24.6" thickBot="1">
      <c r="B39" s="1" t="s">
        <v>8</v>
      </c>
      <c r="C39" s="9">
        <v>20</v>
      </c>
      <c r="D39" s="9">
        <v>20</v>
      </c>
      <c r="E39" s="9">
        <v>20</v>
      </c>
      <c r="F39" s="9">
        <v>20</v>
      </c>
      <c r="G39" s="13" t="s">
        <v>76</v>
      </c>
      <c r="H39" s="13"/>
    </row>
    <row r="40" spans="2:8" ht="15" thickBot="1">
      <c r="B40" s="1" t="s">
        <v>9</v>
      </c>
      <c r="C40" s="9">
        <v>65</v>
      </c>
      <c r="D40" s="9">
        <v>70</v>
      </c>
      <c r="E40" s="9">
        <v>75</v>
      </c>
      <c r="F40" s="9">
        <v>75</v>
      </c>
      <c r="G40" s="9"/>
      <c r="H40" s="9"/>
    </row>
    <row r="41" spans="2:8" ht="15" thickBot="1">
      <c r="B41" s="1" t="s">
        <v>11</v>
      </c>
      <c r="C41" s="9">
        <v>24</v>
      </c>
      <c r="D41" s="9">
        <v>24</v>
      </c>
      <c r="E41" s="9">
        <v>24</v>
      </c>
      <c r="F41" s="9">
        <v>24</v>
      </c>
      <c r="G41" s="9"/>
      <c r="H41" s="9">
        <v>2</v>
      </c>
    </row>
    <row r="42" spans="2:8" ht="15" thickBot="1">
      <c r="B42" s="3" t="s">
        <v>12</v>
      </c>
      <c r="C42" s="16"/>
      <c r="D42" s="16"/>
      <c r="E42" s="16"/>
      <c r="F42" s="16"/>
      <c r="G42" s="16"/>
      <c r="H42" s="9"/>
    </row>
    <row r="43" spans="2:8" ht="15.6" thickBot="1">
      <c r="B43" s="1" t="s">
        <v>13</v>
      </c>
      <c r="C43" s="183">
        <v>0</v>
      </c>
      <c r="D43" s="183">
        <v>0</v>
      </c>
      <c r="E43" s="183">
        <v>0</v>
      </c>
      <c r="F43" s="183">
        <v>0</v>
      </c>
      <c r="G43" s="9"/>
      <c r="H43" s="9"/>
    </row>
    <row r="44" spans="2:8" ht="15.6" thickBot="1">
      <c r="B44" s="1" t="s">
        <v>15</v>
      </c>
      <c r="C44" s="9">
        <v>90</v>
      </c>
      <c r="D44" s="9">
        <v>90</v>
      </c>
      <c r="E44" s="9">
        <v>90</v>
      </c>
      <c r="F44" s="9">
        <v>90</v>
      </c>
      <c r="G44" s="13"/>
      <c r="H44" s="13"/>
    </row>
    <row r="45" spans="2:8" ht="15.6" thickBot="1">
      <c r="B45" s="1" t="s">
        <v>17</v>
      </c>
      <c r="C45" s="9">
        <v>320</v>
      </c>
      <c r="D45" s="9">
        <v>125</v>
      </c>
      <c r="E45" s="9">
        <v>100</v>
      </c>
      <c r="F45" s="9">
        <v>100</v>
      </c>
      <c r="G45" s="9"/>
      <c r="H45" s="9">
        <v>1</v>
      </c>
    </row>
    <row r="46" spans="2:8" ht="15.6" thickBot="1">
      <c r="B46" s="1" t="s">
        <v>18</v>
      </c>
      <c r="C46" s="183">
        <v>0</v>
      </c>
      <c r="D46" s="183">
        <v>0</v>
      </c>
      <c r="E46" s="183">
        <v>0</v>
      </c>
      <c r="F46" s="183">
        <v>0</v>
      </c>
      <c r="G46" s="9"/>
      <c r="H46" s="9"/>
    </row>
    <row r="47" spans="2:8" ht="15" thickBot="1">
      <c r="B47" s="1" t="s">
        <v>19</v>
      </c>
      <c r="C47" s="9"/>
      <c r="D47" s="9"/>
      <c r="E47" s="9"/>
      <c r="F47" s="9"/>
      <c r="G47" s="9"/>
      <c r="H47" s="9">
        <v>1</v>
      </c>
    </row>
    <row r="48" spans="2:8" ht="15" thickBot="1">
      <c r="B48" s="3" t="s">
        <v>22</v>
      </c>
      <c r="C48" s="16"/>
      <c r="D48" s="16"/>
      <c r="E48" s="16"/>
      <c r="F48" s="16"/>
      <c r="G48" s="16"/>
      <c r="H48" s="9"/>
    </row>
    <row r="49" spans="2:8" ht="15" thickBot="1">
      <c r="B49" s="1" t="s">
        <v>23</v>
      </c>
      <c r="C49" s="9" t="s">
        <v>68</v>
      </c>
      <c r="D49" s="9" t="s">
        <v>68</v>
      </c>
      <c r="E49" s="9" t="s">
        <v>68</v>
      </c>
      <c r="F49" s="9" t="s">
        <v>68</v>
      </c>
      <c r="G49" s="9" t="s">
        <v>6</v>
      </c>
      <c r="H49" s="9">
        <v>1</v>
      </c>
    </row>
    <row r="50" spans="2:8">
      <c r="B50" s="6" t="s">
        <v>24</v>
      </c>
      <c r="C50" s="14">
        <v>2.6</v>
      </c>
      <c r="D50" s="14">
        <v>2.6</v>
      </c>
      <c r="E50" s="14">
        <v>3.5</v>
      </c>
      <c r="F50" s="14">
        <v>3.5</v>
      </c>
      <c r="G50" s="17" t="s">
        <v>20</v>
      </c>
      <c r="H50" s="17">
        <v>2</v>
      </c>
    </row>
    <row r="51" spans="2:8">
      <c r="B51" s="6" t="s">
        <v>26</v>
      </c>
      <c r="C51" s="14" t="s">
        <v>86</v>
      </c>
      <c r="D51" s="14">
        <v>2</v>
      </c>
      <c r="E51" s="14">
        <v>2.5</v>
      </c>
      <c r="F51" s="14">
        <v>2.5</v>
      </c>
      <c r="G51" s="14"/>
      <c r="H51" s="14">
        <v>2</v>
      </c>
    </row>
    <row r="52" spans="2:8" ht="15" thickBot="1">
      <c r="B52" s="1" t="s">
        <v>28</v>
      </c>
      <c r="C52" s="9" t="s">
        <v>68</v>
      </c>
      <c r="D52" s="9" t="s">
        <v>68</v>
      </c>
      <c r="E52" s="9" t="s">
        <v>68</v>
      </c>
      <c r="F52" s="9" t="s">
        <v>68</v>
      </c>
      <c r="G52" s="9"/>
      <c r="H52" s="9">
        <v>2</v>
      </c>
    </row>
    <row r="53" spans="2:8" ht="24.6" thickBot="1">
      <c r="B53" s="1" t="s">
        <v>30</v>
      </c>
      <c r="C53" s="9">
        <v>1.3</v>
      </c>
      <c r="D53" s="9">
        <v>1.3</v>
      </c>
      <c r="E53" s="9">
        <v>1.3</v>
      </c>
      <c r="F53" s="9">
        <v>1.3</v>
      </c>
      <c r="G53" s="9" t="s">
        <v>59</v>
      </c>
      <c r="H53" s="9"/>
    </row>
    <row r="54" spans="2:8" ht="15" thickBot="1">
      <c r="B54" s="1" t="s">
        <v>50</v>
      </c>
      <c r="C54" s="9">
        <v>0.1</v>
      </c>
      <c r="D54" s="9">
        <v>0.1</v>
      </c>
      <c r="E54" s="9">
        <v>0.1</v>
      </c>
      <c r="F54" s="9">
        <v>0.2</v>
      </c>
      <c r="G54" s="9"/>
      <c r="H54" s="9"/>
    </row>
    <row r="55" spans="2:8" ht="15" thickBot="1">
      <c r="B55" s="1" t="s">
        <v>31</v>
      </c>
      <c r="C55" s="9" t="s">
        <v>68</v>
      </c>
      <c r="D55" s="9" t="s">
        <v>68</v>
      </c>
      <c r="E55" s="9" t="s">
        <v>68</v>
      </c>
      <c r="F55" s="9" t="s">
        <v>68</v>
      </c>
      <c r="G55" s="9"/>
      <c r="H55" s="9"/>
    </row>
    <row r="156" spans="7:7">
      <c r="G156" s="280" t="s">
        <v>665</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tabColor theme="4"/>
  </sheetPr>
  <dimension ref="B3:X156"/>
  <sheetViews>
    <sheetView workbookViewId="0">
      <selection activeCell="E46" sqref="E46"/>
    </sheetView>
  </sheetViews>
  <sheetFormatPr defaultRowHeight="14.4"/>
  <cols>
    <col min="2" max="2" width="36.6640625" customWidth="1"/>
  </cols>
  <sheetData>
    <row r="3" spans="2:24">
      <c r="B3" s="8" t="s">
        <v>313</v>
      </c>
      <c r="G3" t="s">
        <v>334</v>
      </c>
      <c r="H3" s="36">
        <v>7.45</v>
      </c>
    </row>
    <row r="5" spans="2:24" ht="15" thickBot="1"/>
    <row r="6" spans="2:24">
      <c r="B6" s="1118" t="s">
        <v>0</v>
      </c>
      <c r="C6" s="1120" t="s">
        <v>93</v>
      </c>
      <c r="D6" s="1121"/>
      <c r="E6" s="1121"/>
      <c r="F6" s="1121"/>
      <c r="G6" s="1121"/>
      <c r="H6" s="1122"/>
      <c r="J6" s="1120" t="str">
        <f>C6</f>
        <v>Heat pump, air-to-air</v>
      </c>
      <c r="K6" s="1121"/>
      <c r="L6" s="1121"/>
      <c r="M6" s="1121"/>
      <c r="N6" s="1121"/>
      <c r="O6" s="1122"/>
    </row>
    <row r="7" spans="2:24" ht="15" thickBot="1">
      <c r="B7" s="1119"/>
      <c r="C7" s="1001" t="s">
        <v>38</v>
      </c>
      <c r="D7" s="1002"/>
      <c r="E7" s="1002"/>
      <c r="F7" s="1002"/>
      <c r="G7" s="1002"/>
      <c r="H7" s="1003"/>
      <c r="J7" s="1001" t="str">
        <f>C7</f>
        <v>One-family house, existing and new building</v>
      </c>
      <c r="K7" s="1002"/>
      <c r="L7" s="1002"/>
      <c r="M7" s="1002"/>
      <c r="N7" s="1002"/>
      <c r="O7" s="1003"/>
    </row>
    <row r="8" spans="2:24" ht="15" thickBot="1">
      <c r="B8" s="1"/>
      <c r="C8" s="80">
        <v>2015</v>
      </c>
      <c r="D8" s="80">
        <v>2020</v>
      </c>
      <c r="E8" s="80">
        <v>2030</v>
      </c>
      <c r="F8" s="80">
        <v>2050</v>
      </c>
      <c r="G8" s="80" t="s">
        <v>2</v>
      </c>
      <c r="H8" s="80" t="s">
        <v>3</v>
      </c>
      <c r="J8" s="53" t="s">
        <v>357</v>
      </c>
    </row>
    <row r="9" spans="2:24" ht="28.2" thickBot="1">
      <c r="B9" s="3" t="s">
        <v>4</v>
      </c>
      <c r="C9" s="79"/>
      <c r="D9" s="79"/>
      <c r="E9" s="79"/>
      <c r="F9" s="79"/>
      <c r="G9" s="79"/>
      <c r="H9" s="80"/>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34" t="s">
        <v>295</v>
      </c>
      <c r="D10" s="34" t="s">
        <v>295</v>
      </c>
      <c r="E10" s="34" t="s">
        <v>295</v>
      </c>
      <c r="F10" s="34" t="s">
        <v>295</v>
      </c>
      <c r="G10" s="80" t="s">
        <v>20</v>
      </c>
      <c r="H10" s="80"/>
      <c r="J10" s="50"/>
      <c r="K10" s="50"/>
      <c r="L10" s="51"/>
      <c r="M10" s="51"/>
      <c r="N10" s="51"/>
      <c r="O10" s="52"/>
      <c r="P10" s="50"/>
      <c r="Q10" s="50"/>
      <c r="R10" s="50"/>
      <c r="S10" s="50"/>
      <c r="T10" s="50"/>
      <c r="U10" s="50"/>
      <c r="V10" s="50"/>
      <c r="W10" s="50"/>
      <c r="X10" s="50"/>
    </row>
    <row r="11" spans="2:24" ht="24.6" thickBot="1">
      <c r="B11" s="1" t="s">
        <v>7</v>
      </c>
      <c r="C11" s="80">
        <v>60</v>
      </c>
      <c r="D11" s="80">
        <v>60</v>
      </c>
      <c r="E11" s="80">
        <v>60</v>
      </c>
      <c r="F11" s="80">
        <v>60</v>
      </c>
      <c r="G11" s="80" t="s">
        <v>16</v>
      </c>
      <c r="H11" s="80"/>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80">
        <v>0</v>
      </c>
      <c r="D12" s="80">
        <v>0</v>
      </c>
      <c r="E12" s="80">
        <v>0</v>
      </c>
      <c r="F12" s="80">
        <v>0</v>
      </c>
      <c r="G12" s="80"/>
      <c r="H12" s="80"/>
      <c r="J12" s="58">
        <f>C8</f>
        <v>2015</v>
      </c>
      <c r="K12" s="58">
        <f>J12</f>
        <v>2015</v>
      </c>
      <c r="L12" s="58">
        <f>C13/100</f>
        <v>3</v>
      </c>
      <c r="M12" s="58"/>
      <c r="N12" s="58">
        <f>C14</f>
        <v>20</v>
      </c>
      <c r="O12" s="59">
        <f>C29</f>
        <v>4023.0000000000005</v>
      </c>
      <c r="P12" s="59">
        <f>C31</f>
        <v>62.580000000000005</v>
      </c>
      <c r="Q12" s="203">
        <f>C32</f>
        <v>0</v>
      </c>
      <c r="R12" s="58"/>
      <c r="S12" s="58"/>
      <c r="T12" s="58">
        <f>C16</f>
        <v>0</v>
      </c>
      <c r="U12" s="58">
        <f>C17</f>
        <v>0</v>
      </c>
      <c r="V12" s="58">
        <f>C18</f>
        <v>0</v>
      </c>
      <c r="W12" s="58">
        <f>C19</f>
        <v>0</v>
      </c>
      <c r="X12" s="58">
        <f>C20</f>
        <v>0</v>
      </c>
    </row>
    <row r="13" spans="2:24" ht="15" thickBot="1">
      <c r="B13" s="1" t="s">
        <v>9</v>
      </c>
      <c r="C13" s="80">
        <v>300</v>
      </c>
      <c r="D13" s="80">
        <v>320</v>
      </c>
      <c r="E13" s="80">
        <v>370</v>
      </c>
      <c r="F13" s="80">
        <v>400</v>
      </c>
      <c r="G13" s="80" t="s">
        <v>6</v>
      </c>
      <c r="H13" s="80" t="s">
        <v>10</v>
      </c>
      <c r="J13" s="58">
        <f>D8</f>
        <v>2020</v>
      </c>
      <c r="K13" s="58"/>
      <c r="L13" s="58">
        <f>D13/100</f>
        <v>3.2</v>
      </c>
      <c r="M13" s="58"/>
      <c r="N13" s="58">
        <f>D14</f>
        <v>20</v>
      </c>
      <c r="O13" s="59">
        <f>D29</f>
        <v>3874</v>
      </c>
      <c r="P13" s="59">
        <f>D31</f>
        <v>62.580000000000005</v>
      </c>
      <c r="Q13" s="203">
        <f>D32</f>
        <v>0</v>
      </c>
      <c r="R13" s="58"/>
      <c r="S13" s="58"/>
      <c r="T13" s="58">
        <f>D16</f>
        <v>0</v>
      </c>
      <c r="U13" s="58">
        <f>D17</f>
        <v>0</v>
      </c>
      <c r="V13" s="58">
        <f>D18</f>
        <v>0</v>
      </c>
      <c r="W13" s="58">
        <f>D19</f>
        <v>0</v>
      </c>
      <c r="X13" s="58">
        <f>D20</f>
        <v>0</v>
      </c>
    </row>
    <row r="14" spans="2:24" ht="15" thickBot="1">
      <c r="B14" s="1" t="s">
        <v>11</v>
      </c>
      <c r="C14" s="80">
        <v>20</v>
      </c>
      <c r="D14" s="80">
        <v>20</v>
      </c>
      <c r="E14" s="80">
        <v>20</v>
      </c>
      <c r="F14" s="80">
        <v>20</v>
      </c>
      <c r="G14" s="80"/>
      <c r="H14" s="80"/>
      <c r="J14" s="58">
        <f>E8</f>
        <v>2030</v>
      </c>
      <c r="K14" s="58"/>
      <c r="L14" s="58">
        <f>E13/100</f>
        <v>3.7</v>
      </c>
      <c r="M14" s="58"/>
      <c r="N14" s="58">
        <f>E14</f>
        <v>20</v>
      </c>
      <c r="O14" s="59">
        <f>E29</f>
        <v>3576</v>
      </c>
      <c r="P14" s="59">
        <f>E31</f>
        <v>62.580000000000005</v>
      </c>
      <c r="Q14" s="203">
        <f>E32</f>
        <v>0</v>
      </c>
      <c r="R14" s="58"/>
      <c r="S14" s="58"/>
      <c r="T14" s="58">
        <f>E16</f>
        <v>0</v>
      </c>
      <c r="U14" s="58">
        <f>E17</f>
        <v>0</v>
      </c>
      <c r="V14" s="58">
        <f>E18</f>
        <v>0</v>
      </c>
      <c r="W14" s="58">
        <f>E19</f>
        <v>0</v>
      </c>
      <c r="X14" s="58">
        <f>E20</f>
        <v>0</v>
      </c>
    </row>
    <row r="15" spans="2:24" ht="15" thickBot="1">
      <c r="B15" s="3" t="s">
        <v>12</v>
      </c>
      <c r="C15" s="79"/>
      <c r="D15" s="79"/>
      <c r="E15" s="79"/>
      <c r="F15" s="79"/>
      <c r="G15" s="79"/>
      <c r="H15" s="80"/>
      <c r="J15" s="58">
        <f>F8</f>
        <v>2050</v>
      </c>
      <c r="K15" s="58"/>
      <c r="L15" s="58">
        <f>F13/100</f>
        <v>4</v>
      </c>
      <c r="M15" s="58"/>
      <c r="N15" s="58">
        <f>F14</f>
        <v>20</v>
      </c>
      <c r="O15" s="59">
        <f>F29</f>
        <v>3426.9999999999995</v>
      </c>
      <c r="P15" s="59">
        <f>F31</f>
        <v>62.580000000000005</v>
      </c>
      <c r="Q15" s="203">
        <f>F32</f>
        <v>0</v>
      </c>
      <c r="R15" s="58"/>
      <c r="S15" s="58"/>
      <c r="T15" s="58">
        <f>F16</f>
        <v>0</v>
      </c>
      <c r="U15" s="58">
        <f>F17</f>
        <v>0</v>
      </c>
      <c r="V15" s="58">
        <f>F18</f>
        <v>0</v>
      </c>
      <c r="W15" s="58">
        <f>F19</f>
        <v>0</v>
      </c>
      <c r="X15" s="58">
        <f>F20</f>
        <v>0</v>
      </c>
    </row>
    <row r="16" spans="2:24" ht="27" customHeight="1" thickBot="1">
      <c r="B16" s="1" t="s">
        <v>13</v>
      </c>
      <c r="C16" s="196">
        <v>0</v>
      </c>
      <c r="D16" s="197">
        <v>0</v>
      </c>
      <c r="E16" s="197">
        <v>0</v>
      </c>
      <c r="F16" s="198">
        <v>0</v>
      </c>
      <c r="G16" s="1136" t="s">
        <v>98</v>
      </c>
      <c r="H16" s="178"/>
      <c r="J16" s="54"/>
      <c r="K16" s="54"/>
      <c r="L16" s="54"/>
      <c r="M16" s="54"/>
    </row>
    <row r="17" spans="2:13" ht="15.6" thickBot="1">
      <c r="B17" s="1" t="s">
        <v>15</v>
      </c>
      <c r="C17" s="199">
        <v>0</v>
      </c>
      <c r="D17" s="195">
        <v>0</v>
      </c>
      <c r="E17" s="195">
        <v>0</v>
      </c>
      <c r="F17" s="190">
        <v>0</v>
      </c>
      <c r="G17" s="1137"/>
      <c r="H17" s="179"/>
      <c r="J17" s="55"/>
      <c r="K17" s="55"/>
      <c r="L17" s="55"/>
      <c r="M17" s="55"/>
    </row>
    <row r="18" spans="2:13" ht="15.6" thickBot="1">
      <c r="B18" s="1" t="s">
        <v>17</v>
      </c>
      <c r="C18" s="199">
        <v>0</v>
      </c>
      <c r="D18" s="195">
        <v>0</v>
      </c>
      <c r="E18" s="195">
        <v>0</v>
      </c>
      <c r="F18" s="190">
        <v>0</v>
      </c>
      <c r="G18" s="1137"/>
      <c r="H18" s="179"/>
    </row>
    <row r="19" spans="2:13" ht="15.6" thickBot="1">
      <c r="B19" s="1" t="s">
        <v>18</v>
      </c>
      <c r="C19" s="199">
        <v>0</v>
      </c>
      <c r="D19" s="195">
        <v>0</v>
      </c>
      <c r="E19" s="195">
        <v>0</v>
      </c>
      <c r="F19" s="190">
        <v>0</v>
      </c>
      <c r="G19" s="1137"/>
      <c r="H19" s="179"/>
    </row>
    <row r="20" spans="2:13" ht="15" thickBot="1">
      <c r="B20" s="1" t="s">
        <v>19</v>
      </c>
      <c r="C20" s="200">
        <v>0</v>
      </c>
      <c r="D20" s="201">
        <v>0</v>
      </c>
      <c r="E20" s="201">
        <v>0</v>
      </c>
      <c r="F20" s="35">
        <v>0</v>
      </c>
      <c r="G20" s="1138"/>
      <c r="H20" s="180"/>
    </row>
    <row r="21" spans="2:13" ht="15" thickBot="1">
      <c r="B21" s="3" t="s">
        <v>22</v>
      </c>
      <c r="C21" s="18"/>
      <c r="D21" s="18"/>
      <c r="E21" s="18"/>
      <c r="F21" s="18"/>
      <c r="G21" s="68" t="s">
        <v>329</v>
      </c>
      <c r="H21" s="2"/>
    </row>
    <row r="22" spans="2:13" ht="15" thickBot="1">
      <c r="B22" s="1" t="s">
        <v>23</v>
      </c>
      <c r="C22" s="41">
        <f>C23/$G22</f>
        <v>0.54</v>
      </c>
      <c r="D22" s="41">
        <f>D23/$G22</f>
        <v>0.52</v>
      </c>
      <c r="E22" s="41">
        <f>E23/$G22</f>
        <v>0.48</v>
      </c>
      <c r="F22" s="41">
        <f>F23/$G22</f>
        <v>0.45999999999999996</v>
      </c>
      <c r="G22" s="73">
        <v>5</v>
      </c>
      <c r="H22" s="73" t="str">
        <f>H30</f>
        <v>kW</v>
      </c>
    </row>
    <row r="23" spans="2:13">
      <c r="B23" s="6" t="s">
        <v>24</v>
      </c>
      <c r="C23" s="7">
        <v>2.7</v>
      </c>
      <c r="D23" s="7">
        <v>2.6</v>
      </c>
      <c r="E23" s="7">
        <v>2.4</v>
      </c>
      <c r="F23" s="7">
        <v>2.2999999999999998</v>
      </c>
      <c r="G23" s="7" t="s">
        <v>6</v>
      </c>
      <c r="H23" s="7" t="s">
        <v>94</v>
      </c>
    </row>
    <row r="24" spans="2:13">
      <c r="B24" s="6" t="s">
        <v>26</v>
      </c>
      <c r="C24" s="7" t="s">
        <v>95</v>
      </c>
      <c r="D24" s="7">
        <v>80</v>
      </c>
      <c r="E24" s="7">
        <v>80</v>
      </c>
      <c r="F24" s="7">
        <v>80</v>
      </c>
      <c r="G24" s="7"/>
      <c r="H24" s="7"/>
    </row>
    <row r="25" spans="2:13" ht="15" thickBot="1">
      <c r="B25" s="1" t="s">
        <v>96</v>
      </c>
      <c r="C25" s="2" t="s">
        <v>97</v>
      </c>
      <c r="D25" s="2">
        <v>20</v>
      </c>
      <c r="E25" s="2">
        <v>20</v>
      </c>
      <c r="F25" s="2">
        <v>20</v>
      </c>
      <c r="G25" s="2"/>
      <c r="H25" s="2"/>
    </row>
    <row r="26" spans="2:13" ht="24.6" thickBot="1">
      <c r="B26" s="1" t="s">
        <v>30</v>
      </c>
      <c r="C26" s="2"/>
      <c r="D26" s="2"/>
      <c r="E26" s="2"/>
      <c r="F26" s="2"/>
      <c r="G26" s="2"/>
      <c r="H26" s="2"/>
    </row>
    <row r="27" spans="2:13" ht="15" thickBot="1">
      <c r="B27" s="1" t="s">
        <v>64</v>
      </c>
      <c r="C27" s="2">
        <v>42</v>
      </c>
      <c r="D27" s="2">
        <v>42</v>
      </c>
      <c r="E27" s="2">
        <v>42</v>
      </c>
      <c r="F27" s="2">
        <v>42</v>
      </c>
      <c r="G27" s="2" t="s">
        <v>59</v>
      </c>
      <c r="H27" s="2">
        <v>2</v>
      </c>
    </row>
    <row r="28" spans="2:13" ht="15" thickBot="1">
      <c r="B28" s="1" t="s">
        <v>31</v>
      </c>
      <c r="C28" s="2"/>
      <c r="D28" s="2"/>
      <c r="E28" s="2"/>
      <c r="F28" s="2"/>
      <c r="G28" s="2"/>
      <c r="H28" s="2"/>
      <c r="I28" s="64"/>
      <c r="J28" s="64"/>
    </row>
    <row r="29" spans="2:13">
      <c r="B29" s="36" t="s">
        <v>353</v>
      </c>
      <c r="C29" s="42">
        <f>C22*$H$3*1000</f>
        <v>4023.0000000000005</v>
      </c>
      <c r="D29" s="42">
        <f>D22*$H$3*1000</f>
        <v>3874</v>
      </c>
      <c r="E29" s="42">
        <f>E22*$H$3*1000</f>
        <v>3576</v>
      </c>
      <c r="F29" s="42">
        <f>F22*$H$3*1000</f>
        <v>3426.9999999999995</v>
      </c>
      <c r="G29" s="63" t="s">
        <v>332</v>
      </c>
      <c r="H29" s="63"/>
      <c r="I29" s="64"/>
    </row>
    <row r="30" spans="2:13">
      <c r="B30" s="36" t="s">
        <v>354</v>
      </c>
      <c r="C30" s="42">
        <f>C23*$H$3</f>
        <v>20.115000000000002</v>
      </c>
      <c r="D30" s="42">
        <f>D23*$H$3</f>
        <v>19.37</v>
      </c>
      <c r="E30" s="42">
        <f>E23*$H$3</f>
        <v>17.88</v>
      </c>
      <c r="F30" s="42">
        <f>F23*$H$3</f>
        <v>17.134999999999998</v>
      </c>
      <c r="G30" s="67">
        <v>5</v>
      </c>
      <c r="H30" s="63" t="s">
        <v>330</v>
      </c>
      <c r="I30" s="64"/>
    </row>
    <row r="31" spans="2:13">
      <c r="B31" s="36" t="s">
        <v>355</v>
      </c>
      <c r="C31" s="42">
        <f>C27*$H$3/$G30</f>
        <v>62.580000000000005</v>
      </c>
      <c r="D31" s="42">
        <f>D27*$H$3/$G30</f>
        <v>62.580000000000005</v>
      </c>
      <c r="E31" s="42">
        <f>E27*$H$3/$G30</f>
        <v>62.580000000000005</v>
      </c>
      <c r="F31" s="42">
        <f>F27*$H$3/$G30</f>
        <v>62.580000000000005</v>
      </c>
      <c r="G31" s="63" t="s">
        <v>333</v>
      </c>
      <c r="H31" s="63"/>
      <c r="I31" s="64"/>
    </row>
    <row r="32" spans="2:13" ht="15" thickBot="1">
      <c r="B32" s="36" t="s">
        <v>356</v>
      </c>
      <c r="C32" s="42">
        <f>C28*$H$3</f>
        <v>0</v>
      </c>
      <c r="D32" s="42">
        <f>D28*$H$3</f>
        <v>0</v>
      </c>
      <c r="E32" s="42">
        <f>E28*$H$3</f>
        <v>0</v>
      </c>
      <c r="F32" s="42">
        <f>F28*$H$3</f>
        <v>0</v>
      </c>
      <c r="G32" s="66"/>
      <c r="H32" s="63"/>
      <c r="I32" s="64"/>
    </row>
    <row r="33" spans="9:9">
      <c r="I33" s="64"/>
    </row>
    <row r="156" spans="7:7">
      <c r="G156" s="280" t="s">
        <v>665</v>
      </c>
    </row>
  </sheetData>
  <mergeCells count="6">
    <mergeCell ref="G16:G20"/>
    <mergeCell ref="B6:B7"/>
    <mergeCell ref="C6:H6"/>
    <mergeCell ref="C7:H7"/>
    <mergeCell ref="J6:O6"/>
    <mergeCell ref="J7:O7"/>
  </mergeCells>
  <pageMargins left="0.7" right="0.7" top="0.75" bottom="0.75"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tabColor theme="4"/>
  </sheetPr>
  <dimension ref="B3:X156"/>
  <sheetViews>
    <sheetView zoomScale="85" zoomScaleNormal="85" workbookViewId="0">
      <selection activeCell="F153" sqref="F153"/>
    </sheetView>
  </sheetViews>
  <sheetFormatPr defaultRowHeight="14.4"/>
  <cols>
    <col min="2" max="2" width="36.6640625" customWidth="1"/>
    <col min="3" max="6" width="10" bestFit="1" customWidth="1"/>
    <col min="10" max="10" width="9.33203125" customWidth="1"/>
    <col min="18" max="18" width="9.33203125" customWidth="1"/>
  </cols>
  <sheetData>
    <row r="3" spans="2:24">
      <c r="B3" s="8" t="s">
        <v>314</v>
      </c>
    </row>
    <row r="4" spans="2:24">
      <c r="E4" t="s">
        <v>334</v>
      </c>
      <c r="F4" s="36">
        <v>7.45</v>
      </c>
      <c r="G4" t="s">
        <v>328</v>
      </c>
    </row>
    <row r="5" spans="2:24" ht="15" thickBot="1"/>
    <row r="6" spans="2:24">
      <c r="B6" s="1118" t="s">
        <v>0</v>
      </c>
      <c r="C6" s="1120" t="s">
        <v>99</v>
      </c>
      <c r="D6" s="1121"/>
      <c r="E6" s="1121"/>
      <c r="F6" s="1121"/>
      <c r="G6" s="1121"/>
      <c r="H6" s="1122"/>
      <c r="J6" s="1120" t="str">
        <f>C6</f>
        <v>Heat pump, air-to-water</v>
      </c>
      <c r="K6" s="1121"/>
      <c r="L6" s="1121"/>
      <c r="M6" s="1121"/>
      <c r="N6" s="1121"/>
      <c r="O6" s="1122"/>
    </row>
    <row r="7" spans="2:24" ht="15" thickBot="1">
      <c r="B7" s="1119"/>
      <c r="C7" s="1001" t="s">
        <v>1</v>
      </c>
      <c r="D7" s="1002"/>
      <c r="E7" s="1002"/>
      <c r="F7" s="1002"/>
      <c r="G7" s="1002"/>
      <c r="H7" s="1003"/>
      <c r="J7" s="1001" t="str">
        <f>C7</f>
        <v>One-family house, existing building</v>
      </c>
      <c r="K7" s="1002"/>
      <c r="L7" s="1002"/>
      <c r="M7" s="1002"/>
      <c r="N7" s="1002"/>
      <c r="O7" s="100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4.6" thickBot="1">
      <c r="B11" s="1" t="s">
        <v>100</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101</v>
      </c>
      <c r="C12" s="2">
        <v>100</v>
      </c>
      <c r="D12" s="2">
        <v>100</v>
      </c>
      <c r="E12" s="2">
        <v>100</v>
      </c>
      <c r="F12" s="2">
        <v>100</v>
      </c>
      <c r="G12" s="2" t="s">
        <v>16</v>
      </c>
      <c r="H12" s="2"/>
      <c r="J12" s="58">
        <f>C8</f>
        <v>2015</v>
      </c>
      <c r="K12" s="58">
        <f>J12</f>
        <v>2015</v>
      </c>
      <c r="L12" s="58">
        <f>C13/100</f>
        <v>3</v>
      </c>
      <c r="M12" s="58"/>
      <c r="N12" s="58">
        <f>C14</f>
        <v>20</v>
      </c>
      <c r="O12" s="59">
        <f>C29</f>
        <v>9685</v>
      </c>
      <c r="P12" s="59">
        <f>C31</f>
        <v>100.575</v>
      </c>
      <c r="Q12" s="59">
        <f>C32</f>
        <v>0</v>
      </c>
      <c r="R12" s="58"/>
      <c r="S12" s="58"/>
      <c r="T12" s="58">
        <f>C16</f>
        <v>0</v>
      </c>
      <c r="U12" s="58">
        <f>C17</f>
        <v>0</v>
      </c>
      <c r="V12" s="58">
        <f>C18</f>
        <v>0</v>
      </c>
      <c r="W12" s="58">
        <f>C19</f>
        <v>0</v>
      </c>
      <c r="X12" s="58">
        <f>C20</f>
        <v>0</v>
      </c>
    </row>
    <row r="13" spans="2:24" ht="24.6" thickBot="1">
      <c r="B13" s="1" t="s">
        <v>9</v>
      </c>
      <c r="C13" s="2">
        <v>300</v>
      </c>
      <c r="D13" s="2">
        <v>330</v>
      </c>
      <c r="E13" s="2">
        <v>370</v>
      </c>
      <c r="F13" s="2">
        <v>400</v>
      </c>
      <c r="G13" s="2" t="s">
        <v>102</v>
      </c>
      <c r="H13" s="2" t="s">
        <v>103</v>
      </c>
      <c r="J13" s="58">
        <f>D8</f>
        <v>2020</v>
      </c>
      <c r="K13" s="58"/>
      <c r="L13" s="58">
        <f>D13/100</f>
        <v>3.3</v>
      </c>
      <c r="M13" s="58"/>
      <c r="N13" s="58">
        <f>D14</f>
        <v>20</v>
      </c>
      <c r="O13" s="59">
        <f>D29</f>
        <v>8940</v>
      </c>
      <c r="P13" s="59">
        <f>D31</f>
        <v>100.575</v>
      </c>
      <c r="Q13" s="59">
        <f>D32</f>
        <v>0</v>
      </c>
      <c r="R13" s="58"/>
      <c r="S13" s="58"/>
      <c r="T13" s="58">
        <f>D16</f>
        <v>0</v>
      </c>
      <c r="U13" s="58">
        <f>D17</f>
        <v>0</v>
      </c>
      <c r="V13" s="58">
        <f>D18</f>
        <v>0</v>
      </c>
      <c r="W13" s="58">
        <f>D19</f>
        <v>0</v>
      </c>
      <c r="X13" s="58">
        <f>D20</f>
        <v>0</v>
      </c>
    </row>
    <row r="14" spans="2:24" ht="15" thickBot="1">
      <c r="B14" s="1" t="s">
        <v>11</v>
      </c>
      <c r="C14" s="2">
        <v>20</v>
      </c>
      <c r="D14" s="2">
        <v>20</v>
      </c>
      <c r="E14" s="2">
        <v>20</v>
      </c>
      <c r="F14" s="2">
        <v>20</v>
      </c>
      <c r="G14" s="2"/>
      <c r="H14" s="2"/>
      <c r="J14" s="58">
        <f>E8</f>
        <v>2030</v>
      </c>
      <c r="K14" s="58"/>
      <c r="L14" s="58">
        <f>E13/100</f>
        <v>3.7</v>
      </c>
      <c r="M14" s="58"/>
      <c r="N14" s="58">
        <f>E14</f>
        <v>20</v>
      </c>
      <c r="O14" s="59">
        <f>E29</f>
        <v>8940</v>
      </c>
      <c r="P14" s="59">
        <f>E31</f>
        <v>100.575</v>
      </c>
      <c r="Q14" s="59">
        <f>E32</f>
        <v>0</v>
      </c>
      <c r="R14" s="58"/>
      <c r="S14" s="58"/>
      <c r="T14" s="58">
        <f>E16</f>
        <v>0</v>
      </c>
      <c r="U14" s="58">
        <f>E17</f>
        <v>0</v>
      </c>
      <c r="V14" s="58">
        <f>E18</f>
        <v>0</v>
      </c>
      <c r="W14" s="58">
        <f>E19</f>
        <v>0</v>
      </c>
      <c r="X14" s="58">
        <f>E20</f>
        <v>0</v>
      </c>
    </row>
    <row r="15" spans="2:24" ht="15" thickBot="1">
      <c r="B15" s="3" t="s">
        <v>12</v>
      </c>
      <c r="C15" s="18"/>
      <c r="D15" s="18"/>
      <c r="E15" s="18"/>
      <c r="F15" s="18"/>
      <c r="G15" s="18"/>
      <c r="H15" s="2"/>
      <c r="J15" s="58">
        <f>F8</f>
        <v>2050</v>
      </c>
      <c r="K15" s="58"/>
      <c r="L15" s="58">
        <f>F13/100</f>
        <v>4</v>
      </c>
      <c r="M15" s="58"/>
      <c r="N15" s="58">
        <f>F14</f>
        <v>20</v>
      </c>
      <c r="O15" s="59">
        <f>F29</f>
        <v>8195</v>
      </c>
      <c r="P15" s="59">
        <f>F31</f>
        <v>100.575</v>
      </c>
      <c r="Q15" s="59">
        <f>F32</f>
        <v>0</v>
      </c>
      <c r="R15" s="58"/>
      <c r="S15" s="58"/>
      <c r="T15" s="58"/>
      <c r="U15" s="58">
        <f>F17</f>
        <v>0</v>
      </c>
      <c r="V15" s="58">
        <f>F18</f>
        <v>0</v>
      </c>
      <c r="W15" s="58">
        <f>F19</f>
        <v>0</v>
      </c>
      <c r="X15" s="58">
        <f>F20</f>
        <v>0</v>
      </c>
    </row>
    <row r="16" spans="2:24" ht="27" customHeight="1" thickBot="1">
      <c r="B16" s="1" t="s">
        <v>13</v>
      </c>
      <c r="C16" s="195">
        <v>0</v>
      </c>
      <c r="D16" s="195">
        <v>0</v>
      </c>
      <c r="E16" s="195">
        <v>0</v>
      </c>
      <c r="F16" s="195">
        <v>0</v>
      </c>
      <c r="G16" s="1136" t="s">
        <v>98</v>
      </c>
      <c r="H16" s="178"/>
    </row>
    <row r="17" spans="2:9" ht="15.6" thickBot="1">
      <c r="B17" s="1" t="s">
        <v>15</v>
      </c>
      <c r="C17" s="195">
        <v>0</v>
      </c>
      <c r="D17" s="195">
        <v>0</v>
      </c>
      <c r="E17" s="195">
        <v>0</v>
      </c>
      <c r="F17" s="195">
        <v>0</v>
      </c>
      <c r="G17" s="1137"/>
      <c r="H17" s="179"/>
    </row>
    <row r="18" spans="2:9" ht="15.6" thickBot="1">
      <c r="B18" s="1" t="s">
        <v>17</v>
      </c>
      <c r="C18" s="195">
        <v>0</v>
      </c>
      <c r="D18" s="195">
        <v>0</v>
      </c>
      <c r="E18" s="195">
        <v>0</v>
      </c>
      <c r="F18" s="195">
        <v>0</v>
      </c>
      <c r="G18" s="1137"/>
      <c r="H18" s="179"/>
    </row>
    <row r="19" spans="2:9" ht="15.6" thickBot="1">
      <c r="B19" s="1" t="s">
        <v>18</v>
      </c>
      <c r="C19" s="195">
        <v>0</v>
      </c>
      <c r="D19" s="195">
        <v>0</v>
      </c>
      <c r="E19" s="195">
        <v>0</v>
      </c>
      <c r="F19" s="195">
        <v>0</v>
      </c>
      <c r="G19" s="1137"/>
      <c r="H19" s="179"/>
    </row>
    <row r="20" spans="2:9" ht="15" thickBot="1">
      <c r="B20" s="1" t="s">
        <v>19</v>
      </c>
      <c r="C20" s="195">
        <v>0</v>
      </c>
      <c r="D20" s="195">
        <v>0</v>
      </c>
      <c r="E20" s="195">
        <v>0</v>
      </c>
      <c r="F20" s="195">
        <v>0</v>
      </c>
      <c r="G20" s="1138"/>
      <c r="H20" s="180"/>
    </row>
    <row r="21" spans="2:9" ht="15" thickBot="1">
      <c r="B21" s="3" t="s">
        <v>22</v>
      </c>
      <c r="C21" s="18"/>
      <c r="D21" s="18"/>
      <c r="E21" s="18"/>
      <c r="F21" s="18"/>
      <c r="G21" s="68" t="s">
        <v>329</v>
      </c>
      <c r="H21" s="2"/>
    </row>
    <row r="22" spans="2:9" ht="15" thickBot="1">
      <c r="B22" s="1" t="s">
        <v>23</v>
      </c>
      <c r="C22" s="43">
        <f>C23/C10</f>
        <v>1.3</v>
      </c>
      <c r="D22" s="43">
        <f>D23/D10</f>
        <v>1.2</v>
      </c>
      <c r="E22" s="43">
        <f>E23/E10</f>
        <v>1.2</v>
      </c>
      <c r="F22" s="43">
        <f>F23/F10</f>
        <v>1.1000000000000001</v>
      </c>
      <c r="G22" s="68">
        <f>G30</f>
        <v>10</v>
      </c>
      <c r="H22" s="68" t="s">
        <v>359</v>
      </c>
      <c r="I22" s="64"/>
    </row>
    <row r="23" spans="2:9">
      <c r="B23" s="6" t="s">
        <v>24</v>
      </c>
      <c r="C23" s="7">
        <v>13</v>
      </c>
      <c r="D23" s="7">
        <v>12</v>
      </c>
      <c r="E23" s="7">
        <v>12</v>
      </c>
      <c r="F23" s="7">
        <v>11</v>
      </c>
      <c r="G23" s="7" t="s">
        <v>104</v>
      </c>
      <c r="H23" s="7" t="s">
        <v>105</v>
      </c>
    </row>
    <row r="24" spans="2:9">
      <c r="B24" s="6" t="s">
        <v>26</v>
      </c>
      <c r="C24" s="7" t="s">
        <v>106</v>
      </c>
      <c r="D24" s="7">
        <v>85</v>
      </c>
      <c r="E24" s="7">
        <v>85</v>
      </c>
      <c r="F24" s="7">
        <v>85</v>
      </c>
      <c r="G24" s="7"/>
      <c r="H24" s="7"/>
    </row>
    <row r="25" spans="2:9" ht="15" thickBot="1">
      <c r="B25" s="1" t="s">
        <v>96</v>
      </c>
      <c r="C25" s="2" t="s">
        <v>107</v>
      </c>
      <c r="D25" s="2">
        <v>15</v>
      </c>
      <c r="E25" s="2">
        <v>15</v>
      </c>
      <c r="F25" s="2">
        <v>15</v>
      </c>
      <c r="G25" s="2"/>
      <c r="H25" s="2"/>
    </row>
    <row r="26" spans="2:9" ht="24.6" thickBot="1">
      <c r="B26" s="1" t="s">
        <v>30</v>
      </c>
      <c r="C26" s="2"/>
      <c r="D26" s="2"/>
      <c r="E26" s="2"/>
      <c r="F26" s="2"/>
      <c r="G26" s="2"/>
      <c r="H26" s="2"/>
    </row>
    <row r="27" spans="2:9" ht="15" thickBot="1">
      <c r="B27" s="1" t="s">
        <v>64</v>
      </c>
      <c r="C27" s="2">
        <v>135</v>
      </c>
      <c r="D27" s="2">
        <v>135</v>
      </c>
      <c r="E27" s="2">
        <v>135</v>
      </c>
      <c r="F27" s="2">
        <v>135</v>
      </c>
      <c r="G27" s="2" t="s">
        <v>20</v>
      </c>
      <c r="H27" s="2">
        <v>2</v>
      </c>
    </row>
    <row r="28" spans="2:9">
      <c r="B28" s="6" t="s">
        <v>31</v>
      </c>
      <c r="C28" s="192"/>
      <c r="D28" s="192"/>
      <c r="E28" s="192"/>
      <c r="F28" s="192"/>
      <c r="G28" s="7"/>
      <c r="H28" s="7"/>
    </row>
    <row r="29" spans="2:9">
      <c r="B29" s="36" t="s">
        <v>353</v>
      </c>
      <c r="C29" s="60">
        <f>C22*$F$4*1000</f>
        <v>9685</v>
      </c>
      <c r="D29" s="60">
        <f t="shared" ref="C29:F30" si="0">D22*$F$4*1000</f>
        <v>8940</v>
      </c>
      <c r="E29" s="60">
        <f t="shared" si="0"/>
        <v>8940</v>
      </c>
      <c r="F29" s="60">
        <f t="shared" si="0"/>
        <v>8195</v>
      </c>
      <c r="G29" s="63" t="s">
        <v>332</v>
      </c>
      <c r="H29" s="63"/>
    </row>
    <row r="30" spans="2:9">
      <c r="B30" s="36" t="s">
        <v>354</v>
      </c>
      <c r="C30" s="60">
        <f t="shared" si="0"/>
        <v>96850.000000000015</v>
      </c>
      <c r="D30" s="60">
        <f t="shared" si="0"/>
        <v>89400</v>
      </c>
      <c r="E30" s="60">
        <f t="shared" si="0"/>
        <v>89400</v>
      </c>
      <c r="F30" s="60">
        <f t="shared" si="0"/>
        <v>81950</v>
      </c>
      <c r="G30" s="70">
        <f>C10</f>
        <v>10</v>
      </c>
      <c r="H30" s="69" t="s">
        <v>330</v>
      </c>
    </row>
    <row r="31" spans="2:9">
      <c r="B31" s="36" t="s">
        <v>355</v>
      </c>
      <c r="C31" s="60">
        <f>C27*$F$4/C10</f>
        <v>100.575</v>
      </c>
      <c r="D31" s="60">
        <f>D27*$F$4/D10</f>
        <v>100.575</v>
      </c>
      <c r="E31" s="60">
        <f>E27*$F$4/E10</f>
        <v>100.575</v>
      </c>
      <c r="F31" s="60">
        <f>F27*$F$4/F10</f>
        <v>100.575</v>
      </c>
      <c r="G31" s="69" t="s">
        <v>331</v>
      </c>
      <c r="H31" s="69"/>
    </row>
    <row r="32" spans="2:9" ht="15" thickBot="1">
      <c r="B32" s="36" t="s">
        <v>356</v>
      </c>
      <c r="C32" s="191">
        <f>C28*$F$4</f>
        <v>0</v>
      </c>
      <c r="D32" s="191">
        <f>D28*$F$4</f>
        <v>0</v>
      </c>
      <c r="E32" s="191">
        <f>E28*$F$4</f>
        <v>0</v>
      </c>
      <c r="F32" s="191">
        <f>F28*$F$4</f>
        <v>0</v>
      </c>
      <c r="G32" s="61"/>
      <c r="H32" s="61"/>
    </row>
    <row r="33" spans="2:24">
      <c r="B33" s="1139" t="s">
        <v>0</v>
      </c>
      <c r="C33" s="999" t="s">
        <v>99</v>
      </c>
      <c r="D33" s="1128"/>
      <c r="E33" s="1128"/>
      <c r="F33" s="1128"/>
      <c r="G33" s="1128"/>
      <c r="H33" s="1000"/>
      <c r="J33" s="1120" t="str">
        <f>C33</f>
        <v>Heat pump, air-to-water</v>
      </c>
      <c r="K33" s="1121"/>
      <c r="L33" s="1121"/>
      <c r="M33" s="1121"/>
      <c r="N33" s="1121"/>
      <c r="O33" s="1122"/>
    </row>
    <row r="34" spans="2:24" ht="15" thickBot="1">
      <c r="B34" s="1119"/>
      <c r="C34" s="1001" t="s">
        <v>32</v>
      </c>
      <c r="D34" s="1002"/>
      <c r="E34" s="1002"/>
      <c r="F34" s="1002"/>
      <c r="G34" s="1002"/>
      <c r="H34" s="1003"/>
      <c r="J34" s="1001" t="str">
        <f>C34</f>
        <v>Apartment complex, existing building</v>
      </c>
      <c r="K34" s="1002"/>
      <c r="L34" s="1002"/>
      <c r="M34" s="1002"/>
      <c r="N34" s="1002"/>
      <c r="O34" s="100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4.6" thickBot="1">
      <c r="B38" s="1" t="s">
        <v>100</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101</v>
      </c>
      <c r="C39" s="2">
        <v>100</v>
      </c>
      <c r="D39" s="2">
        <v>100</v>
      </c>
      <c r="E39" s="2">
        <v>100</v>
      </c>
      <c r="F39" s="2">
        <v>100</v>
      </c>
      <c r="G39" s="2" t="s">
        <v>16</v>
      </c>
      <c r="H39" s="2"/>
      <c r="J39" s="58">
        <f>C35</f>
        <v>2015</v>
      </c>
      <c r="K39" s="58">
        <f>J39</f>
        <v>2015</v>
      </c>
      <c r="L39" s="58">
        <f>C40/100</f>
        <v>3</v>
      </c>
      <c r="M39" s="58"/>
      <c r="N39" s="58">
        <f>C41</f>
        <v>20</v>
      </c>
      <c r="O39" s="59">
        <f>C56</f>
        <v>7450</v>
      </c>
      <c r="P39" s="59">
        <f>C58</f>
        <v>7.45</v>
      </c>
      <c r="Q39" s="59">
        <f>C59</f>
        <v>0</v>
      </c>
      <c r="R39" s="58"/>
      <c r="S39" s="58"/>
      <c r="T39" s="58"/>
      <c r="U39" s="58"/>
      <c r="V39" s="58"/>
      <c r="W39" s="58"/>
      <c r="X39" s="58"/>
    </row>
    <row r="40" spans="2:24" ht="24.6" thickBot="1">
      <c r="B40" s="1" t="s">
        <v>9</v>
      </c>
      <c r="C40" s="2">
        <v>300</v>
      </c>
      <c r="D40" s="2">
        <v>330</v>
      </c>
      <c r="E40" s="2">
        <v>370</v>
      </c>
      <c r="F40" s="2">
        <v>400</v>
      </c>
      <c r="G40" s="2" t="s">
        <v>102</v>
      </c>
      <c r="H40" s="2" t="s">
        <v>103</v>
      </c>
      <c r="J40" s="58">
        <f>D35</f>
        <v>2020</v>
      </c>
      <c r="K40" s="58"/>
      <c r="L40" s="58">
        <f>D40/100</f>
        <v>3.3</v>
      </c>
      <c r="M40" s="58"/>
      <c r="N40" s="58">
        <f>D41</f>
        <v>20</v>
      </c>
      <c r="O40" s="59">
        <f>D56</f>
        <v>7450</v>
      </c>
      <c r="P40" s="59">
        <f>D58</f>
        <v>7.45</v>
      </c>
      <c r="Q40" s="59">
        <f>D59</f>
        <v>0</v>
      </c>
      <c r="R40" s="58"/>
      <c r="S40" s="58"/>
      <c r="T40" s="58"/>
      <c r="U40" s="58"/>
      <c r="V40" s="58"/>
      <c r="W40" s="58"/>
      <c r="X40" s="58"/>
    </row>
    <row r="41" spans="2:24" ht="15" thickBot="1">
      <c r="B41" s="1" t="s">
        <v>11</v>
      </c>
      <c r="C41" s="2">
        <v>20</v>
      </c>
      <c r="D41" s="2">
        <v>20</v>
      </c>
      <c r="E41" s="2">
        <v>20</v>
      </c>
      <c r="F41" s="2">
        <v>20</v>
      </c>
      <c r="G41" s="2"/>
      <c r="H41" s="2"/>
      <c r="J41" s="58">
        <f>E35</f>
        <v>2030</v>
      </c>
      <c r="K41" s="58"/>
      <c r="L41" s="58">
        <f>E40/100</f>
        <v>3.7</v>
      </c>
      <c r="M41" s="58"/>
      <c r="N41" s="58">
        <f>E41</f>
        <v>20</v>
      </c>
      <c r="O41" s="59">
        <f>E56</f>
        <v>6705</v>
      </c>
      <c r="P41" s="59">
        <f>E58</f>
        <v>7.45</v>
      </c>
      <c r="Q41" s="59">
        <f>E59</f>
        <v>0</v>
      </c>
      <c r="R41" s="58"/>
      <c r="S41" s="58"/>
      <c r="T41" s="58"/>
      <c r="U41" s="58"/>
      <c r="V41" s="58"/>
      <c r="W41" s="58"/>
      <c r="X41" s="58"/>
    </row>
    <row r="42" spans="2:24" ht="15" thickBot="1">
      <c r="B42" s="3" t="s">
        <v>12</v>
      </c>
      <c r="C42" s="18"/>
      <c r="D42" s="18"/>
      <c r="E42" s="18"/>
      <c r="F42" s="18"/>
      <c r="G42" s="18"/>
      <c r="H42" s="2"/>
      <c r="J42" s="58">
        <f>F35</f>
        <v>2050</v>
      </c>
      <c r="K42" s="58"/>
      <c r="L42" s="58">
        <f>F40/100</f>
        <v>4</v>
      </c>
      <c r="M42" s="58"/>
      <c r="N42" s="58">
        <f>F41</f>
        <v>20</v>
      </c>
      <c r="O42" s="59">
        <f>F56</f>
        <v>6705</v>
      </c>
      <c r="P42" s="59">
        <f>F58</f>
        <v>7.45</v>
      </c>
      <c r="Q42" s="59">
        <f>F59</f>
        <v>0</v>
      </c>
      <c r="R42" s="58"/>
      <c r="S42" s="58"/>
      <c r="T42" s="58"/>
      <c r="U42" s="58"/>
      <c r="V42" s="58"/>
      <c r="W42" s="58"/>
      <c r="X42" s="58"/>
    </row>
    <row r="43" spans="2:24" ht="27" customHeight="1" thickBot="1">
      <c r="B43" s="1" t="s">
        <v>13</v>
      </c>
      <c r="C43" s="1140" t="s">
        <v>98</v>
      </c>
      <c r="D43" s="1141"/>
      <c r="E43" s="1141"/>
      <c r="F43" s="1141"/>
      <c r="G43" s="1141"/>
      <c r="H43" s="1142"/>
    </row>
    <row r="44" spans="2:24" ht="15.6" thickBot="1">
      <c r="B44" s="1" t="s">
        <v>15</v>
      </c>
      <c r="C44" s="1143"/>
      <c r="D44" s="1144"/>
      <c r="E44" s="1144"/>
      <c r="F44" s="1144"/>
      <c r="G44" s="1144"/>
      <c r="H44" s="1145"/>
    </row>
    <row r="45" spans="2:24" ht="15.6" thickBot="1">
      <c r="B45" s="1" t="s">
        <v>17</v>
      </c>
      <c r="C45" s="1143"/>
      <c r="D45" s="1144"/>
      <c r="E45" s="1144"/>
      <c r="F45" s="1144"/>
      <c r="G45" s="1144"/>
      <c r="H45" s="1145"/>
    </row>
    <row r="46" spans="2:24" ht="15.6" thickBot="1">
      <c r="B46" s="1" t="s">
        <v>18</v>
      </c>
      <c r="C46" s="1143"/>
      <c r="D46" s="1144"/>
      <c r="E46" s="1144"/>
      <c r="F46" s="1144"/>
      <c r="G46" s="1144"/>
      <c r="H46" s="1145"/>
    </row>
    <row r="47" spans="2:24" ht="15" thickBot="1">
      <c r="B47" s="1" t="s">
        <v>19</v>
      </c>
      <c r="C47" s="1146"/>
      <c r="D47" s="1147"/>
      <c r="E47" s="1147"/>
      <c r="F47" s="1147"/>
      <c r="G47" s="1147"/>
      <c r="H47" s="1148"/>
    </row>
    <row r="48" spans="2:24" ht="15" thickBot="1">
      <c r="B48" s="3" t="s">
        <v>22</v>
      </c>
      <c r="C48" s="18"/>
      <c r="D48" s="18"/>
      <c r="E48" s="18"/>
      <c r="F48" s="18"/>
      <c r="G48" s="18"/>
      <c r="H48" s="2"/>
    </row>
    <row r="49" spans="2:24" ht="15" thickBot="1">
      <c r="B49" s="1" t="s">
        <v>23</v>
      </c>
      <c r="C49" s="2">
        <v>1</v>
      </c>
      <c r="D49" s="2">
        <v>1</v>
      </c>
      <c r="E49" s="2">
        <v>0.9</v>
      </c>
      <c r="F49" s="2">
        <v>0.9</v>
      </c>
      <c r="G49" s="2" t="s">
        <v>109</v>
      </c>
      <c r="H49" s="2" t="s">
        <v>105</v>
      </c>
    </row>
    <row r="50" spans="2:24">
      <c r="B50" s="6" t="s">
        <v>24</v>
      </c>
      <c r="C50" s="7"/>
      <c r="D50" s="7"/>
      <c r="E50" s="7"/>
      <c r="F50" s="7"/>
      <c r="G50" s="7"/>
      <c r="H50" s="7"/>
    </row>
    <row r="51" spans="2:24">
      <c r="B51" s="6" t="s">
        <v>26</v>
      </c>
      <c r="C51" s="7"/>
      <c r="D51" s="7"/>
      <c r="E51" s="7"/>
      <c r="F51" s="7"/>
      <c r="G51" s="7"/>
      <c r="H51" s="7"/>
    </row>
    <row r="52" spans="2:24" ht="15" thickBot="1">
      <c r="B52" s="1" t="s">
        <v>96</v>
      </c>
      <c r="C52" s="2"/>
      <c r="D52" s="2"/>
      <c r="E52" s="2"/>
      <c r="F52" s="2"/>
      <c r="G52" s="2"/>
      <c r="H52" s="2"/>
    </row>
    <row r="53" spans="2:24" ht="24.6" thickBot="1">
      <c r="B53" s="1" t="s">
        <v>30</v>
      </c>
      <c r="C53" s="2"/>
      <c r="D53" s="2"/>
      <c r="E53" s="2"/>
      <c r="F53" s="2"/>
      <c r="G53" s="2"/>
      <c r="H53" s="2"/>
    </row>
    <row r="54" spans="2:24" ht="15" thickBot="1">
      <c r="B54" s="1" t="s">
        <v>64</v>
      </c>
      <c r="C54" s="2">
        <v>400</v>
      </c>
      <c r="D54" s="2">
        <v>400</v>
      </c>
      <c r="E54" s="2">
        <v>400</v>
      </c>
      <c r="F54" s="2">
        <v>400</v>
      </c>
      <c r="G54" s="2" t="s">
        <v>20</v>
      </c>
      <c r="H54" s="2">
        <v>2</v>
      </c>
    </row>
    <row r="55" spans="2:24" ht="15" thickBot="1">
      <c r="B55" s="1" t="s">
        <v>31</v>
      </c>
      <c r="C55" s="2"/>
      <c r="D55" s="2"/>
      <c r="E55" s="2"/>
      <c r="F55" s="2"/>
      <c r="G55" s="2"/>
      <c r="H55" s="2"/>
      <c r="I55" s="40"/>
    </row>
    <row r="56" spans="2:24">
      <c r="B56" s="36" t="s">
        <v>353</v>
      </c>
      <c r="C56" s="42">
        <f>C49*$F$4*1000</f>
        <v>7450</v>
      </c>
      <c r="D56" s="42">
        <f>D49*$F$4*1000</f>
        <v>7450</v>
      </c>
      <c r="E56" s="42">
        <f>E49*$F$4*1000</f>
        <v>6705</v>
      </c>
      <c r="F56" s="42">
        <f>F49*$F$4*1000</f>
        <v>6705</v>
      </c>
      <c r="G56" s="63" t="s">
        <v>332</v>
      </c>
      <c r="H56" s="63"/>
      <c r="J56" s="40"/>
    </row>
    <row r="57" spans="2:24">
      <c r="B57" s="36" t="s">
        <v>354</v>
      </c>
      <c r="C57" s="42">
        <f>C56*$G57</f>
        <v>2980000</v>
      </c>
      <c r="D57" s="42">
        <f>D56*$G57</f>
        <v>2980000</v>
      </c>
      <c r="E57" s="42">
        <f>E56*$G57</f>
        <v>2682000</v>
      </c>
      <c r="F57" s="42">
        <f>F56*$G57</f>
        <v>2682000</v>
      </c>
      <c r="G57" s="67">
        <v>400</v>
      </c>
      <c r="H57" s="63" t="s">
        <v>330</v>
      </c>
      <c r="I57" s="40"/>
    </row>
    <row r="58" spans="2:24">
      <c r="B58" s="36" t="s">
        <v>355</v>
      </c>
      <c r="C58" s="36">
        <f>C54*$F$4/$G57</f>
        <v>7.45</v>
      </c>
      <c r="D58" s="36">
        <f>D54*$F$4/$G57</f>
        <v>7.45</v>
      </c>
      <c r="E58" s="36">
        <f>E54*$F$4/$G57</f>
        <v>7.45</v>
      </c>
      <c r="F58" s="36">
        <f>F54*$F$4/$G57</f>
        <v>7.45</v>
      </c>
      <c r="G58" s="63" t="s">
        <v>333</v>
      </c>
      <c r="H58" s="63"/>
    </row>
    <row r="59" spans="2:24" ht="15" thickBot="1">
      <c r="B59" s="36" t="s">
        <v>356</v>
      </c>
      <c r="C59" s="36">
        <f>C55*$F$4</f>
        <v>0</v>
      </c>
      <c r="D59" s="36">
        <f>D55*$F$4</f>
        <v>0</v>
      </c>
      <c r="E59" s="36">
        <f>E55*$F$4</f>
        <v>0</v>
      </c>
      <c r="F59" s="36">
        <f>F55*$F$4</f>
        <v>0</v>
      </c>
      <c r="G59" s="66"/>
      <c r="H59" s="63"/>
    </row>
    <row r="60" spans="2:24">
      <c r="B60" s="1118" t="s">
        <v>0</v>
      </c>
      <c r="C60" s="1120" t="s">
        <v>99</v>
      </c>
      <c r="D60" s="1121"/>
      <c r="E60" s="1121"/>
      <c r="F60" s="1121"/>
      <c r="G60" s="1121"/>
      <c r="H60" s="1122"/>
      <c r="J60" s="1120" t="str">
        <f>C60</f>
        <v>Heat pump, air-to-water</v>
      </c>
      <c r="K60" s="1121"/>
      <c r="L60" s="1121"/>
      <c r="M60" s="1121"/>
      <c r="N60" s="1121"/>
      <c r="O60" s="1122"/>
    </row>
    <row r="61" spans="2:24" ht="15" thickBot="1">
      <c r="B61" s="1119"/>
      <c r="C61" s="1001" t="s">
        <v>34</v>
      </c>
      <c r="D61" s="1002"/>
      <c r="E61" s="1002"/>
      <c r="F61" s="1002"/>
      <c r="G61" s="1002"/>
      <c r="H61" s="1003"/>
      <c r="J61" s="1001" t="str">
        <f>C61</f>
        <v>One-family house, new building</v>
      </c>
      <c r="K61" s="1002"/>
      <c r="L61" s="1002"/>
      <c r="M61" s="1002"/>
      <c r="N61" s="1002"/>
      <c r="O61" s="1003"/>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4.6"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2">
        <v>100</v>
      </c>
      <c r="D66" s="2">
        <v>100</v>
      </c>
      <c r="E66" s="2">
        <v>100</v>
      </c>
      <c r="F66" s="2">
        <v>100</v>
      </c>
      <c r="G66" s="2" t="s">
        <v>16</v>
      </c>
      <c r="H66" s="2"/>
      <c r="J66" s="58">
        <f>C62</f>
        <v>2015</v>
      </c>
      <c r="K66" s="58">
        <f>J66</f>
        <v>2015</v>
      </c>
      <c r="L66" s="58">
        <f>C67/100</f>
        <v>3</v>
      </c>
      <c r="M66" s="58"/>
      <c r="N66" s="58">
        <f>C68</f>
        <v>20</v>
      </c>
      <c r="O66" s="59">
        <f>C83</f>
        <v>15645.000000000002</v>
      </c>
      <c r="P66" s="59">
        <f>C85</f>
        <v>198.17000000000002</v>
      </c>
      <c r="Q66" s="59">
        <f>C86</f>
        <v>0</v>
      </c>
      <c r="R66" s="58"/>
      <c r="S66" s="58"/>
      <c r="T66" s="58"/>
      <c r="U66" s="58"/>
      <c r="V66" s="58"/>
      <c r="W66" s="58"/>
      <c r="X66" s="58"/>
    </row>
    <row r="67" spans="2:24" ht="24.6" thickBot="1">
      <c r="B67" s="1" t="s">
        <v>9</v>
      </c>
      <c r="C67" s="2">
        <v>300</v>
      </c>
      <c r="D67" s="2">
        <v>330</v>
      </c>
      <c r="E67" s="2">
        <v>370</v>
      </c>
      <c r="F67" s="2">
        <v>400</v>
      </c>
      <c r="G67" s="2" t="s">
        <v>102</v>
      </c>
      <c r="H67" s="2" t="s">
        <v>103</v>
      </c>
      <c r="J67" s="58">
        <f>D62</f>
        <v>2020</v>
      </c>
      <c r="K67" s="58"/>
      <c r="L67" s="58">
        <f>D67/100</f>
        <v>3.3</v>
      </c>
      <c r="M67" s="58"/>
      <c r="N67" s="58">
        <f>D68</f>
        <v>20</v>
      </c>
      <c r="O67" s="59">
        <f>D83</f>
        <v>15049.000000000002</v>
      </c>
      <c r="P67" s="59">
        <f>D85</f>
        <v>198.17000000000002</v>
      </c>
      <c r="Q67" s="59">
        <f>D86</f>
        <v>0</v>
      </c>
      <c r="R67" s="58"/>
      <c r="S67" s="58"/>
      <c r="T67" s="58"/>
      <c r="U67" s="58"/>
      <c r="V67" s="58"/>
      <c r="W67" s="58"/>
      <c r="X67" s="58"/>
    </row>
    <row r="68" spans="2:24" ht="15" thickBot="1">
      <c r="B68" s="1" t="s">
        <v>11</v>
      </c>
      <c r="C68" s="2">
        <v>20</v>
      </c>
      <c r="D68" s="2">
        <v>20</v>
      </c>
      <c r="E68" s="2">
        <v>20</v>
      </c>
      <c r="F68" s="2">
        <v>20</v>
      </c>
      <c r="G68" s="2"/>
      <c r="H68" s="2"/>
      <c r="J68" s="58">
        <f>E62</f>
        <v>2030</v>
      </c>
      <c r="K68" s="58"/>
      <c r="L68" s="58">
        <f>E67/100</f>
        <v>3.7</v>
      </c>
      <c r="M68" s="58"/>
      <c r="N68" s="58">
        <f>E68</f>
        <v>20</v>
      </c>
      <c r="O68" s="59">
        <f>E83</f>
        <v>13857.000000000002</v>
      </c>
      <c r="P68" s="59">
        <f>E85</f>
        <v>198.17000000000002</v>
      </c>
      <c r="Q68" s="59">
        <f>E86</f>
        <v>0</v>
      </c>
      <c r="R68" s="58"/>
      <c r="S68" s="58"/>
      <c r="T68" s="58"/>
      <c r="U68" s="58"/>
      <c r="V68" s="58"/>
      <c r="W68" s="58"/>
      <c r="X68" s="58"/>
    </row>
    <row r="69" spans="2:24" ht="15" thickBot="1">
      <c r="B69" s="3" t="s">
        <v>12</v>
      </c>
      <c r="C69" s="18"/>
      <c r="D69" s="18"/>
      <c r="E69" s="18"/>
      <c r="F69" s="18"/>
      <c r="G69" s="18"/>
      <c r="H69" s="2"/>
      <c r="J69" s="58">
        <f>F62</f>
        <v>2050</v>
      </c>
      <c r="K69" s="58"/>
      <c r="L69" s="58">
        <f>F67/100</f>
        <v>4</v>
      </c>
      <c r="M69" s="58"/>
      <c r="N69" s="58">
        <f>F68</f>
        <v>20</v>
      </c>
      <c r="O69" s="59">
        <f>F83</f>
        <v>13261.000000000002</v>
      </c>
      <c r="P69" s="59">
        <f>F85</f>
        <v>198.17000000000002</v>
      </c>
      <c r="Q69" s="59">
        <f>F86</f>
        <v>0</v>
      </c>
      <c r="R69" s="58"/>
      <c r="S69" s="58"/>
      <c r="T69" s="58"/>
      <c r="U69" s="58"/>
      <c r="V69" s="58"/>
      <c r="W69" s="58"/>
      <c r="X69" s="58"/>
    </row>
    <row r="70" spans="2:24" ht="27" customHeight="1" thickBot="1">
      <c r="B70" s="1" t="s">
        <v>13</v>
      </c>
      <c r="C70" s="1140" t="s">
        <v>98</v>
      </c>
      <c r="D70" s="1141"/>
      <c r="E70" s="1141"/>
      <c r="F70" s="1141"/>
      <c r="G70" s="1141"/>
      <c r="H70" s="1142"/>
    </row>
    <row r="71" spans="2:24" ht="15.6" thickBot="1">
      <c r="B71" s="1" t="s">
        <v>15</v>
      </c>
      <c r="C71" s="1143"/>
      <c r="D71" s="1144"/>
      <c r="E71" s="1144"/>
      <c r="F71" s="1144"/>
      <c r="G71" s="1144"/>
      <c r="H71" s="1145"/>
    </row>
    <row r="72" spans="2:24" ht="15.6" thickBot="1">
      <c r="B72" s="1" t="s">
        <v>17</v>
      </c>
      <c r="C72" s="1143"/>
      <c r="D72" s="1144"/>
      <c r="E72" s="1144"/>
      <c r="F72" s="1144"/>
      <c r="G72" s="1144"/>
      <c r="H72" s="1145"/>
    </row>
    <row r="73" spans="2:24" ht="15.6" thickBot="1">
      <c r="B73" s="1" t="s">
        <v>18</v>
      </c>
      <c r="C73" s="1143"/>
      <c r="D73" s="1144"/>
      <c r="E73" s="1144"/>
      <c r="F73" s="1144"/>
      <c r="G73" s="1144"/>
      <c r="H73" s="1145"/>
    </row>
    <row r="74" spans="2:24" ht="15" thickBot="1">
      <c r="B74" s="1" t="s">
        <v>19</v>
      </c>
      <c r="C74" s="1146"/>
      <c r="D74" s="1147"/>
      <c r="E74" s="1147"/>
      <c r="F74" s="1147"/>
      <c r="G74" s="1147"/>
      <c r="H74" s="1148"/>
    </row>
    <row r="75" spans="2:24" ht="15" thickBot="1">
      <c r="B75" s="3" t="s">
        <v>22</v>
      </c>
      <c r="C75" s="18"/>
      <c r="D75" s="18"/>
      <c r="E75" s="18"/>
      <c r="F75" s="18"/>
      <c r="G75" s="68" t="s">
        <v>329</v>
      </c>
      <c r="H75" s="2"/>
    </row>
    <row r="76" spans="2:24" ht="15" thickBot="1">
      <c r="B76" s="1" t="s">
        <v>23</v>
      </c>
      <c r="C76" s="43">
        <f>C77/C64</f>
        <v>2.1</v>
      </c>
      <c r="D76" s="43">
        <f>D77/D64</f>
        <v>2.02</v>
      </c>
      <c r="E76" s="43">
        <f>E77/E64</f>
        <v>1.86</v>
      </c>
      <c r="F76" s="43">
        <f>F77/F64</f>
        <v>1.78</v>
      </c>
      <c r="G76" s="68">
        <f>G84</f>
        <v>5</v>
      </c>
      <c r="H76" s="68" t="str">
        <f>H84</f>
        <v>kW</v>
      </c>
      <c r="I76" s="64"/>
      <c r="J76" s="64"/>
      <c r="K76" s="64"/>
      <c r="L76" s="64"/>
      <c r="M76" s="64"/>
    </row>
    <row r="77" spans="2:24">
      <c r="B77" s="6" t="s">
        <v>24</v>
      </c>
      <c r="C77" s="7">
        <v>10.5</v>
      </c>
      <c r="D77" s="7">
        <v>10.1</v>
      </c>
      <c r="E77" s="7">
        <v>9.3000000000000007</v>
      </c>
      <c r="F77" s="7">
        <v>8.9</v>
      </c>
      <c r="G77" s="7" t="s">
        <v>109</v>
      </c>
      <c r="H77" s="7" t="s">
        <v>105</v>
      </c>
    </row>
    <row r="78" spans="2:24">
      <c r="B78" s="6" t="s">
        <v>26</v>
      </c>
      <c r="C78" s="7" t="s">
        <v>95</v>
      </c>
      <c r="D78" s="7">
        <v>80</v>
      </c>
      <c r="E78" s="7">
        <v>80</v>
      </c>
      <c r="F78" s="7">
        <v>80</v>
      </c>
      <c r="G78" s="7"/>
      <c r="H78" s="7"/>
    </row>
    <row r="79" spans="2:24" ht="15" thickBot="1">
      <c r="B79" s="1" t="s">
        <v>96</v>
      </c>
      <c r="C79" s="2" t="s">
        <v>97</v>
      </c>
      <c r="D79" s="2">
        <v>20</v>
      </c>
      <c r="E79" s="2">
        <v>20</v>
      </c>
      <c r="F79" s="2">
        <v>20</v>
      </c>
      <c r="G79" s="2"/>
      <c r="H79" s="2"/>
    </row>
    <row r="80" spans="2:24" ht="24.6" thickBot="1">
      <c r="B80" s="1" t="s">
        <v>30</v>
      </c>
      <c r="C80" s="2"/>
      <c r="D80" s="2"/>
      <c r="E80" s="2"/>
      <c r="F80" s="2"/>
      <c r="G80" s="2"/>
      <c r="H80" s="2"/>
    </row>
    <row r="81" spans="2:24" ht="15" thickBot="1">
      <c r="B81" s="1" t="s">
        <v>64</v>
      </c>
      <c r="C81" s="2">
        <v>133</v>
      </c>
      <c r="D81" s="2">
        <v>133</v>
      </c>
      <c r="E81" s="2">
        <v>133</v>
      </c>
      <c r="F81" s="2">
        <v>133</v>
      </c>
      <c r="G81" s="2" t="s">
        <v>20</v>
      </c>
      <c r="H81" s="2">
        <v>2</v>
      </c>
    </row>
    <row r="82" spans="2:24" ht="15" thickBot="1">
      <c r="B82" s="1" t="s">
        <v>31</v>
      </c>
      <c r="C82" s="2"/>
      <c r="D82" s="2"/>
      <c r="E82" s="2"/>
      <c r="F82" s="2"/>
      <c r="G82" s="2"/>
      <c r="H82" s="2"/>
    </row>
    <row r="83" spans="2:24" ht="15" thickBot="1">
      <c r="B83" s="36" t="s">
        <v>353</v>
      </c>
      <c r="C83" s="42">
        <f t="shared" ref="C83:F84" si="1">C76*$F$4*1000</f>
        <v>15645.000000000002</v>
      </c>
      <c r="D83" s="42">
        <f t="shared" si="1"/>
        <v>15049.000000000002</v>
      </c>
      <c r="E83" s="42">
        <f t="shared" si="1"/>
        <v>13857.000000000002</v>
      </c>
      <c r="F83" s="42">
        <f t="shared" si="1"/>
        <v>13261.000000000002</v>
      </c>
      <c r="G83" s="63" t="s">
        <v>332</v>
      </c>
      <c r="H83" s="63"/>
    </row>
    <row r="84" spans="2:24" ht="15" thickBot="1">
      <c r="B84" s="36" t="s">
        <v>354</v>
      </c>
      <c r="C84" s="42">
        <f t="shared" si="1"/>
        <v>78225.000000000015</v>
      </c>
      <c r="D84" s="42">
        <f t="shared" si="1"/>
        <v>75245</v>
      </c>
      <c r="E84" s="42">
        <f t="shared" si="1"/>
        <v>69285.000000000015</v>
      </c>
      <c r="F84" s="42">
        <f t="shared" si="1"/>
        <v>66305</v>
      </c>
      <c r="G84" s="72">
        <f>C64</f>
        <v>5</v>
      </c>
      <c r="H84" s="63" t="s">
        <v>330</v>
      </c>
    </row>
    <row r="85" spans="2:24">
      <c r="B85" s="36" t="s">
        <v>355</v>
      </c>
      <c r="C85" s="42">
        <f>C81*$F$4/C64</f>
        <v>198.17000000000002</v>
      </c>
      <c r="D85" s="42">
        <f>D81*$F$4/D64</f>
        <v>198.17000000000002</v>
      </c>
      <c r="E85" s="42">
        <f>E81*$F$4/E64</f>
        <v>198.17000000000002</v>
      </c>
      <c r="F85" s="42">
        <f>F81*$F$4/F64</f>
        <v>198.17000000000002</v>
      </c>
      <c r="G85" s="63" t="s">
        <v>333</v>
      </c>
      <c r="H85" s="63"/>
    </row>
    <row r="86" spans="2:24" ht="15" thickBot="1">
      <c r="B86" s="36" t="s">
        <v>356</v>
      </c>
      <c r="C86" s="193">
        <f>C82*$F$4</f>
        <v>0</v>
      </c>
      <c r="D86" s="193">
        <f>D82*$F$4</f>
        <v>0</v>
      </c>
      <c r="E86" s="193">
        <f>E82*$F$4</f>
        <v>0</v>
      </c>
      <c r="F86" s="193">
        <f>F82*$F$4</f>
        <v>0</v>
      </c>
      <c r="G86" s="66"/>
      <c r="H86" s="63"/>
    </row>
    <row r="87" spans="2:24" ht="15" customHeight="1">
      <c r="B87" s="1118" t="s">
        <v>0</v>
      </c>
      <c r="C87" s="1120" t="s">
        <v>99</v>
      </c>
      <c r="D87" s="1121"/>
      <c r="E87" s="1121"/>
      <c r="F87" s="1121"/>
      <c r="G87" s="1121"/>
      <c r="H87" s="1122"/>
      <c r="J87" s="1120" t="str">
        <f>C87</f>
        <v>Heat pump, air-to-water</v>
      </c>
      <c r="K87" s="1121"/>
      <c r="L87" s="1121"/>
      <c r="M87" s="1121"/>
      <c r="N87" s="1121"/>
      <c r="O87" s="1122"/>
    </row>
    <row r="88" spans="2:24" ht="15.75" customHeight="1" thickBot="1">
      <c r="B88" s="1119"/>
      <c r="C88" s="1001" t="s">
        <v>35</v>
      </c>
      <c r="D88" s="1002"/>
      <c r="E88" s="1002"/>
      <c r="F88" s="1002"/>
      <c r="G88" s="1002"/>
      <c r="H88" s="1003"/>
      <c r="J88" s="1001" t="str">
        <f>C88</f>
        <v>Apartment complex, new building</v>
      </c>
      <c r="K88" s="1002"/>
      <c r="L88" s="1002"/>
      <c r="M88" s="1002"/>
      <c r="N88" s="1002"/>
      <c r="O88" s="1003"/>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4.6"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2">
        <v>100</v>
      </c>
      <c r="D93" s="2">
        <v>100</v>
      </c>
      <c r="E93" s="2">
        <v>100</v>
      </c>
      <c r="F93" s="2">
        <v>100</v>
      </c>
      <c r="G93" s="2" t="s">
        <v>16</v>
      </c>
      <c r="H93" s="2"/>
      <c r="J93" s="58">
        <f>C89</f>
        <v>2015</v>
      </c>
      <c r="K93" s="58">
        <f>J93</f>
        <v>2015</v>
      </c>
      <c r="L93" s="58">
        <f>C94/100</f>
        <v>3</v>
      </c>
      <c r="M93" s="58"/>
      <c r="N93" s="58">
        <f>C95</f>
        <v>20</v>
      </c>
      <c r="O93" s="59">
        <f>C110</f>
        <v>7450</v>
      </c>
      <c r="P93" s="59">
        <f>C112</f>
        <v>17.529411764705884</v>
      </c>
      <c r="Q93" s="59">
        <f>C113</f>
        <v>0</v>
      </c>
      <c r="R93" s="58"/>
      <c r="S93" s="58"/>
      <c r="T93" s="58"/>
      <c r="U93" s="58"/>
      <c r="V93" s="58"/>
      <c r="W93" s="58"/>
      <c r="X93" s="58"/>
    </row>
    <row r="94" spans="2:24" ht="24.6" thickBot="1">
      <c r="B94" s="1" t="s">
        <v>9</v>
      </c>
      <c r="C94" s="2">
        <v>300</v>
      </c>
      <c r="D94" s="2">
        <v>330</v>
      </c>
      <c r="E94" s="2">
        <v>370</v>
      </c>
      <c r="F94" s="2">
        <v>400</v>
      </c>
      <c r="G94" s="2" t="s">
        <v>102</v>
      </c>
      <c r="H94" s="2" t="s">
        <v>103</v>
      </c>
      <c r="J94" s="58">
        <f>D89</f>
        <v>2020</v>
      </c>
      <c r="K94" s="58"/>
      <c r="L94" s="58">
        <f>D94/100</f>
        <v>3.3</v>
      </c>
      <c r="M94" s="58"/>
      <c r="N94" s="58">
        <f>D95</f>
        <v>20</v>
      </c>
      <c r="O94" s="59">
        <f>D110</f>
        <v>7450</v>
      </c>
      <c r="P94" s="59">
        <f>D112</f>
        <v>17.529411764705884</v>
      </c>
      <c r="Q94" s="59">
        <f>D113</f>
        <v>0</v>
      </c>
      <c r="R94" s="58"/>
      <c r="S94" s="58"/>
      <c r="T94" s="58"/>
      <c r="U94" s="58"/>
      <c r="V94" s="58"/>
      <c r="W94" s="58"/>
      <c r="X94" s="58"/>
    </row>
    <row r="95" spans="2:24" ht="15" thickBot="1">
      <c r="B95" s="1" t="s">
        <v>11</v>
      </c>
      <c r="C95" s="2">
        <v>20</v>
      </c>
      <c r="D95" s="2">
        <v>20</v>
      </c>
      <c r="E95" s="2">
        <v>20</v>
      </c>
      <c r="F95" s="2">
        <v>20</v>
      </c>
      <c r="G95" s="2"/>
      <c r="H95" s="2"/>
      <c r="J95" s="58">
        <f>E89</f>
        <v>2030</v>
      </c>
      <c r="K95" s="58"/>
      <c r="L95" s="58">
        <f>E94/100</f>
        <v>3.7</v>
      </c>
      <c r="M95" s="58"/>
      <c r="N95" s="58">
        <f>E95</f>
        <v>20</v>
      </c>
      <c r="O95" s="59">
        <f>E110</f>
        <v>6705</v>
      </c>
      <c r="P95" s="59">
        <f>E112</f>
        <v>17.529411764705884</v>
      </c>
      <c r="Q95" s="59">
        <f>E113</f>
        <v>0</v>
      </c>
      <c r="R95" s="58"/>
      <c r="S95" s="58"/>
      <c r="T95" s="58"/>
      <c r="U95" s="58"/>
      <c r="V95" s="58"/>
      <c r="W95" s="58"/>
      <c r="X95" s="58"/>
    </row>
    <row r="96" spans="2:24" ht="15" thickBot="1">
      <c r="B96" s="3" t="s">
        <v>12</v>
      </c>
      <c r="C96" s="18"/>
      <c r="D96" s="18"/>
      <c r="E96" s="18"/>
      <c r="F96" s="18"/>
      <c r="G96" s="18"/>
      <c r="H96" s="2"/>
      <c r="J96" s="58">
        <f>F89</f>
        <v>2050</v>
      </c>
      <c r="K96" s="58"/>
      <c r="L96" s="58">
        <f>F94/100</f>
        <v>4</v>
      </c>
      <c r="M96" s="58"/>
      <c r="N96" s="58">
        <f>F95</f>
        <v>20</v>
      </c>
      <c r="O96" s="59">
        <f>F110</f>
        <v>6705</v>
      </c>
      <c r="P96" s="59">
        <f>F112</f>
        <v>17.529411764705884</v>
      </c>
      <c r="Q96" s="59">
        <f>F113</f>
        <v>0</v>
      </c>
      <c r="R96" s="58"/>
      <c r="S96" s="58"/>
      <c r="T96" s="58"/>
      <c r="U96" s="58"/>
      <c r="V96" s="58"/>
      <c r="W96" s="58"/>
      <c r="X96" s="58"/>
    </row>
    <row r="97" spans="2:19" ht="27" customHeight="1" thickBot="1">
      <c r="B97" s="1" t="s">
        <v>13</v>
      </c>
      <c r="C97" s="202">
        <v>0</v>
      </c>
      <c r="D97" s="202">
        <v>0</v>
      </c>
      <c r="E97" s="202">
        <v>0</v>
      </c>
      <c r="F97" s="202">
        <v>0</v>
      </c>
      <c r="G97" s="1136" t="s">
        <v>98</v>
      </c>
      <c r="H97" s="178"/>
    </row>
    <row r="98" spans="2:19" ht="15.6" thickBot="1">
      <c r="B98" s="1" t="s">
        <v>15</v>
      </c>
      <c r="C98" s="202">
        <v>0</v>
      </c>
      <c r="D98" s="202">
        <v>0</v>
      </c>
      <c r="E98" s="202">
        <v>0</v>
      </c>
      <c r="F98" s="202">
        <v>0</v>
      </c>
      <c r="G98" s="1137"/>
      <c r="H98" s="179"/>
    </row>
    <row r="99" spans="2:19" ht="15.6" thickBot="1">
      <c r="B99" s="1" t="s">
        <v>17</v>
      </c>
      <c r="C99" s="202">
        <v>0</v>
      </c>
      <c r="D99" s="202">
        <v>0</v>
      </c>
      <c r="E99" s="202">
        <v>0</v>
      </c>
      <c r="F99" s="202">
        <v>0</v>
      </c>
      <c r="G99" s="1137"/>
      <c r="H99" s="179"/>
    </row>
    <row r="100" spans="2:19" ht="15.6" thickBot="1">
      <c r="B100" s="1" t="s">
        <v>18</v>
      </c>
      <c r="C100" s="202">
        <v>0</v>
      </c>
      <c r="D100" s="202">
        <v>0</v>
      </c>
      <c r="E100" s="202">
        <v>0</v>
      </c>
      <c r="F100" s="202">
        <v>0</v>
      </c>
      <c r="G100" s="1137"/>
      <c r="H100" s="179"/>
    </row>
    <row r="101" spans="2:19" ht="15" thickBot="1">
      <c r="B101" s="1" t="s">
        <v>19</v>
      </c>
      <c r="C101" s="202">
        <v>0</v>
      </c>
      <c r="D101" s="202">
        <v>0</v>
      </c>
      <c r="E101" s="202">
        <v>0</v>
      </c>
      <c r="F101" s="202">
        <v>0</v>
      </c>
      <c r="G101" s="1138"/>
      <c r="H101" s="180"/>
    </row>
    <row r="102" spans="2:19" ht="15" thickBot="1">
      <c r="B102" s="3" t="s">
        <v>22</v>
      </c>
      <c r="C102" s="18"/>
      <c r="D102" s="18"/>
      <c r="E102" s="18"/>
      <c r="F102" s="18"/>
      <c r="G102" s="18"/>
      <c r="H102" s="2"/>
    </row>
    <row r="103" spans="2:19" ht="15" thickBot="1">
      <c r="B103" s="1" t="s">
        <v>23</v>
      </c>
      <c r="C103" s="2">
        <v>1</v>
      </c>
      <c r="D103" s="2">
        <v>1</v>
      </c>
      <c r="E103" s="2">
        <v>0.9</v>
      </c>
      <c r="F103" s="2">
        <v>0.9</v>
      </c>
      <c r="G103" s="2" t="s">
        <v>109</v>
      </c>
      <c r="H103" s="2" t="s">
        <v>105</v>
      </c>
    </row>
    <row r="104" spans="2:19">
      <c r="B104" s="6" t="s">
        <v>24</v>
      </c>
      <c r="C104" s="7"/>
      <c r="D104" s="7"/>
      <c r="E104" s="7"/>
      <c r="F104" s="7"/>
      <c r="G104" s="7"/>
      <c r="H104" s="7"/>
    </row>
    <row r="105" spans="2:19">
      <c r="B105" s="6" t="s">
        <v>26</v>
      </c>
      <c r="C105" s="7"/>
      <c r="D105" s="7"/>
      <c r="E105" s="7"/>
      <c r="F105" s="7"/>
      <c r="G105" s="7"/>
      <c r="H105" s="7"/>
    </row>
    <row r="106" spans="2:19" ht="15" thickBot="1">
      <c r="B106" s="1" t="s">
        <v>96</v>
      </c>
      <c r="C106" s="2"/>
      <c r="D106" s="2"/>
      <c r="E106" s="2"/>
      <c r="F106" s="2"/>
      <c r="G106" s="2"/>
      <c r="H106" s="2"/>
    </row>
    <row r="107" spans="2:19" ht="24.6" thickBot="1">
      <c r="B107" s="1" t="s">
        <v>30</v>
      </c>
      <c r="C107" s="2"/>
      <c r="D107" s="2"/>
      <c r="E107" s="2"/>
      <c r="F107" s="2"/>
      <c r="G107" s="2"/>
      <c r="H107" s="2"/>
    </row>
    <row r="108" spans="2:19" ht="15" thickBot="1">
      <c r="B108" s="1" t="s">
        <v>64</v>
      </c>
      <c r="C108" s="2">
        <v>400</v>
      </c>
      <c r="D108" s="2">
        <v>400</v>
      </c>
      <c r="E108" s="2">
        <v>400</v>
      </c>
      <c r="F108" s="2">
        <v>400</v>
      </c>
      <c r="G108" s="2"/>
      <c r="H108" s="2">
        <v>2</v>
      </c>
    </row>
    <row r="109" spans="2:19" ht="15" thickBot="1">
      <c r="B109" s="1" t="s">
        <v>31</v>
      </c>
      <c r="C109" s="2"/>
      <c r="D109" s="2"/>
      <c r="E109" s="2"/>
      <c r="F109" s="2"/>
      <c r="G109" s="2"/>
      <c r="H109" s="2"/>
    </row>
    <row r="110" spans="2:19">
      <c r="B110" s="36" t="s">
        <v>353</v>
      </c>
      <c r="C110" s="42">
        <f>C103*$F$4*1000</f>
        <v>7450</v>
      </c>
      <c r="D110" s="42">
        <f>D103*$F$4*1000</f>
        <v>7450</v>
      </c>
      <c r="E110" s="42">
        <f>E103*$F$4*1000</f>
        <v>6705</v>
      </c>
      <c r="F110" s="42">
        <f>F103*$F$4*1000</f>
        <v>6705</v>
      </c>
      <c r="G110" s="63" t="s">
        <v>332</v>
      </c>
      <c r="H110" s="63"/>
      <c r="I110" s="64"/>
      <c r="J110" s="64"/>
      <c r="K110" s="64"/>
      <c r="L110" s="64"/>
      <c r="M110" s="64"/>
      <c r="N110" s="64"/>
      <c r="O110" s="64"/>
      <c r="P110" s="64"/>
      <c r="Q110" s="64"/>
      <c r="R110" s="64"/>
      <c r="S110" s="64"/>
    </row>
    <row r="111" spans="2:19">
      <c r="B111" s="36" t="s">
        <v>354</v>
      </c>
      <c r="C111" s="42">
        <f>C110*$G111</f>
        <v>1266500</v>
      </c>
      <c r="D111" s="42">
        <f>D110*$G111</f>
        <v>1266500</v>
      </c>
      <c r="E111" s="42">
        <f>E110*$G111</f>
        <v>1139850</v>
      </c>
      <c r="F111" s="42">
        <f>F110*$G111</f>
        <v>1139850</v>
      </c>
      <c r="G111" s="67">
        <v>170</v>
      </c>
      <c r="H111" s="63" t="s">
        <v>330</v>
      </c>
      <c r="I111" s="64"/>
      <c r="J111" s="64"/>
      <c r="K111" s="64"/>
      <c r="L111" s="64"/>
      <c r="M111" s="64"/>
      <c r="N111" s="64"/>
      <c r="O111" s="64"/>
      <c r="P111" s="64"/>
      <c r="Q111" s="64"/>
      <c r="R111" s="64"/>
      <c r="S111" s="64"/>
    </row>
    <row r="112" spans="2:19">
      <c r="B112" s="36" t="s">
        <v>355</v>
      </c>
      <c r="C112" s="42">
        <f>C108*$F$4/$G111</f>
        <v>17.529411764705884</v>
      </c>
      <c r="D112" s="42">
        <f>D108*$F$4/$G111</f>
        <v>17.529411764705884</v>
      </c>
      <c r="E112" s="42">
        <f>E108*$F$4/$G111</f>
        <v>17.529411764705884</v>
      </c>
      <c r="F112" s="42">
        <f>F108*$F$4/$G111</f>
        <v>17.529411764705884</v>
      </c>
      <c r="G112" s="63" t="s">
        <v>333</v>
      </c>
      <c r="H112" s="63"/>
      <c r="I112" s="64"/>
      <c r="J112" s="64"/>
      <c r="K112" s="64"/>
      <c r="L112" s="64"/>
      <c r="M112" s="64"/>
      <c r="N112" s="64"/>
      <c r="O112" s="64"/>
      <c r="P112" s="64"/>
      <c r="Q112" s="64"/>
      <c r="R112" s="64"/>
      <c r="S112" s="64"/>
    </row>
    <row r="113" spans="2:8" ht="15" thickBot="1">
      <c r="B113" s="36" t="s">
        <v>356</v>
      </c>
      <c r="C113" s="36">
        <f>C109*$F$4</f>
        <v>0</v>
      </c>
      <c r="D113" s="36">
        <f>D109*$F$4</f>
        <v>0</v>
      </c>
      <c r="E113" s="36">
        <f>E109*$F$4</f>
        <v>0</v>
      </c>
      <c r="F113" s="36">
        <f>F109*$F$4</f>
        <v>0</v>
      </c>
      <c r="G113" s="66"/>
      <c r="H113" s="63"/>
    </row>
    <row r="122" spans="2:8">
      <c r="H122" s="71"/>
    </row>
    <row r="156" spans="7:7">
      <c r="G156" s="280" t="s">
        <v>665</v>
      </c>
    </row>
  </sheetData>
  <mergeCells count="24">
    <mergeCell ref="G97:G101"/>
    <mergeCell ref="B6:B7"/>
    <mergeCell ref="C6:H6"/>
    <mergeCell ref="C7:H7"/>
    <mergeCell ref="B33:B34"/>
    <mergeCell ref="C33:H33"/>
    <mergeCell ref="C34:H34"/>
    <mergeCell ref="G16:G20"/>
    <mergeCell ref="C43:H47"/>
    <mergeCell ref="B60:B61"/>
    <mergeCell ref="C60:H60"/>
    <mergeCell ref="C61:H61"/>
    <mergeCell ref="C70:H74"/>
    <mergeCell ref="B87:B88"/>
    <mergeCell ref="C87:H87"/>
    <mergeCell ref="C88:H88"/>
    <mergeCell ref="J61:O61"/>
    <mergeCell ref="J87:O87"/>
    <mergeCell ref="J88:O88"/>
    <mergeCell ref="J6:O6"/>
    <mergeCell ref="J7:O7"/>
    <mergeCell ref="J33:O33"/>
    <mergeCell ref="J34:O34"/>
    <mergeCell ref="J60:O60"/>
  </mergeCells>
  <pageMargins left="0.7" right="0.7" top="0.75" bottom="0.75" header="0.3" footer="0.3"/>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tabColor theme="4"/>
  </sheetPr>
  <dimension ref="B3:X156"/>
  <sheetViews>
    <sheetView workbookViewId="0">
      <selection activeCell="F153" sqref="F153"/>
    </sheetView>
  </sheetViews>
  <sheetFormatPr defaultRowHeight="14.4"/>
  <cols>
    <col min="2" max="2" width="36.6640625" customWidth="1"/>
    <col min="10" max="10" width="42.5546875" customWidth="1"/>
  </cols>
  <sheetData>
    <row r="3" spans="2:24">
      <c r="B3" s="8" t="s">
        <v>315</v>
      </c>
    </row>
    <row r="4" spans="2:24">
      <c r="E4" t="s">
        <v>334</v>
      </c>
      <c r="F4" s="36">
        <v>7.45</v>
      </c>
      <c r="G4" t="s">
        <v>328</v>
      </c>
    </row>
    <row r="5" spans="2:24" ht="15" thickBot="1"/>
    <row r="6" spans="2:24">
      <c r="B6" s="1118" t="s">
        <v>0</v>
      </c>
      <c r="C6" s="1120" t="s">
        <v>111</v>
      </c>
      <c r="D6" s="1121"/>
      <c r="E6" s="1121"/>
      <c r="F6" s="1121"/>
      <c r="G6" s="1121"/>
      <c r="H6" s="1122"/>
      <c r="J6" s="1120" t="str">
        <f>C6</f>
        <v>Heat pump, brine-to-water</v>
      </c>
      <c r="K6" s="1121"/>
      <c r="L6" s="1121"/>
      <c r="M6" s="1121"/>
      <c r="N6" s="1121"/>
      <c r="O6" s="1122"/>
    </row>
    <row r="7" spans="2:24" ht="15" thickBot="1">
      <c r="B7" s="1119"/>
      <c r="C7" s="1001" t="s">
        <v>1</v>
      </c>
      <c r="D7" s="1002"/>
      <c r="E7" s="1002"/>
      <c r="F7" s="1002"/>
      <c r="G7" s="1002"/>
      <c r="H7" s="1003"/>
      <c r="J7" s="1001" t="str">
        <f>C7</f>
        <v>One-family house, existing building</v>
      </c>
      <c r="K7" s="1002"/>
      <c r="L7" s="1002"/>
      <c r="M7" s="1002"/>
      <c r="N7" s="1002"/>
      <c r="O7" s="100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t="s">
        <v>16</v>
      </c>
      <c r="H12" s="2"/>
      <c r="J12" s="58">
        <f>C8</f>
        <v>2015</v>
      </c>
      <c r="K12" s="58">
        <f>J12</f>
        <v>2015</v>
      </c>
      <c r="L12" s="58">
        <f>C13/100</f>
        <v>3.3</v>
      </c>
      <c r="M12" s="58"/>
      <c r="N12" s="58">
        <f>C14</f>
        <v>20</v>
      </c>
      <c r="O12" s="59">
        <f>C29</f>
        <v>12665</v>
      </c>
      <c r="P12" s="59">
        <f>C31</f>
        <v>100.575</v>
      </c>
      <c r="Q12" s="59">
        <f>C32</f>
        <v>0</v>
      </c>
      <c r="R12" s="58"/>
      <c r="S12" s="58"/>
      <c r="T12" s="58">
        <f>C16</f>
        <v>0</v>
      </c>
      <c r="U12" s="58">
        <f>C17</f>
        <v>0</v>
      </c>
      <c r="V12" s="58">
        <f>C18</f>
        <v>0</v>
      </c>
      <c r="W12" s="58">
        <f>C19</f>
        <v>0</v>
      </c>
      <c r="X12" s="58">
        <f>C20</f>
        <v>0</v>
      </c>
    </row>
    <row r="13" spans="2:24" ht="24.6" thickBot="1">
      <c r="B13" s="1" t="s">
        <v>9</v>
      </c>
      <c r="C13" s="2">
        <v>330</v>
      </c>
      <c r="D13" s="2">
        <v>350</v>
      </c>
      <c r="E13" s="2">
        <v>400</v>
      </c>
      <c r="F13" s="2">
        <v>450</v>
      </c>
      <c r="G13" s="2" t="s">
        <v>109</v>
      </c>
      <c r="H13" s="2" t="s">
        <v>103</v>
      </c>
      <c r="J13" s="58">
        <f>D8</f>
        <v>2020</v>
      </c>
      <c r="K13" s="58"/>
      <c r="L13" s="58">
        <f>D13/100</f>
        <v>3.5</v>
      </c>
      <c r="M13" s="58"/>
      <c r="N13" s="58">
        <f>D14</f>
        <v>20</v>
      </c>
      <c r="O13" s="59">
        <f>D29</f>
        <v>11920.000000000002</v>
      </c>
      <c r="P13" s="59">
        <f>D31</f>
        <v>100.575</v>
      </c>
      <c r="Q13" s="59">
        <f>D32</f>
        <v>0</v>
      </c>
      <c r="R13" s="58"/>
      <c r="S13" s="58"/>
      <c r="T13" s="58">
        <f>D16</f>
        <v>0</v>
      </c>
      <c r="U13" s="58">
        <f>D17</f>
        <v>0</v>
      </c>
      <c r="V13" s="58">
        <f>D18</f>
        <v>0</v>
      </c>
      <c r="W13" s="58">
        <f>D19</f>
        <v>0</v>
      </c>
      <c r="X13" s="58">
        <f>D20</f>
        <v>0</v>
      </c>
    </row>
    <row r="14" spans="2:24" ht="15" thickBot="1">
      <c r="B14" s="1" t="s">
        <v>11</v>
      </c>
      <c r="C14" s="2">
        <v>20</v>
      </c>
      <c r="D14" s="2">
        <v>20</v>
      </c>
      <c r="E14" s="2">
        <v>20</v>
      </c>
      <c r="F14" s="2">
        <v>20</v>
      </c>
      <c r="G14" s="2"/>
      <c r="H14" s="2"/>
      <c r="J14" s="58">
        <f>E8</f>
        <v>2030</v>
      </c>
      <c r="K14" s="58"/>
      <c r="L14" s="58">
        <f>E13/100</f>
        <v>4</v>
      </c>
      <c r="M14" s="58"/>
      <c r="N14" s="58">
        <f>E14</f>
        <v>20</v>
      </c>
      <c r="O14" s="59">
        <f>E29</f>
        <v>11175</v>
      </c>
      <c r="P14" s="59">
        <f>E31</f>
        <v>100.575</v>
      </c>
      <c r="Q14" s="59">
        <f>E32</f>
        <v>0</v>
      </c>
      <c r="R14" s="58"/>
      <c r="S14" s="58"/>
      <c r="T14" s="58">
        <f>E16</f>
        <v>0</v>
      </c>
      <c r="U14" s="58">
        <f>E17</f>
        <v>0</v>
      </c>
      <c r="V14" s="58">
        <f>E18</f>
        <v>0</v>
      </c>
      <c r="W14" s="58">
        <f>E19</f>
        <v>0</v>
      </c>
      <c r="X14" s="58">
        <f>E20</f>
        <v>0</v>
      </c>
    </row>
    <row r="15" spans="2:24" ht="15" thickBot="1">
      <c r="B15" s="3" t="s">
        <v>12</v>
      </c>
      <c r="C15" s="18"/>
      <c r="D15" s="18"/>
      <c r="E15" s="18"/>
      <c r="F15" s="18"/>
      <c r="G15" s="18"/>
      <c r="H15" s="2"/>
      <c r="J15" s="58">
        <f>F8</f>
        <v>2050</v>
      </c>
      <c r="K15" s="58"/>
      <c r="L15" s="58">
        <f>F13/100</f>
        <v>4.5</v>
      </c>
      <c r="M15" s="58"/>
      <c r="N15" s="58">
        <f>F14</f>
        <v>20</v>
      </c>
      <c r="O15" s="59">
        <f>F29</f>
        <v>10430</v>
      </c>
      <c r="P15" s="59">
        <f>F31</f>
        <v>100.575</v>
      </c>
      <c r="Q15" s="59">
        <f>F32</f>
        <v>0</v>
      </c>
      <c r="R15" s="58"/>
      <c r="S15" s="58"/>
      <c r="T15" s="58">
        <f>F16</f>
        <v>0</v>
      </c>
      <c r="U15" s="58">
        <f>F17</f>
        <v>0</v>
      </c>
      <c r="V15" s="58">
        <f>F18</f>
        <v>0</v>
      </c>
      <c r="W15" s="58">
        <f>F19</f>
        <v>0</v>
      </c>
      <c r="X15" s="58">
        <f>F20</f>
        <v>0</v>
      </c>
    </row>
    <row r="16" spans="2:24" ht="27" customHeight="1" thickBot="1">
      <c r="B16" s="1" t="s">
        <v>13</v>
      </c>
      <c r="C16" s="196">
        <v>0</v>
      </c>
      <c r="D16" s="197">
        <v>0</v>
      </c>
      <c r="E16" s="197">
        <v>0</v>
      </c>
      <c r="F16" s="198">
        <v>0</v>
      </c>
      <c r="G16" s="1136" t="s">
        <v>98</v>
      </c>
      <c r="H16" s="178"/>
    </row>
    <row r="17" spans="2:8" ht="15.6" thickBot="1">
      <c r="B17" s="1" t="s">
        <v>15</v>
      </c>
      <c r="C17" s="199">
        <v>0</v>
      </c>
      <c r="D17" s="195">
        <v>0</v>
      </c>
      <c r="E17" s="195">
        <v>0</v>
      </c>
      <c r="F17" s="190">
        <v>0</v>
      </c>
      <c r="G17" s="1137"/>
      <c r="H17" s="179"/>
    </row>
    <row r="18" spans="2:8" ht="15.6" thickBot="1">
      <c r="B18" s="1" t="s">
        <v>17</v>
      </c>
      <c r="C18" s="199">
        <v>0</v>
      </c>
      <c r="D18" s="195">
        <v>0</v>
      </c>
      <c r="E18" s="195">
        <v>0</v>
      </c>
      <c r="F18" s="190">
        <v>0</v>
      </c>
      <c r="G18" s="1137"/>
      <c r="H18" s="179"/>
    </row>
    <row r="19" spans="2:8" ht="15.6" thickBot="1">
      <c r="B19" s="1" t="s">
        <v>18</v>
      </c>
      <c r="C19" s="199">
        <v>0</v>
      </c>
      <c r="D19" s="195">
        <v>0</v>
      </c>
      <c r="E19" s="195">
        <v>0</v>
      </c>
      <c r="F19" s="190">
        <v>0</v>
      </c>
      <c r="G19" s="1137"/>
      <c r="H19" s="179"/>
    </row>
    <row r="20" spans="2:8" ht="15" thickBot="1">
      <c r="B20" s="1" t="s">
        <v>19</v>
      </c>
      <c r="C20" s="200">
        <v>0</v>
      </c>
      <c r="D20" s="201">
        <v>0</v>
      </c>
      <c r="E20" s="201">
        <v>0</v>
      </c>
      <c r="F20" s="35">
        <v>0</v>
      </c>
      <c r="G20" s="1138"/>
      <c r="H20" s="180"/>
    </row>
    <row r="21" spans="2:8" ht="15" thickBot="1">
      <c r="B21" s="3" t="s">
        <v>22</v>
      </c>
      <c r="C21" s="38"/>
      <c r="D21" s="38"/>
      <c r="E21" s="38"/>
      <c r="F21" s="38"/>
      <c r="G21" s="68" t="s">
        <v>329</v>
      </c>
      <c r="H21" s="39"/>
    </row>
    <row r="22" spans="2:8" ht="15" thickBot="1">
      <c r="B22" s="1" t="s">
        <v>23</v>
      </c>
      <c r="C22" s="43">
        <f>C23/C10</f>
        <v>1.7</v>
      </c>
      <c r="D22" s="43">
        <f>D23/D10</f>
        <v>1.6</v>
      </c>
      <c r="E22" s="43">
        <f>E23/E10</f>
        <v>1.5</v>
      </c>
      <c r="F22" s="43">
        <f>F23/F10</f>
        <v>1.4</v>
      </c>
      <c r="G22" s="68">
        <f>G30</f>
        <v>10</v>
      </c>
      <c r="H22" s="68" t="str">
        <f>H30</f>
        <v>kW</v>
      </c>
    </row>
    <row r="23" spans="2:8" ht="24">
      <c r="B23" s="6" t="s">
        <v>24</v>
      </c>
      <c r="C23" s="7">
        <v>17</v>
      </c>
      <c r="D23" s="7">
        <v>16</v>
      </c>
      <c r="E23" s="7">
        <v>15</v>
      </c>
      <c r="F23" s="7">
        <v>14</v>
      </c>
      <c r="G23" s="7" t="s">
        <v>112</v>
      </c>
      <c r="H23" s="7" t="s">
        <v>105</v>
      </c>
    </row>
    <row r="24" spans="2:8">
      <c r="B24" s="6" t="s">
        <v>26</v>
      </c>
      <c r="C24" s="7" t="s">
        <v>27</v>
      </c>
      <c r="D24" s="7">
        <v>70</v>
      </c>
      <c r="E24" s="7">
        <v>70</v>
      </c>
      <c r="F24" s="7">
        <v>70</v>
      </c>
      <c r="G24" s="7"/>
      <c r="H24" s="7"/>
    </row>
    <row r="25" spans="2:8" ht="15" thickBot="1">
      <c r="B25" s="1" t="s">
        <v>96</v>
      </c>
      <c r="C25" s="2" t="s">
        <v>29</v>
      </c>
      <c r="D25" s="2">
        <v>30</v>
      </c>
      <c r="E25" s="2">
        <v>30</v>
      </c>
      <c r="F25" s="2">
        <v>30</v>
      </c>
      <c r="G25" s="2"/>
      <c r="H25" s="2"/>
    </row>
    <row r="26" spans="2:8" ht="24.6" thickBot="1">
      <c r="B26" s="1" t="s">
        <v>30</v>
      </c>
      <c r="C26" s="2">
        <v>6</v>
      </c>
      <c r="D26" s="2">
        <v>6</v>
      </c>
      <c r="E26" s="2">
        <v>6</v>
      </c>
      <c r="F26" s="2">
        <v>6</v>
      </c>
      <c r="G26" s="2" t="s">
        <v>20</v>
      </c>
      <c r="H26" s="2"/>
    </row>
    <row r="27" spans="2:8" ht="15" thickBot="1">
      <c r="B27" s="1" t="s">
        <v>64</v>
      </c>
      <c r="C27" s="2">
        <v>135</v>
      </c>
      <c r="D27" s="2">
        <v>135</v>
      </c>
      <c r="E27" s="2">
        <v>135</v>
      </c>
      <c r="F27" s="2">
        <v>135</v>
      </c>
      <c r="G27" s="2" t="s">
        <v>25</v>
      </c>
      <c r="H27" s="2">
        <v>2</v>
      </c>
    </row>
    <row r="28" spans="2:8" ht="15" thickBot="1">
      <c r="B28" s="1" t="s">
        <v>31</v>
      </c>
      <c r="C28" s="2"/>
      <c r="D28" s="2"/>
      <c r="E28" s="2"/>
      <c r="F28" s="2"/>
      <c r="G28" s="2"/>
      <c r="H28" s="2"/>
    </row>
    <row r="29" spans="2:8">
      <c r="B29" s="36" t="s">
        <v>353</v>
      </c>
      <c r="C29" s="60">
        <f>C22*$F$4*1000</f>
        <v>12665</v>
      </c>
      <c r="D29" s="60">
        <f t="shared" ref="D29:F30" si="0">D22*$F$4*1000</f>
        <v>11920.000000000002</v>
      </c>
      <c r="E29" s="60">
        <f t="shared" si="0"/>
        <v>11175</v>
      </c>
      <c r="F29" s="60">
        <f t="shared" si="0"/>
        <v>10430</v>
      </c>
      <c r="G29" s="63" t="s">
        <v>332</v>
      </c>
      <c r="H29" s="63"/>
    </row>
    <row r="30" spans="2:8">
      <c r="B30" s="36" t="s">
        <v>354</v>
      </c>
      <c r="C30" s="60">
        <f>C23*$F$4*1000</f>
        <v>126650</v>
      </c>
      <c r="D30" s="60">
        <f t="shared" si="0"/>
        <v>119200</v>
      </c>
      <c r="E30" s="60">
        <f t="shared" si="0"/>
        <v>111750</v>
      </c>
      <c r="F30" s="60">
        <f t="shared" si="0"/>
        <v>104300</v>
      </c>
      <c r="G30" s="70">
        <f>C10</f>
        <v>10</v>
      </c>
      <c r="H30" s="69" t="s">
        <v>330</v>
      </c>
    </row>
    <row r="31" spans="2:8">
      <c r="B31" s="36" t="s">
        <v>355</v>
      </c>
      <c r="C31" s="60">
        <f>C27*$F$4/C10</f>
        <v>100.575</v>
      </c>
      <c r="D31" s="60">
        <f>D27*$F$4/D10</f>
        <v>100.575</v>
      </c>
      <c r="E31" s="60">
        <f>E27*$F$4/E10</f>
        <v>100.575</v>
      </c>
      <c r="F31" s="60">
        <f>F27*$F$4/F10</f>
        <v>100.575</v>
      </c>
      <c r="G31" s="69" t="s">
        <v>331</v>
      </c>
      <c r="H31" s="69"/>
    </row>
    <row r="32" spans="2:8" ht="15" thickBot="1">
      <c r="B32" s="36" t="s">
        <v>356</v>
      </c>
      <c r="C32" s="60">
        <f>C28*$F$4</f>
        <v>0</v>
      </c>
      <c r="D32" s="60">
        <f>D28*$F$4</f>
        <v>0</v>
      </c>
      <c r="E32" s="60">
        <f>E28*$F$4</f>
        <v>0</v>
      </c>
      <c r="F32" s="60">
        <f>F28*$F$4</f>
        <v>0</v>
      </c>
      <c r="G32" s="61"/>
      <c r="H32" s="61"/>
    </row>
    <row r="33" spans="2:24">
      <c r="B33" s="1118" t="s">
        <v>0</v>
      </c>
      <c r="C33" s="1120" t="s">
        <v>111</v>
      </c>
      <c r="D33" s="1121"/>
      <c r="E33" s="1121"/>
      <c r="F33" s="1121"/>
      <c r="G33" s="1121"/>
      <c r="H33" s="1122"/>
      <c r="J33" s="1120" t="str">
        <f>C33</f>
        <v>Heat pump, brine-to-water</v>
      </c>
      <c r="K33" s="1121"/>
      <c r="L33" s="1121"/>
      <c r="M33" s="1121"/>
      <c r="N33" s="1121"/>
      <c r="O33" s="1122"/>
    </row>
    <row r="34" spans="2:24" ht="15" thickBot="1">
      <c r="B34" s="1119"/>
      <c r="C34" s="1001" t="s">
        <v>32</v>
      </c>
      <c r="D34" s="1002"/>
      <c r="E34" s="1002"/>
      <c r="F34" s="1002"/>
      <c r="G34" s="1002"/>
      <c r="H34" s="1003"/>
      <c r="J34" s="1001" t="str">
        <f>C34</f>
        <v>Apartment complex, existing building</v>
      </c>
      <c r="K34" s="1002"/>
      <c r="L34" s="1002"/>
      <c r="M34" s="1002"/>
      <c r="N34" s="1002"/>
      <c r="O34" s="100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4.6" thickBot="1">
      <c r="B38" s="1" t="s">
        <v>7</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2">
        <v>100</v>
      </c>
      <c r="D39" s="2">
        <v>100</v>
      </c>
      <c r="E39" s="2">
        <v>100</v>
      </c>
      <c r="F39" s="2">
        <v>100</v>
      </c>
      <c r="G39" s="2" t="s">
        <v>16</v>
      </c>
      <c r="H39" s="2"/>
      <c r="J39" s="58">
        <f>C35</f>
        <v>2015</v>
      </c>
      <c r="K39" s="58">
        <f>J39</f>
        <v>2015</v>
      </c>
      <c r="L39" s="58">
        <f>C40/100</f>
        <v>3.3</v>
      </c>
      <c r="M39" s="58"/>
      <c r="N39" s="58">
        <f>C41</f>
        <v>20</v>
      </c>
      <c r="O39" s="59">
        <f>C56</f>
        <v>8195</v>
      </c>
      <c r="P39" s="59">
        <f>C58</f>
        <v>7.45</v>
      </c>
      <c r="Q39" s="59">
        <f>C59</f>
        <v>0</v>
      </c>
      <c r="R39" s="58"/>
      <c r="S39" s="58"/>
      <c r="T39" s="58"/>
      <c r="U39" s="58"/>
      <c r="V39" s="58"/>
      <c r="W39" s="58"/>
      <c r="X39" s="58"/>
    </row>
    <row r="40" spans="2:24" ht="24.6" thickBot="1">
      <c r="B40" s="1" t="s">
        <v>9</v>
      </c>
      <c r="C40" s="2">
        <v>330</v>
      </c>
      <c r="D40" s="2">
        <v>350</v>
      </c>
      <c r="E40" s="2">
        <v>400</v>
      </c>
      <c r="F40" s="2">
        <v>450</v>
      </c>
      <c r="G40" s="2" t="s">
        <v>102</v>
      </c>
      <c r="H40" s="2" t="s">
        <v>103</v>
      </c>
      <c r="J40" s="58">
        <f>D35</f>
        <v>2020</v>
      </c>
      <c r="K40" s="58"/>
      <c r="L40" s="58">
        <f>D40/100</f>
        <v>3.5</v>
      </c>
      <c r="M40" s="58"/>
      <c r="N40" s="58">
        <f>D41</f>
        <v>20</v>
      </c>
      <c r="O40" s="59">
        <f>D56</f>
        <v>8195</v>
      </c>
      <c r="P40" s="59">
        <f>D58</f>
        <v>7.45</v>
      </c>
      <c r="Q40" s="59">
        <f>D59</f>
        <v>0</v>
      </c>
      <c r="R40" s="58"/>
      <c r="S40" s="58"/>
      <c r="T40" s="58"/>
      <c r="U40" s="58"/>
      <c r="V40" s="58"/>
      <c r="W40" s="58"/>
      <c r="X40" s="58"/>
    </row>
    <row r="41" spans="2:24" ht="15" thickBot="1">
      <c r="B41" s="1" t="s">
        <v>11</v>
      </c>
      <c r="C41" s="2">
        <v>20</v>
      </c>
      <c r="D41" s="2">
        <v>20</v>
      </c>
      <c r="E41" s="2">
        <v>20</v>
      </c>
      <c r="F41" s="2">
        <v>20</v>
      </c>
      <c r="G41" s="2"/>
      <c r="H41" s="2"/>
      <c r="J41" s="58">
        <f>E35</f>
        <v>2030</v>
      </c>
      <c r="K41" s="58"/>
      <c r="L41" s="58">
        <f>E40/100</f>
        <v>4</v>
      </c>
      <c r="M41" s="58"/>
      <c r="N41" s="58">
        <f>E41</f>
        <v>20</v>
      </c>
      <c r="O41" s="59">
        <f>E56</f>
        <v>7450</v>
      </c>
      <c r="P41" s="59">
        <f>E58</f>
        <v>7.45</v>
      </c>
      <c r="Q41" s="59">
        <f>E59</f>
        <v>0</v>
      </c>
      <c r="R41" s="58"/>
      <c r="S41" s="58"/>
      <c r="T41" s="58"/>
      <c r="U41" s="58"/>
      <c r="V41" s="58"/>
      <c r="W41" s="58"/>
      <c r="X41" s="58"/>
    </row>
    <row r="42" spans="2:24" ht="15" thickBot="1">
      <c r="B42" s="3" t="s">
        <v>12</v>
      </c>
      <c r="C42" s="18"/>
      <c r="D42" s="18"/>
      <c r="E42" s="18"/>
      <c r="F42" s="18"/>
      <c r="G42" s="18"/>
      <c r="H42" s="2"/>
      <c r="J42" s="58">
        <f>F35</f>
        <v>2050</v>
      </c>
      <c r="K42" s="58"/>
      <c r="L42" s="58">
        <f>F40/100</f>
        <v>4.5</v>
      </c>
      <c r="M42" s="58"/>
      <c r="N42" s="58">
        <f>F41</f>
        <v>20</v>
      </c>
      <c r="O42" s="59">
        <f>F56</f>
        <v>6705</v>
      </c>
      <c r="P42" s="59">
        <f>F58</f>
        <v>7.45</v>
      </c>
      <c r="Q42" s="59">
        <f>F59</f>
        <v>0</v>
      </c>
      <c r="R42" s="58"/>
      <c r="S42" s="58"/>
      <c r="T42" s="58"/>
      <c r="U42" s="58"/>
      <c r="V42" s="58"/>
      <c r="W42" s="58"/>
      <c r="X42" s="58"/>
    </row>
    <row r="43" spans="2:24" ht="27" customHeight="1" thickBot="1">
      <c r="B43" s="1" t="s">
        <v>13</v>
      </c>
      <c r="C43" s="196">
        <v>0</v>
      </c>
      <c r="D43" s="197">
        <v>0</v>
      </c>
      <c r="E43" s="197">
        <v>0</v>
      </c>
      <c r="F43" s="198">
        <v>0</v>
      </c>
      <c r="G43" s="1136" t="s">
        <v>98</v>
      </c>
      <c r="H43" s="178"/>
    </row>
    <row r="44" spans="2:24" ht="15.6" thickBot="1">
      <c r="B44" s="1" t="s">
        <v>15</v>
      </c>
      <c r="C44" s="199">
        <v>0</v>
      </c>
      <c r="D44" s="195">
        <v>0</v>
      </c>
      <c r="E44" s="195">
        <v>0</v>
      </c>
      <c r="F44" s="190">
        <v>0</v>
      </c>
      <c r="G44" s="1137"/>
      <c r="H44" s="179"/>
    </row>
    <row r="45" spans="2:24" ht="15.6" thickBot="1">
      <c r="B45" s="1" t="s">
        <v>17</v>
      </c>
      <c r="C45" s="199">
        <v>0</v>
      </c>
      <c r="D45" s="195">
        <v>0</v>
      </c>
      <c r="E45" s="195">
        <v>0</v>
      </c>
      <c r="F45" s="190">
        <v>0</v>
      </c>
      <c r="G45" s="1137"/>
      <c r="H45" s="179"/>
    </row>
    <row r="46" spans="2:24" ht="15.6" thickBot="1">
      <c r="B46" s="1" t="s">
        <v>18</v>
      </c>
      <c r="C46" s="199">
        <v>0</v>
      </c>
      <c r="D46" s="195">
        <v>0</v>
      </c>
      <c r="E46" s="195">
        <v>0</v>
      </c>
      <c r="F46" s="190">
        <v>0</v>
      </c>
      <c r="G46" s="1137"/>
      <c r="H46" s="179"/>
    </row>
    <row r="47" spans="2:24" ht="15" thickBot="1">
      <c r="B47" s="1" t="s">
        <v>19</v>
      </c>
      <c r="C47" s="200">
        <v>0</v>
      </c>
      <c r="D47" s="201">
        <v>0</v>
      </c>
      <c r="E47" s="201">
        <v>0</v>
      </c>
      <c r="F47" s="35">
        <v>0</v>
      </c>
      <c r="G47" s="1138"/>
      <c r="H47" s="180"/>
    </row>
    <row r="48" spans="2:24" ht="15" thickBot="1">
      <c r="B48" s="3" t="s">
        <v>22</v>
      </c>
      <c r="C48" s="18"/>
      <c r="D48" s="18"/>
      <c r="E48" s="18"/>
      <c r="F48" s="18"/>
      <c r="G48" s="18"/>
      <c r="H48" s="2"/>
    </row>
    <row r="49" spans="2:24" ht="15" thickBot="1">
      <c r="B49" s="1" t="s">
        <v>23</v>
      </c>
      <c r="C49" s="2">
        <v>1.1000000000000001</v>
      </c>
      <c r="D49" s="2">
        <v>1.1000000000000001</v>
      </c>
      <c r="E49" s="2">
        <v>1</v>
      </c>
      <c r="F49" s="2">
        <v>0.9</v>
      </c>
      <c r="G49" s="2" t="s">
        <v>102</v>
      </c>
      <c r="H49" s="2" t="s">
        <v>105</v>
      </c>
    </row>
    <row r="50" spans="2:24">
      <c r="B50" s="6" t="s">
        <v>24</v>
      </c>
      <c r="C50" s="7"/>
      <c r="D50" s="7"/>
      <c r="E50" s="7"/>
      <c r="F50" s="7"/>
      <c r="G50" s="7"/>
      <c r="H50" s="7"/>
    </row>
    <row r="51" spans="2:24">
      <c r="B51" s="6" t="s">
        <v>26</v>
      </c>
      <c r="C51" s="7"/>
      <c r="D51" s="7"/>
      <c r="E51" s="7"/>
      <c r="F51" s="7"/>
      <c r="G51" s="7"/>
      <c r="H51" s="7"/>
    </row>
    <row r="52" spans="2:24" ht="15" thickBot="1">
      <c r="B52" s="1" t="s">
        <v>96</v>
      </c>
      <c r="C52" s="2"/>
      <c r="D52" s="2"/>
      <c r="E52" s="2"/>
      <c r="F52" s="2"/>
      <c r="G52" s="2"/>
      <c r="H52" s="2"/>
    </row>
    <row r="53" spans="2:24" ht="24.6" thickBot="1">
      <c r="B53" s="1" t="s">
        <v>113</v>
      </c>
      <c r="C53" s="2">
        <v>0.67</v>
      </c>
      <c r="D53" s="2">
        <v>0.67</v>
      </c>
      <c r="E53" s="2">
        <v>0.67</v>
      </c>
      <c r="F53" s="2">
        <v>0.67</v>
      </c>
      <c r="G53" s="2" t="s">
        <v>20</v>
      </c>
      <c r="H53" s="2"/>
    </row>
    <row r="54" spans="2:24" ht="15" thickBot="1">
      <c r="B54" s="1" t="s">
        <v>64</v>
      </c>
      <c r="C54" s="2">
        <v>400</v>
      </c>
      <c r="D54" s="2">
        <v>400</v>
      </c>
      <c r="E54" s="2">
        <v>400</v>
      </c>
      <c r="F54" s="2">
        <v>400</v>
      </c>
      <c r="G54" s="2" t="s">
        <v>25</v>
      </c>
      <c r="H54" s="2">
        <v>2</v>
      </c>
    </row>
    <row r="55" spans="2:24" ht="15" thickBot="1">
      <c r="B55" s="1" t="s">
        <v>31</v>
      </c>
      <c r="C55" s="2"/>
      <c r="D55" s="2"/>
      <c r="E55" s="2"/>
      <c r="F55" s="2"/>
      <c r="G55" s="2"/>
      <c r="H55" s="2"/>
    </row>
    <row r="56" spans="2:24">
      <c r="B56" s="36" t="s">
        <v>353</v>
      </c>
      <c r="C56" s="60">
        <f t="shared" ref="C56:F57" si="1">C49*$F$4*1000</f>
        <v>8195</v>
      </c>
      <c r="D56" s="60">
        <f t="shared" si="1"/>
        <v>8195</v>
      </c>
      <c r="E56" s="60">
        <f t="shared" si="1"/>
        <v>7450</v>
      </c>
      <c r="F56" s="60">
        <f t="shared" si="1"/>
        <v>6705</v>
      </c>
      <c r="G56" s="63" t="s">
        <v>332</v>
      </c>
      <c r="H56" s="63"/>
      <c r="J56" s="40"/>
    </row>
    <row r="57" spans="2:24">
      <c r="B57" s="36" t="s">
        <v>354</v>
      </c>
      <c r="C57" s="191">
        <f t="shared" si="1"/>
        <v>0</v>
      </c>
      <c r="D57" s="191">
        <f t="shared" si="1"/>
        <v>0</v>
      </c>
      <c r="E57" s="191">
        <f t="shared" si="1"/>
        <v>0</v>
      </c>
      <c r="F57" s="191">
        <f t="shared" si="1"/>
        <v>0</v>
      </c>
      <c r="G57" s="70">
        <v>400</v>
      </c>
      <c r="H57" s="69" t="s">
        <v>330</v>
      </c>
    </row>
    <row r="58" spans="2:24">
      <c r="B58" s="36" t="s">
        <v>355</v>
      </c>
      <c r="C58" s="60">
        <f>C54*$F$4/$G$57</f>
        <v>7.45</v>
      </c>
      <c r="D58" s="60">
        <f>D54*$F$4/$G$57</f>
        <v>7.45</v>
      </c>
      <c r="E58" s="60">
        <f>E54*$F$4/$G$57</f>
        <v>7.45</v>
      </c>
      <c r="F58" s="60">
        <f>F54*$F$4/$G$57</f>
        <v>7.45</v>
      </c>
      <c r="G58" s="69" t="s">
        <v>331</v>
      </c>
      <c r="H58" s="69"/>
    </row>
    <row r="59" spans="2:24" ht="15" thickBot="1">
      <c r="B59" s="36" t="s">
        <v>356</v>
      </c>
      <c r="C59" s="191">
        <f>C55*$F$4</f>
        <v>0</v>
      </c>
      <c r="D59" s="191">
        <f>D55*$F$4</f>
        <v>0</v>
      </c>
      <c r="E59" s="191">
        <f>E55*$F$4</f>
        <v>0</v>
      </c>
      <c r="F59" s="191">
        <f>F55*$F$4</f>
        <v>0</v>
      </c>
      <c r="G59" s="61"/>
      <c r="H59" s="61"/>
    </row>
    <row r="60" spans="2:24">
      <c r="B60" s="1118" t="s">
        <v>0</v>
      </c>
      <c r="C60" s="1120" t="s">
        <v>111</v>
      </c>
      <c r="D60" s="1121"/>
      <c r="E60" s="1121"/>
      <c r="F60" s="1121"/>
      <c r="G60" s="1121"/>
      <c r="H60" s="1122"/>
      <c r="J60" s="1120" t="str">
        <f>C60</f>
        <v>Heat pump, brine-to-water</v>
      </c>
      <c r="K60" s="1121"/>
      <c r="L60" s="1121"/>
      <c r="M60" s="1121"/>
      <c r="N60" s="1121"/>
      <c r="O60" s="1122"/>
    </row>
    <row r="61" spans="2:24" ht="15" thickBot="1">
      <c r="B61" s="1119"/>
      <c r="C61" s="1001" t="s">
        <v>34</v>
      </c>
      <c r="D61" s="1002"/>
      <c r="E61" s="1002"/>
      <c r="F61" s="1002"/>
      <c r="G61" s="1002"/>
      <c r="H61" s="1003"/>
      <c r="J61" s="1001" t="str">
        <f>C61</f>
        <v>One-family house, new building</v>
      </c>
      <c r="K61" s="1002"/>
      <c r="L61" s="1002"/>
      <c r="M61" s="1002"/>
      <c r="N61" s="1002"/>
      <c r="O61" s="1003"/>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4.6"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2">
        <v>100</v>
      </c>
      <c r="D66" s="2">
        <v>100</v>
      </c>
      <c r="E66" s="2">
        <v>100</v>
      </c>
      <c r="F66" s="2">
        <v>100</v>
      </c>
      <c r="G66" s="2" t="s">
        <v>16</v>
      </c>
      <c r="H66" s="2"/>
      <c r="J66" s="58">
        <f>C62</f>
        <v>2015</v>
      </c>
      <c r="K66" s="58">
        <f>J66</f>
        <v>2015</v>
      </c>
      <c r="L66" s="58">
        <f>C67/100</f>
        <v>3.3</v>
      </c>
      <c r="M66" s="58"/>
      <c r="N66" s="58">
        <f>C68</f>
        <v>20</v>
      </c>
      <c r="O66" s="59">
        <f>C83</f>
        <v>0</v>
      </c>
      <c r="P66" s="59">
        <f>C85</f>
        <v>201.15</v>
      </c>
      <c r="Q66" s="59">
        <f>C86</f>
        <v>0</v>
      </c>
      <c r="R66" s="58"/>
      <c r="S66" s="58"/>
      <c r="T66" s="58"/>
      <c r="U66" s="58"/>
      <c r="V66" s="58"/>
      <c r="W66" s="58"/>
      <c r="X66" s="58"/>
    </row>
    <row r="67" spans="2:24" ht="24.6" thickBot="1">
      <c r="B67" s="1" t="s">
        <v>9</v>
      </c>
      <c r="C67" s="2">
        <v>330</v>
      </c>
      <c r="D67" s="2">
        <v>350</v>
      </c>
      <c r="E67" s="2">
        <v>400</v>
      </c>
      <c r="F67" s="2">
        <v>450</v>
      </c>
      <c r="G67" s="2" t="s">
        <v>102</v>
      </c>
      <c r="H67" s="2" t="s">
        <v>103</v>
      </c>
      <c r="J67" s="58">
        <f>D62</f>
        <v>2020</v>
      </c>
      <c r="K67" s="58"/>
      <c r="L67" s="58">
        <f>D67/100</f>
        <v>3.5</v>
      </c>
      <c r="M67" s="58"/>
      <c r="N67" s="58">
        <f>D68</f>
        <v>20</v>
      </c>
      <c r="O67" s="59">
        <f>D83</f>
        <v>0</v>
      </c>
      <c r="P67" s="59">
        <f>D85</f>
        <v>201.15</v>
      </c>
      <c r="Q67" s="59">
        <f>D86</f>
        <v>0</v>
      </c>
      <c r="R67" s="58"/>
      <c r="S67" s="58"/>
      <c r="T67" s="58"/>
      <c r="U67" s="58"/>
      <c r="V67" s="58"/>
      <c r="W67" s="58"/>
      <c r="X67" s="58"/>
    </row>
    <row r="68" spans="2:24" ht="15" thickBot="1">
      <c r="B68" s="1" t="s">
        <v>11</v>
      </c>
      <c r="C68" s="2">
        <v>20</v>
      </c>
      <c r="D68" s="2">
        <v>20</v>
      </c>
      <c r="E68" s="2">
        <v>20</v>
      </c>
      <c r="F68" s="2">
        <v>20</v>
      </c>
      <c r="G68" s="2"/>
      <c r="H68" s="2"/>
      <c r="J68" s="58">
        <f>E62</f>
        <v>2030</v>
      </c>
      <c r="K68" s="58"/>
      <c r="L68" s="58">
        <f>E67/100</f>
        <v>4</v>
      </c>
      <c r="M68" s="58"/>
      <c r="N68" s="58">
        <f>E68</f>
        <v>20</v>
      </c>
      <c r="O68" s="59">
        <f>E83</f>
        <v>0</v>
      </c>
      <c r="P68" s="59">
        <f>E85</f>
        <v>201.15</v>
      </c>
      <c r="Q68" s="59">
        <f>E86</f>
        <v>0</v>
      </c>
      <c r="R68" s="58"/>
      <c r="S68" s="58"/>
      <c r="T68" s="58"/>
      <c r="U68" s="58"/>
      <c r="V68" s="58"/>
      <c r="W68" s="58"/>
      <c r="X68" s="58"/>
    </row>
    <row r="69" spans="2:24" ht="15" thickBot="1">
      <c r="B69" s="3" t="s">
        <v>12</v>
      </c>
      <c r="C69" s="18"/>
      <c r="D69" s="18"/>
      <c r="E69" s="18"/>
      <c r="F69" s="18"/>
      <c r="G69" s="18"/>
      <c r="H69" s="2"/>
      <c r="J69" s="58">
        <f>F62</f>
        <v>2050</v>
      </c>
      <c r="K69" s="58"/>
      <c r="L69" s="58">
        <f>F67/100</f>
        <v>4.5</v>
      </c>
      <c r="M69" s="58"/>
      <c r="N69" s="58">
        <f>F68</f>
        <v>20</v>
      </c>
      <c r="O69" s="59">
        <f>F83</f>
        <v>0</v>
      </c>
      <c r="P69" s="59">
        <f>F85</f>
        <v>201.15</v>
      </c>
      <c r="Q69" s="59">
        <f>F86</f>
        <v>0</v>
      </c>
      <c r="R69" s="58"/>
      <c r="S69" s="58"/>
      <c r="T69" s="58"/>
      <c r="U69" s="58"/>
      <c r="V69" s="58"/>
      <c r="W69" s="58"/>
      <c r="X69" s="58"/>
    </row>
    <row r="70" spans="2:24" ht="27" customHeight="1" thickBot="1">
      <c r="B70" s="1" t="s">
        <v>13</v>
      </c>
      <c r="C70" s="196">
        <v>0</v>
      </c>
      <c r="D70" s="197">
        <v>0</v>
      </c>
      <c r="E70" s="197">
        <v>0</v>
      </c>
      <c r="F70" s="198">
        <v>0</v>
      </c>
      <c r="G70" s="1136" t="s">
        <v>98</v>
      </c>
      <c r="H70" s="178"/>
    </row>
    <row r="71" spans="2:24" ht="15.6" thickBot="1">
      <c r="B71" s="1" t="s">
        <v>15</v>
      </c>
      <c r="C71" s="199">
        <v>0</v>
      </c>
      <c r="D71" s="195">
        <v>0</v>
      </c>
      <c r="E71" s="195">
        <v>0</v>
      </c>
      <c r="F71" s="190">
        <v>0</v>
      </c>
      <c r="G71" s="1137"/>
      <c r="H71" s="179"/>
    </row>
    <row r="72" spans="2:24" ht="15.6" thickBot="1">
      <c r="B72" s="1" t="s">
        <v>17</v>
      </c>
      <c r="C72" s="199">
        <v>0</v>
      </c>
      <c r="D72" s="195">
        <v>0</v>
      </c>
      <c r="E72" s="195">
        <v>0</v>
      </c>
      <c r="F72" s="190">
        <v>0</v>
      </c>
      <c r="G72" s="1137"/>
      <c r="H72" s="179"/>
    </row>
    <row r="73" spans="2:24" ht="15.6" thickBot="1">
      <c r="B73" s="1" t="s">
        <v>18</v>
      </c>
      <c r="C73" s="199">
        <v>0</v>
      </c>
      <c r="D73" s="195">
        <v>0</v>
      </c>
      <c r="E73" s="195">
        <v>0</v>
      </c>
      <c r="F73" s="190">
        <v>0</v>
      </c>
      <c r="G73" s="1137"/>
      <c r="H73" s="179"/>
    </row>
    <row r="74" spans="2:24" ht="15" thickBot="1">
      <c r="B74" s="1" t="s">
        <v>19</v>
      </c>
      <c r="C74" s="200">
        <v>0</v>
      </c>
      <c r="D74" s="201">
        <v>0</v>
      </c>
      <c r="E74" s="201">
        <v>0</v>
      </c>
      <c r="F74" s="35">
        <v>0</v>
      </c>
      <c r="G74" s="1138"/>
      <c r="H74" s="180"/>
    </row>
    <row r="75" spans="2:24" ht="15" thickBot="1">
      <c r="B75" s="3" t="s">
        <v>22</v>
      </c>
      <c r="C75" s="18"/>
      <c r="D75" s="18"/>
      <c r="E75" s="18"/>
      <c r="F75" s="18"/>
      <c r="G75" s="18"/>
      <c r="H75" s="2"/>
    </row>
    <row r="76" spans="2:24" ht="15" thickBot="1">
      <c r="B76" s="1" t="s">
        <v>23</v>
      </c>
      <c r="C76" s="2"/>
      <c r="D76" s="2"/>
      <c r="E76" s="2"/>
      <c r="F76" s="2"/>
      <c r="G76" s="2"/>
      <c r="H76" s="2"/>
      <c r="J76" s="64"/>
      <c r="K76" s="64"/>
      <c r="L76" s="64"/>
      <c r="M76" s="64"/>
    </row>
    <row r="77" spans="2:24">
      <c r="B77" s="6" t="s">
        <v>24</v>
      </c>
      <c r="C77" s="7">
        <v>14</v>
      </c>
      <c r="D77" s="7">
        <v>13</v>
      </c>
      <c r="E77" s="7">
        <v>12</v>
      </c>
      <c r="F77" s="7">
        <v>12</v>
      </c>
      <c r="G77" s="7" t="s">
        <v>114</v>
      </c>
      <c r="H77" s="7" t="s">
        <v>105</v>
      </c>
    </row>
    <row r="78" spans="2:24">
      <c r="B78" s="6" t="s">
        <v>26</v>
      </c>
      <c r="C78" s="7" t="s">
        <v>115</v>
      </c>
      <c r="D78" s="7">
        <v>75</v>
      </c>
      <c r="E78" s="7">
        <v>75</v>
      </c>
      <c r="F78" s="7">
        <v>75</v>
      </c>
      <c r="G78" s="7"/>
      <c r="H78" s="7"/>
    </row>
    <row r="79" spans="2:24" ht="15" thickBot="1">
      <c r="B79" s="1" t="s">
        <v>96</v>
      </c>
      <c r="C79" s="2" t="s">
        <v>116</v>
      </c>
      <c r="D79" s="2">
        <v>25</v>
      </c>
      <c r="E79" s="2">
        <v>25</v>
      </c>
      <c r="F79" s="2">
        <v>25</v>
      </c>
      <c r="G79" s="2"/>
      <c r="H79" s="2"/>
    </row>
    <row r="80" spans="2:24" ht="24.6" thickBot="1">
      <c r="B80" s="1" t="s">
        <v>30</v>
      </c>
      <c r="C80" s="2">
        <v>6</v>
      </c>
      <c r="D80" s="2">
        <v>6</v>
      </c>
      <c r="E80" s="2">
        <v>6</v>
      </c>
      <c r="F80" s="2">
        <v>6</v>
      </c>
      <c r="G80" s="2" t="s">
        <v>20</v>
      </c>
      <c r="H80" s="2"/>
    </row>
    <row r="81" spans="2:24" ht="15" thickBot="1">
      <c r="B81" s="1" t="s">
        <v>64</v>
      </c>
      <c r="C81" s="2">
        <v>135</v>
      </c>
      <c r="D81" s="2">
        <v>135</v>
      </c>
      <c r="E81" s="2">
        <v>135</v>
      </c>
      <c r="F81" s="2">
        <v>135</v>
      </c>
      <c r="G81" s="2" t="s">
        <v>25</v>
      </c>
      <c r="H81" s="2">
        <v>2</v>
      </c>
    </row>
    <row r="82" spans="2:24" ht="15" thickBot="1">
      <c r="B82" s="1" t="s">
        <v>31</v>
      </c>
      <c r="C82" s="2"/>
      <c r="D82" s="2"/>
      <c r="E82" s="2"/>
      <c r="F82" s="2"/>
      <c r="G82" s="2"/>
      <c r="H82" s="2"/>
    </row>
    <row r="83" spans="2:24">
      <c r="B83" s="36" t="s">
        <v>353</v>
      </c>
      <c r="C83" s="191">
        <f t="shared" ref="C83:F84" si="2">C76*$F$4*1000</f>
        <v>0</v>
      </c>
      <c r="D83" s="191">
        <f t="shared" si="2"/>
        <v>0</v>
      </c>
      <c r="E83" s="191">
        <f t="shared" si="2"/>
        <v>0</v>
      </c>
      <c r="F83" s="191">
        <f t="shared" si="2"/>
        <v>0</v>
      </c>
      <c r="G83" s="63" t="s">
        <v>332</v>
      </c>
      <c r="H83" s="63"/>
    </row>
    <row r="84" spans="2:24">
      <c r="B84" s="36" t="s">
        <v>354</v>
      </c>
      <c r="C84" s="60">
        <f t="shared" si="2"/>
        <v>104300</v>
      </c>
      <c r="D84" s="60">
        <f t="shared" si="2"/>
        <v>96850.000000000015</v>
      </c>
      <c r="E84" s="60">
        <f t="shared" si="2"/>
        <v>89400</v>
      </c>
      <c r="F84" s="60">
        <f t="shared" si="2"/>
        <v>89400</v>
      </c>
      <c r="G84" s="70">
        <f>C64</f>
        <v>5</v>
      </c>
      <c r="H84" s="69" t="s">
        <v>330</v>
      </c>
    </row>
    <row r="85" spans="2:24">
      <c r="B85" s="36" t="s">
        <v>355</v>
      </c>
      <c r="C85" s="60">
        <f>C81*$F$4/C64</f>
        <v>201.15</v>
      </c>
      <c r="D85" s="60">
        <f>D81*$F$4/D64</f>
        <v>201.15</v>
      </c>
      <c r="E85" s="60">
        <f>E81*$F$4/E64</f>
        <v>201.15</v>
      </c>
      <c r="F85" s="60">
        <f>F81*$F$4/F64</f>
        <v>201.15</v>
      </c>
      <c r="G85" s="69" t="s">
        <v>331</v>
      </c>
      <c r="H85" s="69"/>
    </row>
    <row r="86" spans="2:24" ht="15" thickBot="1">
      <c r="B86" s="36" t="s">
        <v>356</v>
      </c>
      <c r="C86" s="191">
        <f>C82*$F$4</f>
        <v>0</v>
      </c>
      <c r="D86" s="191">
        <f>D82*$F$4</f>
        <v>0</v>
      </c>
      <c r="E86" s="191">
        <f>E82*$F$4</f>
        <v>0</v>
      </c>
      <c r="F86" s="191">
        <f>F82*$F$4</f>
        <v>0</v>
      </c>
      <c r="G86" s="61"/>
      <c r="H86" s="61"/>
    </row>
    <row r="87" spans="2:24">
      <c r="B87" s="1118" t="s">
        <v>0</v>
      </c>
      <c r="C87" s="1120" t="s">
        <v>111</v>
      </c>
      <c r="D87" s="1121"/>
      <c r="E87" s="1121"/>
      <c r="F87" s="1121"/>
      <c r="G87" s="1121"/>
      <c r="H87" s="1122"/>
      <c r="J87" s="1120" t="str">
        <f>C87</f>
        <v>Heat pump, brine-to-water</v>
      </c>
      <c r="K87" s="1121"/>
      <c r="L87" s="1121"/>
      <c r="M87" s="1121"/>
      <c r="N87" s="1121"/>
      <c r="O87" s="1122"/>
    </row>
    <row r="88" spans="2:24" ht="15" thickBot="1">
      <c r="B88" s="1119"/>
      <c r="C88" s="1001" t="s">
        <v>35</v>
      </c>
      <c r="D88" s="1002"/>
      <c r="E88" s="1002"/>
      <c r="F88" s="1002"/>
      <c r="G88" s="1002"/>
      <c r="H88" s="1003"/>
      <c r="J88" s="1001" t="str">
        <f>C88</f>
        <v>Apartment complex, new building</v>
      </c>
      <c r="K88" s="1002"/>
      <c r="L88" s="1002"/>
      <c r="M88" s="1002"/>
      <c r="N88" s="1002"/>
      <c r="O88" s="1003"/>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4.6"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2">
        <v>100</v>
      </c>
      <c r="D93" s="2">
        <v>100</v>
      </c>
      <c r="E93" s="2">
        <v>100</v>
      </c>
      <c r="F93" s="2">
        <v>100</v>
      </c>
      <c r="G93" s="2" t="s">
        <v>16</v>
      </c>
      <c r="H93" s="2"/>
      <c r="J93" s="58">
        <f>C89</f>
        <v>2015</v>
      </c>
      <c r="K93" s="58">
        <f>J93</f>
        <v>2015</v>
      </c>
      <c r="L93" s="58">
        <f>C94/100</f>
        <v>3.3</v>
      </c>
      <c r="M93" s="58"/>
      <c r="N93" s="58">
        <f>C95</f>
        <v>20</v>
      </c>
      <c r="O93" s="59">
        <f>C110</f>
        <v>8195</v>
      </c>
      <c r="P93" s="59">
        <f>C112</f>
        <v>16.555555555555557</v>
      </c>
      <c r="Q93" s="59">
        <f>C113</f>
        <v>0</v>
      </c>
      <c r="R93" s="58"/>
      <c r="S93" s="58"/>
      <c r="T93" s="58"/>
      <c r="U93" s="58"/>
      <c r="V93" s="58"/>
      <c r="W93" s="58"/>
      <c r="X93" s="58"/>
    </row>
    <row r="94" spans="2:24" ht="24.6" thickBot="1">
      <c r="B94" s="1" t="s">
        <v>9</v>
      </c>
      <c r="C94" s="2">
        <v>330</v>
      </c>
      <c r="D94" s="2">
        <v>350</v>
      </c>
      <c r="E94" s="2">
        <v>400</v>
      </c>
      <c r="F94" s="2">
        <v>450</v>
      </c>
      <c r="G94" s="2" t="s">
        <v>109</v>
      </c>
      <c r="H94" s="2" t="s">
        <v>103</v>
      </c>
      <c r="J94" s="58">
        <f>D89</f>
        <v>2020</v>
      </c>
      <c r="K94" s="58"/>
      <c r="L94" s="58">
        <f>D94/100</f>
        <v>3.5</v>
      </c>
      <c r="M94" s="58"/>
      <c r="N94" s="58">
        <f>D95</f>
        <v>20</v>
      </c>
      <c r="O94" s="59">
        <f>D110</f>
        <v>8195</v>
      </c>
      <c r="P94" s="59">
        <f>D112</f>
        <v>16.555555555555557</v>
      </c>
      <c r="Q94" s="59">
        <f>D113</f>
        <v>0</v>
      </c>
      <c r="R94" s="58"/>
      <c r="S94" s="58"/>
      <c r="T94" s="58"/>
      <c r="U94" s="58"/>
      <c r="V94" s="58"/>
      <c r="W94" s="58"/>
      <c r="X94" s="58"/>
    </row>
    <row r="95" spans="2:24" ht="15" thickBot="1">
      <c r="B95" s="1" t="s">
        <v>11</v>
      </c>
      <c r="C95" s="2">
        <v>20</v>
      </c>
      <c r="D95" s="2">
        <v>20</v>
      </c>
      <c r="E95" s="2">
        <v>20</v>
      </c>
      <c r="F95" s="2">
        <v>20</v>
      </c>
      <c r="G95" s="2"/>
      <c r="H95" s="2"/>
      <c r="J95" s="58">
        <f>E89</f>
        <v>2030</v>
      </c>
      <c r="K95" s="58"/>
      <c r="L95" s="58">
        <f>E94/100</f>
        <v>4</v>
      </c>
      <c r="M95" s="58"/>
      <c r="N95" s="58">
        <f>E95</f>
        <v>20</v>
      </c>
      <c r="O95" s="59">
        <f>E110</f>
        <v>7450</v>
      </c>
      <c r="P95" s="59">
        <f>E112</f>
        <v>16.555555555555557</v>
      </c>
      <c r="Q95" s="59">
        <f>E113</f>
        <v>0</v>
      </c>
      <c r="R95" s="58"/>
      <c r="S95" s="58"/>
      <c r="T95" s="58"/>
      <c r="U95" s="58"/>
      <c r="V95" s="58"/>
      <c r="W95" s="58"/>
      <c r="X95" s="58"/>
    </row>
    <row r="96" spans="2:24" ht="15" thickBot="1">
      <c r="B96" s="3" t="s">
        <v>12</v>
      </c>
      <c r="C96" s="18"/>
      <c r="D96" s="18"/>
      <c r="E96" s="18"/>
      <c r="F96" s="18"/>
      <c r="G96" s="18"/>
      <c r="H96" s="2"/>
      <c r="J96" s="58">
        <f>F89</f>
        <v>2050</v>
      </c>
      <c r="K96" s="58"/>
      <c r="L96" s="58">
        <f>F94/100</f>
        <v>4.5</v>
      </c>
      <c r="M96" s="58"/>
      <c r="N96" s="58">
        <f>F95</f>
        <v>20</v>
      </c>
      <c r="O96" s="59">
        <f>F110</f>
        <v>6705</v>
      </c>
      <c r="P96" s="59">
        <f>F112</f>
        <v>16.555555555555557</v>
      </c>
      <c r="Q96" s="59">
        <f>F113</f>
        <v>0</v>
      </c>
      <c r="R96" s="58"/>
      <c r="S96" s="58"/>
      <c r="T96" s="58"/>
      <c r="U96" s="58"/>
      <c r="V96" s="58"/>
      <c r="W96" s="58"/>
      <c r="X96" s="58"/>
    </row>
    <row r="97" spans="2:15" ht="27" customHeight="1" thickBot="1">
      <c r="B97" s="1" t="s">
        <v>13</v>
      </c>
      <c r="C97" s="196">
        <v>0</v>
      </c>
      <c r="D97" s="197">
        <v>0</v>
      </c>
      <c r="E97" s="197">
        <v>0</v>
      </c>
      <c r="F97" s="198">
        <v>0</v>
      </c>
      <c r="G97" s="1136" t="s">
        <v>98</v>
      </c>
      <c r="H97" s="178"/>
      <c r="J97" s="1120"/>
      <c r="K97" s="1121"/>
      <c r="L97" s="1121"/>
      <c r="M97" s="1121"/>
      <c r="N97" s="1121"/>
      <c r="O97" s="1122"/>
    </row>
    <row r="98" spans="2:15" ht="15.6" thickBot="1">
      <c r="B98" s="1" t="s">
        <v>15</v>
      </c>
      <c r="C98" s="199">
        <v>0</v>
      </c>
      <c r="D98" s="195">
        <v>0</v>
      </c>
      <c r="E98" s="195">
        <v>0</v>
      </c>
      <c r="F98" s="190">
        <v>0</v>
      </c>
      <c r="G98" s="1137"/>
      <c r="H98" s="179"/>
      <c r="J98" s="1001"/>
      <c r="K98" s="1002"/>
      <c r="L98" s="1002"/>
      <c r="M98" s="1002"/>
      <c r="N98" s="1002"/>
      <c r="O98" s="1003"/>
    </row>
    <row r="99" spans="2:15" ht="15.6" thickBot="1">
      <c r="B99" s="1" t="s">
        <v>17</v>
      </c>
      <c r="C99" s="199">
        <v>0</v>
      </c>
      <c r="D99" s="195">
        <v>0</v>
      </c>
      <c r="E99" s="195">
        <v>0</v>
      </c>
      <c r="F99" s="190">
        <v>0</v>
      </c>
      <c r="G99" s="1137"/>
      <c r="H99" s="179"/>
      <c r="J99" s="53"/>
    </row>
    <row r="100" spans="2:15" ht="15.6" thickBot="1">
      <c r="B100" s="1" t="s">
        <v>18</v>
      </c>
      <c r="C100" s="199">
        <v>0</v>
      </c>
      <c r="D100" s="195">
        <v>0</v>
      </c>
      <c r="E100" s="195">
        <v>0</v>
      </c>
      <c r="F100" s="190">
        <v>0</v>
      </c>
      <c r="G100" s="1137"/>
      <c r="H100" s="179"/>
      <c r="J100" s="46"/>
      <c r="K100" s="46"/>
      <c r="L100" s="47"/>
      <c r="M100" s="47"/>
      <c r="N100" s="47"/>
      <c r="O100" s="48"/>
    </row>
    <row r="101" spans="2:15" ht="15" thickBot="1">
      <c r="B101" s="1" t="s">
        <v>19</v>
      </c>
      <c r="C101" s="200">
        <v>0</v>
      </c>
      <c r="D101" s="201">
        <v>0</v>
      </c>
      <c r="E101" s="201">
        <v>0</v>
      </c>
      <c r="F101" s="35">
        <v>0</v>
      </c>
      <c r="G101" s="1138"/>
      <c r="H101" s="180"/>
      <c r="J101" s="50"/>
      <c r="K101" s="50"/>
      <c r="L101" s="51"/>
      <c r="M101" s="51"/>
      <c r="N101" s="51"/>
      <c r="O101" s="52"/>
    </row>
    <row r="102" spans="2:15" ht="15" thickBot="1">
      <c r="B102" s="3" t="s">
        <v>22</v>
      </c>
      <c r="C102" s="18"/>
      <c r="D102" s="18"/>
      <c r="E102" s="18"/>
      <c r="F102" s="18"/>
      <c r="G102" s="18"/>
      <c r="H102" s="2"/>
      <c r="J102" s="56"/>
      <c r="K102" s="56"/>
      <c r="L102" s="57"/>
      <c r="M102" s="57"/>
      <c r="N102" s="57"/>
      <c r="O102" s="56"/>
    </row>
    <row r="103" spans="2:15" ht="15" thickBot="1">
      <c r="B103" s="1" t="s">
        <v>23</v>
      </c>
      <c r="C103" s="2">
        <v>1.1000000000000001</v>
      </c>
      <c r="D103" s="2">
        <v>1.1000000000000001</v>
      </c>
      <c r="E103" s="2">
        <v>1</v>
      </c>
      <c r="F103" s="2">
        <v>0.9</v>
      </c>
      <c r="G103" s="2" t="s">
        <v>114</v>
      </c>
      <c r="H103" s="2" t="s">
        <v>105</v>
      </c>
      <c r="J103" s="58"/>
      <c r="K103" s="58"/>
      <c r="L103" s="58"/>
      <c r="M103" s="58"/>
      <c r="N103" s="58"/>
      <c r="O103" s="59"/>
    </row>
    <row r="104" spans="2:15">
      <c r="B104" s="6" t="s">
        <v>24</v>
      </c>
      <c r="C104" s="7"/>
      <c r="D104" s="7"/>
      <c r="E104" s="7"/>
      <c r="F104" s="7"/>
      <c r="G104" s="7"/>
      <c r="H104" s="7"/>
      <c r="J104" s="58"/>
      <c r="K104" s="58"/>
      <c r="L104" s="58"/>
      <c r="M104" s="58"/>
      <c r="N104" s="58"/>
      <c r="O104" s="59"/>
    </row>
    <row r="105" spans="2:15">
      <c r="B105" s="6" t="s">
        <v>26</v>
      </c>
      <c r="C105" s="7"/>
      <c r="D105" s="7"/>
      <c r="E105" s="7"/>
      <c r="F105" s="7"/>
      <c r="G105" s="7"/>
      <c r="H105" s="7"/>
      <c r="J105" s="58"/>
      <c r="K105" s="58"/>
      <c r="L105" s="58"/>
      <c r="M105" s="58"/>
      <c r="N105" s="58"/>
      <c r="O105" s="59"/>
    </row>
    <row r="106" spans="2:15" ht="15" thickBot="1">
      <c r="B106" s="1" t="s">
        <v>96</v>
      </c>
      <c r="C106" s="2"/>
      <c r="D106" s="2"/>
      <c r="E106" s="2"/>
      <c r="F106" s="2"/>
      <c r="G106" s="2"/>
      <c r="H106" s="2"/>
      <c r="J106" s="58"/>
      <c r="K106" s="58"/>
      <c r="L106" s="58"/>
      <c r="M106" s="58"/>
      <c r="N106" s="58"/>
      <c r="O106" s="59"/>
    </row>
    <row r="107" spans="2:15" ht="24.6" thickBot="1">
      <c r="B107" s="1" t="s">
        <v>113</v>
      </c>
      <c r="C107" s="2">
        <v>0.67</v>
      </c>
      <c r="D107" s="2">
        <v>0.67</v>
      </c>
      <c r="E107" s="2">
        <v>0.67</v>
      </c>
      <c r="F107" s="2">
        <v>0.67</v>
      </c>
      <c r="G107" s="2" t="s">
        <v>20</v>
      </c>
      <c r="H107" s="2"/>
    </row>
    <row r="108" spans="2:15" ht="15" thickBot="1">
      <c r="B108" s="1" t="s">
        <v>50</v>
      </c>
      <c r="C108" s="2">
        <v>400</v>
      </c>
      <c r="D108" s="2">
        <v>400</v>
      </c>
      <c r="E108" s="2">
        <v>400</v>
      </c>
      <c r="F108" s="2">
        <v>400</v>
      </c>
      <c r="G108" s="2" t="s">
        <v>25</v>
      </c>
      <c r="H108" s="2">
        <v>2</v>
      </c>
    </row>
    <row r="109" spans="2:15" ht="15" thickBot="1">
      <c r="B109" s="1" t="s">
        <v>31</v>
      </c>
      <c r="C109" s="2"/>
      <c r="D109" s="2"/>
      <c r="E109" s="2"/>
      <c r="F109" s="2"/>
      <c r="G109" s="2"/>
      <c r="H109" s="2"/>
    </row>
    <row r="110" spans="2:15">
      <c r="B110" s="36" t="s">
        <v>353</v>
      </c>
      <c r="C110" s="60">
        <f t="shared" ref="C110:F111" si="3">C103*$F$4*1000</f>
        <v>8195</v>
      </c>
      <c r="D110" s="60">
        <f t="shared" si="3"/>
        <v>8195</v>
      </c>
      <c r="E110" s="60">
        <f t="shared" si="3"/>
        <v>7450</v>
      </c>
      <c r="F110" s="60">
        <f t="shared" si="3"/>
        <v>6705</v>
      </c>
      <c r="G110" s="63" t="s">
        <v>332</v>
      </c>
      <c r="H110" s="63"/>
    </row>
    <row r="111" spans="2:15">
      <c r="B111" s="36" t="s">
        <v>354</v>
      </c>
      <c r="C111" s="191">
        <f t="shared" si="3"/>
        <v>0</v>
      </c>
      <c r="D111" s="191">
        <f t="shared" si="3"/>
        <v>0</v>
      </c>
      <c r="E111" s="191">
        <f t="shared" si="3"/>
        <v>0</v>
      </c>
      <c r="F111" s="191">
        <f t="shared" si="3"/>
        <v>0</v>
      </c>
      <c r="G111" s="70">
        <v>180</v>
      </c>
      <c r="H111" s="69" t="s">
        <v>330</v>
      </c>
    </row>
    <row r="112" spans="2:15">
      <c r="B112" s="36" t="s">
        <v>355</v>
      </c>
      <c r="C112" s="60">
        <f>C108*$F$4/$G111</f>
        <v>16.555555555555557</v>
      </c>
      <c r="D112" s="60">
        <f>D108*$F$4/$G111</f>
        <v>16.555555555555557</v>
      </c>
      <c r="E112" s="60">
        <f>E108*$F$4/$G111</f>
        <v>16.555555555555557</v>
      </c>
      <c r="F112" s="60">
        <f>F108*$F$4/$G111</f>
        <v>16.555555555555557</v>
      </c>
      <c r="G112" s="69" t="s">
        <v>331</v>
      </c>
      <c r="H112" s="69"/>
    </row>
    <row r="113" spans="2:8">
      <c r="B113" s="36" t="s">
        <v>356</v>
      </c>
      <c r="C113" s="191">
        <f>C109*$F$4</f>
        <v>0</v>
      </c>
      <c r="D113" s="191">
        <f>D109*$F$4</f>
        <v>0</v>
      </c>
      <c r="E113" s="191">
        <f>E109*$F$4</f>
        <v>0</v>
      </c>
      <c r="F113" s="191">
        <f>F109*$F$4</f>
        <v>0</v>
      </c>
      <c r="G113" s="61"/>
      <c r="H113" s="61"/>
    </row>
    <row r="156" spans="7:7">
      <c r="G156" s="280" t="s">
        <v>665</v>
      </c>
    </row>
  </sheetData>
  <mergeCells count="26">
    <mergeCell ref="G43:G47"/>
    <mergeCell ref="G70:G74"/>
    <mergeCell ref="G97:G101"/>
    <mergeCell ref="J87:O87"/>
    <mergeCell ref="J88:O88"/>
    <mergeCell ref="J97:O97"/>
    <mergeCell ref="J98:O98"/>
    <mergeCell ref="J61:O61"/>
    <mergeCell ref="J6:O6"/>
    <mergeCell ref="J7:O7"/>
    <mergeCell ref="J33:O33"/>
    <mergeCell ref="J34:O34"/>
    <mergeCell ref="J60:O60"/>
    <mergeCell ref="B60:B61"/>
    <mergeCell ref="C60:H60"/>
    <mergeCell ref="C61:H61"/>
    <mergeCell ref="B87:B88"/>
    <mergeCell ref="C87:H87"/>
    <mergeCell ref="C88:H88"/>
    <mergeCell ref="B6:B7"/>
    <mergeCell ref="C6:H6"/>
    <mergeCell ref="C7:H7"/>
    <mergeCell ref="B33:B34"/>
    <mergeCell ref="C33:H33"/>
    <mergeCell ref="C34:H34"/>
    <mergeCell ref="G16:G20"/>
  </mergeCell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tabColor theme="4"/>
  </sheetPr>
  <dimension ref="B3:CP130"/>
  <sheetViews>
    <sheetView topLeftCell="A19" workbookViewId="0">
      <selection activeCell="C31" sqref="C31"/>
    </sheetView>
  </sheetViews>
  <sheetFormatPr defaultRowHeight="14.4"/>
  <cols>
    <col min="2" max="2" width="51.44140625" customWidth="1"/>
    <col min="3" max="3" width="14.6640625" style="87" bestFit="1" customWidth="1"/>
    <col min="4" max="8" width="9.33203125" style="87"/>
  </cols>
  <sheetData>
    <row r="3" spans="2:94" ht="28.8">
      <c r="B3" s="86" t="s">
        <v>393</v>
      </c>
    </row>
    <row r="4" spans="2:94" ht="15" customHeight="1">
      <c r="E4" t="s">
        <v>358</v>
      </c>
      <c r="F4"/>
      <c r="G4" s="36">
        <v>7.45</v>
      </c>
      <c r="H4" t="s">
        <v>328</v>
      </c>
    </row>
    <row r="5" spans="2:94" ht="15" customHeight="1" thickBot="1"/>
    <row r="6" spans="2:94" ht="15.75" customHeight="1" thickBot="1">
      <c r="C6" s="1151" t="s">
        <v>394</v>
      </c>
      <c r="D6" s="1149"/>
      <c r="E6" s="1149"/>
      <c r="F6" s="1149"/>
      <c r="G6" s="1149"/>
      <c r="H6" s="1150"/>
      <c r="J6" s="1120" t="str">
        <f>C6</f>
        <v>Absorption heat pump</v>
      </c>
      <c r="K6" s="1121"/>
      <c r="L6" s="1121"/>
      <c r="M6" s="1121"/>
      <c r="N6" s="1121"/>
      <c r="O6" s="1122"/>
    </row>
    <row r="7" spans="2:94" s="8" customFormat="1" ht="15.75" customHeight="1" thickBot="1">
      <c r="B7" s="88" t="s">
        <v>0</v>
      </c>
      <c r="C7" s="8" t="s">
        <v>362</v>
      </c>
      <c r="J7" s="1001" t="str">
        <f>C7</f>
        <v>One family house, new and existing buildings</v>
      </c>
      <c r="K7" s="1002"/>
      <c r="L7" s="1002"/>
      <c r="M7" s="1002"/>
      <c r="N7" s="1002"/>
      <c r="O7" s="1003"/>
      <c r="P7"/>
      <c r="Q7"/>
      <c r="R7"/>
      <c r="S7"/>
      <c r="T7"/>
      <c r="U7"/>
      <c r="V7"/>
      <c r="W7"/>
      <c r="X7"/>
    </row>
    <row r="8" spans="2:94" ht="25.5" customHeight="1" thickBot="1">
      <c r="B8" s="113"/>
      <c r="C8" s="114">
        <v>2015</v>
      </c>
      <c r="D8" s="114">
        <v>2020</v>
      </c>
      <c r="E8" s="114">
        <v>2030</v>
      </c>
      <c r="F8" s="114">
        <v>2050</v>
      </c>
      <c r="G8" s="114" t="s">
        <v>2</v>
      </c>
      <c r="H8" s="115"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25.5" customHeight="1" thickBot="1">
      <c r="B9" s="116" t="s">
        <v>4</v>
      </c>
      <c r="C9" s="110"/>
      <c r="D9" s="110"/>
      <c r="E9" s="110"/>
      <c r="F9" s="110"/>
      <c r="G9" s="110"/>
      <c r="H9" s="111"/>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7" t="s">
        <v>5</v>
      </c>
      <c r="C10" s="125">
        <v>18</v>
      </c>
      <c r="D10" s="125">
        <v>30</v>
      </c>
      <c r="E10" s="125">
        <v>30</v>
      </c>
      <c r="F10" s="125">
        <v>30</v>
      </c>
      <c r="G10" s="118" t="s">
        <v>395</v>
      </c>
      <c r="H10" s="119"/>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7" t="s">
        <v>7</v>
      </c>
      <c r="C11" s="109">
        <v>100</v>
      </c>
      <c r="D11" s="120">
        <v>100</v>
      </c>
      <c r="E11" s="120">
        <v>100</v>
      </c>
      <c r="F11" s="120">
        <v>100</v>
      </c>
      <c r="G11" s="120"/>
      <c r="H11" s="11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7" t="s">
        <v>8</v>
      </c>
      <c r="C12" s="109">
        <v>100</v>
      </c>
      <c r="D12" s="120">
        <v>100</v>
      </c>
      <c r="E12" s="120">
        <v>100</v>
      </c>
      <c r="F12" s="120">
        <v>100</v>
      </c>
      <c r="G12" s="120"/>
      <c r="H12" s="119"/>
      <c r="J12" s="58">
        <f>C8</f>
        <v>2015</v>
      </c>
      <c r="K12" s="58">
        <f>J12</f>
        <v>2015</v>
      </c>
      <c r="L12" s="58">
        <f>C13/100</f>
        <v>1.35</v>
      </c>
      <c r="M12" s="58"/>
      <c r="N12" s="58">
        <f>C14</f>
        <v>22</v>
      </c>
      <c r="O12" s="59">
        <f>C29</f>
        <v>5380.5555555555566</v>
      </c>
      <c r="P12" s="59">
        <f>C31</f>
        <v>99.333333333333329</v>
      </c>
      <c r="Q12" s="59">
        <f>C32</f>
        <v>14.9</v>
      </c>
      <c r="R12" s="58"/>
      <c r="S12" s="58"/>
      <c r="T12" s="58">
        <f>C16</f>
        <v>0</v>
      </c>
      <c r="U12" s="58">
        <f>C17</f>
        <v>15</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7" t="s">
        <v>363</v>
      </c>
      <c r="C13" s="109">
        <v>135</v>
      </c>
      <c r="D13" s="120">
        <v>145</v>
      </c>
      <c r="E13" s="120">
        <v>170</v>
      </c>
      <c r="F13" s="120">
        <v>170</v>
      </c>
      <c r="G13" s="120" t="s">
        <v>59</v>
      </c>
      <c r="H13" s="119"/>
      <c r="J13" s="58">
        <f>D8</f>
        <v>2020</v>
      </c>
      <c r="K13" s="58"/>
      <c r="L13" s="58">
        <f>D13/100</f>
        <v>1.45</v>
      </c>
      <c r="M13" s="58"/>
      <c r="N13" s="58">
        <f>D14</f>
        <v>22</v>
      </c>
      <c r="O13" s="59">
        <f>D29</f>
        <v>2980</v>
      </c>
      <c r="P13" s="59">
        <f>D31</f>
        <v>59.6</v>
      </c>
      <c r="Q13" s="59">
        <f>D32</f>
        <v>14.9</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7" t="s">
        <v>11</v>
      </c>
      <c r="C14" s="109">
        <v>22</v>
      </c>
      <c r="D14" s="120">
        <v>22</v>
      </c>
      <c r="E14" s="120">
        <v>22</v>
      </c>
      <c r="F14" s="120">
        <v>22</v>
      </c>
      <c r="G14" s="120" t="s">
        <v>396</v>
      </c>
      <c r="H14" s="119"/>
      <c r="J14" s="58">
        <f>E8</f>
        <v>2030</v>
      </c>
      <c r="K14" s="58"/>
      <c r="L14" s="58">
        <f>E13/100</f>
        <v>1.7</v>
      </c>
      <c r="M14" s="58"/>
      <c r="N14" s="58">
        <f>E14</f>
        <v>22</v>
      </c>
      <c r="O14" s="59">
        <f>E29</f>
        <v>2483.3333333333335</v>
      </c>
      <c r="P14" s="59">
        <f>E31</f>
        <v>59.6</v>
      </c>
      <c r="Q14" s="59">
        <f>E32</f>
        <v>14.9</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2" t="s">
        <v>12</v>
      </c>
      <c r="C15" s="110"/>
      <c r="D15" s="110"/>
      <c r="E15" s="110"/>
      <c r="F15" s="110"/>
      <c r="G15" s="110"/>
      <c r="H15" s="111"/>
      <c r="J15" s="58">
        <f>F8</f>
        <v>2050</v>
      </c>
      <c r="K15" s="58"/>
      <c r="L15" s="58">
        <f>F13/100</f>
        <v>1.7</v>
      </c>
      <c r="M15" s="58"/>
      <c r="N15" s="58">
        <f>F14</f>
        <v>22</v>
      </c>
      <c r="O15" s="59">
        <f>F29</f>
        <v>2483.3333333333335</v>
      </c>
      <c r="P15" s="59">
        <f>F31</f>
        <v>59.6</v>
      </c>
      <c r="Q15" s="59">
        <f>F32</f>
        <v>14.9</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7" t="s">
        <v>364</v>
      </c>
      <c r="C16" s="184">
        <v>0</v>
      </c>
      <c r="D16" s="184">
        <v>0</v>
      </c>
      <c r="E16" s="184">
        <v>0</v>
      </c>
      <c r="F16" s="184">
        <v>0</v>
      </c>
      <c r="G16" s="118"/>
      <c r="H16" s="11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7" t="s">
        <v>365</v>
      </c>
      <c r="C17" s="109">
        <v>15</v>
      </c>
      <c r="D17" s="120">
        <v>10</v>
      </c>
      <c r="E17" s="120">
        <v>5</v>
      </c>
      <c r="F17" s="120">
        <v>5</v>
      </c>
      <c r="G17" s="120"/>
      <c r="H17" s="120">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7" t="s">
        <v>366</v>
      </c>
      <c r="C18" s="109">
        <v>2</v>
      </c>
      <c r="D18" s="120">
        <v>1</v>
      </c>
      <c r="E18" s="120">
        <v>0.5</v>
      </c>
      <c r="F18" s="120">
        <v>0.5</v>
      </c>
      <c r="G18" s="120" t="s">
        <v>55</v>
      </c>
      <c r="H18" s="120"/>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7" t="s">
        <v>367</v>
      </c>
      <c r="C19" s="185">
        <v>0</v>
      </c>
      <c r="D19" s="185">
        <v>0</v>
      </c>
      <c r="E19" s="185">
        <v>0</v>
      </c>
      <c r="F19" s="185">
        <v>0</v>
      </c>
      <c r="G19" s="120" t="s">
        <v>55</v>
      </c>
      <c r="H19" s="120"/>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7" t="s">
        <v>19</v>
      </c>
      <c r="C20" s="185">
        <v>0</v>
      </c>
      <c r="D20" s="185">
        <v>0</v>
      </c>
      <c r="E20" s="185">
        <v>0</v>
      </c>
      <c r="F20" s="185">
        <v>0</v>
      </c>
      <c r="G20" s="120" t="s">
        <v>55</v>
      </c>
      <c r="H20" s="120"/>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12" t="s">
        <v>368</v>
      </c>
      <c r="C21" s="1149" t="s">
        <v>397</v>
      </c>
      <c r="D21" s="1149"/>
      <c r="E21" s="1149"/>
      <c r="F21" s="1149"/>
      <c r="G21" s="1149"/>
      <c r="H21" s="1150"/>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117" t="s">
        <v>23</v>
      </c>
      <c r="C22" s="122"/>
      <c r="D22" s="122"/>
      <c r="E22" s="122"/>
      <c r="F22" s="122"/>
      <c r="G22" s="120"/>
      <c r="H22" s="120"/>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117" t="s">
        <v>24</v>
      </c>
      <c r="C23" s="120">
        <v>13</v>
      </c>
      <c r="D23" s="120">
        <v>12</v>
      </c>
      <c r="E23" s="120">
        <v>10</v>
      </c>
      <c r="F23" s="120">
        <v>10</v>
      </c>
      <c r="G23" s="120" t="s">
        <v>398</v>
      </c>
      <c r="H23" s="120"/>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117" t="s">
        <v>26</v>
      </c>
      <c r="C24" s="121">
        <v>0.77</v>
      </c>
      <c r="D24" s="121">
        <v>0.75</v>
      </c>
      <c r="E24" s="121">
        <v>0.7</v>
      </c>
      <c r="F24" s="121">
        <v>0.7</v>
      </c>
      <c r="G24" s="120"/>
      <c r="H24" s="120"/>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117" t="s">
        <v>28</v>
      </c>
      <c r="C25" s="121">
        <v>0.23</v>
      </c>
      <c r="D25" s="121">
        <v>0.25</v>
      </c>
      <c r="E25" s="121">
        <v>0.3</v>
      </c>
      <c r="F25" s="121">
        <v>0.3</v>
      </c>
      <c r="G25" s="120"/>
      <c r="H25" s="120"/>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117" t="s">
        <v>369</v>
      </c>
      <c r="C26" s="109">
        <v>2</v>
      </c>
      <c r="D26" s="120">
        <v>2</v>
      </c>
      <c r="E26" s="120">
        <v>2</v>
      </c>
      <c r="F26" s="120">
        <v>2</v>
      </c>
      <c r="G26" s="120" t="s">
        <v>51</v>
      </c>
      <c r="H26" s="120"/>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117" t="s">
        <v>64</v>
      </c>
      <c r="C27" s="109">
        <v>240</v>
      </c>
      <c r="D27" s="120">
        <v>240</v>
      </c>
      <c r="E27" s="120">
        <v>240</v>
      </c>
      <c r="F27" s="120">
        <v>240</v>
      </c>
      <c r="G27" s="120" t="s">
        <v>399</v>
      </c>
      <c r="H27" s="120"/>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124" t="s">
        <v>406</v>
      </c>
      <c r="C28" s="123">
        <v>2</v>
      </c>
      <c r="D28" s="122">
        <v>2</v>
      </c>
      <c r="E28" s="122">
        <v>2</v>
      </c>
      <c r="F28" s="122">
        <v>2</v>
      </c>
      <c r="G28" s="122" t="s">
        <v>396</v>
      </c>
      <c r="H28" s="120"/>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5380.5555555555566</v>
      </c>
      <c r="D29" s="42">
        <f>D30/D10</f>
        <v>2980</v>
      </c>
      <c r="E29" s="42">
        <f>E30/E10</f>
        <v>2483.3333333333335</v>
      </c>
      <c r="F29" s="42">
        <f>F30/F10</f>
        <v>2483.3333333333335</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96850.000000000015</v>
      </c>
      <c r="D30" s="42">
        <f>D23*$G$4*1000</f>
        <v>89400</v>
      </c>
      <c r="E30" s="42">
        <f>E23*$G$4*1000</f>
        <v>74500</v>
      </c>
      <c r="F30" s="42">
        <f>F23*$G$4*1000</f>
        <v>74500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8">
        <f>C27*$G$4/C10</f>
        <v>99.333333333333329</v>
      </c>
      <c r="D31" s="108">
        <f>D27*$G$4/D10</f>
        <v>59.6</v>
      </c>
      <c r="E31" s="108">
        <f>E27*$G$4/E10</f>
        <v>59.6</v>
      </c>
      <c r="F31" s="108">
        <f>F27*$G$4/F10</f>
        <v>59.6</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5" thickBot="1">
      <c r="B32" s="36" t="s">
        <v>356</v>
      </c>
      <c r="C32" s="42">
        <f>C28*$G$4</f>
        <v>14.9</v>
      </c>
      <c r="D32" s="42">
        <f>D28*$G$4</f>
        <v>14.9</v>
      </c>
      <c r="E32" s="42">
        <f>E28*$G$4</f>
        <v>14.9</v>
      </c>
      <c r="F32" s="42">
        <f>F28*$G$4</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151" t="s">
        <v>394</v>
      </c>
      <c r="D33" s="1149"/>
      <c r="E33" s="1149"/>
      <c r="F33" s="1149"/>
      <c r="G33" s="1149"/>
      <c r="H33" s="1150"/>
      <c r="J33" s="1120" t="str">
        <f>C33</f>
        <v>Absorption heat pump</v>
      </c>
      <c r="K33" s="1121"/>
      <c r="L33" s="1121"/>
      <c r="M33" s="1121"/>
      <c r="N33" s="1121"/>
      <c r="O33" s="1122"/>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8" t="s">
        <v>0</v>
      </c>
      <c r="C34" s="8" t="s">
        <v>373</v>
      </c>
      <c r="J34" s="1001" t="str">
        <f>C34</f>
        <v>Apartment complex, existing and new buildings</v>
      </c>
      <c r="K34" s="1002"/>
      <c r="L34" s="1002"/>
      <c r="M34" s="1002"/>
      <c r="N34" s="1002"/>
      <c r="O34" s="1003"/>
      <c r="P34"/>
      <c r="Q34"/>
      <c r="R34"/>
      <c r="S34"/>
      <c r="T34"/>
      <c r="U34"/>
      <c r="V34"/>
      <c r="W34"/>
      <c r="X34"/>
    </row>
    <row r="35" spans="2:94" ht="15" thickBot="1">
      <c r="B35" s="89"/>
      <c r="C35" s="90">
        <v>2015</v>
      </c>
      <c r="D35" s="90">
        <v>2020</v>
      </c>
      <c r="E35" s="90">
        <v>2030</v>
      </c>
      <c r="F35" s="90">
        <v>2050</v>
      </c>
      <c r="G35" s="90" t="s">
        <v>2</v>
      </c>
      <c r="H35" s="91"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28.2" thickBot="1">
      <c r="B36" s="149" t="s">
        <v>4</v>
      </c>
      <c r="C36" s="135"/>
      <c r="D36" s="135"/>
      <c r="E36" s="135"/>
      <c r="F36" s="135"/>
      <c r="G36" s="135"/>
      <c r="H36" s="136"/>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c r="B37" s="150" t="s">
        <v>5</v>
      </c>
      <c r="C37" s="150">
        <v>44</v>
      </c>
      <c r="D37" s="151">
        <v>80</v>
      </c>
      <c r="E37" s="151">
        <v>80</v>
      </c>
      <c r="F37" s="151">
        <v>80</v>
      </c>
      <c r="G37" s="151" t="s">
        <v>51</v>
      </c>
      <c r="H37" s="151"/>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5" thickBot="1">
      <c r="B38" s="150" t="s">
        <v>7</v>
      </c>
      <c r="C38" s="127">
        <v>100</v>
      </c>
      <c r="D38" s="153">
        <v>100</v>
      </c>
      <c r="E38" s="153">
        <v>100</v>
      </c>
      <c r="F38" s="153">
        <v>100</v>
      </c>
      <c r="G38" s="153"/>
      <c r="H38" s="153"/>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c r="B39" s="150" t="s">
        <v>8</v>
      </c>
      <c r="C39" s="127">
        <v>100</v>
      </c>
      <c r="D39" s="153">
        <v>100</v>
      </c>
      <c r="E39" s="153">
        <v>100</v>
      </c>
      <c r="F39" s="153">
        <v>100</v>
      </c>
      <c r="G39" s="153"/>
      <c r="H39" s="153"/>
      <c r="J39" s="58">
        <f>C35</f>
        <v>2015</v>
      </c>
      <c r="K39" s="58">
        <f>J39</f>
        <v>2015</v>
      </c>
      <c r="L39" s="58">
        <f>C40/100</f>
        <v>1.35</v>
      </c>
      <c r="M39" s="58"/>
      <c r="N39" s="58">
        <f>C41</f>
        <v>22</v>
      </c>
      <c r="O39" s="59">
        <f>C56</f>
        <v>3047.7272727272725</v>
      </c>
      <c r="P39" s="59">
        <f>C58</f>
        <v>22.857954545454547</v>
      </c>
      <c r="Q39" s="59">
        <f>C59</f>
        <v>18</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c r="B40" s="150" t="s">
        <v>363</v>
      </c>
      <c r="C40" s="127">
        <v>135</v>
      </c>
      <c r="D40" s="153">
        <v>145</v>
      </c>
      <c r="E40" s="153">
        <v>170</v>
      </c>
      <c r="F40" s="153">
        <v>170</v>
      </c>
      <c r="G40" s="153" t="s">
        <v>59</v>
      </c>
      <c r="H40" s="153">
        <v>2.16</v>
      </c>
      <c r="J40" s="58">
        <f>D35</f>
        <v>2020</v>
      </c>
      <c r="K40" s="58"/>
      <c r="L40" s="58">
        <f>D40/100</f>
        <v>1.45</v>
      </c>
      <c r="M40" s="58"/>
      <c r="N40" s="58">
        <f>D41</f>
        <v>22</v>
      </c>
      <c r="O40" s="59">
        <f>D56</f>
        <v>1676.25</v>
      </c>
      <c r="P40" s="59">
        <f>D58</f>
        <v>12.571875</v>
      </c>
      <c r="Q40" s="59">
        <f>D59</f>
        <v>18</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5" thickBot="1">
      <c r="B41" s="150" t="s">
        <v>11</v>
      </c>
      <c r="C41" s="127">
        <v>22</v>
      </c>
      <c r="D41" s="153">
        <v>22</v>
      </c>
      <c r="E41" s="153">
        <v>22</v>
      </c>
      <c r="F41" s="153">
        <v>22</v>
      </c>
      <c r="G41" s="153" t="s">
        <v>16</v>
      </c>
      <c r="H41" s="153"/>
      <c r="J41" s="58">
        <f>E35</f>
        <v>2030</v>
      </c>
      <c r="K41" s="58"/>
      <c r="L41" s="58">
        <f>E40/100</f>
        <v>1.7</v>
      </c>
      <c r="M41" s="58"/>
      <c r="N41" s="58">
        <f>E41</f>
        <v>22</v>
      </c>
      <c r="O41" s="59">
        <f>E56</f>
        <v>1583.125</v>
      </c>
      <c r="P41" s="59">
        <f>E58</f>
        <v>12.571875</v>
      </c>
      <c r="Q41" s="59">
        <f>E59</f>
        <v>18</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5" thickBot="1">
      <c r="B42" s="145" t="s">
        <v>12</v>
      </c>
      <c r="C42" s="135"/>
      <c r="D42" s="135"/>
      <c r="E42" s="135"/>
      <c r="F42" s="135"/>
      <c r="G42" s="135"/>
      <c r="H42" s="136"/>
      <c r="J42" s="58">
        <f>F35</f>
        <v>2050</v>
      </c>
      <c r="K42" s="58"/>
      <c r="L42" s="58">
        <f>F40/100</f>
        <v>1.7</v>
      </c>
      <c r="M42" s="58"/>
      <c r="N42" s="58">
        <f>F41</f>
        <v>22</v>
      </c>
      <c r="O42" s="59">
        <f>F56</f>
        <v>1583.125</v>
      </c>
      <c r="P42" s="59">
        <f>F58</f>
        <v>12.571875</v>
      </c>
      <c r="Q42" s="59">
        <f>F59</f>
        <v>18</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c r="B43" s="150" t="s">
        <v>364</v>
      </c>
      <c r="C43" s="184">
        <v>0</v>
      </c>
      <c r="D43" s="184">
        <v>0</v>
      </c>
      <c r="E43" s="184">
        <v>0</v>
      </c>
      <c r="F43" s="184">
        <v>0</v>
      </c>
      <c r="G43" s="151"/>
      <c r="H43" s="151"/>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5" thickBot="1">
      <c r="B44" s="150" t="s">
        <v>365</v>
      </c>
      <c r="C44" s="127">
        <v>15</v>
      </c>
      <c r="D44" s="153">
        <v>10</v>
      </c>
      <c r="E44" s="153">
        <v>5</v>
      </c>
      <c r="F44" s="153">
        <v>5</v>
      </c>
      <c r="G44" s="153"/>
      <c r="H44" s="153">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c r="B45" s="150" t="s">
        <v>366</v>
      </c>
      <c r="C45" s="127">
        <v>2</v>
      </c>
      <c r="D45" s="153">
        <v>1</v>
      </c>
      <c r="E45" s="153">
        <v>0.5</v>
      </c>
      <c r="F45" s="153">
        <v>0.5</v>
      </c>
      <c r="G45" s="153" t="s">
        <v>52</v>
      </c>
      <c r="H45" s="153"/>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c r="B46" s="150" t="s">
        <v>367</v>
      </c>
      <c r="C46" s="185">
        <v>0</v>
      </c>
      <c r="D46" s="185">
        <v>0</v>
      </c>
      <c r="E46" s="185">
        <v>0</v>
      </c>
      <c r="F46" s="185">
        <v>0</v>
      </c>
      <c r="G46" s="153" t="s">
        <v>52</v>
      </c>
      <c r="H46" s="153"/>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c r="B47" s="150" t="s">
        <v>19</v>
      </c>
      <c r="C47" s="185">
        <v>0</v>
      </c>
      <c r="D47" s="185">
        <v>0</v>
      </c>
      <c r="E47" s="185">
        <v>0</v>
      </c>
      <c r="F47" s="185">
        <v>0</v>
      </c>
      <c r="G47" s="153" t="s">
        <v>52</v>
      </c>
      <c r="H47" s="153"/>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5" t="s">
        <v>368</v>
      </c>
      <c r="C48" s="1149" t="s">
        <v>397</v>
      </c>
      <c r="D48" s="1149"/>
      <c r="E48" s="1149"/>
      <c r="F48" s="1149"/>
      <c r="G48" s="1149"/>
      <c r="H48" s="1150"/>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5" thickBot="1">
      <c r="B49" s="150" t="s">
        <v>23</v>
      </c>
      <c r="C49" s="154" t="s">
        <v>68</v>
      </c>
      <c r="D49" s="154" t="s">
        <v>68</v>
      </c>
      <c r="E49" s="154" t="s">
        <v>68</v>
      </c>
      <c r="F49" s="154" t="s">
        <v>68</v>
      </c>
      <c r="G49" s="154" t="s">
        <v>374</v>
      </c>
      <c r="H49" s="153"/>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5" thickBot="1">
      <c r="B50" s="150" t="s">
        <v>24</v>
      </c>
      <c r="C50" s="154">
        <v>18</v>
      </c>
      <c r="D50" s="154">
        <v>18</v>
      </c>
      <c r="E50" s="154">
        <v>17</v>
      </c>
      <c r="F50" s="154">
        <v>17</v>
      </c>
      <c r="G50" s="154" t="s">
        <v>400</v>
      </c>
      <c r="H50" s="154"/>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ht="15" thickBot="1">
      <c r="B51" s="150" t="s">
        <v>26</v>
      </c>
      <c r="C51" s="155">
        <v>0.78</v>
      </c>
      <c r="D51" s="155"/>
      <c r="E51" s="155"/>
      <c r="F51" s="155"/>
      <c r="G51" s="154"/>
      <c r="H51" s="154"/>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2:94" ht="15" thickBot="1">
      <c r="B52" s="150" t="s">
        <v>28</v>
      </c>
      <c r="C52" s="155">
        <v>0.22</v>
      </c>
      <c r="D52" s="155"/>
      <c r="E52" s="155"/>
      <c r="F52" s="155"/>
      <c r="G52" s="154"/>
      <c r="H52" s="154"/>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5" thickBot="1">
      <c r="B53" s="150" t="s">
        <v>369</v>
      </c>
      <c r="C53" s="156">
        <v>1.6</v>
      </c>
      <c r="D53" s="154">
        <v>1.6</v>
      </c>
      <c r="E53" s="154">
        <v>1.6</v>
      </c>
      <c r="F53" s="154">
        <v>1.6</v>
      </c>
      <c r="G53" s="154" t="s">
        <v>33</v>
      </c>
      <c r="H53" s="154"/>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5" thickBot="1">
      <c r="B54" s="150" t="s">
        <v>64</v>
      </c>
      <c r="C54" s="156">
        <v>135</v>
      </c>
      <c r="D54" s="154">
        <v>135</v>
      </c>
      <c r="E54" s="154">
        <v>135</v>
      </c>
      <c r="F54" s="154">
        <v>135</v>
      </c>
      <c r="G54" s="154" t="s">
        <v>399</v>
      </c>
      <c r="H54" s="1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5" thickBot="1">
      <c r="B55" s="150" t="s">
        <v>407</v>
      </c>
      <c r="C55" s="156">
        <v>100</v>
      </c>
      <c r="D55" s="154">
        <v>100</v>
      </c>
      <c r="E55" s="154">
        <v>100</v>
      </c>
      <c r="F55" s="154">
        <v>100</v>
      </c>
      <c r="G55" s="154" t="s">
        <v>396</v>
      </c>
      <c r="H55" s="154"/>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3047.7272727272725</v>
      </c>
      <c r="D56" s="42">
        <f>D57/D37</f>
        <v>1676.25</v>
      </c>
      <c r="E56" s="42">
        <f>E57/E37</f>
        <v>1583.125</v>
      </c>
      <c r="F56" s="42">
        <f>F57/F37</f>
        <v>1583.125</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134100</v>
      </c>
      <c r="D57" s="42">
        <f>D50*$G$4*1000</f>
        <v>134100</v>
      </c>
      <c r="E57" s="42">
        <f>E50*$G$4*1000</f>
        <v>126650</v>
      </c>
      <c r="F57" s="42">
        <f>F50*$G$4*1000</f>
        <v>126650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8">
        <f>C54*$G$4/C37</f>
        <v>22.857954545454547</v>
      </c>
      <c r="D58" s="108">
        <f>D54*$G$4/D37</f>
        <v>12.571875</v>
      </c>
      <c r="E58" s="108">
        <f>E54*$G$4/E37</f>
        <v>12.571875</v>
      </c>
      <c r="F58" s="108">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5" thickBot="1">
      <c r="B59" s="36" t="s">
        <v>356</v>
      </c>
      <c r="C59" s="193">
        <f>C55/$C$64</f>
        <v>18</v>
      </c>
      <c r="D59" s="193">
        <f>D55/$C$64</f>
        <v>18</v>
      </c>
      <c r="E59" s="193">
        <f>E55/$C$64</f>
        <v>18</v>
      </c>
      <c r="F59" s="193">
        <f>F55/$C$64</f>
        <v>18</v>
      </c>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C62" s="87">
        <v>20000</v>
      </c>
      <c r="D62" s="87" t="s">
        <v>360</v>
      </c>
      <c r="F62" s="87">
        <v>5</v>
      </c>
      <c r="G62" s="87" t="s">
        <v>409</v>
      </c>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C63" s="87">
        <f>C62/3.6</f>
        <v>5555.5555555555557</v>
      </c>
      <c r="D63" s="87" t="s">
        <v>408</v>
      </c>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C64" s="87">
        <f>C63/1000</f>
        <v>5.5555555555555554</v>
      </c>
      <c r="D64" s="87" t="s">
        <v>361</v>
      </c>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s="168">
        <v>400000000</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s="168">
        <f>C65/C64</f>
        <v>72000000</v>
      </c>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33:H33"/>
    <mergeCell ref="J33:O33"/>
    <mergeCell ref="C21:H21"/>
  </mergeCells>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tabColor theme="4"/>
  </sheetPr>
  <dimension ref="B3:CP130"/>
  <sheetViews>
    <sheetView workbookViewId="0">
      <selection activeCell="K36" sqref="K36"/>
    </sheetView>
  </sheetViews>
  <sheetFormatPr defaultRowHeight="14.4"/>
  <cols>
    <col min="2" max="2" width="51.44140625" customWidth="1"/>
    <col min="3" max="8" width="9.33203125" style="87"/>
  </cols>
  <sheetData>
    <row r="3" spans="2:94" ht="28.8">
      <c r="B3" s="86" t="s">
        <v>401</v>
      </c>
    </row>
    <row r="4" spans="2:94" ht="15" customHeight="1">
      <c r="E4" t="s">
        <v>358</v>
      </c>
      <c r="F4"/>
      <c r="G4" s="36">
        <v>7.45</v>
      </c>
      <c r="H4" t="s">
        <v>328</v>
      </c>
    </row>
    <row r="5" spans="2:94" ht="15" customHeight="1" thickBot="1"/>
    <row r="6" spans="2:94" ht="15.75" customHeight="1" thickBot="1">
      <c r="C6" s="1151" t="s">
        <v>394</v>
      </c>
      <c r="D6" s="1149"/>
      <c r="E6" s="1149"/>
      <c r="F6" s="1149"/>
      <c r="G6" s="1149"/>
      <c r="H6" s="1150"/>
      <c r="J6" s="1120" t="str">
        <f>C6</f>
        <v>Absorption heat pump</v>
      </c>
      <c r="K6" s="1121"/>
      <c r="L6" s="1121"/>
      <c r="M6" s="1121"/>
      <c r="N6" s="1121"/>
      <c r="O6" s="1122"/>
    </row>
    <row r="7" spans="2:94" s="8" customFormat="1" ht="15.75" customHeight="1" thickBot="1">
      <c r="B7" s="88" t="s">
        <v>0</v>
      </c>
      <c r="C7" s="8" t="s">
        <v>362</v>
      </c>
      <c r="J7" s="1001" t="str">
        <f>C7</f>
        <v>One family house, new and existing buildings</v>
      </c>
      <c r="K7" s="1002"/>
      <c r="L7" s="1002"/>
      <c r="M7" s="1002"/>
      <c r="N7" s="1002"/>
      <c r="O7" s="1003"/>
      <c r="P7"/>
      <c r="Q7"/>
      <c r="R7"/>
      <c r="S7"/>
      <c r="T7"/>
      <c r="U7"/>
      <c r="V7"/>
      <c r="W7"/>
      <c r="X7"/>
    </row>
    <row r="8" spans="2:94" ht="15" thickBot="1">
      <c r="B8" s="89"/>
      <c r="C8" s="90">
        <v>2015</v>
      </c>
      <c r="D8" s="90">
        <v>2020</v>
      </c>
      <c r="E8" s="90">
        <v>2030</v>
      </c>
      <c r="F8" s="90">
        <v>2050</v>
      </c>
      <c r="G8" s="90" t="s">
        <v>2</v>
      </c>
      <c r="H8" s="91"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15.75" customHeight="1" thickBot="1">
      <c r="B9" s="92" t="s">
        <v>4</v>
      </c>
      <c r="C9" s="12"/>
      <c r="D9" s="12"/>
      <c r="E9" s="12"/>
      <c r="F9" s="12"/>
      <c r="G9" s="12"/>
      <c r="H9" s="13"/>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7" t="s">
        <v>5</v>
      </c>
      <c r="C10" s="125">
        <v>18</v>
      </c>
      <c r="D10" s="125">
        <v>30</v>
      </c>
      <c r="E10" s="125">
        <v>30</v>
      </c>
      <c r="F10" s="125">
        <v>30</v>
      </c>
      <c r="G10" s="118" t="s">
        <v>395</v>
      </c>
      <c r="H10" s="119"/>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7" t="s">
        <v>7</v>
      </c>
      <c r="C11" s="109">
        <v>100</v>
      </c>
      <c r="D11" s="120">
        <v>100</v>
      </c>
      <c r="E11" s="120">
        <v>100</v>
      </c>
      <c r="F11" s="120">
        <v>100</v>
      </c>
      <c r="G11" s="120"/>
      <c r="H11" s="11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7" t="s">
        <v>8</v>
      </c>
      <c r="C12" s="109">
        <v>100</v>
      </c>
      <c r="D12" s="120">
        <v>100</v>
      </c>
      <c r="E12" s="120">
        <v>100</v>
      </c>
      <c r="F12" s="120">
        <v>100</v>
      </c>
      <c r="G12" s="120"/>
      <c r="H12" s="119"/>
      <c r="J12" s="58">
        <f>C8</f>
        <v>2015</v>
      </c>
      <c r="K12" s="58">
        <f>J12</f>
        <v>2015</v>
      </c>
      <c r="L12" s="58">
        <f>C13/100</f>
        <v>1.35</v>
      </c>
      <c r="M12" s="58"/>
      <c r="N12" s="58">
        <f>C14</f>
        <v>22</v>
      </c>
      <c r="O12" s="59">
        <f>C29</f>
        <v>6456.666666666667</v>
      </c>
      <c r="P12" s="59">
        <f>C31</f>
        <v>55.875</v>
      </c>
      <c r="Q12" s="59">
        <f>C32</f>
        <v>41.388888888888886</v>
      </c>
      <c r="R12" s="58"/>
      <c r="S12" s="58"/>
      <c r="T12" s="58">
        <f>C16</f>
        <v>0</v>
      </c>
      <c r="U12" s="78">
        <f>C17</f>
        <v>15</v>
      </c>
      <c r="V12" s="78">
        <f>C18</f>
        <v>2</v>
      </c>
      <c r="W12" s="78">
        <f>C19</f>
        <v>0</v>
      </c>
      <c r="X12" s="7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7" t="s">
        <v>363</v>
      </c>
      <c r="C13" s="109">
        <v>135</v>
      </c>
      <c r="D13" s="120">
        <v>145</v>
      </c>
      <c r="E13" s="120">
        <v>170</v>
      </c>
      <c r="F13" s="120">
        <v>170</v>
      </c>
      <c r="G13" s="120" t="s">
        <v>59</v>
      </c>
      <c r="H13" s="119"/>
      <c r="J13" s="58">
        <f>D8</f>
        <v>2020</v>
      </c>
      <c r="K13" s="58"/>
      <c r="L13" s="58">
        <f>D13/100</f>
        <v>1.45</v>
      </c>
      <c r="M13" s="58"/>
      <c r="N13" s="58">
        <f>D14</f>
        <v>22</v>
      </c>
      <c r="O13" s="59">
        <f>D29</f>
        <v>3625.6666666666665</v>
      </c>
      <c r="P13" s="59">
        <f>D31</f>
        <v>33.524999999999999</v>
      </c>
      <c r="Q13" s="59">
        <f>D32</f>
        <v>24.833333333333332</v>
      </c>
      <c r="R13" s="58"/>
      <c r="S13" s="58"/>
      <c r="T13" s="58">
        <f>D16</f>
        <v>0</v>
      </c>
      <c r="U13" s="78">
        <f>D17</f>
        <v>10</v>
      </c>
      <c r="V13" s="78">
        <f>D18</f>
        <v>1</v>
      </c>
      <c r="W13" s="78">
        <f>D19</f>
        <v>0</v>
      </c>
      <c r="X13" s="7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7" t="s">
        <v>11</v>
      </c>
      <c r="C14" s="109">
        <v>22</v>
      </c>
      <c r="D14" s="120">
        <v>22</v>
      </c>
      <c r="E14" s="120">
        <v>22</v>
      </c>
      <c r="F14" s="120">
        <v>22</v>
      </c>
      <c r="G14" s="120" t="s">
        <v>396</v>
      </c>
      <c r="H14" s="119"/>
      <c r="J14" s="58">
        <f>E8</f>
        <v>2030</v>
      </c>
      <c r="K14" s="58"/>
      <c r="L14" s="58">
        <f>E13/100</f>
        <v>1.7</v>
      </c>
      <c r="M14" s="58"/>
      <c r="N14" s="58">
        <f>E14</f>
        <v>22</v>
      </c>
      <c r="O14" s="59">
        <f>E29</f>
        <v>3129</v>
      </c>
      <c r="P14" s="59">
        <f>E31</f>
        <v>33.524999999999999</v>
      </c>
      <c r="Q14" s="59">
        <f>E32</f>
        <v>24.833333333333332</v>
      </c>
      <c r="R14" s="58"/>
      <c r="S14" s="58"/>
      <c r="T14" s="58">
        <f>E16</f>
        <v>0</v>
      </c>
      <c r="U14" s="78">
        <f>E17</f>
        <v>5</v>
      </c>
      <c r="V14" s="78">
        <f>E18</f>
        <v>0.5</v>
      </c>
      <c r="W14" s="78">
        <f>E19</f>
        <v>0</v>
      </c>
      <c r="X14" s="7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2" t="s">
        <v>12</v>
      </c>
      <c r="C15" s="110"/>
      <c r="D15" s="110"/>
      <c r="E15" s="110"/>
      <c r="F15" s="110"/>
      <c r="G15" s="110"/>
      <c r="H15" s="111"/>
      <c r="J15" s="58">
        <f>F8</f>
        <v>2050</v>
      </c>
      <c r="K15" s="58"/>
      <c r="L15" s="58">
        <f>F13/100</f>
        <v>1.7</v>
      </c>
      <c r="M15" s="58"/>
      <c r="N15" s="58">
        <f>F14</f>
        <v>22</v>
      </c>
      <c r="O15" s="59">
        <f>F29</f>
        <v>3129</v>
      </c>
      <c r="P15" s="59">
        <f>F31</f>
        <v>33.524999999999999</v>
      </c>
      <c r="Q15" s="59">
        <f>F32</f>
        <v>24.833333333333332</v>
      </c>
      <c r="R15" s="58"/>
      <c r="S15" s="58"/>
      <c r="T15" s="58">
        <f>F16</f>
        <v>0</v>
      </c>
      <c r="U15" s="78">
        <f>F17</f>
        <v>5</v>
      </c>
      <c r="V15" s="78">
        <f>F18</f>
        <v>0.5</v>
      </c>
      <c r="W15" s="78">
        <f>F19</f>
        <v>0</v>
      </c>
      <c r="X15" s="7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7" t="s">
        <v>364</v>
      </c>
      <c r="C16" s="184">
        <v>0</v>
      </c>
      <c r="D16" s="184">
        <v>0</v>
      </c>
      <c r="E16" s="184">
        <v>0</v>
      </c>
      <c r="F16" s="184">
        <v>0</v>
      </c>
      <c r="G16" s="118"/>
      <c r="H16" s="11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7" t="s">
        <v>365</v>
      </c>
      <c r="C17" s="109">
        <v>15</v>
      </c>
      <c r="D17" s="120">
        <v>10</v>
      </c>
      <c r="E17" s="120">
        <v>5</v>
      </c>
      <c r="F17" s="120">
        <v>5</v>
      </c>
      <c r="G17" s="120"/>
      <c r="H17" s="120">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7" t="s">
        <v>366</v>
      </c>
      <c r="C18" s="109">
        <v>2</v>
      </c>
      <c r="D18" s="120">
        <v>1</v>
      </c>
      <c r="E18" s="120">
        <v>0.5</v>
      </c>
      <c r="F18" s="120">
        <v>0.5</v>
      </c>
      <c r="G18" s="120" t="s">
        <v>55</v>
      </c>
      <c r="H18" s="120"/>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7" t="s">
        <v>367</v>
      </c>
      <c r="C19" s="185">
        <v>0</v>
      </c>
      <c r="D19" s="185">
        <v>0</v>
      </c>
      <c r="E19" s="185">
        <v>0</v>
      </c>
      <c r="F19" s="185">
        <v>0</v>
      </c>
      <c r="G19" s="120" t="s">
        <v>55</v>
      </c>
      <c r="H19" s="120"/>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7" t="s">
        <v>19</v>
      </c>
      <c r="C20" s="185">
        <v>0</v>
      </c>
      <c r="D20" s="185">
        <v>0</v>
      </c>
      <c r="E20" s="185">
        <v>0</v>
      </c>
      <c r="F20" s="185">
        <v>0</v>
      </c>
      <c r="G20" s="120" t="s">
        <v>55</v>
      </c>
      <c r="H20" s="120"/>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45" t="s">
        <v>371</v>
      </c>
      <c r="C21" s="1154" t="s">
        <v>372</v>
      </c>
      <c r="D21" s="1154"/>
      <c r="E21" s="1154"/>
      <c r="F21" s="1154"/>
      <c r="G21" s="1154"/>
      <c r="H21" s="1155"/>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 thickBot="1">
      <c r="B22" s="150" t="s">
        <v>23</v>
      </c>
      <c r="C22" s="154"/>
      <c r="D22" s="154"/>
      <c r="E22" s="154"/>
      <c r="F22" s="154"/>
      <c r="G22" s="153"/>
      <c r="H22" s="153"/>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 thickBot="1">
      <c r="B23" s="150" t="s">
        <v>24</v>
      </c>
      <c r="C23" s="153">
        <v>15.6</v>
      </c>
      <c r="D23" s="153">
        <v>14.6</v>
      </c>
      <c r="E23" s="153">
        <v>12.6</v>
      </c>
      <c r="F23" s="153">
        <v>12.6</v>
      </c>
      <c r="G23" s="153"/>
      <c r="H23" s="153"/>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s="8" customFormat="1" ht="15.75" customHeight="1" thickBot="1">
      <c r="B24" s="150" t="s">
        <v>26</v>
      </c>
      <c r="C24" s="164">
        <v>0.64</v>
      </c>
      <c r="D24" s="164">
        <v>0.61</v>
      </c>
      <c r="E24" s="164">
        <v>0.55000000000000004</v>
      </c>
      <c r="F24" s="164">
        <v>0.55000000000000004</v>
      </c>
      <c r="G24" s="153"/>
      <c r="H24" s="153"/>
    </row>
    <row r="25" spans="2:94" ht="15" thickBot="1">
      <c r="B25" s="150" t="s">
        <v>28</v>
      </c>
      <c r="C25" s="164">
        <v>0.36</v>
      </c>
      <c r="D25" s="164">
        <v>0.39</v>
      </c>
      <c r="E25" s="164">
        <v>0.45</v>
      </c>
      <c r="F25" s="164">
        <v>0.45</v>
      </c>
      <c r="G25" s="153"/>
      <c r="H25" s="153"/>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 thickBot="1">
      <c r="B26" s="150" t="s">
        <v>369</v>
      </c>
      <c r="C26" s="127">
        <f>4.8+1.6</f>
        <v>6.4</v>
      </c>
      <c r="D26" s="127">
        <f>4.8+1.6</f>
        <v>6.4</v>
      </c>
      <c r="E26" s="127">
        <f>4.8+1.6</f>
        <v>6.4</v>
      </c>
      <c r="F26" s="127">
        <f>4.8+1.6</f>
        <v>6.4</v>
      </c>
      <c r="G26" s="153" t="s">
        <v>402</v>
      </c>
      <c r="H26" s="153"/>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 thickBot="1">
      <c r="B27" s="150" t="s">
        <v>64</v>
      </c>
      <c r="C27" s="150">
        <v>135</v>
      </c>
      <c r="D27" s="151">
        <v>135</v>
      </c>
      <c r="E27" s="151">
        <v>135</v>
      </c>
      <c r="F27" s="151">
        <v>135</v>
      </c>
      <c r="G27" s="153" t="s">
        <v>399</v>
      </c>
      <c r="H27" s="153"/>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 thickBot="1">
      <c r="B28" s="165" t="s">
        <v>130</v>
      </c>
      <c r="C28" s="166">
        <v>100</v>
      </c>
      <c r="D28" s="166">
        <v>100</v>
      </c>
      <c r="E28" s="166">
        <v>100</v>
      </c>
      <c r="F28" s="166">
        <v>100</v>
      </c>
      <c r="G28" s="166" t="s">
        <v>396</v>
      </c>
      <c r="H28" s="166"/>
      <c r="J28" s="8"/>
      <c r="K28" s="104"/>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6456.666666666667</v>
      </c>
      <c r="D29" s="42">
        <f>D30/D10</f>
        <v>3625.6666666666665</v>
      </c>
      <c r="E29" s="42">
        <f>E30/E10</f>
        <v>3129</v>
      </c>
      <c r="F29" s="42">
        <f>F30/F10</f>
        <v>3129</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116220</v>
      </c>
      <c r="D30" s="42">
        <f>D23*$G$4*1000</f>
        <v>108770</v>
      </c>
      <c r="E30" s="42">
        <f>E23*$G$4*1000</f>
        <v>93870</v>
      </c>
      <c r="F30" s="42">
        <f>F23*$G$4*1000</f>
        <v>93870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8">
        <f>C27*$G$4/C10</f>
        <v>55.875</v>
      </c>
      <c r="D31" s="108">
        <f>D27*$G$4/D10</f>
        <v>33.524999999999999</v>
      </c>
      <c r="E31" s="108">
        <f>E27*$G$4/E10</f>
        <v>33.524999999999999</v>
      </c>
      <c r="F31" s="108">
        <f>F27*$G$4/F10</f>
        <v>33.524999999999999</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5" thickBot="1">
      <c r="B32" s="36" t="s">
        <v>356</v>
      </c>
      <c r="C32" s="108">
        <f>C28*$G$4/C10</f>
        <v>41.388888888888886</v>
      </c>
      <c r="D32" s="108">
        <f>D28*$G$4/D10</f>
        <v>24.833333333333332</v>
      </c>
      <c r="E32" s="108">
        <f>E28*$G$4/E10</f>
        <v>24.833333333333332</v>
      </c>
      <c r="F32" s="108">
        <f>F28*$G$4/F10</f>
        <v>24.833333333333332</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151" t="s">
        <v>394</v>
      </c>
      <c r="D33" s="1149"/>
      <c r="E33" s="1149"/>
      <c r="F33" s="1149"/>
      <c r="G33" s="1149"/>
      <c r="H33" s="1150"/>
      <c r="J33" s="1120" t="str">
        <f>C33</f>
        <v>Absorption heat pump</v>
      </c>
      <c r="K33" s="1121"/>
      <c r="L33" s="1121"/>
      <c r="M33" s="1121"/>
      <c r="N33" s="1121"/>
      <c r="O33" s="1122"/>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8" t="s">
        <v>0</v>
      </c>
      <c r="C34" s="8" t="s">
        <v>373</v>
      </c>
      <c r="J34" s="1001" t="str">
        <f>C34</f>
        <v>Apartment complex, existing and new buildings</v>
      </c>
      <c r="K34" s="1002"/>
      <c r="L34" s="1002"/>
      <c r="M34" s="1002"/>
      <c r="N34" s="1002"/>
      <c r="O34" s="1003"/>
      <c r="P34"/>
      <c r="Q34"/>
      <c r="R34"/>
      <c r="S34"/>
      <c r="T34"/>
      <c r="U34"/>
      <c r="V34"/>
      <c r="W34"/>
      <c r="X34"/>
    </row>
    <row r="35" spans="2:94" ht="15" thickBot="1">
      <c r="B35" s="89"/>
      <c r="C35" s="90">
        <v>2015</v>
      </c>
      <c r="D35" s="90">
        <v>2020</v>
      </c>
      <c r="E35" s="90">
        <v>2030</v>
      </c>
      <c r="F35" s="90">
        <v>2050</v>
      </c>
      <c r="G35" s="90" t="s">
        <v>2</v>
      </c>
      <c r="H35" s="91"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28.2" thickBot="1">
      <c r="B36" s="149" t="s">
        <v>4</v>
      </c>
      <c r="C36" s="135"/>
      <c r="D36" s="135"/>
      <c r="E36" s="135"/>
      <c r="F36" s="135"/>
      <c r="G36" s="135"/>
      <c r="H36" s="136"/>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c r="B37" s="150" t="s">
        <v>5</v>
      </c>
      <c r="C37" s="150">
        <v>44</v>
      </c>
      <c r="D37" s="151">
        <v>80</v>
      </c>
      <c r="E37" s="151">
        <v>80</v>
      </c>
      <c r="F37" s="151">
        <v>80</v>
      </c>
      <c r="G37" s="151" t="s">
        <v>51</v>
      </c>
      <c r="H37" s="151"/>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5" thickBot="1">
      <c r="B38" s="150" t="s">
        <v>7</v>
      </c>
      <c r="C38" s="127">
        <v>100</v>
      </c>
      <c r="D38" s="153">
        <v>100</v>
      </c>
      <c r="E38" s="153">
        <v>100</v>
      </c>
      <c r="F38" s="153">
        <v>100</v>
      </c>
      <c r="G38" s="153"/>
      <c r="H38" s="153"/>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c r="B39" s="150" t="s">
        <v>8</v>
      </c>
      <c r="C39" s="127">
        <v>100</v>
      </c>
      <c r="D39" s="153">
        <v>100</v>
      </c>
      <c r="E39" s="153">
        <v>100</v>
      </c>
      <c r="F39" s="153">
        <v>100</v>
      </c>
      <c r="G39" s="153"/>
      <c r="H39" s="153"/>
      <c r="J39" s="58">
        <f>C35</f>
        <v>2015</v>
      </c>
      <c r="K39" s="58">
        <f>J39</f>
        <v>2015</v>
      </c>
      <c r="L39" s="58">
        <f>C40/100</f>
        <v>1.35</v>
      </c>
      <c r="M39" s="58"/>
      <c r="N39" s="58">
        <f>C41</f>
        <v>22</v>
      </c>
      <c r="O39" s="59">
        <f>C56</f>
        <v>5587.5</v>
      </c>
      <c r="P39" s="59">
        <f>C58</f>
        <v>22.857954545454547</v>
      </c>
      <c r="Q39" s="59">
        <f>C59</f>
        <v>0</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c r="B40" s="150" t="s">
        <v>363</v>
      </c>
      <c r="C40" s="127">
        <v>135</v>
      </c>
      <c r="D40" s="153">
        <v>145</v>
      </c>
      <c r="E40" s="153">
        <v>170</v>
      </c>
      <c r="F40" s="153">
        <v>170</v>
      </c>
      <c r="G40" s="153" t="s">
        <v>59</v>
      </c>
      <c r="H40" s="153">
        <v>2.16</v>
      </c>
      <c r="J40" s="58">
        <f>D35</f>
        <v>2020</v>
      </c>
      <c r="K40" s="58"/>
      <c r="L40" s="58">
        <f>D40/100</f>
        <v>1.45</v>
      </c>
      <c r="M40" s="58"/>
      <c r="N40" s="58">
        <f>D41</f>
        <v>22</v>
      </c>
      <c r="O40" s="59">
        <f>D56</f>
        <v>3073.125</v>
      </c>
      <c r="P40" s="59">
        <f>D58</f>
        <v>12.571875</v>
      </c>
      <c r="Q40" s="59">
        <f>D59</f>
        <v>0</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5" thickBot="1">
      <c r="B41" s="150" t="s">
        <v>11</v>
      </c>
      <c r="C41" s="127">
        <v>22</v>
      </c>
      <c r="D41" s="153">
        <v>22</v>
      </c>
      <c r="E41" s="153">
        <v>22</v>
      </c>
      <c r="F41" s="153">
        <v>22</v>
      </c>
      <c r="G41" s="153" t="s">
        <v>16</v>
      </c>
      <c r="H41" s="153"/>
      <c r="J41" s="58">
        <f>E35</f>
        <v>2030</v>
      </c>
      <c r="K41" s="58"/>
      <c r="L41" s="58">
        <f>E40/100</f>
        <v>1.7</v>
      </c>
      <c r="M41" s="58"/>
      <c r="N41" s="58">
        <f>E41</f>
        <v>22</v>
      </c>
      <c r="O41" s="59">
        <f>E56</f>
        <v>2980</v>
      </c>
      <c r="P41" s="59">
        <f>E58</f>
        <v>12.571875</v>
      </c>
      <c r="Q41" s="59">
        <f>E59</f>
        <v>0</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5" thickBot="1">
      <c r="B42" s="145" t="s">
        <v>12</v>
      </c>
      <c r="C42" s="135"/>
      <c r="D42" s="135"/>
      <c r="E42" s="135"/>
      <c r="F42" s="135"/>
      <c r="G42" s="135"/>
      <c r="H42" s="136"/>
      <c r="J42" s="58">
        <f>F35</f>
        <v>2050</v>
      </c>
      <c r="K42" s="58"/>
      <c r="L42" s="58">
        <f>F40/100</f>
        <v>1.7</v>
      </c>
      <c r="M42" s="58"/>
      <c r="N42" s="58">
        <f>F41</f>
        <v>22</v>
      </c>
      <c r="O42" s="59">
        <f>F56</f>
        <v>2980</v>
      </c>
      <c r="P42" s="59">
        <f>F58</f>
        <v>12.571875</v>
      </c>
      <c r="Q42" s="59">
        <f>F59</f>
        <v>0</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c r="B43" s="150" t="s">
        <v>364</v>
      </c>
      <c r="C43" s="184">
        <v>0</v>
      </c>
      <c r="D43" s="184">
        <v>0</v>
      </c>
      <c r="E43" s="184">
        <v>0</v>
      </c>
      <c r="F43" s="184">
        <v>0</v>
      </c>
      <c r="G43" s="151"/>
      <c r="H43" s="151"/>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5" thickBot="1">
      <c r="B44" s="150" t="s">
        <v>365</v>
      </c>
      <c r="C44" s="127">
        <v>15</v>
      </c>
      <c r="D44" s="153">
        <v>10</v>
      </c>
      <c r="E44" s="153">
        <v>5</v>
      </c>
      <c r="F44" s="153">
        <v>5</v>
      </c>
      <c r="G44" s="153"/>
      <c r="H44" s="153">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c r="B45" s="150" t="s">
        <v>366</v>
      </c>
      <c r="C45" s="127">
        <v>2</v>
      </c>
      <c r="D45" s="153">
        <v>1</v>
      </c>
      <c r="E45" s="153">
        <v>0.5</v>
      </c>
      <c r="F45" s="153">
        <v>0.5</v>
      </c>
      <c r="G45" s="153" t="s">
        <v>52</v>
      </c>
      <c r="H45" s="153"/>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c r="B46" s="150" t="s">
        <v>367</v>
      </c>
      <c r="C46" s="185">
        <v>0</v>
      </c>
      <c r="D46" s="185">
        <v>0</v>
      </c>
      <c r="E46" s="185">
        <v>0</v>
      </c>
      <c r="F46" s="185">
        <v>0</v>
      </c>
      <c r="G46" s="153" t="s">
        <v>52</v>
      </c>
      <c r="H46" s="153"/>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c r="B47" s="150" t="s">
        <v>19</v>
      </c>
      <c r="C47" s="185">
        <v>0</v>
      </c>
      <c r="D47" s="185">
        <v>0</v>
      </c>
      <c r="E47" s="185">
        <v>0</v>
      </c>
      <c r="F47" s="185">
        <v>0</v>
      </c>
      <c r="G47" s="153" t="s">
        <v>52</v>
      </c>
      <c r="H47" s="153"/>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5" t="s">
        <v>371</v>
      </c>
      <c r="C48" s="1152"/>
      <c r="D48" s="1152"/>
      <c r="E48" s="1152"/>
      <c r="F48" s="1152"/>
      <c r="G48" s="1152"/>
      <c r="H48" s="1153"/>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5" thickBot="1">
      <c r="B49" s="150" t="s">
        <v>23</v>
      </c>
      <c r="C49" s="154" t="s">
        <v>68</v>
      </c>
      <c r="D49" s="154" t="s">
        <v>68</v>
      </c>
      <c r="E49" s="154" t="s">
        <v>68</v>
      </c>
      <c r="F49" s="154" t="s">
        <v>68</v>
      </c>
      <c r="G49" s="154" t="s">
        <v>374</v>
      </c>
      <c r="H49" s="154"/>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5" thickBot="1">
      <c r="B50" s="150" t="s">
        <v>24</v>
      </c>
      <c r="C50" s="154">
        <f>18+15</f>
        <v>33</v>
      </c>
      <c r="D50" s="154">
        <f>18+15</f>
        <v>33</v>
      </c>
      <c r="E50" s="154">
        <f>17+15</f>
        <v>32</v>
      </c>
      <c r="F50" s="154">
        <f>17+15</f>
        <v>32</v>
      </c>
      <c r="G50" s="157" t="s">
        <v>403</v>
      </c>
      <c r="H50" s="154"/>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s="8" customFormat="1" ht="15.75" customHeight="1" thickBot="1">
      <c r="B51" s="150" t="s">
        <v>26</v>
      </c>
      <c r="C51" s="154">
        <v>42</v>
      </c>
      <c r="D51" s="154">
        <v>42</v>
      </c>
      <c r="E51" s="154"/>
      <c r="F51" s="154"/>
      <c r="G51" s="154"/>
      <c r="H51" s="154"/>
    </row>
    <row r="52" spans="2:94" ht="15" thickBot="1">
      <c r="B52" s="150" t="s">
        <v>28</v>
      </c>
      <c r="C52" s="154">
        <v>58</v>
      </c>
      <c r="D52" s="154">
        <v>58</v>
      </c>
      <c r="E52" s="154"/>
      <c r="F52" s="154"/>
      <c r="G52" s="154"/>
      <c r="H52" s="154"/>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5" thickBot="1">
      <c r="B53" s="150" t="s">
        <v>369</v>
      </c>
      <c r="C53" s="156" t="s">
        <v>404</v>
      </c>
      <c r="D53" s="154" t="s">
        <v>404</v>
      </c>
      <c r="E53" s="154" t="s">
        <v>404</v>
      </c>
      <c r="F53" s="154" t="s">
        <v>404</v>
      </c>
      <c r="G53" s="154" t="s">
        <v>405</v>
      </c>
      <c r="H53" s="154"/>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5" thickBot="1">
      <c r="B54" s="150" t="s">
        <v>64</v>
      </c>
      <c r="C54" s="156">
        <v>135</v>
      </c>
      <c r="D54" s="154">
        <v>135</v>
      </c>
      <c r="E54" s="154">
        <v>135</v>
      </c>
      <c r="F54" s="154">
        <v>135</v>
      </c>
      <c r="G54" s="154" t="s">
        <v>399</v>
      </c>
      <c r="H54" s="1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5" thickBot="1">
      <c r="B55" s="150" t="s">
        <v>407</v>
      </c>
      <c r="C55" s="156">
        <v>100</v>
      </c>
      <c r="D55" s="154">
        <v>100</v>
      </c>
      <c r="E55" s="154">
        <v>100</v>
      </c>
      <c r="F55" s="154">
        <v>100</v>
      </c>
      <c r="G55" s="154" t="s">
        <v>396</v>
      </c>
      <c r="H55" s="154"/>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5587.5</v>
      </c>
      <c r="D56" s="42">
        <f>D57/D37</f>
        <v>3073.125</v>
      </c>
      <c r="E56" s="42">
        <f>E57/E37</f>
        <v>2980</v>
      </c>
      <c r="F56" s="42">
        <f>F57/F37</f>
        <v>2980</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245850</v>
      </c>
      <c r="D57" s="42">
        <f>D50*$G$4*1000</f>
        <v>245850</v>
      </c>
      <c r="E57" s="42">
        <f>E50*$G$4*1000</f>
        <v>238400</v>
      </c>
      <c r="F57" s="42">
        <f>F50*$G$4*1000</f>
        <v>238400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8">
        <f>C54*$G$4/C37</f>
        <v>22.857954545454547</v>
      </c>
      <c r="D58" s="108">
        <f>D54*$G$4/D37</f>
        <v>12.571875</v>
      </c>
      <c r="E58" s="108">
        <f>E54*$G$4/E37</f>
        <v>12.571875</v>
      </c>
      <c r="F58" s="108">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5" thickBot="1">
      <c r="B59" s="36" t="s">
        <v>356</v>
      </c>
      <c r="C59" s="108"/>
      <c r="D59" s="108"/>
      <c r="E59" s="108"/>
      <c r="F59" s="108"/>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21:H21"/>
    <mergeCell ref="C33:H33"/>
    <mergeCell ref="J33:O3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tabColor theme="4"/>
  </sheetPr>
  <dimension ref="B2:CO147"/>
  <sheetViews>
    <sheetView workbookViewId="0">
      <selection activeCell="K36" sqref="K36"/>
    </sheetView>
  </sheetViews>
  <sheetFormatPr defaultRowHeight="14.4"/>
  <cols>
    <col min="2" max="2" width="51.44140625" customWidth="1"/>
    <col min="3" max="8" width="9.33203125" style="87"/>
    <col min="11" max="11" width="43.33203125" customWidth="1"/>
  </cols>
  <sheetData>
    <row r="2" spans="2:93" ht="28.8">
      <c r="B2" s="95" t="s">
        <v>375</v>
      </c>
    </row>
    <row r="3" spans="2:93" ht="15" customHeight="1"/>
    <row r="4" spans="2:93">
      <c r="E4" t="s">
        <v>358</v>
      </c>
      <c r="F4"/>
      <c r="G4" s="36">
        <v>7.45</v>
      </c>
      <c r="H4" t="s">
        <v>328</v>
      </c>
    </row>
    <row r="5" spans="2:93" ht="15"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c r="J6" s="1120">
        <f>C6</f>
        <v>0</v>
      </c>
      <c r="K6" s="1121"/>
      <c r="L6" s="1121"/>
      <c r="M6" s="1121"/>
      <c r="N6" s="1121"/>
      <c r="O6" s="1122"/>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5" thickBot="1">
      <c r="B7" s="88" t="s">
        <v>0</v>
      </c>
      <c r="C7" s="1151" t="s">
        <v>376</v>
      </c>
      <c r="D7" s="1149"/>
      <c r="E7" s="1149"/>
      <c r="F7" s="1149"/>
      <c r="G7" s="1149"/>
      <c r="H7" s="1150"/>
      <c r="J7" s="1001" t="str">
        <f>C7</f>
        <v>Gas engine driven heat pump heat pump</v>
      </c>
      <c r="K7" s="1002"/>
      <c r="L7" s="1002"/>
      <c r="M7" s="1002"/>
      <c r="N7" s="1002"/>
      <c r="O7" s="1003"/>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5" thickBot="1">
      <c r="B8" s="89"/>
      <c r="C8" s="106">
        <v>2015</v>
      </c>
      <c r="D8" s="106">
        <v>2020</v>
      </c>
      <c r="E8" s="106">
        <v>2030</v>
      </c>
      <c r="F8" s="106">
        <v>2050</v>
      </c>
      <c r="G8" s="106" t="s">
        <v>2</v>
      </c>
      <c r="H8" s="107"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28.2" thickBot="1">
      <c r="B9" s="149" t="s">
        <v>4</v>
      </c>
      <c r="C9" s="135"/>
      <c r="D9" s="135"/>
      <c r="E9" s="135"/>
      <c r="F9" s="135"/>
      <c r="G9" s="135"/>
      <c r="H9" s="1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5" thickBot="1">
      <c r="B10" s="150" t="s">
        <v>5</v>
      </c>
      <c r="C10" s="150" t="s">
        <v>43</v>
      </c>
      <c r="D10" s="151" t="s">
        <v>43</v>
      </c>
      <c r="E10" s="151" t="s">
        <v>43</v>
      </c>
      <c r="F10" s="151" t="s">
        <v>43</v>
      </c>
      <c r="G10" s="151" t="s">
        <v>377</v>
      </c>
      <c r="H10" s="151">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5" thickBot="1">
      <c r="B11" s="150" t="s">
        <v>7</v>
      </c>
      <c r="C11" s="127">
        <v>100</v>
      </c>
      <c r="D11" s="158">
        <v>100</v>
      </c>
      <c r="E11" s="158">
        <v>100</v>
      </c>
      <c r="F11" s="158">
        <v>100</v>
      </c>
      <c r="G11" s="153"/>
      <c r="H11" s="153"/>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5" thickBot="1">
      <c r="B12" s="150" t="s">
        <v>8</v>
      </c>
      <c r="C12" s="127">
        <v>100</v>
      </c>
      <c r="D12" s="153">
        <v>100</v>
      </c>
      <c r="E12" s="153">
        <v>100</v>
      </c>
      <c r="F12" s="153">
        <v>100</v>
      </c>
      <c r="G12" s="153"/>
      <c r="H12" s="153"/>
      <c r="J12" s="58">
        <f>C8</f>
        <v>2015</v>
      </c>
      <c r="K12" s="58">
        <f>J12</f>
        <v>2015</v>
      </c>
      <c r="L12" s="58">
        <f>C13/100</f>
        <v>1.5</v>
      </c>
      <c r="M12" s="58"/>
      <c r="N12" s="58">
        <f>C14</f>
        <v>12.5</v>
      </c>
      <c r="O12" s="59">
        <f>C29</f>
        <v>596</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c r="B13" s="150" t="s">
        <v>363</v>
      </c>
      <c r="C13" s="127">
        <v>150</v>
      </c>
      <c r="D13" s="153">
        <v>155</v>
      </c>
      <c r="E13" s="153">
        <v>155</v>
      </c>
      <c r="F13" s="153">
        <v>160</v>
      </c>
      <c r="G13" s="153"/>
      <c r="H13" s="153">
        <v>14</v>
      </c>
      <c r="J13" s="58">
        <f>D8</f>
        <v>2020</v>
      </c>
      <c r="K13" s="58"/>
      <c r="L13" s="58">
        <f>D13/100</f>
        <v>1.55</v>
      </c>
      <c r="M13" s="58"/>
      <c r="N13" s="58">
        <f>D14</f>
        <v>17.5</v>
      </c>
      <c r="O13" s="59">
        <f>D29</f>
        <v>596</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 thickBot="1">
      <c r="B14" s="150" t="s">
        <v>11</v>
      </c>
      <c r="C14" s="187">
        <f>(10+15)/2</f>
        <v>12.5</v>
      </c>
      <c r="D14" s="188">
        <f>(15+20)/2</f>
        <v>17.5</v>
      </c>
      <c r="E14" s="188">
        <f>(15+20)/2</f>
        <v>17.5</v>
      </c>
      <c r="F14" s="188">
        <f>(15+20)/2</f>
        <v>17.5</v>
      </c>
      <c r="G14" s="153" t="s">
        <v>59</v>
      </c>
      <c r="H14" s="153"/>
      <c r="J14" s="58">
        <f>E8</f>
        <v>2030</v>
      </c>
      <c r="K14" s="58"/>
      <c r="L14" s="58">
        <f>E13/100</f>
        <v>1.55</v>
      </c>
      <c r="M14" s="58"/>
      <c r="N14" s="58">
        <f>E14</f>
        <v>17.5</v>
      </c>
      <c r="O14" s="59">
        <f>E29</f>
        <v>596</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c r="B15" s="145" t="s">
        <v>12</v>
      </c>
      <c r="C15" s="135"/>
      <c r="D15" s="135"/>
      <c r="E15" s="135"/>
      <c r="F15" s="135"/>
      <c r="G15" s="135"/>
      <c r="H15" s="136"/>
      <c r="J15" s="58">
        <f>F8</f>
        <v>2050</v>
      </c>
      <c r="K15" s="58"/>
      <c r="L15" s="58">
        <f>F13/100</f>
        <v>1.6</v>
      </c>
      <c r="M15" s="58"/>
      <c r="N15" s="58">
        <f>F14</f>
        <v>17.5</v>
      </c>
      <c r="O15" s="59">
        <f>F29</f>
        <v>596</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c r="B16" s="150" t="s">
        <v>364</v>
      </c>
      <c r="C16" s="150">
        <v>0</v>
      </c>
      <c r="D16" s="151">
        <v>0</v>
      </c>
      <c r="E16" s="151">
        <v>0</v>
      </c>
      <c r="F16" s="151">
        <v>0</v>
      </c>
      <c r="G16" s="151"/>
      <c r="H16" s="15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c r="B17" s="150" t="s">
        <v>365</v>
      </c>
      <c r="C17" s="189">
        <f>(30+200)/2</f>
        <v>115</v>
      </c>
      <c r="D17" s="188">
        <f>(20+150)/2</f>
        <v>85</v>
      </c>
      <c r="E17" s="188">
        <f>(10+100)/2</f>
        <v>55</v>
      </c>
      <c r="F17" s="153">
        <f>(10+100)/2</f>
        <v>55</v>
      </c>
      <c r="G17" s="153" t="s">
        <v>16</v>
      </c>
      <c r="H17" s="153">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c r="B18" s="150" t="s">
        <v>366</v>
      </c>
      <c r="C18" s="185">
        <v>5</v>
      </c>
      <c r="D18" s="185">
        <v>5</v>
      </c>
      <c r="E18" s="185">
        <v>5</v>
      </c>
      <c r="F18" s="185">
        <v>5</v>
      </c>
      <c r="G18" s="153" t="s">
        <v>20</v>
      </c>
      <c r="H18" s="153"/>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c r="B19" s="150" t="s">
        <v>367</v>
      </c>
      <c r="C19" s="185">
        <v>0</v>
      </c>
      <c r="D19" s="185">
        <v>0</v>
      </c>
      <c r="E19" s="185">
        <v>0</v>
      </c>
      <c r="F19" s="185">
        <v>0</v>
      </c>
      <c r="G19" s="153"/>
      <c r="H19" s="153"/>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c r="B20" s="150" t="s">
        <v>19</v>
      </c>
      <c r="C20" s="185">
        <v>0</v>
      </c>
      <c r="D20" s="185">
        <v>0</v>
      </c>
      <c r="E20" s="185">
        <v>0</v>
      </c>
      <c r="F20" s="185">
        <v>0</v>
      </c>
      <c r="G20" s="153"/>
      <c r="H20" s="153"/>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5" t="s">
        <v>368</v>
      </c>
      <c r="C21" s="1149" t="s">
        <v>378</v>
      </c>
      <c r="D21" s="1149"/>
      <c r="E21" s="1149"/>
      <c r="F21" s="1149"/>
      <c r="G21" s="1149"/>
      <c r="H21" s="1150"/>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c r="B22" s="150" t="s">
        <v>23</v>
      </c>
      <c r="C22" s="154" t="s">
        <v>379</v>
      </c>
      <c r="D22" s="154" t="s">
        <v>380</v>
      </c>
      <c r="E22" s="154" t="s">
        <v>380</v>
      </c>
      <c r="F22" s="154" t="s">
        <v>380</v>
      </c>
      <c r="G22" s="154" t="s">
        <v>374</v>
      </c>
      <c r="H22" s="154">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c r="B23" s="150" t="s">
        <v>24</v>
      </c>
      <c r="C23" s="154">
        <v>4</v>
      </c>
      <c r="D23" s="154">
        <v>4</v>
      </c>
      <c r="E23" s="154">
        <v>4</v>
      </c>
      <c r="F23" s="154">
        <v>4</v>
      </c>
      <c r="G23" s="154" t="s">
        <v>381</v>
      </c>
      <c r="H23" s="154"/>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c r="B24" s="150" t="s">
        <v>26</v>
      </c>
      <c r="C24" s="154">
        <v>83</v>
      </c>
      <c r="D24" s="154">
        <v>83</v>
      </c>
      <c r="E24" s="154">
        <v>83</v>
      </c>
      <c r="F24" s="154">
        <v>83</v>
      </c>
      <c r="G24" s="154"/>
      <c r="H24" s="154"/>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c r="B25" s="150" t="s">
        <v>28</v>
      </c>
      <c r="C25" s="154">
        <v>17</v>
      </c>
      <c r="D25" s="154">
        <v>17</v>
      </c>
      <c r="E25" s="154">
        <v>17</v>
      </c>
      <c r="F25" s="154">
        <v>17</v>
      </c>
      <c r="G25" s="154"/>
      <c r="H25" s="154"/>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c r="B26" s="150" t="s">
        <v>369</v>
      </c>
      <c r="C26" s="156">
        <v>1.6</v>
      </c>
      <c r="D26" s="154">
        <v>1.6</v>
      </c>
      <c r="E26" s="154">
        <v>1.6</v>
      </c>
      <c r="F26" s="154">
        <v>1.6</v>
      </c>
      <c r="G26" s="154" t="s">
        <v>55</v>
      </c>
      <c r="H26" s="154"/>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c r="B27" s="150" t="s">
        <v>64</v>
      </c>
      <c r="C27" s="156">
        <v>135</v>
      </c>
      <c r="D27" s="154">
        <v>135</v>
      </c>
      <c r="E27" s="154">
        <v>135</v>
      </c>
      <c r="F27" s="154">
        <v>135</v>
      </c>
      <c r="G27" s="154" t="s">
        <v>382</v>
      </c>
      <c r="H27" s="154"/>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c r="B28" s="150" t="s">
        <v>407</v>
      </c>
      <c r="C28" s="159">
        <v>100</v>
      </c>
      <c r="D28" s="159">
        <v>100</v>
      </c>
      <c r="E28" s="159">
        <v>100</v>
      </c>
      <c r="F28" s="159">
        <v>100</v>
      </c>
      <c r="G28" s="159" t="s">
        <v>383</v>
      </c>
      <c r="H28" s="154"/>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596</v>
      </c>
      <c r="D29" s="42">
        <f>D30/$G30</f>
        <v>596</v>
      </c>
      <c r="E29" s="42">
        <f>E30/$G30</f>
        <v>596</v>
      </c>
      <c r="F29" s="42">
        <f>F30/$G30</f>
        <v>596</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29800</v>
      </c>
      <c r="D30" s="42">
        <f>D23*$G$4*1000</f>
        <v>29800</v>
      </c>
      <c r="E30" s="42">
        <f>E23*$G$4*1000</f>
        <v>29800</v>
      </c>
      <c r="F30" s="42">
        <f>F23*$G$4*1000</f>
        <v>29800</v>
      </c>
      <c r="G30" s="67">
        <v>50</v>
      </c>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8">
        <f>C27*$G$4/$G30</f>
        <v>20.114999999999998</v>
      </c>
      <c r="D31" s="108">
        <f>D27*$G$4/$G30</f>
        <v>20.114999999999998</v>
      </c>
      <c r="E31" s="108">
        <f>E27*$G$4/$G30</f>
        <v>20.114999999999998</v>
      </c>
      <c r="F31" s="108">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c r="B32" s="36" t="s">
        <v>356</v>
      </c>
      <c r="C32" s="108">
        <f>C28*$G$4/$G30</f>
        <v>14.9</v>
      </c>
      <c r="D32" s="108">
        <f>D28*$G$4/$G30</f>
        <v>14.9</v>
      </c>
      <c r="E32" s="108">
        <f>E28*$G$4/$G30</f>
        <v>14.9</v>
      </c>
      <c r="F32" s="108">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J6:O6"/>
    <mergeCell ref="C7:H7"/>
    <mergeCell ref="J7:O7"/>
    <mergeCell ref="C21:H2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theme="4"/>
  </sheetPr>
  <dimension ref="B2:CO147"/>
  <sheetViews>
    <sheetView workbookViewId="0">
      <selection activeCell="K36" sqref="K36"/>
    </sheetView>
  </sheetViews>
  <sheetFormatPr defaultRowHeight="14.4"/>
  <cols>
    <col min="2" max="2" width="51.44140625" customWidth="1"/>
    <col min="3" max="8" width="9.33203125" style="87"/>
    <col min="11" max="11" width="43.33203125" customWidth="1"/>
  </cols>
  <sheetData>
    <row r="2" spans="2:93" ht="28.8">
      <c r="B2" s="95" t="s">
        <v>375</v>
      </c>
    </row>
    <row r="3" spans="2:93" ht="15" customHeight="1"/>
    <row r="4" spans="2:93">
      <c r="E4" t="s">
        <v>358</v>
      </c>
      <c r="F4"/>
      <c r="G4" s="36">
        <v>7.45</v>
      </c>
      <c r="H4" t="s">
        <v>328</v>
      </c>
    </row>
    <row r="5" spans="2:93" ht="15"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c r="J6" s="1120">
        <f>C6</f>
        <v>0</v>
      </c>
      <c r="K6" s="1121"/>
      <c r="L6" s="1121"/>
      <c r="M6" s="1121"/>
      <c r="N6" s="1121"/>
      <c r="O6" s="1122"/>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5" thickBot="1">
      <c r="B7" s="88" t="s">
        <v>0</v>
      </c>
      <c r="C7" s="1151" t="s">
        <v>376</v>
      </c>
      <c r="D7" s="1149"/>
      <c r="E7" s="1149"/>
      <c r="F7" s="1149"/>
      <c r="G7" s="1149"/>
      <c r="H7" s="1150"/>
      <c r="J7" s="1001" t="str">
        <f>C7</f>
        <v>Gas engine driven heat pump heat pump</v>
      </c>
      <c r="K7" s="1002"/>
      <c r="L7" s="1002"/>
      <c r="M7" s="1002"/>
      <c r="N7" s="1002"/>
      <c r="O7" s="1003"/>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5" thickBot="1">
      <c r="B8" s="89"/>
      <c r="C8" s="90">
        <v>2015</v>
      </c>
      <c r="D8" s="90">
        <v>2020</v>
      </c>
      <c r="E8" s="90">
        <v>2030</v>
      </c>
      <c r="F8" s="90">
        <v>2050</v>
      </c>
      <c r="G8" s="90" t="s">
        <v>2</v>
      </c>
      <c r="H8" s="91"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28.2" thickBot="1">
      <c r="B9" s="149" t="s">
        <v>4</v>
      </c>
      <c r="C9" s="135"/>
      <c r="D9" s="135"/>
      <c r="E9" s="135"/>
      <c r="F9" s="135"/>
      <c r="G9" s="135"/>
      <c r="H9" s="1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5" thickBot="1">
      <c r="B10" s="150" t="s">
        <v>5</v>
      </c>
      <c r="C10" s="150" t="s">
        <v>43</v>
      </c>
      <c r="D10" s="151" t="s">
        <v>43</v>
      </c>
      <c r="E10" s="151" t="s">
        <v>43</v>
      </c>
      <c r="F10" s="151" t="s">
        <v>43</v>
      </c>
      <c r="G10" s="151" t="s">
        <v>377</v>
      </c>
      <c r="H10" s="151">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5" thickBot="1">
      <c r="B11" s="150" t="s">
        <v>7</v>
      </c>
      <c r="C11" s="127">
        <v>100</v>
      </c>
      <c r="D11" s="158">
        <v>100</v>
      </c>
      <c r="E11" s="158">
        <v>100</v>
      </c>
      <c r="F11" s="158">
        <v>100</v>
      </c>
      <c r="G11" s="153"/>
      <c r="H11" s="153"/>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5" thickBot="1">
      <c r="B12" s="150" t="s">
        <v>8</v>
      </c>
      <c r="C12" s="127">
        <v>100</v>
      </c>
      <c r="D12" s="153">
        <v>100</v>
      </c>
      <c r="E12" s="153">
        <v>100</v>
      </c>
      <c r="F12" s="153">
        <v>100</v>
      </c>
      <c r="G12" s="153"/>
      <c r="H12" s="153"/>
      <c r="J12" s="58">
        <f>C8</f>
        <v>2015</v>
      </c>
      <c r="K12" s="58">
        <f>J12</f>
        <v>2015</v>
      </c>
      <c r="L12" s="58">
        <f>C13/100</f>
        <v>1.5</v>
      </c>
      <c r="M12" s="58"/>
      <c r="N12" s="58">
        <f>C14</f>
        <v>12.5</v>
      </c>
      <c r="O12" s="59">
        <f>C29</f>
        <v>2831</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c r="B13" s="150" t="s">
        <v>363</v>
      </c>
      <c r="C13" s="127">
        <v>150</v>
      </c>
      <c r="D13" s="153">
        <v>155</v>
      </c>
      <c r="E13" s="153">
        <v>155</v>
      </c>
      <c r="F13" s="153">
        <v>160</v>
      </c>
      <c r="G13" s="153"/>
      <c r="H13" s="153">
        <v>14</v>
      </c>
      <c r="J13" s="58">
        <f>D8</f>
        <v>2020</v>
      </c>
      <c r="K13" s="58"/>
      <c r="L13" s="58">
        <f>D13/100</f>
        <v>1.55</v>
      </c>
      <c r="M13" s="58"/>
      <c r="N13" s="58">
        <f>D14</f>
        <v>17.5</v>
      </c>
      <c r="O13" s="59">
        <f>D29</f>
        <v>2831</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 thickBot="1">
      <c r="B14" s="150" t="s">
        <v>11</v>
      </c>
      <c r="C14" s="187">
        <f>(10+15)/2</f>
        <v>12.5</v>
      </c>
      <c r="D14" s="188">
        <f>(15+20)/2</f>
        <v>17.5</v>
      </c>
      <c r="E14" s="188">
        <f>(15+20)/2</f>
        <v>17.5</v>
      </c>
      <c r="F14" s="188">
        <f>(15+20)/2</f>
        <v>17.5</v>
      </c>
      <c r="G14" s="153" t="s">
        <v>59</v>
      </c>
      <c r="H14" s="153"/>
      <c r="J14" s="58">
        <f>E8</f>
        <v>2030</v>
      </c>
      <c r="K14" s="58"/>
      <c r="L14" s="58">
        <f>E13/100</f>
        <v>1.55</v>
      </c>
      <c r="M14" s="58"/>
      <c r="N14" s="58">
        <f>E14</f>
        <v>17.5</v>
      </c>
      <c r="O14" s="59">
        <f>E29</f>
        <v>2831</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c r="B15" s="145" t="s">
        <v>12</v>
      </c>
      <c r="C15" s="135"/>
      <c r="D15" s="135"/>
      <c r="E15" s="135"/>
      <c r="F15" s="135"/>
      <c r="G15" s="135"/>
      <c r="H15" s="136"/>
      <c r="J15" s="58">
        <f>F8</f>
        <v>2050</v>
      </c>
      <c r="K15" s="58"/>
      <c r="L15" s="58">
        <f>F13/100</f>
        <v>1.6</v>
      </c>
      <c r="M15" s="58"/>
      <c r="N15" s="58">
        <f>F14</f>
        <v>17.5</v>
      </c>
      <c r="O15" s="59">
        <f>F29</f>
        <v>2831</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c r="B16" s="150" t="s">
        <v>364</v>
      </c>
      <c r="C16" s="150">
        <v>0</v>
      </c>
      <c r="D16" s="151">
        <v>0</v>
      </c>
      <c r="E16" s="151">
        <v>0</v>
      </c>
      <c r="F16" s="151">
        <v>0</v>
      </c>
      <c r="G16" s="151"/>
      <c r="H16" s="15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c r="B17" s="150" t="s">
        <v>365</v>
      </c>
      <c r="C17" s="189">
        <f>(30+200)/2</f>
        <v>115</v>
      </c>
      <c r="D17" s="188">
        <f>(20+150)/2</f>
        <v>85</v>
      </c>
      <c r="E17" s="188">
        <f>(10+100)/2</f>
        <v>55</v>
      </c>
      <c r="F17" s="188">
        <f>(10+100)/2</f>
        <v>55</v>
      </c>
      <c r="G17" s="153" t="s">
        <v>16</v>
      </c>
      <c r="H17" s="153">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c r="B18" s="150" t="s">
        <v>366</v>
      </c>
      <c r="C18" s="185">
        <v>5</v>
      </c>
      <c r="D18" s="185">
        <v>5</v>
      </c>
      <c r="E18" s="185">
        <v>5</v>
      </c>
      <c r="F18" s="185">
        <v>5</v>
      </c>
      <c r="G18" s="153" t="s">
        <v>20</v>
      </c>
      <c r="H18" s="153"/>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c r="B19" s="150" t="s">
        <v>367</v>
      </c>
      <c r="C19" s="185">
        <v>0</v>
      </c>
      <c r="D19" s="185">
        <v>0</v>
      </c>
      <c r="E19" s="185">
        <v>0</v>
      </c>
      <c r="F19" s="185">
        <v>0</v>
      </c>
      <c r="G19" s="153"/>
      <c r="H19" s="153"/>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c r="B20" s="150" t="s">
        <v>19</v>
      </c>
      <c r="C20" s="185">
        <v>0</v>
      </c>
      <c r="D20" s="185">
        <v>0</v>
      </c>
      <c r="E20" s="185">
        <v>0</v>
      </c>
      <c r="F20" s="185">
        <v>0</v>
      </c>
      <c r="G20" s="153"/>
      <c r="H20" s="153"/>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5" t="s">
        <v>371</v>
      </c>
      <c r="C21" s="1152" t="s">
        <v>384</v>
      </c>
      <c r="D21" s="1152"/>
      <c r="E21" s="1152"/>
      <c r="F21" s="1152"/>
      <c r="G21" s="1152"/>
      <c r="H21" s="1153"/>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c r="B22" s="150" t="s">
        <v>23</v>
      </c>
      <c r="C22" s="154" t="s">
        <v>379</v>
      </c>
      <c r="D22" s="154" t="s">
        <v>380</v>
      </c>
      <c r="E22" s="154" t="s">
        <v>380</v>
      </c>
      <c r="F22" s="154" t="s">
        <v>380</v>
      </c>
      <c r="G22" s="154" t="s">
        <v>374</v>
      </c>
      <c r="H22" s="154">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c r="B23" s="150" t="s">
        <v>24</v>
      </c>
      <c r="C23" s="154">
        <f>4+15</f>
        <v>19</v>
      </c>
      <c r="D23" s="154">
        <f>4+15</f>
        <v>19</v>
      </c>
      <c r="E23" s="154">
        <f>4+15</f>
        <v>19</v>
      </c>
      <c r="F23" s="154">
        <f>4+15</f>
        <v>19</v>
      </c>
      <c r="G23" s="154" t="s">
        <v>385</v>
      </c>
      <c r="H23" s="154"/>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c r="B24" s="150" t="s">
        <v>26</v>
      </c>
      <c r="C24" s="154">
        <v>51</v>
      </c>
      <c r="D24" s="154">
        <v>51</v>
      </c>
      <c r="E24" s="154">
        <v>51</v>
      </c>
      <c r="F24" s="154">
        <v>51</v>
      </c>
      <c r="G24" s="154"/>
      <c r="H24" s="154"/>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c r="B25" s="150" t="s">
        <v>28</v>
      </c>
      <c r="C25" s="154">
        <v>49</v>
      </c>
      <c r="D25" s="154">
        <v>49</v>
      </c>
      <c r="E25" s="154">
        <v>49</v>
      </c>
      <c r="F25" s="154">
        <v>49</v>
      </c>
      <c r="G25" s="154"/>
      <c r="H25" s="154"/>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c r="B26" s="150" t="s">
        <v>369</v>
      </c>
      <c r="C26" s="156" t="s">
        <v>386</v>
      </c>
      <c r="D26" s="154" t="s">
        <v>386</v>
      </c>
      <c r="E26" s="154" t="s">
        <v>386</v>
      </c>
      <c r="F26" s="154" t="s">
        <v>386</v>
      </c>
      <c r="G26" s="154" t="s">
        <v>387</v>
      </c>
      <c r="H26" s="154"/>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c r="B27" s="150" t="s">
        <v>64</v>
      </c>
      <c r="C27" s="156">
        <v>135</v>
      </c>
      <c r="D27" s="154">
        <v>135</v>
      </c>
      <c r="E27" s="154">
        <v>135</v>
      </c>
      <c r="F27" s="154">
        <v>135</v>
      </c>
      <c r="G27" s="154" t="s">
        <v>382</v>
      </c>
      <c r="H27" s="154"/>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c r="B28" s="150" t="s">
        <v>407</v>
      </c>
      <c r="C28" s="154">
        <v>100</v>
      </c>
      <c r="D28" s="154">
        <v>100</v>
      </c>
      <c r="E28" s="154">
        <v>100</v>
      </c>
      <c r="F28" s="154">
        <v>100</v>
      </c>
      <c r="G28" s="154" t="s">
        <v>383</v>
      </c>
      <c r="H28" s="154"/>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2831</v>
      </c>
      <c r="D29" s="42">
        <f>D30/$G30</f>
        <v>2831</v>
      </c>
      <c r="E29" s="42">
        <f>E30/$G30</f>
        <v>2831</v>
      </c>
      <c r="F29" s="42">
        <f>F30/$G30</f>
        <v>2831</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141550</v>
      </c>
      <c r="D30" s="42">
        <f>D23*$G$4*1000</f>
        <v>141550</v>
      </c>
      <c r="E30" s="42">
        <f>E23*$G$4*1000</f>
        <v>141550</v>
      </c>
      <c r="F30" s="42">
        <f>F23*$G$4*1000</f>
        <v>141550</v>
      </c>
      <c r="G30" s="67">
        <v>50</v>
      </c>
      <c r="H30" s="63" t="s">
        <v>330</v>
      </c>
      <c r="I30" s="63" t="s">
        <v>332</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8">
        <f>C27*$G$4/$G30</f>
        <v>20.114999999999998</v>
      </c>
      <c r="D31" s="108">
        <f>D27*$G$4/$G30</f>
        <v>20.114999999999998</v>
      </c>
      <c r="E31" s="108">
        <f>E27*$G$4/$G30</f>
        <v>20.114999999999998</v>
      </c>
      <c r="F31" s="108">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c r="B32" s="36" t="s">
        <v>356</v>
      </c>
      <c r="C32" s="108">
        <f>C28*$G$4/$G30</f>
        <v>14.9</v>
      </c>
      <c r="D32" s="108">
        <f>D28*$G$4/$G30</f>
        <v>14.9</v>
      </c>
      <c r="E32" s="108">
        <f>E28*$G$4/$G30</f>
        <v>14.9</v>
      </c>
      <c r="F32" s="108">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C7:H7"/>
    <mergeCell ref="C21:H21"/>
    <mergeCell ref="J6:O6"/>
    <mergeCell ref="J7:O7"/>
  </mergeCell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theme="4"/>
  </sheetPr>
  <dimension ref="B3:CZ134"/>
  <sheetViews>
    <sheetView topLeftCell="A19" zoomScaleNormal="100" workbookViewId="0">
      <selection activeCell="C31" sqref="C31"/>
    </sheetView>
  </sheetViews>
  <sheetFormatPr defaultRowHeight="14.4"/>
  <cols>
    <col min="2" max="2" width="51.44140625" customWidth="1"/>
    <col min="3" max="8" width="9.33203125" style="87"/>
    <col min="11" max="12" width="8.6640625" customWidth="1"/>
    <col min="13" max="13" width="9" customWidth="1"/>
  </cols>
  <sheetData>
    <row r="3" spans="2:104" ht="28.8">
      <c r="B3" s="86" t="s">
        <v>388</v>
      </c>
    </row>
    <row r="4" spans="2:104" ht="15" customHeight="1">
      <c r="E4" t="s">
        <v>358</v>
      </c>
      <c r="F4"/>
      <c r="G4" s="36">
        <v>7.45</v>
      </c>
      <c r="H4" t="s">
        <v>328</v>
      </c>
      <c r="K4" s="96"/>
      <c r="L4" s="96"/>
    </row>
    <row r="5" spans="2:104" ht="15" customHeight="1" thickBot="1">
      <c r="E5"/>
      <c r="F5"/>
      <c r="G5" s="36"/>
      <c r="H5"/>
      <c r="K5" s="96"/>
      <c r="L5" s="96"/>
    </row>
    <row r="6" spans="2:104" ht="15" thickBot="1">
      <c r="C6" s="1151" t="s">
        <v>372</v>
      </c>
      <c r="D6" s="1149"/>
      <c r="E6" s="1149"/>
      <c r="F6" s="1149"/>
      <c r="G6" s="1149"/>
      <c r="H6" s="1150"/>
      <c r="J6" s="1120" t="str">
        <f>C6</f>
        <v>Absorption heat pump, brine-to-water</v>
      </c>
      <c r="K6" s="1121"/>
      <c r="L6" s="1121"/>
      <c r="M6" s="1121"/>
      <c r="N6" s="1121"/>
      <c r="O6" s="1122"/>
    </row>
    <row r="7" spans="2:104" s="8" customFormat="1" ht="15.75" customHeight="1" thickBot="1">
      <c r="B7" s="145" t="s">
        <v>0</v>
      </c>
      <c r="C7" s="1151" t="s">
        <v>372</v>
      </c>
      <c r="D7" s="1149"/>
      <c r="E7" s="1149"/>
      <c r="F7" s="1149"/>
      <c r="G7" s="1149"/>
      <c r="H7" s="1150"/>
      <c r="J7" s="1001" t="str">
        <f>C7</f>
        <v>Absorption heat pump, brine-to-water</v>
      </c>
      <c r="K7" s="1002"/>
      <c r="L7" s="1002"/>
      <c r="M7" s="1002"/>
      <c r="N7" s="1002"/>
      <c r="O7" s="1003"/>
      <c r="P7"/>
      <c r="Q7"/>
      <c r="R7"/>
      <c r="S7"/>
      <c r="T7"/>
      <c r="U7"/>
      <c r="V7"/>
      <c r="W7"/>
      <c r="X7"/>
    </row>
    <row r="8" spans="2:104" ht="15" thickBot="1">
      <c r="B8" s="146"/>
      <c r="C8" s="147">
        <v>2015</v>
      </c>
      <c r="D8" s="147">
        <v>2020</v>
      </c>
      <c r="E8" s="147">
        <v>2030</v>
      </c>
      <c r="F8" s="147">
        <v>2050</v>
      </c>
      <c r="G8" s="147" t="s">
        <v>2</v>
      </c>
      <c r="H8" s="148"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row>
    <row r="9" spans="2:104" ht="15.75" customHeight="1" thickBot="1">
      <c r="B9" s="145" t="s">
        <v>4</v>
      </c>
      <c r="C9" s="135"/>
      <c r="D9" s="135"/>
      <c r="E9" s="135"/>
      <c r="F9" s="135"/>
      <c r="G9" s="135"/>
      <c r="H9" s="1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row>
    <row r="10" spans="2:104" ht="15.75" customHeight="1" thickBot="1">
      <c r="B10" s="150" t="s">
        <v>5</v>
      </c>
      <c r="C10" s="160" t="s">
        <v>389</v>
      </c>
      <c r="D10" s="160"/>
      <c r="E10" s="160"/>
      <c r="F10" s="160"/>
      <c r="G10" s="160" t="s">
        <v>390</v>
      </c>
      <c r="H10" s="152"/>
      <c r="J10" s="50"/>
      <c r="K10" s="50"/>
      <c r="L10" s="51"/>
      <c r="M10" s="51"/>
      <c r="N10" s="51"/>
      <c r="O10" s="52"/>
      <c r="P10" s="50"/>
      <c r="Q10" s="50"/>
      <c r="R10" s="50"/>
      <c r="S10" s="50"/>
      <c r="T10" s="50"/>
      <c r="U10" s="50"/>
      <c r="V10" s="50"/>
      <c r="W10" s="50"/>
      <c r="X10" s="50"/>
      <c r="Y10" s="8"/>
      <c r="Z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row>
    <row r="11" spans="2:104" ht="15.75" customHeight="1" thickBot="1">
      <c r="B11" s="150" t="s">
        <v>7</v>
      </c>
      <c r="C11" s="150">
        <v>100</v>
      </c>
      <c r="D11" s="151">
        <v>100</v>
      </c>
      <c r="E11" s="151">
        <v>100</v>
      </c>
      <c r="F11" s="151">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row>
    <row r="12" spans="2:104" ht="15.75" customHeight="1" thickBot="1">
      <c r="B12" s="150" t="s">
        <v>8</v>
      </c>
      <c r="C12" s="127">
        <v>100</v>
      </c>
      <c r="D12" s="153">
        <v>100</v>
      </c>
      <c r="E12" s="153">
        <v>100</v>
      </c>
      <c r="F12" s="153">
        <v>100</v>
      </c>
      <c r="G12" s="153"/>
      <c r="H12" s="153"/>
      <c r="J12" s="58">
        <f>C8</f>
        <v>2015</v>
      </c>
      <c r="K12" s="58">
        <f>J12</f>
        <v>2015</v>
      </c>
      <c r="L12" s="58">
        <f>C13/100</f>
        <v>1.35</v>
      </c>
      <c r="M12" s="58"/>
      <c r="N12" s="58">
        <f>C14</f>
        <v>20</v>
      </c>
      <c r="O12" s="59">
        <f>C29</f>
        <v>13037.5</v>
      </c>
      <c r="P12" s="59">
        <f>C31</f>
        <v>125.71875</v>
      </c>
      <c r="Q12" s="59">
        <f>C32</f>
        <v>93.125</v>
      </c>
      <c r="R12" s="58"/>
      <c r="S12" s="58"/>
      <c r="T12" s="58">
        <f>C16</f>
        <v>0</v>
      </c>
      <c r="U12" s="58">
        <f>C17</f>
        <v>20</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row>
    <row r="13" spans="2:104" ht="15.75" customHeight="1" thickBot="1">
      <c r="B13" s="150" t="s">
        <v>363</v>
      </c>
      <c r="C13" s="127">
        <v>135</v>
      </c>
      <c r="D13" s="188">
        <f>C13</f>
        <v>135</v>
      </c>
      <c r="E13" s="188">
        <f>D13</f>
        <v>135</v>
      </c>
      <c r="F13" s="188">
        <f>E13</f>
        <v>135</v>
      </c>
      <c r="G13" s="153" t="s">
        <v>59</v>
      </c>
      <c r="H13" s="153" t="s">
        <v>391</v>
      </c>
      <c r="J13" s="58">
        <f>D8</f>
        <v>2020</v>
      </c>
      <c r="K13" s="58"/>
      <c r="L13" s="58">
        <f>D13/100</f>
        <v>1.35</v>
      </c>
      <c r="M13" s="58"/>
      <c r="N13" s="58">
        <f>D14</f>
        <v>20</v>
      </c>
      <c r="O13" s="59">
        <f>D29</f>
        <v>13037.5</v>
      </c>
      <c r="P13" s="59">
        <f>D31</f>
        <v>125.71875</v>
      </c>
      <c r="Q13" s="59">
        <f>D32</f>
        <v>93.125</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row>
    <row r="14" spans="2:104" ht="15.75" customHeight="1" thickBot="1">
      <c r="B14" s="150" t="s">
        <v>11</v>
      </c>
      <c r="C14" s="127">
        <v>20</v>
      </c>
      <c r="D14" s="153">
        <v>20</v>
      </c>
      <c r="E14" s="153">
        <v>20</v>
      </c>
      <c r="F14" s="153">
        <v>20</v>
      </c>
      <c r="G14" s="153" t="s">
        <v>25</v>
      </c>
      <c r="H14" s="153"/>
      <c r="J14" s="58">
        <f>E8</f>
        <v>2030</v>
      </c>
      <c r="K14" s="58"/>
      <c r="L14" s="58">
        <f>E13/100</f>
        <v>1.35</v>
      </c>
      <c r="M14" s="58"/>
      <c r="N14" s="58">
        <f>E14</f>
        <v>20</v>
      </c>
      <c r="O14" s="59">
        <f>E29</f>
        <v>13037.5</v>
      </c>
      <c r="P14" s="59">
        <f>E31</f>
        <v>125.71875</v>
      </c>
      <c r="Q14" s="59">
        <f>E32</f>
        <v>93.125</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row>
    <row r="15" spans="2:104" ht="15.75" customHeight="1" thickBot="1">
      <c r="B15" s="145" t="s">
        <v>12</v>
      </c>
      <c r="C15" s="135"/>
      <c r="D15" s="135"/>
      <c r="E15" s="135"/>
      <c r="F15" s="135"/>
      <c r="G15" s="135"/>
      <c r="H15" s="136"/>
      <c r="J15" s="58">
        <f>F8</f>
        <v>2050</v>
      </c>
      <c r="K15" s="58"/>
      <c r="L15" s="58">
        <f>F13/100</f>
        <v>1.35</v>
      </c>
      <c r="M15" s="58"/>
      <c r="N15" s="58">
        <f>F14</f>
        <v>20</v>
      </c>
      <c r="O15" s="59">
        <f>F29</f>
        <v>13037.5</v>
      </c>
      <c r="P15" s="59">
        <f>F31</f>
        <v>125.71875</v>
      </c>
      <c r="Q15" s="59">
        <f>F32</f>
        <v>93.125</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row>
    <row r="16" spans="2:104" ht="15.75" customHeight="1" thickBot="1">
      <c r="B16" s="150" t="s">
        <v>364</v>
      </c>
      <c r="C16" s="161">
        <v>0</v>
      </c>
      <c r="D16" s="161">
        <v>0</v>
      </c>
      <c r="E16" s="161">
        <v>0</v>
      </c>
      <c r="F16" s="161">
        <v>0</v>
      </c>
      <c r="G16" s="162"/>
      <c r="H16" s="163"/>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row>
    <row r="17" spans="2:104" ht="15.75" customHeight="1" thickBot="1">
      <c r="B17" s="150" t="s">
        <v>365</v>
      </c>
      <c r="C17" s="156">
        <v>20</v>
      </c>
      <c r="D17" s="156">
        <v>10</v>
      </c>
      <c r="E17" s="156">
        <v>5</v>
      </c>
      <c r="F17" s="189">
        <f>E17</f>
        <v>5</v>
      </c>
      <c r="G17" s="154" t="s">
        <v>20</v>
      </c>
      <c r="H17" s="163"/>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row>
    <row r="18" spans="2:104" ht="15.75" customHeight="1" thickBot="1">
      <c r="B18" s="150" t="s">
        <v>366</v>
      </c>
      <c r="C18" s="156">
        <v>2</v>
      </c>
      <c r="D18" s="156">
        <v>1</v>
      </c>
      <c r="E18" s="156">
        <v>0.5</v>
      </c>
      <c r="F18" s="189">
        <f>E18</f>
        <v>0.5</v>
      </c>
      <c r="G18" s="154" t="s">
        <v>20</v>
      </c>
      <c r="H18" s="163"/>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150" t="s">
        <v>367</v>
      </c>
      <c r="C19" s="156">
        <v>0</v>
      </c>
      <c r="D19" s="156">
        <v>0</v>
      </c>
      <c r="E19" s="156">
        <v>0</v>
      </c>
      <c r="F19" s="156">
        <v>0</v>
      </c>
      <c r="G19" s="154"/>
      <c r="H19" s="163"/>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150" t="s">
        <v>19</v>
      </c>
      <c r="C20" s="156">
        <v>0</v>
      </c>
      <c r="D20" s="156">
        <v>0</v>
      </c>
      <c r="E20" s="156">
        <v>0</v>
      </c>
      <c r="F20" s="156">
        <v>0</v>
      </c>
      <c r="G20" s="154"/>
      <c r="H20" s="163"/>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88" t="s">
        <v>22</v>
      </c>
      <c r="C21" s="97"/>
      <c r="D21" s="97"/>
      <c r="E21" s="97"/>
      <c r="F21" s="97"/>
      <c r="G21" s="97"/>
      <c r="H21" s="68" t="s">
        <v>329</v>
      </c>
      <c r="I21" s="80"/>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93" t="s">
        <v>23</v>
      </c>
      <c r="C22" s="35">
        <f>C23/$G30</f>
        <v>1.75</v>
      </c>
      <c r="D22" s="35">
        <f>D23/$G30</f>
        <v>1.75</v>
      </c>
      <c r="E22" s="35">
        <f>E23/$G30</f>
        <v>1.75</v>
      </c>
      <c r="F22" s="35">
        <f>F23/$G30</f>
        <v>1.75</v>
      </c>
      <c r="G22" s="98" t="s">
        <v>52</v>
      </c>
      <c r="H22" s="73" t="str">
        <f>H30</f>
        <v>kW</v>
      </c>
      <c r="I22" s="73">
        <f>I30</f>
        <v>0</v>
      </c>
      <c r="J22" s="64"/>
      <c r="K22" s="64"/>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93" t="s">
        <v>24</v>
      </c>
      <c r="C23" s="103">
        <f>(10+4)</f>
        <v>14</v>
      </c>
      <c r="D23" s="103">
        <f>(10+4)</f>
        <v>14</v>
      </c>
      <c r="E23" s="103">
        <f>(10+4)</f>
        <v>14</v>
      </c>
      <c r="F23" s="103">
        <f>(10+4)</f>
        <v>14</v>
      </c>
      <c r="G23" s="94" t="s">
        <v>392</v>
      </c>
      <c r="H23" s="94"/>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99" t="s">
        <v>26</v>
      </c>
      <c r="C24" s="102">
        <v>71</v>
      </c>
      <c r="D24" s="102">
        <v>71</v>
      </c>
      <c r="E24" s="102">
        <v>71</v>
      </c>
      <c r="F24" s="102">
        <v>71</v>
      </c>
      <c r="G24" s="94"/>
      <c r="H24" s="94"/>
      <c r="J24" s="64"/>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99" t="s">
        <v>28</v>
      </c>
      <c r="C25" s="101">
        <v>29</v>
      </c>
      <c r="D25" s="101">
        <v>29</v>
      </c>
      <c r="E25" s="101">
        <v>29</v>
      </c>
      <c r="F25" s="101">
        <v>29</v>
      </c>
      <c r="G25" s="94"/>
      <c r="H25" s="94"/>
      <c r="J25" s="65"/>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99" t="s">
        <v>369</v>
      </c>
      <c r="C26" s="100">
        <v>1.6</v>
      </c>
      <c r="D26" s="100">
        <v>1.6</v>
      </c>
      <c r="E26" s="100">
        <v>1.6</v>
      </c>
      <c r="F26" s="100">
        <v>1.6</v>
      </c>
      <c r="G26" s="94" t="s">
        <v>109</v>
      </c>
      <c r="H26" s="94"/>
      <c r="J26" s="65"/>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93" t="s">
        <v>50</v>
      </c>
      <c r="C27" s="94">
        <v>135</v>
      </c>
      <c r="D27" s="94">
        <v>135</v>
      </c>
      <c r="E27" s="94">
        <v>135</v>
      </c>
      <c r="F27" s="94">
        <v>135</v>
      </c>
      <c r="G27" s="94"/>
      <c r="H27" s="94"/>
      <c r="J27" s="65"/>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93" t="s">
        <v>370</v>
      </c>
      <c r="C28" s="94">
        <v>100</v>
      </c>
      <c r="D28" s="94">
        <v>100</v>
      </c>
      <c r="E28" s="94">
        <v>100</v>
      </c>
      <c r="F28" s="94">
        <v>100</v>
      </c>
      <c r="G28" s="94"/>
      <c r="H28" s="94"/>
      <c r="J28" s="65"/>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c r="B29" s="36" t="s">
        <v>353</v>
      </c>
      <c r="C29" s="42">
        <f>C30/$G30</f>
        <v>13037.5</v>
      </c>
      <c r="D29" s="42">
        <f>D30/$G30</f>
        <v>13037.5</v>
      </c>
      <c r="E29" s="42">
        <f>E30/$G30</f>
        <v>13037.5</v>
      </c>
      <c r="F29" s="42">
        <f>F30/$G30</f>
        <v>13037.5</v>
      </c>
      <c r="G29" s="63" t="s">
        <v>332</v>
      </c>
      <c r="H29" s="63"/>
      <c r="J29" s="64"/>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c r="B30" s="36" t="s">
        <v>354</v>
      </c>
      <c r="C30" s="42">
        <f>C23*$G$4*1000</f>
        <v>104300</v>
      </c>
      <c r="D30" s="42">
        <f>D23*$G$4*1000</f>
        <v>104300</v>
      </c>
      <c r="E30" s="42">
        <f>E23*$G$4*1000</f>
        <v>104300</v>
      </c>
      <c r="F30" s="42">
        <f>F23*$G$4*1000</f>
        <v>104300</v>
      </c>
      <c r="G30" s="67">
        <v>8</v>
      </c>
      <c r="H30" s="63" t="s">
        <v>330</v>
      </c>
      <c r="J30" s="64"/>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c r="B31" s="36" t="s">
        <v>355</v>
      </c>
      <c r="C31" s="42">
        <f>C27*$G$4/$G30</f>
        <v>125.71875</v>
      </c>
      <c r="D31" s="42">
        <f>D27*$G$4/$G30</f>
        <v>125.71875</v>
      </c>
      <c r="E31" s="42">
        <f>E27*$G$4/$G30</f>
        <v>125.71875</v>
      </c>
      <c r="F31" s="42">
        <f>F27*$G$4/$G30</f>
        <v>125.71875</v>
      </c>
      <c r="G31" s="63" t="s">
        <v>333</v>
      </c>
      <c r="H31" s="63"/>
      <c r="J31" s="64"/>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 thickBot="1">
      <c r="B32" s="36" t="s">
        <v>356</v>
      </c>
      <c r="C32" s="42">
        <f>C28*$G$4/$G30</f>
        <v>93.125</v>
      </c>
      <c r="D32" s="42">
        <f>D28*$G$4/$G30</f>
        <v>93.125</v>
      </c>
      <c r="E32" s="42">
        <f>E28*$G$4/$G30</f>
        <v>93.125</v>
      </c>
      <c r="F32" s="42">
        <f>F28*$G$4/$G30</f>
        <v>93.125</v>
      </c>
      <c r="G32" s="66"/>
      <c r="H32" s="63"/>
      <c r="J32" s="64"/>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3:104">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3:104">
      <c r="C34"/>
      <c r="D34"/>
      <c r="E34"/>
      <c r="F34"/>
      <c r="G34"/>
      <c r="H34"/>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3:104">
      <c r="C35"/>
      <c r="D35"/>
      <c r="E35"/>
      <c r="F35"/>
      <c r="G35"/>
      <c r="H35"/>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3:104">
      <c r="C36"/>
      <c r="D36"/>
      <c r="E36"/>
      <c r="F36"/>
      <c r="G36"/>
      <c r="H36"/>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3:104">
      <c r="C37"/>
      <c r="D37"/>
      <c r="E37"/>
      <c r="F37"/>
      <c r="G37"/>
      <c r="H37"/>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3:104">
      <c r="C38"/>
      <c r="D38"/>
      <c r="E38"/>
      <c r="F38"/>
      <c r="G38"/>
      <c r="H3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3:104">
      <c r="C39"/>
      <c r="D39"/>
      <c r="E39"/>
      <c r="F39"/>
      <c r="G39"/>
      <c r="H39"/>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3:104">
      <c r="C40"/>
      <c r="D40"/>
      <c r="E40"/>
      <c r="F40"/>
      <c r="G40"/>
      <c r="H40"/>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3:104">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3:104">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3:104">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3:104">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3:104">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3:104">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3:104">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3:104">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sheetData>
  <mergeCells count="4">
    <mergeCell ref="C6:H6"/>
    <mergeCell ref="J6:O6"/>
    <mergeCell ref="J7:O7"/>
    <mergeCell ref="C7:H7"/>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theme="4"/>
  </sheetPr>
  <dimension ref="B3:H55"/>
  <sheetViews>
    <sheetView topLeftCell="A37" workbookViewId="0">
      <selection activeCell="K36" sqref="K36"/>
    </sheetView>
  </sheetViews>
  <sheetFormatPr defaultRowHeight="14.4"/>
  <cols>
    <col min="2" max="2" width="36.6640625" customWidth="1"/>
  </cols>
  <sheetData>
    <row r="3" spans="2:8">
      <c r="B3" s="8" t="s">
        <v>316</v>
      </c>
    </row>
    <row r="5" spans="2:8" ht="15" thickBot="1"/>
    <row r="6" spans="2:8">
      <c r="B6" s="1118" t="s">
        <v>0</v>
      </c>
      <c r="C6" s="1120" t="s">
        <v>117</v>
      </c>
      <c r="D6" s="1121"/>
      <c r="E6" s="1121"/>
      <c r="F6" s="1121"/>
      <c r="G6" s="1121"/>
      <c r="H6" s="1122"/>
    </row>
    <row r="7" spans="2:8" ht="15" thickBot="1">
      <c r="B7" s="1119"/>
      <c r="C7" s="1001" t="s">
        <v>34</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
        <v>2</v>
      </c>
      <c r="D10" s="2">
        <v>2</v>
      </c>
      <c r="E10" s="2">
        <v>2</v>
      </c>
      <c r="F10" s="2">
        <v>2</v>
      </c>
      <c r="G10" s="2"/>
      <c r="H10" s="2"/>
    </row>
    <row r="11" spans="2:8" ht="24.6" thickBot="1">
      <c r="B11" s="1" t="s">
        <v>7</v>
      </c>
      <c r="C11" s="2">
        <v>40</v>
      </c>
      <c r="D11" s="2">
        <v>40</v>
      </c>
      <c r="E11" s="2">
        <v>40</v>
      </c>
      <c r="F11" s="2">
        <v>40</v>
      </c>
      <c r="G11" s="2" t="s">
        <v>6</v>
      </c>
      <c r="H11" s="2"/>
    </row>
    <row r="12" spans="2:8" ht="24.6" thickBot="1">
      <c r="B12" s="1" t="s">
        <v>8</v>
      </c>
      <c r="C12" s="2">
        <v>0</v>
      </c>
      <c r="D12" s="2">
        <v>0</v>
      </c>
      <c r="E12" s="2">
        <v>0</v>
      </c>
      <c r="F12" s="2">
        <v>0</v>
      </c>
      <c r="G12" s="2" t="s">
        <v>59</v>
      </c>
      <c r="H12" s="2"/>
    </row>
    <row r="13" spans="2:8" ht="15" thickBot="1">
      <c r="B13" s="1" t="s">
        <v>9</v>
      </c>
      <c r="C13" s="2">
        <v>300</v>
      </c>
      <c r="D13" s="2">
        <v>310</v>
      </c>
      <c r="E13" s="2">
        <v>340</v>
      </c>
      <c r="F13" s="2">
        <v>350</v>
      </c>
      <c r="G13" s="2"/>
      <c r="H13" s="2" t="s">
        <v>118</v>
      </c>
    </row>
    <row r="14" spans="2:8" ht="15" thickBot="1">
      <c r="B14" s="1" t="s">
        <v>11</v>
      </c>
      <c r="C14" s="2">
        <v>20</v>
      </c>
      <c r="D14" s="2">
        <v>20</v>
      </c>
      <c r="E14" s="2">
        <v>20</v>
      </c>
      <c r="F14" s="2">
        <v>20</v>
      </c>
      <c r="G14" s="2"/>
      <c r="H14" s="2">
        <v>4</v>
      </c>
    </row>
    <row r="15" spans="2:8" ht="15" thickBot="1">
      <c r="B15" s="3" t="s">
        <v>12</v>
      </c>
      <c r="C15" s="18"/>
      <c r="D15" s="18"/>
      <c r="E15" s="18"/>
      <c r="F15" s="18"/>
      <c r="G15" s="18"/>
      <c r="H15" s="2"/>
    </row>
    <row r="16" spans="2:8" ht="27" customHeight="1" thickBot="1">
      <c r="B16" s="1" t="s">
        <v>13</v>
      </c>
      <c r="C16" s="1140" t="s">
        <v>98</v>
      </c>
      <c r="D16" s="1141"/>
      <c r="E16" s="1141"/>
      <c r="F16" s="1141"/>
      <c r="G16" s="1141"/>
      <c r="H16" s="1142"/>
    </row>
    <row r="17" spans="2:8" ht="15.6" thickBot="1">
      <c r="B17" s="1" t="s">
        <v>15</v>
      </c>
      <c r="C17" s="1143"/>
      <c r="D17" s="1144"/>
      <c r="E17" s="1144"/>
      <c r="F17" s="1144"/>
      <c r="G17" s="1144"/>
      <c r="H17" s="1145"/>
    </row>
    <row r="18" spans="2:8" ht="15.6" thickBot="1">
      <c r="B18" s="1" t="s">
        <v>17</v>
      </c>
      <c r="C18" s="1143"/>
      <c r="D18" s="1144"/>
      <c r="E18" s="1144"/>
      <c r="F18" s="1144"/>
      <c r="G18" s="1144"/>
      <c r="H18" s="1145"/>
    </row>
    <row r="19" spans="2:8" ht="15.6" thickBot="1">
      <c r="B19" s="1" t="s">
        <v>18</v>
      </c>
      <c r="C19" s="1143"/>
      <c r="D19" s="1144"/>
      <c r="E19" s="1144"/>
      <c r="F19" s="1144"/>
      <c r="G19" s="1144"/>
      <c r="H19" s="1145"/>
    </row>
    <row r="20" spans="2:8" ht="15" thickBot="1">
      <c r="B20" s="1" t="s">
        <v>19</v>
      </c>
      <c r="C20" s="1146"/>
      <c r="D20" s="1147"/>
      <c r="E20" s="1147"/>
      <c r="F20" s="1147"/>
      <c r="G20" s="1147"/>
      <c r="H20" s="1148"/>
    </row>
    <row r="21" spans="2:8" ht="15" thickBot="1">
      <c r="B21" s="3" t="s">
        <v>22</v>
      </c>
      <c r="C21" s="18"/>
      <c r="D21" s="18"/>
      <c r="E21" s="18"/>
      <c r="F21" s="18"/>
      <c r="G21" s="18"/>
      <c r="H21" s="2"/>
    </row>
    <row r="22" spans="2:8" ht="15" thickBot="1">
      <c r="B22" s="1" t="s">
        <v>23</v>
      </c>
      <c r="C22" s="2"/>
      <c r="D22" s="2"/>
      <c r="E22" s="2"/>
      <c r="F22" s="2"/>
      <c r="G22" s="2"/>
      <c r="H22" s="2"/>
    </row>
    <row r="23" spans="2:8">
      <c r="B23" s="6" t="s">
        <v>24</v>
      </c>
      <c r="C23" s="7">
        <v>2.5</v>
      </c>
      <c r="D23" s="7">
        <v>2.4</v>
      </c>
      <c r="E23" s="7">
        <v>2.2000000000000002</v>
      </c>
      <c r="F23" s="7">
        <v>2.1</v>
      </c>
      <c r="G23" s="7" t="s">
        <v>119</v>
      </c>
      <c r="H23" s="7" t="s">
        <v>65</v>
      </c>
    </row>
    <row r="24" spans="2:8">
      <c r="B24" s="6" t="s">
        <v>26</v>
      </c>
      <c r="C24" s="7" t="s">
        <v>120</v>
      </c>
      <c r="D24" s="7">
        <v>90</v>
      </c>
      <c r="E24" s="7">
        <v>90</v>
      </c>
      <c r="F24" s="7">
        <v>90</v>
      </c>
      <c r="G24" s="7" t="s">
        <v>20</v>
      </c>
      <c r="H24" s="7"/>
    </row>
    <row r="25" spans="2:8" ht="15" thickBot="1">
      <c r="B25" s="1" t="s">
        <v>96</v>
      </c>
      <c r="C25" s="2" t="s">
        <v>121</v>
      </c>
      <c r="D25" s="2">
        <v>10</v>
      </c>
      <c r="E25" s="2">
        <v>10</v>
      </c>
      <c r="F25" s="2">
        <v>10</v>
      </c>
      <c r="G25" s="2" t="s">
        <v>20</v>
      </c>
      <c r="H25" s="2"/>
    </row>
    <row r="26" spans="2:8" ht="24.6" thickBot="1">
      <c r="B26" s="1" t="s">
        <v>30</v>
      </c>
      <c r="C26" s="2"/>
      <c r="D26" s="2"/>
      <c r="E26" s="2"/>
      <c r="F26" s="2"/>
      <c r="G26" s="2"/>
      <c r="H26" s="2"/>
    </row>
    <row r="27" spans="2:8" ht="15" thickBot="1">
      <c r="B27" s="1" t="s">
        <v>64</v>
      </c>
      <c r="C27" s="2">
        <v>44</v>
      </c>
      <c r="D27" s="2">
        <v>44</v>
      </c>
      <c r="E27" s="2">
        <v>44</v>
      </c>
      <c r="F27" s="2">
        <v>44</v>
      </c>
      <c r="G27" s="2" t="s">
        <v>76</v>
      </c>
      <c r="H27" s="2">
        <v>2</v>
      </c>
    </row>
    <row r="28" spans="2:8" ht="15" thickBot="1">
      <c r="B28" s="1" t="s">
        <v>31</v>
      </c>
      <c r="C28" s="2"/>
      <c r="D28" s="2"/>
      <c r="E28" s="2"/>
      <c r="F28" s="2"/>
      <c r="G28" s="2"/>
      <c r="H28" s="2"/>
    </row>
    <row r="32" spans="2:8" ht="15" thickBot="1"/>
    <row r="33" spans="2:8">
      <c r="B33" s="1118" t="s">
        <v>0</v>
      </c>
      <c r="C33" s="1120" t="s">
        <v>117</v>
      </c>
      <c r="D33" s="1121"/>
      <c r="E33" s="1121"/>
      <c r="F33" s="1121"/>
      <c r="G33" s="1121"/>
      <c r="H33" s="1122"/>
    </row>
    <row r="34" spans="2:8" ht="15" thickBot="1">
      <c r="B34" s="1119"/>
      <c r="C34" s="1001" t="s">
        <v>35</v>
      </c>
      <c r="D34" s="1002"/>
      <c r="E34" s="1002"/>
      <c r="F34" s="1002"/>
      <c r="G34" s="1002"/>
      <c r="H34" s="100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 t="s">
        <v>122</v>
      </c>
      <c r="D37" s="2" t="s">
        <v>122</v>
      </c>
      <c r="E37" s="2" t="s">
        <v>122</v>
      </c>
      <c r="F37" s="2" t="s">
        <v>122</v>
      </c>
      <c r="G37" s="2"/>
      <c r="H37" s="2"/>
    </row>
    <row r="38" spans="2:8" ht="24.6" thickBot="1">
      <c r="B38" s="1" t="s">
        <v>7</v>
      </c>
      <c r="C38" s="2">
        <v>40</v>
      </c>
      <c r="D38" s="2">
        <v>40</v>
      </c>
      <c r="E38" s="2">
        <v>40</v>
      </c>
      <c r="F38" s="2">
        <v>40</v>
      </c>
      <c r="G38" s="2" t="s">
        <v>6</v>
      </c>
      <c r="H38" s="2"/>
    </row>
    <row r="39" spans="2:8" ht="24.6" thickBot="1">
      <c r="B39" s="1" t="s">
        <v>8</v>
      </c>
      <c r="C39" s="2">
        <v>0</v>
      </c>
      <c r="D39" s="2">
        <v>0</v>
      </c>
      <c r="E39" s="2">
        <v>0</v>
      </c>
      <c r="F39" s="2">
        <v>0</v>
      </c>
      <c r="G39" s="2"/>
      <c r="H39" s="2"/>
    </row>
    <row r="40" spans="2:8" ht="15" thickBot="1">
      <c r="B40" s="1" t="s">
        <v>9</v>
      </c>
      <c r="C40" s="2">
        <v>300</v>
      </c>
      <c r="D40" s="2">
        <v>310</v>
      </c>
      <c r="E40" s="2">
        <v>340</v>
      </c>
      <c r="F40" s="2">
        <v>350</v>
      </c>
      <c r="G40" s="2"/>
      <c r="H40" s="2" t="s">
        <v>118</v>
      </c>
    </row>
    <row r="41" spans="2:8" ht="15" thickBot="1">
      <c r="B41" s="1" t="s">
        <v>11</v>
      </c>
      <c r="C41" s="2">
        <v>20</v>
      </c>
      <c r="D41" s="2">
        <v>20</v>
      </c>
      <c r="E41" s="2">
        <v>20</v>
      </c>
      <c r="F41" s="2">
        <v>20</v>
      </c>
      <c r="G41" s="2"/>
      <c r="H41" s="2">
        <v>4</v>
      </c>
    </row>
    <row r="42" spans="2:8" ht="15" thickBot="1">
      <c r="B42" s="3" t="s">
        <v>12</v>
      </c>
      <c r="C42" s="18"/>
      <c r="D42" s="18"/>
      <c r="E42" s="18"/>
      <c r="F42" s="18"/>
      <c r="G42" s="20"/>
      <c r="H42" s="21"/>
    </row>
    <row r="43" spans="2:8" ht="27" customHeight="1" thickBot="1">
      <c r="B43" s="1" t="s">
        <v>13</v>
      </c>
      <c r="C43" s="1140" t="s">
        <v>98</v>
      </c>
      <c r="D43" s="1141"/>
      <c r="E43" s="1141"/>
      <c r="F43" s="1141"/>
      <c r="G43" s="1141"/>
      <c r="H43" s="1142"/>
    </row>
    <row r="44" spans="2:8" ht="15.6" thickBot="1">
      <c r="B44" s="1" t="s">
        <v>15</v>
      </c>
      <c r="C44" s="1143"/>
      <c r="D44" s="1144"/>
      <c r="E44" s="1144"/>
      <c r="F44" s="1144"/>
      <c r="G44" s="1144"/>
      <c r="H44" s="1145"/>
    </row>
    <row r="45" spans="2:8" ht="15.6" thickBot="1">
      <c r="B45" s="1" t="s">
        <v>17</v>
      </c>
      <c r="C45" s="1143"/>
      <c r="D45" s="1144"/>
      <c r="E45" s="1144"/>
      <c r="F45" s="1144"/>
      <c r="G45" s="1144"/>
      <c r="H45" s="1145"/>
    </row>
    <row r="46" spans="2:8" ht="15.6" thickBot="1">
      <c r="B46" s="1" t="s">
        <v>18</v>
      </c>
      <c r="C46" s="1143"/>
      <c r="D46" s="1144"/>
      <c r="E46" s="1144"/>
      <c r="F46" s="1144"/>
      <c r="G46" s="1144"/>
      <c r="H46" s="1145"/>
    </row>
    <row r="47" spans="2:8" ht="15" thickBot="1">
      <c r="B47" s="1" t="s">
        <v>19</v>
      </c>
      <c r="C47" s="1146"/>
      <c r="D47" s="1147"/>
      <c r="E47" s="1147"/>
      <c r="F47" s="1147"/>
      <c r="G47" s="1147"/>
      <c r="H47" s="1148"/>
    </row>
    <row r="48" spans="2:8" ht="15" thickBot="1">
      <c r="B48" s="3" t="s">
        <v>22</v>
      </c>
      <c r="C48" s="18"/>
      <c r="D48" s="18"/>
      <c r="E48" s="18"/>
      <c r="F48" s="18"/>
      <c r="G48" s="20"/>
      <c r="H48" s="21"/>
    </row>
    <row r="49" spans="2:8" ht="15" thickBot="1">
      <c r="B49" s="1" t="s">
        <v>23</v>
      </c>
      <c r="C49" s="2">
        <v>1</v>
      </c>
      <c r="D49" s="2">
        <v>1</v>
      </c>
      <c r="E49" s="2">
        <v>0.9</v>
      </c>
      <c r="F49" s="2">
        <v>0.9</v>
      </c>
      <c r="G49" s="2" t="s">
        <v>16</v>
      </c>
      <c r="H49" s="2" t="s">
        <v>65</v>
      </c>
    </row>
    <row r="50" spans="2:8">
      <c r="B50" s="6" t="s">
        <v>24</v>
      </c>
      <c r="C50" s="7"/>
      <c r="D50" s="7"/>
      <c r="E50" s="7"/>
      <c r="F50" s="7"/>
      <c r="G50" s="7"/>
      <c r="H50" s="7"/>
    </row>
    <row r="51" spans="2:8">
      <c r="B51" s="6" t="s">
        <v>26</v>
      </c>
      <c r="C51" s="7"/>
      <c r="D51" s="7"/>
      <c r="E51" s="7"/>
      <c r="F51" s="7"/>
      <c r="G51" s="7"/>
      <c r="H51" s="7"/>
    </row>
    <row r="52" spans="2:8" ht="15" thickBot="1">
      <c r="B52" s="1" t="s">
        <v>96</v>
      </c>
      <c r="C52" s="2"/>
      <c r="D52" s="2"/>
      <c r="E52" s="2"/>
      <c r="F52" s="2"/>
      <c r="G52" s="2"/>
      <c r="H52" s="2"/>
    </row>
    <row r="53" spans="2:8" ht="24.6" thickBot="1">
      <c r="B53" s="1" t="s">
        <v>30</v>
      </c>
      <c r="C53" s="2"/>
      <c r="D53" s="2"/>
      <c r="E53" s="2"/>
      <c r="F53" s="2"/>
      <c r="G53" s="2"/>
      <c r="H53" s="2"/>
    </row>
    <row r="54" spans="2:8" ht="15" thickBot="1">
      <c r="B54" s="1" t="s">
        <v>64</v>
      </c>
      <c r="C54" s="2">
        <v>135</v>
      </c>
      <c r="D54" s="2">
        <v>135</v>
      </c>
      <c r="E54" s="2">
        <v>135</v>
      </c>
      <c r="F54" s="2">
        <v>135</v>
      </c>
      <c r="G54" s="2" t="s">
        <v>76</v>
      </c>
      <c r="H54" s="2">
        <v>2</v>
      </c>
    </row>
    <row r="55" spans="2:8" ht="15" thickBot="1">
      <c r="B55" s="1" t="s">
        <v>31</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
    <tabColor theme="4"/>
  </sheetPr>
  <dimension ref="B3:X140"/>
  <sheetViews>
    <sheetView topLeftCell="A49" workbookViewId="0">
      <selection activeCell="L43" sqref="L43"/>
    </sheetView>
  </sheetViews>
  <sheetFormatPr defaultRowHeight="14.4"/>
  <cols>
    <col min="2" max="2" width="36.6640625" customWidth="1"/>
    <col min="3" max="6" width="10" bestFit="1" customWidth="1"/>
    <col min="10" max="10" width="15.6640625" customWidth="1"/>
    <col min="15" max="15" width="10" bestFit="1" customWidth="1"/>
  </cols>
  <sheetData>
    <row r="3" spans="2:24">
      <c r="B3" s="8" t="s">
        <v>318</v>
      </c>
    </row>
    <row r="4" spans="2:24">
      <c r="E4" t="s">
        <v>334</v>
      </c>
      <c r="F4" s="36">
        <v>7.45</v>
      </c>
      <c r="G4" t="s">
        <v>328</v>
      </c>
    </row>
    <row r="5" spans="2:24" ht="15" thickBot="1"/>
    <row r="6" spans="2:24">
      <c r="B6" s="1118" t="s">
        <v>0</v>
      </c>
      <c r="C6" s="1120" t="s">
        <v>131</v>
      </c>
      <c r="D6" s="1121"/>
      <c r="E6" s="1121"/>
      <c r="F6" s="1121"/>
      <c r="G6" s="1121"/>
      <c r="H6" s="1122"/>
      <c r="J6" s="1120" t="str">
        <f>C6</f>
        <v>Electric heating</v>
      </c>
      <c r="K6" s="1121"/>
      <c r="L6" s="1121"/>
      <c r="M6" s="1121"/>
      <c r="N6" s="1121"/>
      <c r="O6" s="1122"/>
    </row>
    <row r="7" spans="2:24" ht="15" thickBot="1">
      <c r="B7" s="1119"/>
      <c r="C7" s="1001" t="s">
        <v>34</v>
      </c>
      <c r="D7" s="1002"/>
      <c r="E7" s="1002"/>
      <c r="F7" s="1002"/>
      <c r="G7" s="1002"/>
      <c r="H7" s="1003"/>
      <c r="J7" s="1001" t="str">
        <f>C7</f>
        <v>One-family house, new building</v>
      </c>
      <c r="K7" s="1002"/>
      <c r="L7" s="1002"/>
      <c r="M7" s="1002"/>
      <c r="N7" s="1002"/>
      <c r="O7" s="100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5</v>
      </c>
      <c r="D10" s="2">
        <v>5</v>
      </c>
      <c r="E10" s="2">
        <v>5</v>
      </c>
      <c r="F10" s="2">
        <v>5</v>
      </c>
      <c r="G10" s="2"/>
      <c r="H10" s="2"/>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c r="H12" s="2"/>
      <c r="J12" s="58">
        <f>C8</f>
        <v>2015</v>
      </c>
      <c r="K12" s="58">
        <f>J12</f>
        <v>2015</v>
      </c>
      <c r="L12" s="58">
        <f>C13/100</f>
        <v>1</v>
      </c>
      <c r="M12" s="58"/>
      <c r="N12" s="58">
        <f>C14</f>
        <v>30</v>
      </c>
      <c r="O12" s="59">
        <f>C29</f>
        <v>5960</v>
      </c>
      <c r="P12" s="59">
        <f>C31</f>
        <v>74.5</v>
      </c>
      <c r="Q12" s="59">
        <f>C32</f>
        <v>0</v>
      </c>
      <c r="R12" s="58"/>
      <c r="S12" s="58"/>
      <c r="T12" s="58"/>
      <c r="U12" s="58"/>
      <c r="V12" s="58"/>
      <c r="W12" s="58"/>
      <c r="X12" s="58"/>
    </row>
    <row r="13" spans="2:24" ht="15" thickBot="1">
      <c r="B13" s="1" t="s">
        <v>9</v>
      </c>
      <c r="C13" s="2">
        <v>100</v>
      </c>
      <c r="D13" s="2">
        <v>100</v>
      </c>
      <c r="E13" s="2">
        <v>100</v>
      </c>
      <c r="F13" s="2">
        <v>100</v>
      </c>
      <c r="G13" s="2" t="s">
        <v>6</v>
      </c>
      <c r="H13" s="2"/>
      <c r="J13" s="58">
        <f>D8</f>
        <v>2020</v>
      </c>
      <c r="K13" s="58"/>
      <c r="L13" s="58">
        <f>D13/100</f>
        <v>1</v>
      </c>
      <c r="M13" s="58"/>
      <c r="N13" s="58">
        <f>D14</f>
        <v>30</v>
      </c>
      <c r="O13" s="59">
        <f>D29</f>
        <v>5960</v>
      </c>
      <c r="P13" s="59">
        <f>D31</f>
        <v>74.5</v>
      </c>
      <c r="Q13" s="59">
        <f>D32</f>
        <v>0</v>
      </c>
      <c r="R13" s="58"/>
      <c r="S13" s="58"/>
      <c r="T13" s="58"/>
      <c r="U13" s="58"/>
      <c r="V13" s="58"/>
      <c r="W13" s="58"/>
      <c r="X13" s="58"/>
    </row>
    <row r="14" spans="2:24" ht="15" thickBot="1">
      <c r="B14" s="1" t="s">
        <v>11</v>
      </c>
      <c r="C14" s="2">
        <v>30</v>
      </c>
      <c r="D14" s="2">
        <v>30</v>
      </c>
      <c r="E14" s="2">
        <v>30</v>
      </c>
      <c r="F14" s="2">
        <v>30</v>
      </c>
      <c r="G14" s="2"/>
      <c r="H14" s="2"/>
      <c r="J14" s="58">
        <f>E8</f>
        <v>2030</v>
      </c>
      <c r="K14" s="58"/>
      <c r="L14" s="58">
        <f>E13/100</f>
        <v>1</v>
      </c>
      <c r="M14" s="58"/>
      <c r="N14" s="58">
        <f>E14</f>
        <v>30</v>
      </c>
      <c r="O14" s="59">
        <f>E29</f>
        <v>5960</v>
      </c>
      <c r="P14" s="59">
        <f>E31</f>
        <v>74.5</v>
      </c>
      <c r="Q14" s="59">
        <f>E32</f>
        <v>0</v>
      </c>
      <c r="R14" s="58"/>
      <c r="S14" s="58"/>
      <c r="T14" s="58"/>
      <c r="U14" s="58"/>
      <c r="V14" s="58"/>
      <c r="W14" s="58"/>
      <c r="X14" s="58"/>
    </row>
    <row r="15" spans="2:24" ht="15" thickBot="1">
      <c r="B15" s="3" t="s">
        <v>12</v>
      </c>
      <c r="C15" s="4"/>
      <c r="D15" s="4"/>
      <c r="E15" s="4"/>
      <c r="F15" s="4"/>
      <c r="G15" s="4"/>
      <c r="H15" s="5"/>
      <c r="J15" s="58">
        <f>F8</f>
        <v>2050</v>
      </c>
      <c r="K15" s="58"/>
      <c r="L15" s="58">
        <f>F13/100</f>
        <v>1</v>
      </c>
      <c r="M15" s="58"/>
      <c r="N15" s="58">
        <f>F14</f>
        <v>30</v>
      </c>
      <c r="O15" s="59">
        <f>F29</f>
        <v>5960</v>
      </c>
      <c r="P15" s="59">
        <f>F31</f>
        <v>74.5</v>
      </c>
      <c r="Q15" s="59">
        <f>F32</f>
        <v>0</v>
      </c>
      <c r="R15" s="58"/>
      <c r="S15" s="58"/>
      <c r="T15" s="58"/>
      <c r="U15" s="58"/>
      <c r="V15" s="58"/>
      <c r="W15" s="58"/>
      <c r="X15" s="58"/>
    </row>
    <row r="16" spans="2:24" ht="27" customHeight="1" thickBot="1">
      <c r="B16" s="1" t="s">
        <v>13</v>
      </c>
      <c r="C16" s="1140" t="s">
        <v>133</v>
      </c>
      <c r="D16" s="1141"/>
      <c r="E16" s="1141"/>
      <c r="F16" s="1141"/>
      <c r="G16" s="1141"/>
      <c r="H16" s="1142"/>
    </row>
    <row r="17" spans="2:8" ht="15.6" thickBot="1">
      <c r="B17" s="1" t="s">
        <v>15</v>
      </c>
      <c r="C17" s="1143"/>
      <c r="D17" s="1144"/>
      <c r="E17" s="1144"/>
      <c r="F17" s="1144"/>
      <c r="G17" s="1144"/>
      <c r="H17" s="1145"/>
    </row>
    <row r="18" spans="2:8" ht="15.6" thickBot="1">
      <c r="B18" s="1" t="s">
        <v>17</v>
      </c>
      <c r="C18" s="1143"/>
      <c r="D18" s="1144"/>
      <c r="E18" s="1144"/>
      <c r="F18" s="1144"/>
      <c r="G18" s="1144"/>
      <c r="H18" s="1145"/>
    </row>
    <row r="19" spans="2:8" ht="15.6" thickBot="1">
      <c r="B19" s="1" t="s">
        <v>18</v>
      </c>
      <c r="C19" s="1143"/>
      <c r="D19" s="1144"/>
      <c r="E19" s="1144"/>
      <c r="F19" s="1144"/>
      <c r="G19" s="1144"/>
      <c r="H19" s="1145"/>
    </row>
    <row r="20" spans="2:8" ht="15" thickBot="1">
      <c r="B20" s="1" t="s">
        <v>19</v>
      </c>
      <c r="C20" s="1146"/>
      <c r="D20" s="1147"/>
      <c r="E20" s="1147"/>
      <c r="F20" s="1147"/>
      <c r="G20" s="1147"/>
      <c r="H20" s="1148"/>
    </row>
    <row r="21" spans="2:8" ht="15" thickBot="1">
      <c r="B21" s="3" t="s">
        <v>22</v>
      </c>
      <c r="C21" s="4"/>
      <c r="D21" s="4"/>
      <c r="E21" s="4"/>
      <c r="F21" s="4"/>
      <c r="G21" s="4"/>
      <c r="H21" s="5"/>
    </row>
    <row r="22" spans="2:8" ht="15" thickBot="1">
      <c r="B22" s="1" t="s">
        <v>23</v>
      </c>
      <c r="C22" s="2"/>
      <c r="D22" s="2"/>
      <c r="E22" s="2"/>
      <c r="F22" s="2"/>
      <c r="G22" s="2"/>
      <c r="H22" s="2"/>
    </row>
    <row r="23" spans="2:8">
      <c r="B23" s="6" t="s">
        <v>24</v>
      </c>
      <c r="C23" s="7">
        <v>4</v>
      </c>
      <c r="D23" s="7">
        <v>4</v>
      </c>
      <c r="E23" s="7">
        <v>4</v>
      </c>
      <c r="F23" s="7">
        <v>4</v>
      </c>
      <c r="G23" s="7" t="s">
        <v>20</v>
      </c>
      <c r="H23" s="7">
        <v>6</v>
      </c>
    </row>
    <row r="24" spans="2:8">
      <c r="B24" s="6" t="s">
        <v>26</v>
      </c>
      <c r="C24" s="7" t="s">
        <v>27</v>
      </c>
      <c r="D24" s="7">
        <v>70</v>
      </c>
      <c r="E24" s="7">
        <v>70</v>
      </c>
      <c r="F24" s="7">
        <v>70</v>
      </c>
      <c r="G24" s="7"/>
      <c r="H24" s="7">
        <v>6</v>
      </c>
    </row>
    <row r="25" spans="2:8" ht="15" thickBot="1">
      <c r="B25" s="1" t="s">
        <v>96</v>
      </c>
      <c r="C25" s="2" t="s">
        <v>29</v>
      </c>
      <c r="D25" s="2">
        <v>30</v>
      </c>
      <c r="E25" s="2">
        <v>30</v>
      </c>
      <c r="F25" s="2">
        <v>30</v>
      </c>
      <c r="G25" s="2"/>
      <c r="H25" s="2">
        <v>6</v>
      </c>
    </row>
    <row r="26" spans="2:8" ht="24.6" thickBot="1">
      <c r="B26" s="1" t="s">
        <v>30</v>
      </c>
      <c r="C26" s="2"/>
      <c r="D26" s="2"/>
      <c r="E26" s="2"/>
      <c r="F26" s="2"/>
      <c r="G26" s="2"/>
      <c r="H26" s="2"/>
    </row>
    <row r="27" spans="2:8" ht="15" thickBot="1">
      <c r="B27" s="1" t="s">
        <v>50</v>
      </c>
      <c r="C27" s="2">
        <v>10</v>
      </c>
      <c r="D27" s="2">
        <v>10</v>
      </c>
      <c r="E27" s="2">
        <v>10</v>
      </c>
      <c r="F27" s="2">
        <v>10</v>
      </c>
      <c r="G27" s="2" t="s">
        <v>16</v>
      </c>
      <c r="H27" s="2"/>
    </row>
    <row r="28" spans="2:8" ht="15" thickBot="1">
      <c r="B28" s="1" t="s">
        <v>31</v>
      </c>
      <c r="C28" s="2"/>
      <c r="D28" s="2"/>
      <c r="E28" s="2"/>
      <c r="F28" s="2"/>
      <c r="G28" s="2"/>
      <c r="H28" s="2"/>
    </row>
    <row r="29" spans="2:8">
      <c r="B29" s="36" t="s">
        <v>353</v>
      </c>
      <c r="C29" s="60">
        <f>C30/C10</f>
        <v>5960</v>
      </c>
      <c r="D29" s="60">
        <f>D30/D10</f>
        <v>5960</v>
      </c>
      <c r="E29" s="60">
        <f>E30/E10</f>
        <v>5960</v>
      </c>
      <c r="F29" s="60">
        <f>F30/F10</f>
        <v>5960</v>
      </c>
      <c r="G29" s="63" t="s">
        <v>332</v>
      </c>
      <c r="H29" s="63"/>
    </row>
    <row r="30" spans="2:8">
      <c r="B30" s="36" t="s">
        <v>354</v>
      </c>
      <c r="C30" s="60">
        <f>C23*$F$4*1000</f>
        <v>29800</v>
      </c>
      <c r="D30" s="60">
        <f>D23*$F$4*1000</f>
        <v>29800</v>
      </c>
      <c r="E30" s="60">
        <f>E23*$F$4*1000</f>
        <v>29800</v>
      </c>
      <c r="F30" s="60">
        <f>F23*$F$4*1000</f>
        <v>29800</v>
      </c>
      <c r="G30" s="70">
        <f>C10</f>
        <v>5</v>
      </c>
      <c r="H30" s="69" t="s">
        <v>330</v>
      </c>
    </row>
    <row r="31" spans="2:8">
      <c r="B31" s="36" t="s">
        <v>355</v>
      </c>
      <c r="C31" s="60">
        <f>C27*$F$4</f>
        <v>74.5</v>
      </c>
      <c r="D31" s="60">
        <f t="shared" ref="D31:F31" si="0">D27*$F$4</f>
        <v>74.5</v>
      </c>
      <c r="E31" s="60">
        <f t="shared" si="0"/>
        <v>74.5</v>
      </c>
      <c r="F31" s="60">
        <f t="shared" si="0"/>
        <v>74.5</v>
      </c>
      <c r="G31" s="69" t="s">
        <v>331</v>
      </c>
      <c r="H31" s="69"/>
    </row>
    <row r="32" spans="2:8" ht="15" thickBot="1">
      <c r="B32" s="36" t="s">
        <v>356</v>
      </c>
      <c r="C32" s="60">
        <f t="shared" ref="C32:F32" si="1">C28*$F$4</f>
        <v>0</v>
      </c>
      <c r="D32" s="60">
        <f t="shared" si="1"/>
        <v>0</v>
      </c>
      <c r="E32" s="60">
        <f t="shared" si="1"/>
        <v>0</v>
      </c>
      <c r="F32" s="60">
        <f t="shared" si="1"/>
        <v>0</v>
      </c>
      <c r="G32" s="61"/>
      <c r="H32" s="61"/>
    </row>
    <row r="33" spans="2:24">
      <c r="B33" s="1118" t="s">
        <v>0</v>
      </c>
      <c r="C33" s="1120" t="s">
        <v>131</v>
      </c>
      <c r="D33" s="1121"/>
      <c r="E33" s="1121"/>
      <c r="F33" s="1121"/>
      <c r="G33" s="1121"/>
      <c r="H33" s="1122"/>
      <c r="J33" s="1118" t="s">
        <v>0</v>
      </c>
      <c r="K33" s="1120" t="s">
        <v>131</v>
      </c>
      <c r="L33" s="1121"/>
      <c r="M33" s="1121"/>
      <c r="N33" s="1121"/>
      <c r="O33" s="1121"/>
      <c r="P33" s="1122"/>
    </row>
    <row r="34" spans="2:24" ht="15.75" customHeight="1" thickBot="1">
      <c r="B34" s="1119"/>
      <c r="C34" s="1001" t="s">
        <v>35</v>
      </c>
      <c r="D34" s="1002"/>
      <c r="E34" s="1002"/>
      <c r="F34" s="1002"/>
      <c r="G34" s="1002"/>
      <c r="H34" s="1003"/>
      <c r="J34" s="1119"/>
      <c r="K34" s="1001" t="s">
        <v>35</v>
      </c>
      <c r="L34" s="1002"/>
      <c r="M34" s="1002"/>
      <c r="N34" s="1002"/>
      <c r="O34" s="1002"/>
      <c r="P34" s="100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v>400</v>
      </c>
      <c r="D37" s="2">
        <v>400</v>
      </c>
      <c r="E37" s="2">
        <v>400</v>
      </c>
      <c r="F37" s="2">
        <v>400</v>
      </c>
      <c r="G37" s="2" t="s">
        <v>59</v>
      </c>
      <c r="H37" s="2"/>
      <c r="J37" s="50"/>
      <c r="K37" s="50"/>
      <c r="L37" s="51"/>
      <c r="M37" s="51"/>
      <c r="N37" s="51"/>
      <c r="O37" s="52"/>
      <c r="P37" s="50"/>
      <c r="Q37" s="50"/>
      <c r="R37" s="50"/>
      <c r="S37" s="50"/>
      <c r="T37" s="50"/>
      <c r="U37" s="50"/>
      <c r="V37" s="50"/>
      <c r="W37" s="50"/>
      <c r="X37" s="50"/>
    </row>
    <row r="38" spans="2:24" ht="24.6" thickBot="1">
      <c r="B38" s="1" t="s">
        <v>7</v>
      </c>
      <c r="C38" s="2">
        <v>100</v>
      </c>
      <c r="D38" s="2">
        <v>100</v>
      </c>
      <c r="E38" s="2">
        <v>100</v>
      </c>
      <c r="F38" s="2">
        <v>100</v>
      </c>
      <c r="G38" s="2"/>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2">
        <v>100</v>
      </c>
      <c r="D39" s="2">
        <v>100</v>
      </c>
      <c r="E39" s="2">
        <v>100</v>
      </c>
      <c r="F39" s="2">
        <v>100</v>
      </c>
      <c r="G39" s="2"/>
      <c r="H39" s="2"/>
      <c r="J39" s="58">
        <f>C35</f>
        <v>2015</v>
      </c>
      <c r="K39" s="58">
        <f>J39</f>
        <v>2015</v>
      </c>
      <c r="L39" s="386">
        <f>C109/100</f>
        <v>0.98</v>
      </c>
      <c r="M39" s="386"/>
      <c r="N39" s="386">
        <f>C114</f>
        <v>20</v>
      </c>
      <c r="O39" s="387">
        <f>C129*1000*7.5</f>
        <v>1125</v>
      </c>
      <c r="P39" s="388">
        <f>C135/1000</f>
        <v>1.1000000000000001</v>
      </c>
      <c r="Q39" s="387">
        <f>C136</f>
        <v>0.8</v>
      </c>
      <c r="R39" s="58"/>
      <c r="S39" s="58"/>
      <c r="T39" s="58"/>
      <c r="U39" s="58"/>
      <c r="V39" s="58"/>
      <c r="W39" s="58"/>
      <c r="X39" s="58"/>
    </row>
    <row r="40" spans="2:24" ht="15" thickBot="1">
      <c r="B40" s="1" t="s">
        <v>9</v>
      </c>
      <c r="C40" s="2">
        <v>95</v>
      </c>
      <c r="D40" s="2">
        <v>95</v>
      </c>
      <c r="E40" s="2">
        <v>95</v>
      </c>
      <c r="F40" s="2">
        <v>95</v>
      </c>
      <c r="G40" s="2" t="s">
        <v>6</v>
      </c>
      <c r="H40" s="2"/>
      <c r="J40" s="58">
        <f>D35</f>
        <v>2020</v>
      </c>
      <c r="K40" s="58"/>
      <c r="L40" s="386">
        <f>D109/100</f>
        <v>0.99</v>
      </c>
      <c r="M40" s="386"/>
      <c r="N40" s="386">
        <f>C114</f>
        <v>20</v>
      </c>
      <c r="O40" s="387">
        <f>D129*1000*7.5</f>
        <v>1125</v>
      </c>
      <c r="P40" s="388">
        <f>D135/1000</f>
        <v>1.07</v>
      </c>
      <c r="Q40" s="387">
        <f>D136</f>
        <v>0.9</v>
      </c>
      <c r="R40" s="58"/>
      <c r="S40" s="58"/>
      <c r="T40" s="58"/>
      <c r="U40" s="58"/>
      <c r="V40" s="58"/>
      <c r="W40" s="58"/>
      <c r="X40" s="58"/>
    </row>
    <row r="41" spans="2:24" ht="15" thickBot="1">
      <c r="B41" s="1" t="s">
        <v>11</v>
      </c>
      <c r="C41" s="2">
        <v>30</v>
      </c>
      <c r="D41" s="2">
        <v>30</v>
      </c>
      <c r="E41" s="2">
        <v>30</v>
      </c>
      <c r="F41" s="2">
        <v>30</v>
      </c>
      <c r="G41" s="2"/>
      <c r="H41" s="2"/>
      <c r="J41" s="58">
        <f>E35</f>
        <v>2030</v>
      </c>
      <c r="K41" s="58"/>
      <c r="L41" s="386">
        <f>E109/100</f>
        <v>0.99</v>
      </c>
      <c r="M41" s="386"/>
      <c r="N41" s="386">
        <f>E114</f>
        <v>20</v>
      </c>
      <c r="O41" s="387">
        <f>E129*1000*7.5</f>
        <v>1050</v>
      </c>
      <c r="P41" s="388">
        <f>E135/1000</f>
        <v>1.02</v>
      </c>
      <c r="Q41" s="387">
        <f>E136</f>
        <v>1</v>
      </c>
      <c r="R41" s="58"/>
      <c r="S41" s="58"/>
      <c r="T41" s="58"/>
      <c r="U41" s="58"/>
      <c r="V41" s="58"/>
      <c r="W41" s="58"/>
      <c r="X41" s="58"/>
    </row>
    <row r="42" spans="2:24" ht="15" thickBot="1">
      <c r="B42" s="3" t="s">
        <v>12</v>
      </c>
      <c r="C42" s="4"/>
      <c r="D42" s="4"/>
      <c r="E42" s="4"/>
      <c r="F42" s="4"/>
      <c r="G42" s="4"/>
      <c r="H42" s="5"/>
      <c r="J42" s="58">
        <f>F35</f>
        <v>2050</v>
      </c>
      <c r="K42" s="58"/>
      <c r="L42" s="386">
        <f>F109/100</f>
        <v>0.99</v>
      </c>
      <c r="M42" s="386"/>
      <c r="N42" s="386">
        <f>F114</f>
        <v>20</v>
      </c>
      <c r="O42" s="387">
        <f>F129*1000*7.5</f>
        <v>975</v>
      </c>
      <c r="P42" s="388">
        <f>F135/1000</f>
        <v>0.92</v>
      </c>
      <c r="Q42" s="387">
        <f>F136</f>
        <v>1</v>
      </c>
      <c r="R42" s="58"/>
      <c r="S42" s="58"/>
      <c r="T42" s="58"/>
      <c r="U42" s="58"/>
      <c r="V42" s="58"/>
      <c r="W42" s="58"/>
      <c r="X42" s="58"/>
    </row>
    <row r="43" spans="2:24" ht="27" customHeight="1" thickBot="1">
      <c r="B43" s="1" t="s">
        <v>13</v>
      </c>
      <c r="C43" s="1140" t="s">
        <v>133</v>
      </c>
      <c r="D43" s="1141"/>
      <c r="E43" s="1141"/>
      <c r="F43" s="1141"/>
      <c r="G43" s="1141"/>
      <c r="H43" s="1142"/>
      <c r="J43" s="58"/>
      <c r="K43" s="58"/>
      <c r="L43" s="58"/>
      <c r="M43" s="58"/>
      <c r="N43" s="58"/>
      <c r="O43" s="59"/>
      <c r="P43" s="59"/>
      <c r="Q43" s="59"/>
      <c r="R43" s="58"/>
      <c r="S43" s="58"/>
      <c r="T43" s="58"/>
      <c r="U43" s="58"/>
      <c r="V43" s="58"/>
      <c r="W43" s="58"/>
      <c r="X43" s="58"/>
    </row>
    <row r="44" spans="2:24" ht="15.6" thickBot="1">
      <c r="B44" s="1" t="s">
        <v>15</v>
      </c>
      <c r="C44" s="1143"/>
      <c r="D44" s="1144"/>
      <c r="E44" s="1144"/>
      <c r="F44" s="1144"/>
      <c r="G44" s="1144"/>
      <c r="H44" s="1145"/>
    </row>
    <row r="45" spans="2:24" ht="15.6" thickBot="1">
      <c r="B45" s="1" t="s">
        <v>17</v>
      </c>
      <c r="C45" s="1143"/>
      <c r="D45" s="1144"/>
      <c r="E45" s="1144"/>
      <c r="F45" s="1144"/>
      <c r="G45" s="1144"/>
      <c r="H45" s="1145"/>
    </row>
    <row r="46" spans="2:24" ht="15.6" thickBot="1">
      <c r="B46" s="1" t="s">
        <v>18</v>
      </c>
      <c r="C46" s="1143"/>
      <c r="D46" s="1144"/>
      <c r="E46" s="1144"/>
      <c r="F46" s="1144"/>
      <c r="G46" s="1144"/>
      <c r="H46" s="1145"/>
    </row>
    <row r="47" spans="2:24" ht="15" thickBot="1">
      <c r="B47" s="1" t="s">
        <v>19</v>
      </c>
      <c r="C47" s="1146"/>
      <c r="D47" s="1147"/>
      <c r="E47" s="1147"/>
      <c r="F47" s="1147"/>
      <c r="G47" s="1147"/>
      <c r="H47" s="1148"/>
    </row>
    <row r="48" spans="2:24" ht="15" thickBot="1">
      <c r="B48" s="3" t="s">
        <v>22</v>
      </c>
      <c r="C48" s="4"/>
      <c r="D48" s="4"/>
      <c r="E48" s="4"/>
      <c r="F48" s="4"/>
      <c r="G48" s="4"/>
      <c r="H48" s="5"/>
    </row>
    <row r="49" spans="2:15" ht="15" thickBot="1">
      <c r="B49" s="1" t="s">
        <v>23</v>
      </c>
      <c r="C49" s="2"/>
      <c r="D49" s="2"/>
      <c r="E49" s="2"/>
      <c r="F49" s="2"/>
      <c r="G49" s="2"/>
      <c r="H49" s="2"/>
    </row>
    <row r="50" spans="2:15">
      <c r="B50" s="6" t="s">
        <v>24</v>
      </c>
      <c r="C50" s="7">
        <v>266</v>
      </c>
      <c r="D50" s="7">
        <v>266</v>
      </c>
      <c r="E50" s="7">
        <v>266</v>
      </c>
      <c r="F50" s="7">
        <v>266</v>
      </c>
      <c r="G50" s="7" t="s">
        <v>132</v>
      </c>
      <c r="H50" s="7">
        <v>6</v>
      </c>
    </row>
    <row r="51" spans="2:15">
      <c r="B51" s="6" t="s">
        <v>26</v>
      </c>
      <c r="C51" s="7" t="s">
        <v>27</v>
      </c>
      <c r="D51" s="7">
        <v>70</v>
      </c>
      <c r="E51" s="7">
        <v>70</v>
      </c>
      <c r="F51" s="7">
        <v>70</v>
      </c>
      <c r="G51" s="7"/>
      <c r="H51" s="7">
        <v>6</v>
      </c>
    </row>
    <row r="52" spans="2:15" ht="15" thickBot="1">
      <c r="B52" s="1" t="s">
        <v>96</v>
      </c>
      <c r="C52" s="2" t="s">
        <v>29</v>
      </c>
      <c r="D52" s="2">
        <v>30</v>
      </c>
      <c r="E52" s="2">
        <v>30</v>
      </c>
      <c r="F52" s="2">
        <v>30</v>
      </c>
      <c r="G52" s="2"/>
      <c r="H52" s="2">
        <v>6</v>
      </c>
    </row>
    <row r="53" spans="2:15" ht="24.6" thickBot="1">
      <c r="B53" s="1" t="s">
        <v>30</v>
      </c>
      <c r="C53" s="2"/>
      <c r="D53" s="2"/>
      <c r="E53" s="2"/>
      <c r="F53" s="2"/>
      <c r="G53" s="2"/>
      <c r="H53" s="2"/>
    </row>
    <row r="54" spans="2:15" ht="15" thickBot="1">
      <c r="B54" s="1" t="s">
        <v>50</v>
      </c>
      <c r="C54" s="2">
        <v>10</v>
      </c>
      <c r="D54" s="2">
        <v>10</v>
      </c>
      <c r="E54" s="2">
        <v>10</v>
      </c>
      <c r="F54" s="2">
        <v>10</v>
      </c>
      <c r="G54" s="2" t="s">
        <v>16</v>
      </c>
      <c r="H54" s="2"/>
    </row>
    <row r="55" spans="2:15" ht="15" thickBot="1">
      <c r="B55" s="1" t="s">
        <v>31</v>
      </c>
      <c r="C55" s="2"/>
      <c r="D55" s="2"/>
      <c r="E55" s="2"/>
      <c r="F55" s="2"/>
      <c r="G55" s="2"/>
      <c r="H55" s="2"/>
    </row>
    <row r="56" spans="2:15">
      <c r="B56" s="36" t="s">
        <v>353</v>
      </c>
      <c r="C56" s="60">
        <f>C50*$F$4/C37*1000</f>
        <v>4954.25</v>
      </c>
      <c r="D56" s="60">
        <f>D50*$F$4/D37*1000</f>
        <v>4954.25</v>
      </c>
      <c r="E56" s="60">
        <f>E50*$F$4/E37*1000</f>
        <v>4954.25</v>
      </c>
      <c r="F56" s="60">
        <f>F50*$F$4/F37*1000</f>
        <v>4954.25</v>
      </c>
      <c r="G56" s="63" t="s">
        <v>332</v>
      </c>
      <c r="H56" s="63"/>
    </row>
    <row r="57" spans="2:15">
      <c r="B57" s="36" t="s">
        <v>354</v>
      </c>
      <c r="C57" s="60">
        <f>C50*$F$4*1000</f>
        <v>1981700</v>
      </c>
      <c r="D57" s="60">
        <f>D50*$F$4*1000</f>
        <v>1981700</v>
      </c>
      <c r="E57" s="60">
        <f>E50*$F$4*1000</f>
        <v>1981700</v>
      </c>
      <c r="F57" s="60">
        <f>F50*$F$4*1000</f>
        <v>1981700</v>
      </c>
      <c r="G57" s="70">
        <f>C37</f>
        <v>400</v>
      </c>
      <c r="H57" s="69" t="s">
        <v>330</v>
      </c>
    </row>
    <row r="58" spans="2:15">
      <c r="B58" s="36" t="s">
        <v>355</v>
      </c>
      <c r="C58" s="340">
        <f>C54*$F$4</f>
        <v>74.5</v>
      </c>
      <c r="D58" s="340">
        <f t="shared" ref="C58:F59" si="2">D54*$F$4</f>
        <v>74.5</v>
      </c>
      <c r="E58" s="340">
        <f t="shared" si="2"/>
        <v>74.5</v>
      </c>
      <c r="F58" s="340">
        <f t="shared" si="2"/>
        <v>74.5</v>
      </c>
      <c r="G58" s="69" t="s">
        <v>331</v>
      </c>
      <c r="H58" s="69"/>
    </row>
    <row r="59" spans="2:15">
      <c r="B59" s="36" t="s">
        <v>356</v>
      </c>
      <c r="C59" s="60">
        <f t="shared" si="2"/>
        <v>0</v>
      </c>
      <c r="D59" s="60">
        <f t="shared" si="2"/>
        <v>0</v>
      </c>
      <c r="E59" s="60">
        <f t="shared" si="2"/>
        <v>0</v>
      </c>
      <c r="F59" s="60">
        <f t="shared" si="2"/>
        <v>0</v>
      </c>
      <c r="G59" s="61"/>
      <c r="H59" s="61"/>
    </row>
    <row r="60" spans="2:15">
      <c r="C60">
        <f>C58/1000</f>
        <v>7.4499999999999997E-2</v>
      </c>
    </row>
    <row r="61" spans="2:15" ht="15" thickBot="1"/>
    <row r="62" spans="2:15">
      <c r="J62" s="1120">
        <f>C62</f>
        <v>0</v>
      </c>
      <c r="K62" s="1121"/>
      <c r="L62" s="1121"/>
      <c r="M62" s="1121"/>
      <c r="N62" s="1121"/>
      <c r="O62" s="1122"/>
    </row>
    <row r="63" spans="2:15" ht="15" thickBot="1">
      <c r="B63" s="126" t="s">
        <v>410</v>
      </c>
      <c r="J63" s="1001">
        <f>C63</f>
        <v>0</v>
      </c>
      <c r="K63" s="1002"/>
      <c r="L63" s="1002"/>
      <c r="M63" s="1002"/>
      <c r="N63" s="1002"/>
      <c r="O63" s="1003"/>
    </row>
    <row r="64" spans="2:15">
      <c r="B64" s="126" t="s">
        <v>411</v>
      </c>
      <c r="J64" s="53" t="s">
        <v>357</v>
      </c>
    </row>
    <row r="65" spans="2:24" ht="27.6">
      <c r="B65" s="126" t="s">
        <v>412</v>
      </c>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2:24" ht="15" thickBot="1">
      <c r="B66" s="126" t="s">
        <v>413</v>
      </c>
      <c r="J66" s="50"/>
      <c r="K66" s="50"/>
      <c r="L66" s="51"/>
      <c r="M66" s="51"/>
      <c r="N66" s="51"/>
      <c r="O66" s="52"/>
      <c r="P66" s="50"/>
      <c r="Q66" s="50"/>
      <c r="R66" s="50"/>
      <c r="S66" s="50"/>
      <c r="T66" s="50"/>
      <c r="U66" s="50"/>
      <c r="V66" s="50"/>
      <c r="W66" s="50"/>
      <c r="X66" s="50"/>
    </row>
    <row r="67" spans="2:24">
      <c r="B67" s="126" t="s">
        <v>414</v>
      </c>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2:24">
      <c r="B68" s="126"/>
      <c r="J68" s="58">
        <f>C64</f>
        <v>0</v>
      </c>
      <c r="K68" s="58">
        <f>J68</f>
        <v>0</v>
      </c>
      <c r="L68" s="58">
        <f>C69/100</f>
        <v>0</v>
      </c>
      <c r="M68" s="58"/>
      <c r="N68" s="58">
        <f>C70</f>
        <v>0</v>
      </c>
      <c r="O68" s="59">
        <f>C85</f>
        <v>0</v>
      </c>
      <c r="P68" s="59">
        <f>C87</f>
        <v>0</v>
      </c>
      <c r="Q68" s="59">
        <f>C88</f>
        <v>0</v>
      </c>
      <c r="R68" s="58"/>
      <c r="S68" s="58"/>
      <c r="T68" s="58"/>
      <c r="U68" s="58"/>
      <c r="V68" s="58"/>
      <c r="W68" s="58"/>
      <c r="X68" s="58"/>
    </row>
    <row r="69" spans="2:24">
      <c r="B69" s="126"/>
      <c r="J69" s="58">
        <f>D64</f>
        <v>0</v>
      </c>
      <c r="K69" s="58"/>
      <c r="L69" s="58">
        <f>D69/100</f>
        <v>0</v>
      </c>
      <c r="M69" s="58"/>
      <c r="N69" s="58">
        <f>D70</f>
        <v>0</v>
      </c>
      <c r="O69" s="59">
        <f>D85</f>
        <v>0</v>
      </c>
      <c r="P69" s="59">
        <f>D87</f>
        <v>0</v>
      </c>
      <c r="Q69" s="59">
        <f>D88</f>
        <v>0</v>
      </c>
      <c r="R69" s="58"/>
      <c r="S69" s="58"/>
      <c r="T69" s="58"/>
      <c r="U69" s="58"/>
      <c r="V69" s="58"/>
      <c r="W69" s="58"/>
      <c r="X69" s="58"/>
    </row>
    <row r="70" spans="2:24">
      <c r="B70" s="126" t="s">
        <v>415</v>
      </c>
      <c r="J70" s="58">
        <f>E64</f>
        <v>0</v>
      </c>
      <c r="K70" s="58"/>
      <c r="L70" s="58">
        <f>E69/100</f>
        <v>0</v>
      </c>
      <c r="M70" s="58"/>
      <c r="N70" s="58">
        <f>E70</f>
        <v>0</v>
      </c>
      <c r="O70" s="59">
        <f>E85</f>
        <v>0</v>
      </c>
      <c r="P70" s="59">
        <f>E87</f>
        <v>0</v>
      </c>
      <c r="Q70" s="59">
        <f>E88</f>
        <v>0</v>
      </c>
      <c r="R70" s="58"/>
      <c r="S70" s="58"/>
      <c r="T70" s="58"/>
      <c r="U70" s="58"/>
      <c r="V70" s="58"/>
      <c r="W70" s="58"/>
      <c r="X70" s="58"/>
    </row>
    <row r="71" spans="2:24">
      <c r="B71" s="126" t="s">
        <v>416</v>
      </c>
      <c r="J71" s="58">
        <f>F64</f>
        <v>0</v>
      </c>
      <c r="K71" s="58"/>
      <c r="L71" s="58">
        <f>F69/100</f>
        <v>0</v>
      </c>
      <c r="M71" s="58"/>
      <c r="N71" s="58">
        <f>F70</f>
        <v>0</v>
      </c>
      <c r="O71" s="59">
        <f>F85</f>
        <v>0</v>
      </c>
      <c r="P71" s="59">
        <f>F87</f>
        <v>0</v>
      </c>
      <c r="Q71" s="59">
        <f>F88</f>
        <v>0</v>
      </c>
      <c r="R71" s="58"/>
      <c r="S71" s="58"/>
      <c r="T71" s="58"/>
      <c r="U71" s="58"/>
      <c r="V71" s="58"/>
      <c r="W71" s="58"/>
      <c r="X71" s="58"/>
    </row>
    <row r="72" spans="2:24">
      <c r="B72" s="126" t="s">
        <v>417</v>
      </c>
    </row>
    <row r="73" spans="2:24">
      <c r="B73" s="126" t="s">
        <v>418</v>
      </c>
    </row>
    <row r="74" spans="2:24">
      <c r="B74" s="126" t="s">
        <v>419</v>
      </c>
    </row>
    <row r="75" spans="2:24">
      <c r="B75" s="126" t="s">
        <v>420</v>
      </c>
    </row>
    <row r="76" spans="2:24">
      <c r="B76" s="126" t="s">
        <v>421</v>
      </c>
    </row>
    <row r="89" spans="10:24" ht="15" thickBot="1"/>
    <row r="90" spans="10:24">
      <c r="J90" s="1120">
        <f>C90</f>
        <v>0</v>
      </c>
      <c r="K90" s="1121"/>
      <c r="L90" s="1121"/>
      <c r="M90" s="1121"/>
      <c r="N90" s="1121"/>
      <c r="O90" s="1122"/>
    </row>
    <row r="91" spans="10:24" ht="15" thickBot="1">
      <c r="J91" s="1001">
        <f>C91</f>
        <v>0</v>
      </c>
      <c r="K91" s="1002"/>
      <c r="L91" s="1002"/>
      <c r="M91" s="1002"/>
      <c r="N91" s="1002"/>
      <c r="O91" s="1003"/>
    </row>
    <row r="92" spans="10:24">
      <c r="J92" s="53" t="s">
        <v>357</v>
      </c>
    </row>
    <row r="93" spans="10:24" ht="27.6">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0:24" ht="15" thickBot="1">
      <c r="J94" s="50"/>
      <c r="K94" s="50"/>
      <c r="L94" s="51"/>
      <c r="M94" s="51"/>
      <c r="N94" s="51"/>
      <c r="O94" s="52"/>
      <c r="P94" s="50"/>
      <c r="Q94" s="50"/>
      <c r="R94" s="50"/>
      <c r="S94" s="50"/>
      <c r="T94" s="50"/>
      <c r="U94" s="50"/>
      <c r="V94" s="50"/>
      <c r="W94" s="50"/>
      <c r="X94" s="50"/>
    </row>
    <row r="95" spans="10:24">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0:24">
      <c r="J96" s="58">
        <f>C92</f>
        <v>0</v>
      </c>
      <c r="K96" s="58">
        <f>J96</f>
        <v>0</v>
      </c>
      <c r="L96" s="58">
        <f>C97/100</f>
        <v>0</v>
      </c>
      <c r="M96" s="58"/>
      <c r="N96" s="58">
        <f>C98</f>
        <v>0</v>
      </c>
      <c r="O96" s="59" t="str">
        <f>C113</f>
        <v>0.2</v>
      </c>
      <c r="P96" s="59" t="str">
        <f>C115</f>
        <v>0.5</v>
      </c>
      <c r="Q96" s="59">
        <f>C116</f>
        <v>0</v>
      </c>
      <c r="R96" s="58"/>
      <c r="S96" s="58"/>
      <c r="T96" s="58"/>
      <c r="U96" s="58"/>
      <c r="V96" s="58"/>
      <c r="W96" s="58"/>
      <c r="X96" s="58"/>
    </row>
    <row r="97" spans="2:24">
      <c r="J97" s="58">
        <f>D92</f>
        <v>0</v>
      </c>
      <c r="K97" s="58"/>
      <c r="L97" s="58">
        <f>D97/100</f>
        <v>0</v>
      </c>
      <c r="M97" s="58"/>
      <c r="N97" s="58">
        <f>D98</f>
        <v>0</v>
      </c>
      <c r="O97" s="59" t="str">
        <f>D113</f>
        <v>0.2</v>
      </c>
      <c r="P97" s="59" t="str">
        <f>D115</f>
        <v>0.5</v>
      </c>
      <c r="Q97" s="59">
        <f>D116</f>
        <v>0</v>
      </c>
      <c r="R97" s="58"/>
      <c r="S97" s="58"/>
      <c r="T97" s="58"/>
      <c r="U97" s="58"/>
      <c r="V97" s="58"/>
      <c r="W97" s="58"/>
      <c r="X97" s="58"/>
    </row>
    <row r="98" spans="2:24">
      <c r="J98" s="58">
        <f>E92</f>
        <v>0</v>
      </c>
      <c r="K98" s="58"/>
      <c r="L98" s="58">
        <f>E97/100</f>
        <v>0</v>
      </c>
      <c r="M98" s="58"/>
      <c r="N98" s="58">
        <f>E98</f>
        <v>0</v>
      </c>
      <c r="O98" s="59" t="str">
        <f>E113</f>
        <v>0.2</v>
      </c>
      <c r="P98" s="59" t="str">
        <f>E115</f>
        <v>0.5</v>
      </c>
      <c r="Q98" s="59">
        <f>E116</f>
        <v>0</v>
      </c>
      <c r="R98" s="58"/>
      <c r="S98" s="58"/>
      <c r="T98" s="58"/>
      <c r="U98" s="58"/>
      <c r="V98" s="58"/>
      <c r="W98" s="58"/>
      <c r="X98" s="58"/>
    </row>
    <row r="99" spans="2:24">
      <c r="J99" s="58">
        <f>F92</f>
        <v>0</v>
      </c>
      <c r="K99" s="58"/>
      <c r="L99" s="58">
        <f>F97/100</f>
        <v>0</v>
      </c>
      <c r="M99" s="58"/>
      <c r="N99" s="58">
        <f>F98</f>
        <v>0</v>
      </c>
      <c r="O99" s="59" t="str">
        <f>F113</f>
        <v>0.2</v>
      </c>
      <c r="P99" s="59" t="str">
        <f>F115</f>
        <v>0.5</v>
      </c>
      <c r="Q99" s="59">
        <f>F116</f>
        <v>0</v>
      </c>
      <c r="R99" s="58"/>
      <c r="S99" s="58"/>
      <c r="T99" s="58"/>
      <c r="U99" s="58"/>
      <c r="V99" s="58"/>
      <c r="W99" s="58"/>
      <c r="X99" s="58"/>
    </row>
    <row r="105" spans="2:24">
      <c r="B105" s="367" t="s">
        <v>0</v>
      </c>
      <c r="C105" s="1156" t="s">
        <v>691</v>
      </c>
      <c r="D105" s="1157"/>
      <c r="E105" s="1157"/>
      <c r="F105" s="1157"/>
      <c r="G105" s="1157"/>
      <c r="H105" s="1157"/>
      <c r="I105" s="1157"/>
      <c r="J105" s="1157"/>
      <c r="K105" s="1157"/>
      <c r="L105" s="1157"/>
    </row>
    <row r="106" spans="2:24">
      <c r="B106" s="368"/>
      <c r="C106" s="369">
        <v>2015</v>
      </c>
      <c r="D106" s="369">
        <v>2020</v>
      </c>
      <c r="E106" s="369">
        <v>2030</v>
      </c>
      <c r="F106" s="369">
        <v>2050</v>
      </c>
      <c r="G106" s="1156" t="s">
        <v>692</v>
      </c>
      <c r="H106" s="1156"/>
      <c r="I106" s="1156" t="s">
        <v>693</v>
      </c>
      <c r="J106" s="1156"/>
      <c r="K106" s="369" t="s">
        <v>2</v>
      </c>
      <c r="L106" s="369" t="s">
        <v>3</v>
      </c>
    </row>
    <row r="107" spans="2:24">
      <c r="B107" s="367" t="s">
        <v>4</v>
      </c>
      <c r="C107" s="367"/>
      <c r="D107" s="367"/>
      <c r="E107" s="367"/>
      <c r="F107" s="367"/>
      <c r="G107" s="369" t="s">
        <v>694</v>
      </c>
      <c r="H107" s="369" t="s">
        <v>695</v>
      </c>
      <c r="I107" s="369" t="s">
        <v>694</v>
      </c>
      <c r="J107" s="369" t="s">
        <v>695</v>
      </c>
      <c r="K107" s="367"/>
      <c r="L107" s="367"/>
    </row>
    <row r="108" spans="2:24">
      <c r="B108" s="368" t="s">
        <v>696</v>
      </c>
      <c r="C108" s="1158">
        <v>5</v>
      </c>
      <c r="D108" s="1158"/>
      <c r="E108" s="1157"/>
      <c r="F108" s="1157"/>
      <c r="G108" s="370">
        <v>1</v>
      </c>
      <c r="H108" s="370">
        <v>25</v>
      </c>
      <c r="I108" s="370">
        <v>1</v>
      </c>
      <c r="J108" s="370">
        <v>25</v>
      </c>
      <c r="K108" s="371"/>
      <c r="L108" s="371"/>
    </row>
    <row r="109" spans="2:24">
      <c r="B109" s="368" t="s">
        <v>697</v>
      </c>
      <c r="C109" s="371">
        <v>98</v>
      </c>
      <c r="D109" s="371">
        <v>99</v>
      </c>
      <c r="E109" s="371">
        <v>99</v>
      </c>
      <c r="F109" s="371">
        <v>99</v>
      </c>
      <c r="G109" s="371">
        <v>98</v>
      </c>
      <c r="H109" s="371">
        <v>99</v>
      </c>
      <c r="I109" s="371">
        <v>99</v>
      </c>
      <c r="J109" s="371">
        <v>99</v>
      </c>
      <c r="K109" s="371"/>
      <c r="L109" s="371">
        <v>1</v>
      </c>
    </row>
    <row r="110" spans="2:24">
      <c r="B110" s="368" t="s">
        <v>698</v>
      </c>
      <c r="C110" s="371">
        <v>98</v>
      </c>
      <c r="D110" s="371">
        <v>99</v>
      </c>
      <c r="E110" s="371">
        <v>99</v>
      </c>
      <c r="F110" s="371">
        <v>99</v>
      </c>
      <c r="G110" s="371">
        <v>98</v>
      </c>
      <c r="H110" s="371">
        <v>99</v>
      </c>
      <c r="I110" s="371">
        <v>99</v>
      </c>
      <c r="J110" s="371">
        <v>99</v>
      </c>
      <c r="K110" s="371"/>
      <c r="L110" s="371">
        <v>1</v>
      </c>
    </row>
    <row r="111" spans="2:24" ht="22.8">
      <c r="B111" s="368" t="s">
        <v>699</v>
      </c>
      <c r="C111" s="372" t="s">
        <v>700</v>
      </c>
      <c r="D111" s="372" t="s">
        <v>700</v>
      </c>
      <c r="E111" s="372" t="s">
        <v>700</v>
      </c>
      <c r="F111" s="372" t="s">
        <v>700</v>
      </c>
      <c r="G111" s="371" t="s">
        <v>701</v>
      </c>
      <c r="H111" s="371" t="s">
        <v>700</v>
      </c>
      <c r="I111" s="371" t="s">
        <v>701</v>
      </c>
      <c r="J111" s="371" t="s">
        <v>700</v>
      </c>
      <c r="K111" s="371"/>
      <c r="L111" s="371">
        <v>1</v>
      </c>
    </row>
    <row r="112" spans="2:24">
      <c r="B112" s="368" t="s">
        <v>702</v>
      </c>
      <c r="C112" s="371">
        <v>1</v>
      </c>
      <c r="D112" s="371">
        <v>1</v>
      </c>
      <c r="E112" s="371">
        <v>1</v>
      </c>
      <c r="F112" s="371">
        <v>1</v>
      </c>
      <c r="G112" s="371" t="s">
        <v>700</v>
      </c>
      <c r="H112" s="371">
        <v>1</v>
      </c>
      <c r="I112" s="371" t="s">
        <v>700</v>
      </c>
      <c r="J112" s="371">
        <v>1</v>
      </c>
      <c r="K112" s="371" t="s">
        <v>76</v>
      </c>
      <c r="L112" s="371">
        <v>1</v>
      </c>
    </row>
    <row r="113" spans="2:12">
      <c r="B113" s="368" t="s">
        <v>703</v>
      </c>
      <c r="C113" s="371" t="s">
        <v>704</v>
      </c>
      <c r="D113" s="371" t="s">
        <v>704</v>
      </c>
      <c r="E113" s="371" t="s">
        <v>704</v>
      </c>
      <c r="F113" s="371" t="s">
        <v>704</v>
      </c>
      <c r="G113" s="371" t="s">
        <v>704</v>
      </c>
      <c r="H113" s="371" t="s">
        <v>704</v>
      </c>
      <c r="I113" s="371" t="s">
        <v>704</v>
      </c>
      <c r="J113" s="371" t="s">
        <v>704</v>
      </c>
      <c r="K113" s="371" t="s">
        <v>76</v>
      </c>
      <c r="L113" s="371">
        <v>1</v>
      </c>
    </row>
    <row r="114" spans="2:12">
      <c r="B114" s="368" t="s">
        <v>11</v>
      </c>
      <c r="C114" s="371">
        <v>20</v>
      </c>
      <c r="D114" s="371">
        <v>20</v>
      </c>
      <c r="E114" s="371">
        <v>20</v>
      </c>
      <c r="F114" s="371">
        <v>20</v>
      </c>
      <c r="G114" s="371">
        <v>20</v>
      </c>
      <c r="H114" s="371">
        <v>20</v>
      </c>
      <c r="I114" s="371">
        <v>20</v>
      </c>
      <c r="J114" s="371">
        <v>20</v>
      </c>
      <c r="K114" s="371"/>
      <c r="L114" s="371">
        <v>1</v>
      </c>
    </row>
    <row r="115" spans="2:12">
      <c r="B115" s="368" t="s">
        <v>273</v>
      </c>
      <c r="C115" s="371" t="s">
        <v>700</v>
      </c>
      <c r="D115" s="371" t="s">
        <v>700</v>
      </c>
      <c r="E115" s="371" t="s">
        <v>700</v>
      </c>
      <c r="F115" s="371" t="s">
        <v>700</v>
      </c>
      <c r="G115" s="371" t="s">
        <v>700</v>
      </c>
      <c r="H115" s="371">
        <v>1</v>
      </c>
      <c r="I115" s="371" t="s">
        <v>700</v>
      </c>
      <c r="J115" s="371">
        <v>1</v>
      </c>
      <c r="K115" s="371"/>
      <c r="L115" s="371">
        <v>1</v>
      </c>
    </row>
    <row r="116" spans="2:12">
      <c r="B116" s="1159" t="s">
        <v>705</v>
      </c>
      <c r="C116" s="1159"/>
      <c r="D116" s="1159"/>
      <c r="E116" s="1159"/>
      <c r="F116" s="1159"/>
      <c r="G116" s="1159"/>
      <c r="H116" s="1159"/>
      <c r="I116" s="1159"/>
      <c r="J116" s="1159"/>
      <c r="K116" s="1159"/>
      <c r="L116" s="1159"/>
    </row>
    <row r="117" spans="2:12">
      <c r="B117" s="368" t="s">
        <v>706</v>
      </c>
      <c r="C117" s="371">
        <v>100</v>
      </c>
      <c r="D117" s="371">
        <v>100</v>
      </c>
      <c r="E117" s="371">
        <v>100</v>
      </c>
      <c r="F117" s="371">
        <v>100</v>
      </c>
      <c r="G117" s="371">
        <v>100</v>
      </c>
      <c r="H117" s="371">
        <v>100</v>
      </c>
      <c r="I117" s="371">
        <v>100</v>
      </c>
      <c r="J117" s="371">
        <v>100</v>
      </c>
      <c r="K117" s="371"/>
      <c r="L117" s="371">
        <v>1</v>
      </c>
    </row>
    <row r="118" spans="2:12">
      <c r="B118" s="368" t="s">
        <v>707</v>
      </c>
      <c r="C118" s="371">
        <v>100</v>
      </c>
      <c r="D118" s="371">
        <v>100</v>
      </c>
      <c r="E118" s="371">
        <v>100</v>
      </c>
      <c r="F118" s="371">
        <v>100</v>
      </c>
      <c r="G118" s="371">
        <v>100</v>
      </c>
      <c r="H118" s="371">
        <v>100</v>
      </c>
      <c r="I118" s="371">
        <v>100</v>
      </c>
      <c r="J118" s="371">
        <v>100</v>
      </c>
      <c r="K118" s="371"/>
      <c r="L118" s="371">
        <v>1</v>
      </c>
    </row>
    <row r="119" spans="2:12">
      <c r="B119" s="368" t="s">
        <v>708</v>
      </c>
      <c r="C119" s="1158">
        <v>5</v>
      </c>
      <c r="D119" s="1158"/>
      <c r="E119" s="1158"/>
      <c r="F119" s="1158"/>
      <c r="G119" s="1158"/>
      <c r="H119" s="1158"/>
      <c r="I119" s="1158"/>
      <c r="J119" s="1158"/>
      <c r="K119" s="371"/>
      <c r="L119" s="371">
        <v>1</v>
      </c>
    </row>
    <row r="120" spans="2:12">
      <c r="B120" s="368" t="s">
        <v>709</v>
      </c>
      <c r="C120" s="1158" t="s">
        <v>710</v>
      </c>
      <c r="D120" s="1158"/>
      <c r="E120" s="1158"/>
      <c r="F120" s="1158"/>
      <c r="G120" s="1158"/>
      <c r="H120" s="1158"/>
      <c r="I120" s="1158"/>
      <c r="J120" s="1158"/>
      <c r="K120" s="371"/>
      <c r="L120" s="371">
        <v>2</v>
      </c>
    </row>
    <row r="121" spans="2:12">
      <c r="B121" s="368" t="s">
        <v>711</v>
      </c>
      <c r="C121" s="1158" t="s">
        <v>712</v>
      </c>
      <c r="D121" s="1158"/>
      <c r="E121" s="1158"/>
      <c r="F121" s="1158"/>
      <c r="G121" s="1158"/>
      <c r="H121" s="1158"/>
      <c r="I121" s="1158"/>
      <c r="J121" s="1158"/>
      <c r="K121" s="371"/>
      <c r="L121" s="371">
        <v>2</v>
      </c>
    </row>
    <row r="122" spans="2:12">
      <c r="B122" s="1159" t="s">
        <v>12</v>
      </c>
      <c r="C122" s="1159"/>
      <c r="D122" s="1159"/>
      <c r="E122" s="1159"/>
      <c r="F122" s="1159"/>
      <c r="G122" s="1159"/>
      <c r="H122" s="1159"/>
      <c r="I122" s="1159"/>
      <c r="J122" s="1159"/>
      <c r="K122" s="1159"/>
      <c r="L122" s="1159"/>
    </row>
    <row r="123" spans="2:12" ht="15">
      <c r="B123" s="368" t="s">
        <v>713</v>
      </c>
      <c r="C123" s="1160" t="s">
        <v>714</v>
      </c>
      <c r="D123" s="1161"/>
      <c r="E123" s="1161"/>
      <c r="F123" s="1161"/>
      <c r="G123" s="1161"/>
      <c r="H123" s="1161"/>
      <c r="I123" s="1161"/>
      <c r="J123" s="1161"/>
      <c r="K123" s="1162"/>
      <c r="L123" s="371"/>
    </row>
    <row r="124" spans="2:12" ht="15">
      <c r="B124" s="368" t="s">
        <v>715</v>
      </c>
      <c r="C124" s="1163"/>
      <c r="D124" s="1164"/>
      <c r="E124" s="1164"/>
      <c r="F124" s="1164"/>
      <c r="G124" s="1164"/>
      <c r="H124" s="1164"/>
      <c r="I124" s="1164"/>
      <c r="J124" s="1164"/>
      <c r="K124" s="1165"/>
      <c r="L124" s="371"/>
    </row>
    <row r="125" spans="2:12" ht="15">
      <c r="B125" s="368" t="s">
        <v>716</v>
      </c>
      <c r="C125" s="1163"/>
      <c r="D125" s="1164"/>
      <c r="E125" s="1164"/>
      <c r="F125" s="1164"/>
      <c r="G125" s="1164"/>
      <c r="H125" s="1164"/>
      <c r="I125" s="1164"/>
      <c r="J125" s="1164"/>
      <c r="K125" s="1165"/>
      <c r="L125" s="371"/>
    </row>
    <row r="126" spans="2:12" ht="15">
      <c r="B126" s="368" t="s">
        <v>717</v>
      </c>
      <c r="C126" s="1163"/>
      <c r="D126" s="1164"/>
      <c r="E126" s="1164"/>
      <c r="F126" s="1164"/>
      <c r="G126" s="1164"/>
      <c r="H126" s="1164"/>
      <c r="I126" s="1164"/>
      <c r="J126" s="1164"/>
      <c r="K126" s="1165"/>
      <c r="L126" s="371"/>
    </row>
    <row r="127" spans="2:12">
      <c r="B127" s="373" t="s">
        <v>718</v>
      </c>
      <c r="C127" s="1166"/>
      <c r="D127" s="1167"/>
      <c r="E127" s="1167"/>
      <c r="F127" s="1167"/>
      <c r="G127" s="1167"/>
      <c r="H127" s="1167"/>
      <c r="I127" s="1167"/>
      <c r="J127" s="1167"/>
      <c r="K127" s="1168"/>
      <c r="L127" s="371"/>
    </row>
    <row r="128" spans="2:12">
      <c r="B128" s="1159" t="s">
        <v>719</v>
      </c>
      <c r="C128" s="1159"/>
      <c r="D128" s="1159"/>
      <c r="E128" s="1159"/>
      <c r="F128" s="1159"/>
      <c r="G128" s="1159"/>
      <c r="H128" s="1159"/>
      <c r="I128" s="1159"/>
      <c r="J128" s="1159"/>
      <c r="K128" s="1159"/>
      <c r="L128" s="1159"/>
    </row>
    <row r="129" spans="2:12" ht="22.8">
      <c r="B129" s="368" t="s">
        <v>720</v>
      </c>
      <c r="C129" s="374">
        <v>0.15</v>
      </c>
      <c r="D129" s="375">
        <v>0.15</v>
      </c>
      <c r="E129" s="375">
        <v>0.14000000000000001</v>
      </c>
      <c r="F129" s="375">
        <v>0.13</v>
      </c>
      <c r="G129" s="376">
        <v>0.1</v>
      </c>
      <c r="H129" s="377">
        <v>0.25</v>
      </c>
      <c r="I129" s="376">
        <v>0.1</v>
      </c>
      <c r="J129" s="377">
        <v>0.25</v>
      </c>
      <c r="K129" s="371" t="s">
        <v>6</v>
      </c>
      <c r="L129" s="371">
        <v>1</v>
      </c>
    </row>
    <row r="130" spans="2:12">
      <c r="B130" s="368" t="s">
        <v>721</v>
      </c>
      <c r="C130" s="377">
        <v>0.12</v>
      </c>
      <c r="D130" s="376">
        <f>$C$29*0.995^(D$5-$C$5)</f>
        <v>5960</v>
      </c>
      <c r="E130" s="376">
        <f>$C$29*0.995^(E$5-$C$5)</f>
        <v>5960</v>
      </c>
      <c r="F130" s="376">
        <f>$C$29*0.995^(F$5-$C$5)</f>
        <v>5960</v>
      </c>
      <c r="G130" s="377">
        <v>0.08</v>
      </c>
      <c r="H130" s="376">
        <v>0.2</v>
      </c>
      <c r="I130" s="376">
        <v>0.08</v>
      </c>
      <c r="J130" s="376">
        <v>0.2</v>
      </c>
      <c r="K130" s="371" t="s">
        <v>59</v>
      </c>
      <c r="L130" s="371">
        <v>1</v>
      </c>
    </row>
    <row r="131" spans="2:12">
      <c r="B131" s="368" t="s">
        <v>722</v>
      </c>
      <c r="C131" s="377">
        <v>0.03</v>
      </c>
      <c r="D131" s="376">
        <f>$C131*0.995^(D$5-$C$5)</f>
        <v>0.03</v>
      </c>
      <c r="E131" s="376">
        <f>$C131*0.995^(E$5-$C$5)</f>
        <v>0.03</v>
      </c>
      <c r="F131" s="376">
        <f>$C131*0.995^(F$5-$C$5)</f>
        <v>0.03</v>
      </c>
      <c r="G131" s="377">
        <v>0.02</v>
      </c>
      <c r="H131" s="377">
        <v>0.05</v>
      </c>
      <c r="I131" s="377">
        <v>0.02</v>
      </c>
      <c r="J131" s="377">
        <v>0.05</v>
      </c>
      <c r="K131" s="371" t="s">
        <v>20</v>
      </c>
      <c r="L131" s="371">
        <v>1</v>
      </c>
    </row>
    <row r="132" spans="2:12" ht="22.8">
      <c r="B132" s="368" t="s">
        <v>723</v>
      </c>
      <c r="C132" s="378">
        <v>7.0000000000000007E-2</v>
      </c>
      <c r="D132" s="378">
        <v>7.0000000000000007E-2</v>
      </c>
      <c r="E132" s="378">
        <v>0.06</v>
      </c>
      <c r="F132" s="378">
        <v>0.06</v>
      </c>
      <c r="G132" s="379">
        <v>0.02</v>
      </c>
      <c r="H132" s="379">
        <v>0.17</v>
      </c>
      <c r="I132" s="379">
        <v>0.02</v>
      </c>
      <c r="J132" s="379">
        <v>0.17</v>
      </c>
      <c r="K132" s="370" t="s">
        <v>6</v>
      </c>
      <c r="L132" s="371">
        <v>1</v>
      </c>
    </row>
    <row r="133" spans="2:12">
      <c r="B133" s="368" t="s">
        <v>721</v>
      </c>
      <c r="C133" s="378">
        <v>0.06</v>
      </c>
      <c r="D133" s="378">
        <f>$C133*0.995^(D$5-$C$5)</f>
        <v>0.06</v>
      </c>
      <c r="E133" s="378">
        <v>0.05</v>
      </c>
      <c r="F133" s="378">
        <f>$C133*0.995^(F$5-$C$5)</f>
        <v>0.06</v>
      </c>
      <c r="G133" s="379">
        <v>0.02</v>
      </c>
      <c r="H133" s="379">
        <v>0.14000000000000001</v>
      </c>
      <c r="I133" s="379">
        <v>0.02</v>
      </c>
      <c r="J133" s="379">
        <v>0.14000000000000001</v>
      </c>
      <c r="K133" s="370" t="s">
        <v>16</v>
      </c>
      <c r="L133" s="371">
        <v>1</v>
      </c>
    </row>
    <row r="134" spans="2:12">
      <c r="B134" s="368" t="s">
        <v>722</v>
      </c>
      <c r="C134" s="378">
        <v>0.01</v>
      </c>
      <c r="D134" s="378">
        <f>$C134*0.995^(D$5-$C$5)</f>
        <v>0.01</v>
      </c>
      <c r="E134" s="378">
        <f>$C134*0.995^(E$5-$C$5)</f>
        <v>0.01</v>
      </c>
      <c r="F134" s="378">
        <f>$C134*0.995^(F$5-$C$5)</f>
        <v>0.01</v>
      </c>
      <c r="G134" s="379">
        <v>0</v>
      </c>
      <c r="H134" s="379">
        <v>0.03</v>
      </c>
      <c r="I134" s="379">
        <v>0</v>
      </c>
      <c r="J134" s="379">
        <v>0.03</v>
      </c>
      <c r="K134" s="370" t="s">
        <v>20</v>
      </c>
      <c r="L134" s="371">
        <v>1</v>
      </c>
    </row>
    <row r="135" spans="2:12">
      <c r="B135" s="368" t="s">
        <v>276</v>
      </c>
      <c r="C135" s="380">
        <v>1100</v>
      </c>
      <c r="D135" s="380">
        <v>1070</v>
      </c>
      <c r="E135" s="380">
        <v>1020</v>
      </c>
      <c r="F135" s="380">
        <v>920</v>
      </c>
      <c r="G135" s="370">
        <v>1000</v>
      </c>
      <c r="H135" s="370">
        <v>1100</v>
      </c>
      <c r="I135" s="370">
        <v>900</v>
      </c>
      <c r="J135" s="370">
        <v>1000</v>
      </c>
      <c r="K135" s="370" t="s">
        <v>6</v>
      </c>
      <c r="L135" s="371">
        <v>1</v>
      </c>
    </row>
    <row r="136" spans="2:12">
      <c r="B136" s="368" t="s">
        <v>724</v>
      </c>
      <c r="C136" s="381">
        <v>0.8</v>
      </c>
      <c r="D136" s="381">
        <v>0.9</v>
      </c>
      <c r="E136" s="381">
        <v>1</v>
      </c>
      <c r="F136" s="381">
        <v>1</v>
      </c>
      <c r="G136" s="381">
        <v>0.5</v>
      </c>
      <c r="H136" s="381">
        <v>0.9</v>
      </c>
      <c r="I136" s="381">
        <v>0.5</v>
      </c>
      <c r="J136" s="381">
        <v>1</v>
      </c>
      <c r="K136" s="382"/>
      <c r="L136" s="371">
        <v>1</v>
      </c>
    </row>
    <row r="137" spans="2:12">
      <c r="B137" s="383" t="s">
        <v>725</v>
      </c>
      <c r="C137" s="381">
        <v>0.3</v>
      </c>
      <c r="D137" s="381">
        <v>0.4</v>
      </c>
      <c r="E137" s="381">
        <v>0.5</v>
      </c>
      <c r="F137" s="381">
        <v>0.8</v>
      </c>
      <c r="G137" s="381">
        <v>0.1</v>
      </c>
      <c r="H137" s="381">
        <v>0.4</v>
      </c>
      <c r="I137" s="381">
        <v>0.2</v>
      </c>
      <c r="J137" s="381">
        <v>0.8</v>
      </c>
      <c r="K137" s="384" t="s">
        <v>25</v>
      </c>
      <c r="L137" s="384"/>
    </row>
    <row r="138" spans="2:12">
      <c r="B138" s="383" t="s">
        <v>726</v>
      </c>
      <c r="C138" s="381">
        <v>0.5</v>
      </c>
      <c r="D138" s="381">
        <v>0.5</v>
      </c>
      <c r="E138" s="381">
        <v>0.5</v>
      </c>
      <c r="F138" s="381">
        <v>0.4</v>
      </c>
      <c r="G138" s="381">
        <v>0.4</v>
      </c>
      <c r="H138" s="381">
        <v>0.5</v>
      </c>
      <c r="I138" s="381">
        <v>0.3</v>
      </c>
      <c r="J138" s="381">
        <v>0.5</v>
      </c>
      <c r="K138" s="370" t="s">
        <v>6</v>
      </c>
      <c r="L138" s="384">
        <v>1</v>
      </c>
    </row>
    <row r="139" spans="2:12">
      <c r="B139" s="1159" t="s">
        <v>727</v>
      </c>
      <c r="C139" s="1159"/>
      <c r="D139" s="1159"/>
      <c r="E139" s="1159"/>
      <c r="F139" s="1159"/>
      <c r="G139" s="1159"/>
      <c r="H139" s="1159"/>
      <c r="I139" s="1159"/>
      <c r="J139" s="1159"/>
      <c r="K139" s="1159"/>
      <c r="L139" s="1159"/>
    </row>
    <row r="140" spans="2:12">
      <c r="B140" s="368" t="s">
        <v>728</v>
      </c>
      <c r="C140" s="385">
        <v>0</v>
      </c>
      <c r="D140" s="385">
        <v>0</v>
      </c>
      <c r="E140" s="385">
        <v>0</v>
      </c>
      <c r="F140" s="385">
        <v>0</v>
      </c>
      <c r="G140" s="385">
        <v>0</v>
      </c>
      <c r="H140" s="385">
        <v>0</v>
      </c>
      <c r="I140" s="385">
        <v>0</v>
      </c>
      <c r="J140" s="385">
        <v>0</v>
      </c>
      <c r="K140" s="371"/>
      <c r="L140" s="371">
        <v>1</v>
      </c>
    </row>
  </sheetData>
  <mergeCells count="29">
    <mergeCell ref="B128:L128"/>
    <mergeCell ref="B139:L139"/>
    <mergeCell ref="C119:J119"/>
    <mergeCell ref="C120:J120"/>
    <mergeCell ref="C121:J121"/>
    <mergeCell ref="B122:L122"/>
    <mergeCell ref="C123:K127"/>
    <mergeCell ref="C105:L105"/>
    <mergeCell ref="G106:H106"/>
    <mergeCell ref="I106:J106"/>
    <mergeCell ref="C108:F108"/>
    <mergeCell ref="B116:L116"/>
    <mergeCell ref="J63:O63"/>
    <mergeCell ref="J90:O90"/>
    <mergeCell ref="J91:O91"/>
    <mergeCell ref="J6:O6"/>
    <mergeCell ref="J7:O7"/>
    <mergeCell ref="J62:O62"/>
    <mergeCell ref="J33:J34"/>
    <mergeCell ref="K33:P33"/>
    <mergeCell ref="K34:P34"/>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theme="4"/>
  </sheetPr>
  <dimension ref="B3:H30"/>
  <sheetViews>
    <sheetView workbookViewId="0">
      <selection activeCell="K36" sqref="K36"/>
    </sheetView>
  </sheetViews>
  <sheetFormatPr defaultRowHeight="14.4"/>
  <cols>
    <col min="2" max="2" width="36.6640625" customWidth="1"/>
  </cols>
  <sheetData>
    <row r="3" spans="2:8">
      <c r="B3" s="8" t="s">
        <v>319</v>
      </c>
    </row>
    <row r="5" spans="2:8" ht="15" thickBot="1"/>
    <row r="6" spans="2:8" ht="15" customHeight="1">
      <c r="B6" s="1118" t="s">
        <v>0</v>
      </c>
      <c r="C6" s="1120" t="s">
        <v>134</v>
      </c>
      <c r="D6" s="1121"/>
      <c r="E6" s="1121"/>
      <c r="F6" s="1121"/>
      <c r="G6" s="1121"/>
      <c r="H6" s="1122"/>
    </row>
    <row r="7" spans="2:8" ht="15.75" customHeight="1" thickBot="1">
      <c r="B7" s="1119"/>
      <c r="C7" s="1001" t="s">
        <v>38</v>
      </c>
      <c r="D7" s="1002"/>
      <c r="E7" s="1002"/>
      <c r="F7" s="1002"/>
      <c r="G7" s="1002"/>
      <c r="H7" s="1003"/>
    </row>
    <row r="8" spans="2:8" ht="15" thickBot="1">
      <c r="B8" s="127"/>
      <c r="C8" s="128">
        <v>2015</v>
      </c>
      <c r="D8" s="128">
        <v>2020</v>
      </c>
      <c r="E8" s="128">
        <v>2030</v>
      </c>
      <c r="F8" s="128">
        <v>2050</v>
      </c>
      <c r="G8" s="128" t="s">
        <v>2</v>
      </c>
      <c r="H8" s="128" t="s">
        <v>3</v>
      </c>
    </row>
    <row r="9" spans="2:8" ht="15" thickBot="1">
      <c r="B9" s="129" t="s">
        <v>4</v>
      </c>
      <c r="C9" s="130"/>
      <c r="D9" s="130"/>
      <c r="E9" s="130"/>
      <c r="F9" s="130"/>
      <c r="G9" s="130"/>
      <c r="H9" s="131"/>
    </row>
    <row r="10" spans="2:8" ht="15" thickBot="1">
      <c r="B10" s="127" t="s">
        <v>5</v>
      </c>
      <c r="C10" s="134" t="s">
        <v>135</v>
      </c>
      <c r="D10" s="134" t="s">
        <v>135</v>
      </c>
      <c r="E10" s="134" t="s">
        <v>135</v>
      </c>
      <c r="F10" s="134"/>
      <c r="G10" s="134" t="s">
        <v>16</v>
      </c>
      <c r="H10" s="134" t="s">
        <v>136</v>
      </c>
    </row>
    <row r="11" spans="2:8" ht="15" thickBot="1">
      <c r="B11" s="127" t="s">
        <v>137</v>
      </c>
      <c r="C11" s="134" t="s">
        <v>138</v>
      </c>
      <c r="D11" s="134" t="s">
        <v>138</v>
      </c>
      <c r="E11" s="134" t="s">
        <v>138</v>
      </c>
      <c r="F11" s="134"/>
      <c r="G11" s="134"/>
      <c r="H11" s="134">
        <v>1</v>
      </c>
    </row>
    <row r="12" spans="2:8" ht="24.6" thickBot="1">
      <c r="B12" s="127" t="s">
        <v>7</v>
      </c>
      <c r="C12" s="134" t="s">
        <v>139</v>
      </c>
      <c r="D12" s="134" t="s">
        <v>139</v>
      </c>
      <c r="E12" s="134" t="s">
        <v>139</v>
      </c>
      <c r="F12" s="134"/>
      <c r="G12" s="134" t="s">
        <v>20</v>
      </c>
      <c r="H12" s="134"/>
    </row>
    <row r="13" spans="2:8" ht="24.6" thickBot="1">
      <c r="B13" s="127" t="s">
        <v>8</v>
      </c>
      <c r="C13" s="134" t="s">
        <v>140</v>
      </c>
      <c r="D13" s="134" t="s">
        <v>140</v>
      </c>
      <c r="E13" s="134" t="s">
        <v>140</v>
      </c>
      <c r="F13" s="134"/>
      <c r="G13" s="134" t="s">
        <v>141</v>
      </c>
      <c r="H13" s="134"/>
    </row>
    <row r="14" spans="2:8" ht="15" thickBot="1">
      <c r="B14" s="127" t="s">
        <v>142</v>
      </c>
      <c r="C14" s="134" t="s">
        <v>143</v>
      </c>
      <c r="D14" s="134" t="s">
        <v>144</v>
      </c>
      <c r="E14" s="134" t="s">
        <v>145</v>
      </c>
      <c r="F14" s="134"/>
      <c r="G14" s="134" t="s">
        <v>51</v>
      </c>
      <c r="H14" s="134">
        <v>1</v>
      </c>
    </row>
    <row r="15" spans="2:8" ht="15" thickBot="1">
      <c r="B15" s="127" t="s">
        <v>146</v>
      </c>
      <c r="C15" s="134" t="s">
        <v>147</v>
      </c>
      <c r="D15" s="134" t="s">
        <v>148</v>
      </c>
      <c r="E15" s="134" t="s">
        <v>148</v>
      </c>
      <c r="F15" s="134"/>
      <c r="G15" s="134" t="s">
        <v>51</v>
      </c>
      <c r="H15" s="134">
        <v>1</v>
      </c>
    </row>
    <row r="16" spans="2:8" ht="15" thickBot="1">
      <c r="B16" s="127" t="s">
        <v>9</v>
      </c>
      <c r="C16" s="134" t="s">
        <v>149</v>
      </c>
      <c r="D16" s="134" t="s">
        <v>150</v>
      </c>
      <c r="E16" s="134" t="s">
        <v>151</v>
      </c>
      <c r="F16" s="134"/>
      <c r="G16" s="134" t="s">
        <v>51</v>
      </c>
      <c r="H16" s="134">
        <v>1</v>
      </c>
    </row>
    <row r="17" spans="2:8" ht="15" thickBot="1">
      <c r="B17" s="127" t="s">
        <v>11</v>
      </c>
      <c r="C17" s="134" t="s">
        <v>152</v>
      </c>
      <c r="D17" s="134" t="s">
        <v>153</v>
      </c>
      <c r="E17" s="134" t="s">
        <v>153</v>
      </c>
      <c r="F17" s="134"/>
      <c r="G17" s="134"/>
      <c r="H17" s="134">
        <v>6</v>
      </c>
    </row>
    <row r="18" spans="2:8" ht="15" thickBot="1">
      <c r="B18" s="129" t="s">
        <v>12</v>
      </c>
      <c r="C18" s="130"/>
      <c r="D18" s="130"/>
      <c r="E18" s="130"/>
      <c r="F18" s="130"/>
      <c r="G18" s="130"/>
      <c r="H18" s="131"/>
    </row>
    <row r="19" spans="2:8" ht="15.6" thickBot="1">
      <c r="B19" s="127" t="s">
        <v>13</v>
      </c>
      <c r="C19" s="128">
        <v>0</v>
      </c>
      <c r="D19" s="128">
        <v>0</v>
      </c>
      <c r="E19" s="128">
        <v>0</v>
      </c>
      <c r="F19" s="128"/>
      <c r="G19" s="128"/>
      <c r="H19" s="128"/>
    </row>
    <row r="20" spans="2:8" ht="15.6" thickBot="1">
      <c r="B20" s="127" t="s">
        <v>15</v>
      </c>
      <c r="C20" s="35">
        <v>2</v>
      </c>
      <c r="D20" s="35">
        <v>2</v>
      </c>
      <c r="E20" s="35">
        <v>2</v>
      </c>
      <c r="F20" s="128"/>
      <c r="G20" s="128"/>
      <c r="H20" s="128" t="s">
        <v>154</v>
      </c>
    </row>
    <row r="21" spans="2:8" ht="15.6" thickBot="1">
      <c r="B21" s="127" t="s">
        <v>17</v>
      </c>
      <c r="C21" s="128" t="s">
        <v>155</v>
      </c>
      <c r="D21" s="128" t="s">
        <v>155</v>
      </c>
      <c r="E21" s="128" t="s">
        <v>155</v>
      </c>
      <c r="F21" s="128"/>
      <c r="G21" s="128" t="s">
        <v>25</v>
      </c>
      <c r="H21" s="128" t="s">
        <v>154</v>
      </c>
    </row>
    <row r="22" spans="2:8" ht="15.6" thickBot="1">
      <c r="B22" s="127" t="s">
        <v>18</v>
      </c>
      <c r="C22" s="35">
        <v>0</v>
      </c>
      <c r="D22" s="35">
        <v>0</v>
      </c>
      <c r="E22" s="35">
        <v>0</v>
      </c>
      <c r="F22" s="128"/>
      <c r="G22" s="128"/>
      <c r="H22" s="128"/>
    </row>
    <row r="23" spans="2:8" ht="15" thickBot="1">
      <c r="B23" s="127" t="s">
        <v>19</v>
      </c>
      <c r="C23" s="128">
        <v>0</v>
      </c>
      <c r="D23" s="128">
        <v>0</v>
      </c>
      <c r="E23" s="128">
        <v>0</v>
      </c>
      <c r="F23" s="128"/>
      <c r="G23" s="128"/>
      <c r="H23" s="128">
        <v>7</v>
      </c>
    </row>
    <row r="24" spans="2:8" ht="15" thickBot="1">
      <c r="B24" s="129" t="s">
        <v>22</v>
      </c>
      <c r="C24" s="130"/>
      <c r="D24" s="130"/>
      <c r="E24" s="130"/>
      <c r="F24" s="130"/>
      <c r="G24" s="130"/>
      <c r="H24" s="131"/>
    </row>
    <row r="25" spans="2:8">
      <c r="B25" s="132" t="s">
        <v>24</v>
      </c>
      <c r="C25" s="141" t="s">
        <v>296</v>
      </c>
      <c r="D25" s="133">
        <v>4.4000000000000004</v>
      </c>
      <c r="E25" s="133">
        <v>2.6</v>
      </c>
      <c r="F25" s="133"/>
      <c r="G25" s="133" t="s">
        <v>109</v>
      </c>
      <c r="H25" s="133" t="s">
        <v>156</v>
      </c>
    </row>
    <row r="26" spans="2:8">
      <c r="B26" s="132" t="s">
        <v>26</v>
      </c>
      <c r="C26" s="133" t="s">
        <v>95</v>
      </c>
      <c r="D26" s="133">
        <v>80</v>
      </c>
      <c r="E26" s="133">
        <v>80</v>
      </c>
      <c r="F26" s="133"/>
      <c r="G26" s="133"/>
      <c r="H26" s="133"/>
    </row>
    <row r="27" spans="2:8" ht="15" thickBot="1">
      <c r="B27" s="127" t="s">
        <v>28</v>
      </c>
      <c r="C27" s="128" t="s">
        <v>97</v>
      </c>
      <c r="D27" s="128">
        <v>20</v>
      </c>
      <c r="E27" s="128">
        <v>20</v>
      </c>
      <c r="F27" s="128"/>
      <c r="G27" s="128"/>
      <c r="H27" s="128"/>
    </row>
    <row r="28" spans="2:8" ht="24.6" thickBot="1">
      <c r="B28" s="127" t="s">
        <v>30</v>
      </c>
      <c r="C28" s="128" t="s">
        <v>157</v>
      </c>
      <c r="D28" s="128" t="s">
        <v>157</v>
      </c>
      <c r="E28" s="128" t="s">
        <v>157</v>
      </c>
      <c r="F28" s="128"/>
      <c r="G28" s="128" t="s">
        <v>76</v>
      </c>
      <c r="H28" s="128"/>
    </row>
    <row r="29" spans="2:8" ht="15" thickBot="1">
      <c r="B29" s="127" t="s">
        <v>50</v>
      </c>
      <c r="C29" s="128" t="s">
        <v>68</v>
      </c>
      <c r="D29" s="128" t="s">
        <v>68</v>
      </c>
      <c r="E29" s="128" t="s">
        <v>68</v>
      </c>
      <c r="F29" s="128"/>
      <c r="G29" s="128"/>
      <c r="H29" s="128"/>
    </row>
    <row r="30" spans="2:8" ht="15" thickBot="1">
      <c r="B30" s="127" t="s">
        <v>31</v>
      </c>
      <c r="C30" s="128" t="s">
        <v>68</v>
      </c>
      <c r="D30" s="128" t="s">
        <v>68</v>
      </c>
      <c r="E30" s="128" t="s">
        <v>68</v>
      </c>
      <c r="F30" s="128"/>
      <c r="G30" s="128"/>
      <c r="H30" s="128"/>
    </row>
  </sheetData>
  <mergeCells count="3">
    <mergeCell ref="B6:B7"/>
    <mergeCell ref="C6:H6"/>
    <mergeCell ref="C7:H7"/>
  </mergeCells>
  <pageMargins left="0.7" right="0.7" top="0.75" bottom="0.75" header="0.3" footer="0.3"/>
  <pageSetup paperSize="9"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tabColor theme="4"/>
  </sheetPr>
  <dimension ref="B3:H31"/>
  <sheetViews>
    <sheetView workbookViewId="0">
      <selection activeCell="K36" sqref="K36"/>
    </sheetView>
  </sheetViews>
  <sheetFormatPr defaultRowHeight="14.4"/>
  <cols>
    <col min="2" max="2" width="36.6640625" customWidth="1"/>
  </cols>
  <sheetData>
    <row r="3" spans="2:8">
      <c r="B3" s="8" t="s">
        <v>320</v>
      </c>
    </row>
    <row r="5" spans="2:8" ht="15" thickBot="1"/>
    <row r="6" spans="2:8">
      <c r="B6" s="1118" t="s">
        <v>0</v>
      </c>
      <c r="C6" s="1120" t="s">
        <v>158</v>
      </c>
      <c r="D6" s="1121"/>
      <c r="E6" s="1121"/>
      <c r="F6" s="1121"/>
      <c r="G6" s="1121"/>
      <c r="H6" s="1122"/>
    </row>
    <row r="7" spans="2:8" ht="15" thickBot="1">
      <c r="B7" s="1119"/>
      <c r="C7" s="1001" t="s">
        <v>38</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9">
        <v>1.6</v>
      </c>
      <c r="D10" s="9">
        <v>1.6</v>
      </c>
      <c r="E10" s="9">
        <v>1.6</v>
      </c>
      <c r="F10" s="9"/>
      <c r="G10" s="9" t="s">
        <v>6</v>
      </c>
      <c r="H10" s="9">
        <v>3</v>
      </c>
    </row>
    <row r="11" spans="2:8" ht="15" thickBot="1">
      <c r="B11" s="1" t="s">
        <v>137</v>
      </c>
      <c r="C11" s="9">
        <v>1.4</v>
      </c>
      <c r="D11" s="9">
        <v>1.4</v>
      </c>
      <c r="E11" s="9">
        <v>1.4</v>
      </c>
      <c r="F11" s="9"/>
      <c r="G11" s="9"/>
      <c r="H11" s="9">
        <v>3</v>
      </c>
    </row>
    <row r="12" spans="2:8" ht="24.6" thickBot="1">
      <c r="B12" s="1" t="s">
        <v>7</v>
      </c>
      <c r="C12" s="9" t="s">
        <v>159</v>
      </c>
      <c r="D12" s="9" t="s">
        <v>159</v>
      </c>
      <c r="E12" s="9" t="s">
        <v>159</v>
      </c>
      <c r="F12" s="9"/>
      <c r="G12" s="9" t="s">
        <v>20</v>
      </c>
      <c r="H12" s="9"/>
    </row>
    <row r="13" spans="2:8" ht="24.6" thickBot="1">
      <c r="B13" s="1" t="s">
        <v>8</v>
      </c>
      <c r="C13" s="9" t="s">
        <v>159</v>
      </c>
      <c r="D13" s="9" t="s">
        <v>159</v>
      </c>
      <c r="E13" s="9" t="s">
        <v>159</v>
      </c>
      <c r="F13" s="9"/>
      <c r="G13" s="9" t="s">
        <v>20</v>
      </c>
      <c r="H13" s="9"/>
    </row>
    <row r="14" spans="2:8" ht="15" thickBot="1">
      <c r="B14" s="1" t="s">
        <v>142</v>
      </c>
      <c r="C14" s="9" t="s">
        <v>160</v>
      </c>
      <c r="D14" s="9" t="s">
        <v>161</v>
      </c>
      <c r="E14" s="9" t="s">
        <v>162</v>
      </c>
      <c r="F14" s="9"/>
      <c r="G14" s="9" t="s">
        <v>76</v>
      </c>
      <c r="H14" s="9">
        <v>1</v>
      </c>
    </row>
    <row r="15" spans="2:8" ht="15" thickBot="1">
      <c r="B15" s="1" t="s">
        <v>146</v>
      </c>
      <c r="C15" s="9" t="s">
        <v>163</v>
      </c>
      <c r="D15" s="9" t="s">
        <v>164</v>
      </c>
      <c r="E15" s="9" t="s">
        <v>144</v>
      </c>
      <c r="F15" s="9"/>
      <c r="G15" s="9" t="s">
        <v>76</v>
      </c>
      <c r="H15" s="9">
        <v>1</v>
      </c>
    </row>
    <row r="16" spans="2:8" ht="15" thickBot="1">
      <c r="B16" s="1" t="s">
        <v>9</v>
      </c>
      <c r="C16" s="9" t="s">
        <v>149</v>
      </c>
      <c r="D16" s="9" t="s">
        <v>165</v>
      </c>
      <c r="E16" s="9" t="s">
        <v>151</v>
      </c>
      <c r="F16" s="9"/>
      <c r="G16" s="9" t="s">
        <v>166</v>
      </c>
      <c r="H16" s="9">
        <v>1</v>
      </c>
    </row>
    <row r="17" spans="2:8" ht="24.6" thickBot="1">
      <c r="B17" s="1" t="s">
        <v>167</v>
      </c>
      <c r="C17" s="9" t="s">
        <v>168</v>
      </c>
      <c r="D17" s="9" t="s">
        <v>169</v>
      </c>
      <c r="E17" s="9" t="s">
        <v>170</v>
      </c>
      <c r="F17" s="9"/>
      <c r="G17" s="9"/>
      <c r="H17" s="9" t="s">
        <v>65</v>
      </c>
    </row>
    <row r="18" spans="2:8" ht="15" thickBot="1">
      <c r="B18" s="1" t="s">
        <v>11</v>
      </c>
      <c r="C18" s="9">
        <v>7</v>
      </c>
      <c r="D18" s="9" t="s">
        <v>153</v>
      </c>
      <c r="E18" s="9" t="s">
        <v>153</v>
      </c>
      <c r="F18" s="9"/>
      <c r="G18" s="9" t="s">
        <v>59</v>
      </c>
      <c r="H18" s="9">
        <v>1</v>
      </c>
    </row>
    <row r="19" spans="2:8" ht="15" thickBot="1">
      <c r="B19" s="3" t="s">
        <v>12</v>
      </c>
      <c r="C19" s="4"/>
      <c r="D19" s="4"/>
      <c r="E19" s="4"/>
      <c r="F19" s="4"/>
      <c r="G19" s="4"/>
      <c r="H19" s="5"/>
    </row>
    <row r="20" spans="2:8" ht="15.75" customHeight="1" thickBot="1">
      <c r="B20" s="22" t="s">
        <v>13</v>
      </c>
      <c r="C20" s="1169" t="s">
        <v>173</v>
      </c>
      <c r="D20" s="1170"/>
      <c r="E20" s="1170"/>
      <c r="F20" s="1170"/>
      <c r="G20" s="1170"/>
      <c r="H20" s="1171"/>
    </row>
    <row r="21" spans="2:8" ht="15.75" customHeight="1" thickBot="1">
      <c r="B21" s="1" t="s">
        <v>15</v>
      </c>
      <c r="C21" s="1172"/>
      <c r="D21" s="1173"/>
      <c r="E21" s="1173"/>
      <c r="F21" s="1173"/>
      <c r="G21" s="1173"/>
      <c r="H21" s="1174"/>
    </row>
    <row r="22" spans="2:8" ht="15.6" thickBot="1">
      <c r="B22" s="1" t="s">
        <v>17</v>
      </c>
      <c r="C22" s="1172"/>
      <c r="D22" s="1173"/>
      <c r="E22" s="1173"/>
      <c r="F22" s="1173"/>
      <c r="G22" s="1173"/>
      <c r="H22" s="1174"/>
    </row>
    <row r="23" spans="2:8" ht="15.6" thickBot="1">
      <c r="B23" s="1" t="s">
        <v>18</v>
      </c>
      <c r="C23" s="1172"/>
      <c r="D23" s="1173"/>
      <c r="E23" s="1173"/>
      <c r="F23" s="1173"/>
      <c r="G23" s="1173"/>
      <c r="H23" s="1174"/>
    </row>
    <row r="24" spans="2:8" ht="15" thickBot="1">
      <c r="B24" s="1" t="s">
        <v>19</v>
      </c>
      <c r="C24" s="1175"/>
      <c r="D24" s="1176"/>
      <c r="E24" s="1176"/>
      <c r="F24" s="1176"/>
      <c r="G24" s="1176"/>
      <c r="H24" s="1177"/>
    </row>
    <row r="25" spans="2:8" ht="15" thickBot="1">
      <c r="B25" s="3" t="s">
        <v>22</v>
      </c>
      <c r="C25" s="4"/>
      <c r="D25" s="4"/>
      <c r="E25" s="4"/>
      <c r="F25" s="4"/>
      <c r="G25" s="4"/>
      <c r="H25" s="5"/>
    </row>
    <row r="26" spans="2:8">
      <c r="B26" s="6" t="s">
        <v>24</v>
      </c>
      <c r="C26" s="7">
        <v>10.5</v>
      </c>
      <c r="D26" s="7">
        <v>4.4000000000000004</v>
      </c>
      <c r="E26" s="7">
        <v>2.6</v>
      </c>
      <c r="F26" s="7"/>
      <c r="G26" s="7"/>
      <c r="H26" s="7">
        <v>1</v>
      </c>
    </row>
    <row r="27" spans="2:8">
      <c r="B27" s="6" t="s">
        <v>26</v>
      </c>
      <c r="C27" s="7" t="s">
        <v>171</v>
      </c>
      <c r="D27" s="7">
        <v>70</v>
      </c>
      <c r="E27" s="7">
        <v>70</v>
      </c>
      <c r="F27" s="7"/>
      <c r="G27" s="7"/>
      <c r="H27" s="7"/>
    </row>
    <row r="28" spans="2:8" ht="15" thickBot="1">
      <c r="B28" s="1" t="s">
        <v>96</v>
      </c>
      <c r="C28" s="2" t="s">
        <v>172</v>
      </c>
      <c r="D28" s="2">
        <v>30</v>
      </c>
      <c r="E28" s="2">
        <v>30</v>
      </c>
      <c r="F28" s="2"/>
      <c r="G28" s="2"/>
      <c r="H28" s="2"/>
    </row>
    <row r="29" spans="2:8" ht="24.6" thickBot="1">
      <c r="B29" s="1" t="s">
        <v>30</v>
      </c>
      <c r="C29" s="2" t="s">
        <v>157</v>
      </c>
      <c r="D29" s="2" t="s">
        <v>157</v>
      </c>
      <c r="E29" s="2" t="s">
        <v>157</v>
      </c>
      <c r="F29" s="2"/>
      <c r="G29" s="2" t="s">
        <v>25</v>
      </c>
      <c r="H29" s="2"/>
    </row>
    <row r="30" spans="2:8" ht="15" thickBot="1">
      <c r="B30" s="1" t="s">
        <v>50</v>
      </c>
      <c r="C30" s="2" t="s">
        <v>68</v>
      </c>
      <c r="D30" s="2" t="s">
        <v>68</v>
      </c>
      <c r="E30" s="2" t="s">
        <v>68</v>
      </c>
      <c r="F30" s="2"/>
      <c r="G30" s="2"/>
      <c r="H30" s="2"/>
    </row>
    <row r="31" spans="2:8" ht="15" thickBot="1">
      <c r="B31" s="1" t="s">
        <v>31</v>
      </c>
      <c r="C31" s="2" t="s">
        <v>68</v>
      </c>
      <c r="D31" s="2" t="s">
        <v>68</v>
      </c>
      <c r="E31" s="2" t="s">
        <v>68</v>
      </c>
      <c r="F31" s="2"/>
      <c r="G31" s="2"/>
      <c r="H31" s="2"/>
    </row>
  </sheetData>
  <mergeCells count="4">
    <mergeCell ref="C20:H24"/>
    <mergeCell ref="B6:B7"/>
    <mergeCell ref="C6:H6"/>
    <mergeCell ref="C7:H7"/>
  </mergeCells>
  <pageMargins left="0.7" right="0.7" top="0.75" bottom="0.75" header="0.3" footer="0.3"/>
  <pageSetup paperSize="9"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theme="4"/>
  </sheetPr>
  <dimension ref="B3:H91"/>
  <sheetViews>
    <sheetView topLeftCell="A10" workbookViewId="0">
      <selection activeCell="K36" sqref="K36"/>
    </sheetView>
  </sheetViews>
  <sheetFormatPr defaultRowHeight="14.4"/>
  <cols>
    <col min="2" max="2" width="36.6640625" customWidth="1"/>
  </cols>
  <sheetData>
    <row r="3" spans="2:8">
      <c r="B3" s="8" t="s">
        <v>321</v>
      </c>
    </row>
    <row r="5" spans="2:8" ht="15" thickBot="1"/>
    <row r="6" spans="2:8">
      <c r="B6" s="1118" t="s">
        <v>0</v>
      </c>
      <c r="C6" s="1120" t="s">
        <v>174</v>
      </c>
      <c r="D6" s="1121"/>
      <c r="E6" s="1121"/>
      <c r="F6" s="1121"/>
      <c r="G6" s="1121"/>
      <c r="H6" s="1122"/>
    </row>
    <row r="7" spans="2:8" ht="15" thickBot="1">
      <c r="B7" s="1119"/>
      <c r="C7" s="1001" t="s">
        <v>1</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32" t="s">
        <v>297</v>
      </c>
      <c r="D10" s="32" t="s">
        <v>298</v>
      </c>
      <c r="E10" s="32" t="s">
        <v>299</v>
      </c>
      <c r="F10" s="9"/>
      <c r="G10" s="9" t="s">
        <v>6</v>
      </c>
      <c r="H10" s="9"/>
    </row>
    <row r="11" spans="2:8" ht="15" thickBot="1">
      <c r="B11" s="1" t="s">
        <v>137</v>
      </c>
      <c r="C11" s="9">
        <v>1</v>
      </c>
      <c r="D11" s="9">
        <v>1</v>
      </c>
      <c r="E11" s="9">
        <v>1</v>
      </c>
      <c r="F11" s="9"/>
      <c r="G11" s="9"/>
      <c r="H11" s="9"/>
    </row>
    <row r="12" spans="2:8" ht="24.6" thickBot="1">
      <c r="B12" s="1" t="s">
        <v>7</v>
      </c>
      <c r="C12" s="9" t="s">
        <v>175</v>
      </c>
      <c r="D12" s="9" t="s">
        <v>175</v>
      </c>
      <c r="E12" s="9" t="s">
        <v>175</v>
      </c>
      <c r="F12" s="9"/>
      <c r="G12" s="9" t="s">
        <v>16</v>
      </c>
      <c r="H12" s="9"/>
    </row>
    <row r="13" spans="2:8" ht="24.6" thickBot="1">
      <c r="B13" s="1" t="s">
        <v>8</v>
      </c>
      <c r="C13" s="9" t="s">
        <v>159</v>
      </c>
      <c r="D13" s="9" t="s">
        <v>159</v>
      </c>
      <c r="E13" s="9" t="s">
        <v>159</v>
      </c>
      <c r="F13" s="9"/>
      <c r="G13" s="9" t="s">
        <v>16</v>
      </c>
      <c r="H13" s="9"/>
    </row>
    <row r="14" spans="2:8" ht="15" thickBot="1">
      <c r="B14" s="1" t="s">
        <v>142</v>
      </c>
      <c r="C14" s="9">
        <v>12</v>
      </c>
      <c r="D14" s="9">
        <v>14</v>
      </c>
      <c r="E14" s="9">
        <v>16</v>
      </c>
      <c r="F14" s="9"/>
      <c r="G14" s="9"/>
      <c r="H14" s="9">
        <v>-4</v>
      </c>
    </row>
    <row r="15" spans="2:8" ht="15" thickBot="1">
      <c r="B15" s="1" t="s">
        <v>146</v>
      </c>
      <c r="C15" s="9" t="s">
        <v>63</v>
      </c>
      <c r="D15" s="9" t="s">
        <v>176</v>
      </c>
      <c r="E15" s="9" t="s">
        <v>169</v>
      </c>
      <c r="F15" s="9"/>
      <c r="G15" s="9"/>
      <c r="H15" s="9">
        <v>-4</v>
      </c>
    </row>
    <row r="16" spans="2:8" ht="15" thickBot="1">
      <c r="B16" s="1" t="s">
        <v>9</v>
      </c>
      <c r="C16" s="9" t="s">
        <v>177</v>
      </c>
      <c r="D16" s="9" t="s">
        <v>178</v>
      </c>
      <c r="E16" s="9" t="s">
        <v>179</v>
      </c>
      <c r="F16" s="9"/>
      <c r="G16" s="9"/>
      <c r="H16" s="9">
        <v>-4</v>
      </c>
    </row>
    <row r="17" spans="2:8" ht="15" thickBot="1">
      <c r="B17" s="1" t="s">
        <v>11</v>
      </c>
      <c r="C17" s="9">
        <v>10</v>
      </c>
      <c r="D17" s="9" t="s">
        <v>153</v>
      </c>
      <c r="E17" s="9" t="s">
        <v>153</v>
      </c>
      <c r="F17" s="9"/>
      <c r="G17" s="9"/>
      <c r="H17" s="9"/>
    </row>
    <row r="18" spans="2:8" ht="15" thickBot="1">
      <c r="B18" s="3" t="s">
        <v>12</v>
      </c>
      <c r="C18" s="4"/>
      <c r="D18" s="4"/>
      <c r="E18" s="4"/>
      <c r="F18" s="4"/>
      <c r="G18" s="4"/>
      <c r="H18" s="5"/>
    </row>
    <row r="19" spans="2:8" ht="15.6" thickBot="1">
      <c r="B19" s="1" t="s">
        <v>13</v>
      </c>
      <c r="C19" s="2">
        <v>0</v>
      </c>
      <c r="D19" s="2">
        <v>0</v>
      </c>
      <c r="E19" s="2">
        <v>0</v>
      </c>
      <c r="F19" s="2"/>
      <c r="G19" s="2"/>
      <c r="H19" s="2"/>
    </row>
    <row r="20" spans="2:8" ht="15.6" thickBot="1">
      <c r="B20" s="1" t="s">
        <v>15</v>
      </c>
      <c r="C20" s="2" t="s">
        <v>180</v>
      </c>
      <c r="D20" s="27" t="s">
        <v>300</v>
      </c>
      <c r="E20" s="27" t="s">
        <v>300</v>
      </c>
      <c r="F20" s="2"/>
      <c r="G20" s="2" t="s">
        <v>59</v>
      </c>
      <c r="H20" s="2">
        <v>3</v>
      </c>
    </row>
    <row r="21" spans="2:8" ht="15.6" thickBot="1">
      <c r="B21" s="1" t="s">
        <v>17</v>
      </c>
      <c r="C21" s="35">
        <v>0</v>
      </c>
      <c r="D21" s="35">
        <v>0</v>
      </c>
      <c r="E21" s="35">
        <v>0</v>
      </c>
      <c r="F21" s="2"/>
      <c r="G21" s="2"/>
      <c r="H21" s="2">
        <v>3</v>
      </c>
    </row>
    <row r="22" spans="2:8" ht="15.6" thickBot="1">
      <c r="B22" s="1" t="s">
        <v>18</v>
      </c>
      <c r="C22" s="35">
        <v>0</v>
      </c>
      <c r="D22" s="35">
        <v>0</v>
      </c>
      <c r="E22" s="35">
        <v>0</v>
      </c>
      <c r="F22" s="2"/>
      <c r="G22" s="2"/>
      <c r="H22" s="2"/>
    </row>
    <row r="23" spans="2:8" ht="15" thickBot="1">
      <c r="B23" s="1" t="s">
        <v>19</v>
      </c>
      <c r="C23" s="35">
        <v>0</v>
      </c>
      <c r="D23" s="35">
        <v>0</v>
      </c>
      <c r="E23" s="35">
        <v>0</v>
      </c>
      <c r="F23" s="2"/>
      <c r="G23" s="2"/>
      <c r="H23" s="2"/>
    </row>
    <row r="24" spans="2:8" ht="15" thickBot="1">
      <c r="B24" s="3" t="s">
        <v>22</v>
      </c>
      <c r="C24" s="4"/>
      <c r="D24" s="4"/>
      <c r="E24" s="4"/>
      <c r="F24" s="4"/>
      <c r="G24" s="4"/>
      <c r="H24" s="5"/>
    </row>
    <row r="25" spans="2:8">
      <c r="B25" s="6" t="s">
        <v>24</v>
      </c>
      <c r="C25" s="26" t="s">
        <v>301</v>
      </c>
      <c r="D25" s="28" t="s">
        <v>302</v>
      </c>
      <c r="E25" s="7">
        <v>5</v>
      </c>
      <c r="F25" s="7"/>
      <c r="G25" s="7"/>
      <c r="H25" s="7" t="s">
        <v>94</v>
      </c>
    </row>
    <row r="26" spans="2:8">
      <c r="B26" s="6" t="s">
        <v>26</v>
      </c>
      <c r="C26" s="7" t="s">
        <v>27</v>
      </c>
      <c r="D26" s="7">
        <v>70</v>
      </c>
      <c r="E26" s="7">
        <v>70</v>
      </c>
      <c r="F26" s="7"/>
      <c r="G26" s="7"/>
      <c r="H26" s="7"/>
    </row>
    <row r="27" spans="2:8" ht="15" thickBot="1">
      <c r="B27" s="1" t="s">
        <v>28</v>
      </c>
      <c r="C27" s="2" t="s">
        <v>29</v>
      </c>
      <c r="D27" s="2">
        <v>30</v>
      </c>
      <c r="E27" s="2">
        <v>30</v>
      </c>
      <c r="F27" s="2"/>
      <c r="G27" s="2"/>
      <c r="H27" s="2"/>
    </row>
    <row r="28" spans="2:8" ht="24.6" thickBot="1">
      <c r="B28" s="1" t="s">
        <v>30</v>
      </c>
      <c r="C28" s="2" t="s">
        <v>157</v>
      </c>
      <c r="D28" s="2" t="s">
        <v>157</v>
      </c>
      <c r="E28" s="2" t="s">
        <v>157</v>
      </c>
      <c r="F28" s="2"/>
      <c r="G28" s="2" t="s">
        <v>16</v>
      </c>
      <c r="H28" s="2"/>
    </row>
    <row r="29" spans="2:8" ht="15" thickBot="1">
      <c r="B29" s="1" t="s">
        <v>50</v>
      </c>
      <c r="C29" s="2" t="s">
        <v>68</v>
      </c>
      <c r="D29" s="2" t="s">
        <v>68</v>
      </c>
      <c r="E29" s="2" t="s">
        <v>68</v>
      </c>
      <c r="F29" s="2"/>
      <c r="G29" s="2"/>
      <c r="H29" s="2"/>
    </row>
    <row r="30" spans="2:8" ht="15" thickBot="1">
      <c r="B30" s="1" t="s">
        <v>31</v>
      </c>
      <c r="C30" s="2" t="s">
        <v>74</v>
      </c>
      <c r="D30" s="2" t="s">
        <v>74</v>
      </c>
      <c r="E30" s="2" t="s">
        <v>74</v>
      </c>
      <c r="F30" s="2"/>
      <c r="G30" s="2"/>
      <c r="H30" s="2">
        <v>3</v>
      </c>
    </row>
    <row r="34" spans="2:8" ht="15" thickBot="1"/>
    <row r="35" spans="2:8">
      <c r="B35" s="1118" t="s">
        <v>0</v>
      </c>
      <c r="C35" s="1120" t="s">
        <v>174</v>
      </c>
      <c r="D35" s="1121"/>
      <c r="E35" s="1121"/>
      <c r="F35" s="1121"/>
      <c r="G35" s="1121"/>
      <c r="H35" s="1122"/>
    </row>
    <row r="36" spans="2:8" ht="15" thickBot="1">
      <c r="B36" s="1119"/>
      <c r="C36" s="1001" t="s">
        <v>34</v>
      </c>
      <c r="D36" s="1002"/>
      <c r="E36" s="1002"/>
      <c r="F36" s="1002"/>
      <c r="G36" s="1002"/>
      <c r="H36" s="1003"/>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5</v>
      </c>
      <c r="C39" s="32" t="s">
        <v>297</v>
      </c>
      <c r="D39" s="32" t="s">
        <v>298</v>
      </c>
      <c r="E39" s="32" t="s">
        <v>299</v>
      </c>
      <c r="F39" s="9"/>
      <c r="G39" s="9" t="s">
        <v>6</v>
      </c>
      <c r="H39" s="9"/>
    </row>
    <row r="40" spans="2:8" ht="15" thickBot="1">
      <c r="B40" s="1" t="s">
        <v>137</v>
      </c>
      <c r="C40" s="9">
        <v>1</v>
      </c>
      <c r="D40" s="9">
        <v>1</v>
      </c>
      <c r="E40" s="9">
        <v>1</v>
      </c>
      <c r="F40" s="9"/>
      <c r="G40" s="9"/>
      <c r="H40" s="9"/>
    </row>
    <row r="41" spans="2:8" ht="24.6" thickBot="1">
      <c r="B41" s="1" t="s">
        <v>7</v>
      </c>
      <c r="C41" s="9" t="s">
        <v>181</v>
      </c>
      <c r="D41" s="9" t="s">
        <v>181</v>
      </c>
      <c r="E41" s="9" t="s">
        <v>181</v>
      </c>
      <c r="F41" s="9"/>
      <c r="G41" s="9" t="s">
        <v>16</v>
      </c>
      <c r="H41" s="9"/>
    </row>
    <row r="42" spans="2:8" ht="24.6" thickBot="1">
      <c r="B42" s="1" t="s">
        <v>8</v>
      </c>
      <c r="C42" s="9" t="s">
        <v>182</v>
      </c>
      <c r="D42" s="9" t="s">
        <v>182</v>
      </c>
      <c r="E42" s="9" t="s">
        <v>182</v>
      </c>
      <c r="F42" s="9"/>
      <c r="G42" s="9" t="s">
        <v>16</v>
      </c>
      <c r="H42" s="9"/>
    </row>
    <row r="43" spans="2:8" ht="15" thickBot="1">
      <c r="B43" s="1" t="s">
        <v>142</v>
      </c>
      <c r="C43" s="9">
        <v>12</v>
      </c>
      <c r="D43" s="9">
        <v>14</v>
      </c>
      <c r="E43" s="9">
        <v>16</v>
      </c>
      <c r="F43" s="9"/>
      <c r="G43" s="9"/>
      <c r="H43" s="9">
        <v>-4</v>
      </c>
    </row>
    <row r="44" spans="2:8" ht="15" thickBot="1">
      <c r="B44" s="1" t="s">
        <v>146</v>
      </c>
      <c r="C44" s="9" t="s">
        <v>63</v>
      </c>
      <c r="D44" s="9" t="s">
        <v>176</v>
      </c>
      <c r="E44" s="9" t="s">
        <v>169</v>
      </c>
      <c r="F44" s="9"/>
      <c r="G44" s="9"/>
      <c r="H44" s="9">
        <v>-4</v>
      </c>
    </row>
    <row r="45" spans="2:8" ht="15" thickBot="1">
      <c r="B45" s="1" t="s">
        <v>9</v>
      </c>
      <c r="C45" s="9" t="s">
        <v>177</v>
      </c>
      <c r="D45" s="9" t="s">
        <v>178</v>
      </c>
      <c r="E45" s="9" t="s">
        <v>179</v>
      </c>
      <c r="F45" s="9"/>
      <c r="G45" s="9"/>
      <c r="H45" s="9">
        <v>-4</v>
      </c>
    </row>
    <row r="46" spans="2:8" ht="15" thickBot="1">
      <c r="B46" s="1" t="s">
        <v>11</v>
      </c>
      <c r="C46" s="9">
        <v>15</v>
      </c>
      <c r="D46" s="9" t="s">
        <v>183</v>
      </c>
      <c r="E46" s="9" t="s">
        <v>183</v>
      </c>
      <c r="F46" s="9"/>
      <c r="G46" s="9" t="s">
        <v>20</v>
      </c>
      <c r="H46" s="9"/>
    </row>
    <row r="47" spans="2:8" ht="15" thickBot="1">
      <c r="B47" s="3" t="s">
        <v>12</v>
      </c>
      <c r="C47" s="4"/>
      <c r="D47" s="4"/>
      <c r="E47" s="4"/>
      <c r="F47" s="4"/>
      <c r="G47" s="4"/>
      <c r="H47" s="5"/>
    </row>
    <row r="48" spans="2:8" ht="15.6" thickBot="1">
      <c r="B48" s="1" t="s">
        <v>13</v>
      </c>
      <c r="C48" s="2">
        <v>0</v>
      </c>
      <c r="D48" s="2">
        <v>0</v>
      </c>
      <c r="E48" s="2">
        <v>0</v>
      </c>
      <c r="F48" s="2"/>
      <c r="G48" s="2"/>
      <c r="H48" s="2"/>
    </row>
    <row r="49" spans="2:8" ht="15.6" thickBot="1">
      <c r="B49" s="1" t="s">
        <v>15</v>
      </c>
      <c r="C49" s="2" t="s">
        <v>180</v>
      </c>
      <c r="D49" s="27" t="s">
        <v>300</v>
      </c>
      <c r="E49" s="27" t="s">
        <v>300</v>
      </c>
      <c r="F49" s="2"/>
      <c r="G49" s="2" t="s">
        <v>59</v>
      </c>
      <c r="H49" s="2">
        <v>3</v>
      </c>
    </row>
    <row r="50" spans="2:8" ht="15.6" thickBot="1">
      <c r="B50" s="1" t="s">
        <v>17</v>
      </c>
      <c r="C50" s="2">
        <v>0</v>
      </c>
      <c r="D50" s="181">
        <v>0</v>
      </c>
      <c r="E50" s="181">
        <v>0</v>
      </c>
      <c r="F50" s="2"/>
      <c r="G50" s="2"/>
      <c r="H50" s="2">
        <v>3</v>
      </c>
    </row>
    <row r="51" spans="2:8" ht="15.6" thickBot="1">
      <c r="B51" s="1" t="s">
        <v>18</v>
      </c>
      <c r="C51" s="181">
        <v>0</v>
      </c>
      <c r="D51" s="181">
        <v>0</v>
      </c>
      <c r="E51" s="181">
        <v>0</v>
      </c>
      <c r="F51" s="2"/>
      <c r="G51" s="2"/>
      <c r="H51" s="2"/>
    </row>
    <row r="52" spans="2:8" ht="15" thickBot="1">
      <c r="B52" s="1" t="s">
        <v>19</v>
      </c>
      <c r="C52" s="181">
        <v>0</v>
      </c>
      <c r="D52" s="181">
        <v>0</v>
      </c>
      <c r="E52" s="181">
        <v>0</v>
      </c>
      <c r="F52" s="2"/>
      <c r="G52" s="2"/>
      <c r="H52" s="2"/>
    </row>
    <row r="53" spans="2:8" ht="15" thickBot="1">
      <c r="B53" s="3" t="s">
        <v>22</v>
      </c>
      <c r="C53" s="4"/>
      <c r="D53" s="4"/>
      <c r="E53" s="4"/>
      <c r="F53" s="4"/>
      <c r="G53" s="4"/>
      <c r="H53" s="5"/>
    </row>
    <row r="54" spans="2:8">
      <c r="B54" s="6" t="s">
        <v>24</v>
      </c>
      <c r="C54" s="26" t="s">
        <v>301</v>
      </c>
      <c r="D54" s="28" t="s">
        <v>302</v>
      </c>
      <c r="E54" s="7">
        <v>5</v>
      </c>
      <c r="F54" s="7"/>
      <c r="G54" s="7"/>
      <c r="H54" s="7" t="s">
        <v>94</v>
      </c>
    </row>
    <row r="55" spans="2:8">
      <c r="B55" s="6" t="s">
        <v>26</v>
      </c>
      <c r="C55" s="7" t="s">
        <v>27</v>
      </c>
      <c r="D55" s="7">
        <v>70</v>
      </c>
      <c r="E55" s="7">
        <v>70</v>
      </c>
      <c r="F55" s="7"/>
      <c r="G55" s="7"/>
      <c r="H55" s="7"/>
    </row>
    <row r="56" spans="2:8" ht="15" thickBot="1">
      <c r="B56" s="1" t="s">
        <v>28</v>
      </c>
      <c r="C56" s="2" t="s">
        <v>29</v>
      </c>
      <c r="D56" s="2">
        <v>30</v>
      </c>
      <c r="E56" s="2">
        <v>30</v>
      </c>
      <c r="F56" s="2"/>
      <c r="G56" s="2"/>
      <c r="H56" s="2"/>
    </row>
    <row r="57" spans="2:8" ht="24.6" thickBot="1">
      <c r="B57" s="1" t="s">
        <v>30</v>
      </c>
      <c r="C57" s="2" t="s">
        <v>157</v>
      </c>
      <c r="D57" s="2" t="s">
        <v>157</v>
      </c>
      <c r="E57" s="2" t="s">
        <v>157</v>
      </c>
      <c r="F57" s="2"/>
      <c r="G57" s="2" t="s">
        <v>16</v>
      </c>
      <c r="H57" s="2"/>
    </row>
    <row r="58" spans="2:8" ht="15" thickBot="1">
      <c r="B58" s="1" t="s">
        <v>50</v>
      </c>
      <c r="C58" s="2" t="s">
        <v>68</v>
      </c>
      <c r="D58" s="2" t="s">
        <v>68</v>
      </c>
      <c r="E58" s="2" t="s">
        <v>68</v>
      </c>
      <c r="F58" s="2"/>
      <c r="G58" s="2"/>
      <c r="H58" s="2"/>
    </row>
    <row r="59" spans="2:8" ht="15" thickBot="1">
      <c r="B59" s="1" t="s">
        <v>31</v>
      </c>
      <c r="C59" s="2" t="s">
        <v>74</v>
      </c>
      <c r="D59" s="2" t="s">
        <v>74</v>
      </c>
      <c r="E59" s="2" t="s">
        <v>74</v>
      </c>
      <c r="F59" s="2"/>
      <c r="G59" s="2"/>
      <c r="H59" s="2">
        <v>3</v>
      </c>
    </row>
    <row r="63" spans="2:8" ht="15" thickBot="1"/>
    <row r="64" spans="2:8">
      <c r="B64" s="1118" t="s">
        <v>0</v>
      </c>
      <c r="C64" s="1120" t="s">
        <v>184</v>
      </c>
      <c r="D64" s="1121"/>
      <c r="E64" s="1121"/>
      <c r="F64" s="1121"/>
      <c r="G64" s="1121"/>
      <c r="H64" s="1122"/>
    </row>
    <row r="65" spans="2:8" ht="15.75" customHeight="1" thickBot="1">
      <c r="B65" s="1119"/>
      <c r="C65" s="1178" t="s">
        <v>188</v>
      </c>
      <c r="D65" s="1179"/>
      <c r="E65" s="1179"/>
      <c r="F65" s="1179"/>
      <c r="G65" s="1179"/>
      <c r="H65" s="1180"/>
    </row>
    <row r="66" spans="2:8" ht="15" thickBot="1">
      <c r="B66" s="1"/>
      <c r="C66" s="2">
        <v>2015</v>
      </c>
      <c r="D66" s="2">
        <v>2020</v>
      </c>
      <c r="E66" s="2">
        <v>2030</v>
      </c>
      <c r="F66" s="2">
        <v>2050</v>
      </c>
      <c r="G66" s="2" t="s">
        <v>2</v>
      </c>
      <c r="H66" s="2" t="s">
        <v>3</v>
      </c>
    </row>
    <row r="67" spans="2:8" ht="15" thickBot="1">
      <c r="B67" s="3" t="s">
        <v>4</v>
      </c>
      <c r="C67" s="4"/>
      <c r="D67" s="4"/>
      <c r="E67" s="4"/>
      <c r="F67" s="4"/>
      <c r="G67" s="4"/>
      <c r="H67" s="5"/>
    </row>
    <row r="68" spans="2:8" ht="15" thickBot="1">
      <c r="B68" s="1" t="s">
        <v>5</v>
      </c>
      <c r="C68" s="9">
        <v>15</v>
      </c>
      <c r="D68" s="9">
        <v>14</v>
      </c>
      <c r="E68" s="9">
        <v>13</v>
      </c>
      <c r="F68" s="9"/>
      <c r="G68" s="9" t="s">
        <v>185</v>
      </c>
      <c r="H68" s="9"/>
    </row>
    <row r="69" spans="2:8" ht="15" thickBot="1">
      <c r="B69" s="1" t="s">
        <v>137</v>
      </c>
      <c r="C69" s="9">
        <v>7</v>
      </c>
      <c r="D69" s="9">
        <v>7</v>
      </c>
      <c r="E69" s="9">
        <v>7</v>
      </c>
      <c r="F69" s="9"/>
      <c r="G69" s="9" t="s">
        <v>6</v>
      </c>
      <c r="H69" s="9"/>
    </row>
    <row r="70" spans="2:8" ht="24.6" thickBot="1">
      <c r="B70" s="1" t="s">
        <v>7</v>
      </c>
      <c r="C70" s="9" t="s">
        <v>175</v>
      </c>
      <c r="D70" s="9" t="s">
        <v>175</v>
      </c>
      <c r="E70" s="9" t="s">
        <v>175</v>
      </c>
      <c r="F70" s="9"/>
      <c r="G70" s="9" t="s">
        <v>45</v>
      </c>
      <c r="H70" s="9"/>
    </row>
    <row r="71" spans="2:8" ht="24.6" thickBot="1">
      <c r="B71" s="1" t="s">
        <v>8</v>
      </c>
      <c r="C71" s="9" t="s">
        <v>186</v>
      </c>
      <c r="D71" s="9" t="s">
        <v>186</v>
      </c>
      <c r="E71" s="9" t="s">
        <v>186</v>
      </c>
      <c r="F71" s="9"/>
      <c r="G71" s="9" t="s">
        <v>45</v>
      </c>
      <c r="H71" s="9"/>
    </row>
    <row r="72" spans="2:8" ht="15" thickBot="1">
      <c r="B72" s="1" t="s">
        <v>142</v>
      </c>
      <c r="C72" s="9">
        <v>25</v>
      </c>
      <c r="D72" s="9">
        <v>27</v>
      </c>
      <c r="E72" s="9">
        <v>30</v>
      </c>
      <c r="F72" s="9"/>
      <c r="G72" s="9"/>
      <c r="H72" s="9">
        <v>1</v>
      </c>
    </row>
    <row r="73" spans="2:8" ht="15" thickBot="1">
      <c r="B73" s="1" t="s">
        <v>146</v>
      </c>
      <c r="C73" s="9">
        <v>55</v>
      </c>
      <c r="D73" s="9">
        <v>55</v>
      </c>
      <c r="E73" s="9">
        <v>55</v>
      </c>
      <c r="F73" s="9"/>
      <c r="G73" s="9"/>
      <c r="H73" s="9">
        <v>1</v>
      </c>
    </row>
    <row r="74" spans="2:8" ht="15" thickBot="1">
      <c r="B74" s="1" t="s">
        <v>9</v>
      </c>
      <c r="C74" s="9">
        <v>80</v>
      </c>
      <c r="D74" s="9">
        <v>82</v>
      </c>
      <c r="E74" s="9">
        <v>85</v>
      </c>
      <c r="F74" s="9"/>
      <c r="G74" s="9"/>
      <c r="H74" s="9">
        <v>1</v>
      </c>
    </row>
    <row r="75" spans="2:8" ht="15" thickBot="1">
      <c r="B75" s="1" t="s">
        <v>11</v>
      </c>
      <c r="C75" s="9">
        <v>10</v>
      </c>
      <c r="D75" s="9" t="s">
        <v>153</v>
      </c>
      <c r="E75" s="9" t="s">
        <v>153</v>
      </c>
      <c r="F75" s="9"/>
      <c r="G75" s="9"/>
      <c r="H75" s="9"/>
    </row>
    <row r="76" spans="2:8" ht="15" thickBot="1">
      <c r="B76" s="3" t="s">
        <v>12</v>
      </c>
      <c r="C76" s="4"/>
      <c r="D76" s="4"/>
      <c r="E76" s="4"/>
      <c r="F76" s="4"/>
      <c r="G76" s="4"/>
      <c r="H76" s="5"/>
    </row>
    <row r="77" spans="2:8" ht="15.6" thickBot="1">
      <c r="B77" s="1" t="s">
        <v>13</v>
      </c>
      <c r="C77" s="2">
        <v>0</v>
      </c>
      <c r="D77" s="2">
        <v>0</v>
      </c>
      <c r="E77" s="2">
        <v>0</v>
      </c>
      <c r="F77" s="2"/>
      <c r="G77" s="2"/>
      <c r="H77" s="2"/>
    </row>
    <row r="78" spans="2:8" ht="15.6" thickBot="1">
      <c r="B78" s="1" t="s">
        <v>15</v>
      </c>
      <c r="C78" s="2">
        <v>20</v>
      </c>
      <c r="D78" s="27" t="s">
        <v>300</v>
      </c>
      <c r="E78" s="27" t="s">
        <v>300</v>
      </c>
      <c r="F78" s="2"/>
      <c r="G78" s="2"/>
      <c r="H78" s="2">
        <v>1</v>
      </c>
    </row>
    <row r="79" spans="2:8" ht="15.6" thickBot="1">
      <c r="B79" s="1" t="s">
        <v>17</v>
      </c>
      <c r="C79" s="35">
        <v>1</v>
      </c>
      <c r="D79" s="35">
        <v>1</v>
      </c>
      <c r="E79" s="35">
        <v>1</v>
      </c>
      <c r="F79" s="2"/>
      <c r="G79" s="2"/>
      <c r="H79" s="2">
        <v>1</v>
      </c>
    </row>
    <row r="80" spans="2:8" ht="15.6" thickBot="1">
      <c r="B80" s="1" t="s">
        <v>18</v>
      </c>
      <c r="C80" s="35">
        <v>0</v>
      </c>
      <c r="D80" s="35">
        <v>0</v>
      </c>
      <c r="E80" s="35">
        <v>0</v>
      </c>
      <c r="F80" s="2"/>
      <c r="G80" s="2"/>
      <c r="H80" s="2"/>
    </row>
    <row r="81" spans="2:8" ht="15" thickBot="1">
      <c r="B81" s="1" t="s">
        <v>19</v>
      </c>
      <c r="C81" s="35">
        <v>0</v>
      </c>
      <c r="D81" s="35">
        <v>0</v>
      </c>
      <c r="E81" s="35">
        <v>0</v>
      </c>
      <c r="F81" s="2"/>
      <c r="G81" s="2"/>
      <c r="H81" s="2"/>
    </row>
    <row r="82" spans="2:8" ht="15" thickBot="1">
      <c r="B82" s="3" t="s">
        <v>22</v>
      </c>
      <c r="C82" s="4"/>
      <c r="D82" s="4"/>
      <c r="E82" s="4"/>
      <c r="F82" s="4"/>
      <c r="G82" s="4"/>
      <c r="H82" s="5"/>
    </row>
    <row r="83" spans="2:8">
      <c r="B83" s="6" t="s">
        <v>24</v>
      </c>
      <c r="C83" s="7">
        <v>20</v>
      </c>
      <c r="D83" s="7">
        <v>18</v>
      </c>
      <c r="E83" s="7">
        <v>15</v>
      </c>
      <c r="F83" s="7"/>
      <c r="G83" s="7"/>
      <c r="H83" s="7"/>
    </row>
    <row r="84" spans="2:8">
      <c r="B84" s="6" t="s">
        <v>26</v>
      </c>
      <c r="C84" s="7" t="s">
        <v>115</v>
      </c>
      <c r="D84" s="7">
        <v>75</v>
      </c>
      <c r="E84" s="7">
        <v>75</v>
      </c>
      <c r="F84" s="7"/>
      <c r="G84" s="7"/>
      <c r="H84" s="7"/>
    </row>
    <row r="85" spans="2:8" ht="15" thickBot="1">
      <c r="B85" s="1" t="s">
        <v>96</v>
      </c>
      <c r="C85" s="2" t="s">
        <v>116</v>
      </c>
      <c r="D85" s="2">
        <v>25</v>
      </c>
      <c r="E85" s="2">
        <v>25</v>
      </c>
      <c r="F85" s="2"/>
      <c r="G85" s="2"/>
      <c r="H85" s="2"/>
    </row>
    <row r="86" spans="2:8" ht="24.6" thickBot="1">
      <c r="B86" s="1" t="s">
        <v>113</v>
      </c>
      <c r="C86" s="2">
        <v>0.2</v>
      </c>
      <c r="D86" s="2">
        <v>0.2</v>
      </c>
      <c r="E86" s="2">
        <v>0.2</v>
      </c>
      <c r="F86" s="2"/>
      <c r="G86" s="2" t="s">
        <v>16</v>
      </c>
      <c r="H86" s="2"/>
    </row>
    <row r="87" spans="2:8" ht="15" thickBot="1">
      <c r="B87" s="1" t="s">
        <v>50</v>
      </c>
      <c r="C87" s="2" t="s">
        <v>68</v>
      </c>
      <c r="D87" s="2" t="s">
        <v>68</v>
      </c>
      <c r="E87" s="2" t="s">
        <v>68</v>
      </c>
      <c r="F87" s="2"/>
      <c r="G87" s="2"/>
      <c r="H87" s="2"/>
    </row>
    <row r="88" spans="2:8" ht="15" thickBot="1">
      <c r="B88" s="1" t="s">
        <v>31</v>
      </c>
      <c r="C88" s="2" t="s">
        <v>187</v>
      </c>
      <c r="D88" s="2" t="s">
        <v>187</v>
      </c>
      <c r="E88" s="2" t="s">
        <v>187</v>
      </c>
      <c r="F88" s="2"/>
      <c r="G88" s="2"/>
      <c r="H88" s="2">
        <v>2</v>
      </c>
    </row>
    <row r="91" spans="2:8">
      <c r="B91" s="23"/>
    </row>
  </sheetData>
  <mergeCells count="9">
    <mergeCell ref="B64:B65"/>
    <mergeCell ref="C64:H64"/>
    <mergeCell ref="C65:H65"/>
    <mergeCell ref="B6:B7"/>
    <mergeCell ref="C6:H6"/>
    <mergeCell ref="C7:H7"/>
    <mergeCell ref="B35:B36"/>
    <mergeCell ref="C35:H35"/>
    <mergeCell ref="C36:H36"/>
  </mergeCells>
  <pageMargins left="0.7" right="0.7" top="0.75" bottom="0.75" header="0.3" footer="0.3"/>
  <pageSetup paperSize="9"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tabColor theme="4"/>
  </sheetPr>
  <dimension ref="B3:H117"/>
  <sheetViews>
    <sheetView workbookViewId="0">
      <selection activeCell="K36" sqref="K36"/>
    </sheetView>
  </sheetViews>
  <sheetFormatPr defaultRowHeight="14.4"/>
  <cols>
    <col min="2" max="2" width="36.6640625" customWidth="1"/>
  </cols>
  <sheetData>
    <row r="3" spans="2:8">
      <c r="B3" s="8" t="s">
        <v>322</v>
      </c>
    </row>
    <row r="5" spans="2:8" ht="15" thickBot="1"/>
    <row r="6" spans="2:8">
      <c r="B6" s="1118" t="s">
        <v>0</v>
      </c>
      <c r="C6" s="1120" t="s">
        <v>189</v>
      </c>
      <c r="D6" s="1121"/>
      <c r="E6" s="1121"/>
      <c r="F6" s="1121"/>
      <c r="G6" s="1121"/>
      <c r="H6" s="1122"/>
    </row>
    <row r="7" spans="2:8" ht="15" thickBot="1">
      <c r="B7" s="1119"/>
      <c r="C7" s="1001" t="s">
        <v>1</v>
      </c>
      <c r="D7" s="1002"/>
      <c r="E7" s="1002"/>
      <c r="F7" s="1002"/>
      <c r="G7" s="1002"/>
      <c r="H7" s="100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9">
        <v>3.2</v>
      </c>
      <c r="D10" s="9">
        <v>3.2</v>
      </c>
      <c r="E10" s="9">
        <v>3.2</v>
      </c>
      <c r="F10" s="9"/>
      <c r="G10" s="9" t="s">
        <v>16</v>
      </c>
      <c r="H10" s="9">
        <v>2</v>
      </c>
    </row>
    <row r="11" spans="2:8" ht="15" thickBot="1">
      <c r="B11" s="1" t="s">
        <v>137</v>
      </c>
      <c r="C11" s="9">
        <v>1</v>
      </c>
      <c r="D11" s="9">
        <v>1</v>
      </c>
      <c r="E11" s="9">
        <v>1</v>
      </c>
      <c r="F11" s="9"/>
      <c r="G11" s="9"/>
      <c r="H11" s="9">
        <v>2</v>
      </c>
    </row>
    <row r="12" spans="2:8" ht="24.6" thickBot="1">
      <c r="B12" s="1" t="s">
        <v>7</v>
      </c>
      <c r="C12" s="9" t="s">
        <v>168</v>
      </c>
      <c r="D12" s="9" t="s">
        <v>190</v>
      </c>
      <c r="E12" s="9" t="s">
        <v>190</v>
      </c>
      <c r="F12" s="9"/>
      <c r="G12" s="9" t="s">
        <v>6</v>
      </c>
      <c r="H12" s="9"/>
    </row>
    <row r="13" spans="2:8" ht="24.6" thickBot="1">
      <c r="B13" s="1" t="s">
        <v>8</v>
      </c>
      <c r="C13" s="9" t="s">
        <v>191</v>
      </c>
      <c r="D13" s="9" t="s">
        <v>191</v>
      </c>
      <c r="E13" s="9" t="s">
        <v>192</v>
      </c>
      <c r="F13" s="9"/>
      <c r="G13" s="9" t="s">
        <v>6</v>
      </c>
      <c r="H13" s="9"/>
    </row>
    <row r="14" spans="2:8" ht="15" thickBot="1">
      <c r="B14" s="1" t="s">
        <v>142</v>
      </c>
      <c r="C14" s="9">
        <v>20</v>
      </c>
      <c r="D14" s="9">
        <v>22</v>
      </c>
      <c r="E14" s="9">
        <v>25</v>
      </c>
      <c r="F14" s="9"/>
      <c r="G14" s="9"/>
      <c r="H14" s="9">
        <v>2</v>
      </c>
    </row>
    <row r="15" spans="2:8" ht="15" thickBot="1">
      <c r="B15" s="1" t="s">
        <v>146</v>
      </c>
      <c r="C15" s="9">
        <v>65</v>
      </c>
      <c r="D15" s="9">
        <v>70</v>
      </c>
      <c r="E15" s="9" t="s">
        <v>193</v>
      </c>
      <c r="F15" s="9"/>
      <c r="G15" s="9"/>
      <c r="H15" s="9">
        <v>2</v>
      </c>
    </row>
    <row r="16" spans="2:8" ht="15" thickBot="1">
      <c r="B16" s="1" t="s">
        <v>9</v>
      </c>
      <c r="C16" s="9">
        <v>85</v>
      </c>
      <c r="D16" s="9">
        <v>92</v>
      </c>
      <c r="E16" s="9" t="s">
        <v>150</v>
      </c>
      <c r="F16" s="9"/>
      <c r="G16" s="9"/>
      <c r="H16" s="9">
        <v>2</v>
      </c>
    </row>
    <row r="17" spans="2:8" ht="15" thickBot="1">
      <c r="B17" s="1" t="s">
        <v>11</v>
      </c>
      <c r="C17" s="9">
        <v>10</v>
      </c>
      <c r="D17" s="9" t="s">
        <v>153</v>
      </c>
      <c r="E17" s="9" t="s">
        <v>153</v>
      </c>
      <c r="F17" s="9"/>
      <c r="G17" s="9"/>
      <c r="H17" s="9"/>
    </row>
    <row r="18" spans="2:8" ht="15" thickBot="1">
      <c r="B18" s="3" t="s">
        <v>12</v>
      </c>
      <c r="C18" s="4"/>
      <c r="D18" s="4"/>
      <c r="E18" s="4"/>
      <c r="F18" s="4"/>
      <c r="G18" s="4"/>
      <c r="H18" s="5"/>
    </row>
    <row r="19" spans="2:8" ht="15.6" thickBot="1">
      <c r="B19" s="1" t="s">
        <v>13</v>
      </c>
      <c r="C19" s="2">
        <v>0</v>
      </c>
      <c r="D19" s="2">
        <v>0</v>
      </c>
      <c r="E19" s="2">
        <v>0</v>
      </c>
      <c r="F19" s="2"/>
      <c r="G19" s="2"/>
      <c r="H19" s="2"/>
    </row>
    <row r="20" spans="2:8" ht="15.6" thickBot="1">
      <c r="B20" s="1" t="s">
        <v>15</v>
      </c>
      <c r="C20" s="2">
        <v>25</v>
      </c>
      <c r="D20" s="2">
        <v>15</v>
      </c>
      <c r="E20" s="2">
        <v>10</v>
      </c>
      <c r="F20" s="2"/>
      <c r="G20" s="2" t="s">
        <v>59</v>
      </c>
      <c r="H20" s="2">
        <v>1</v>
      </c>
    </row>
    <row r="21" spans="2:8" ht="15.6" thickBot="1">
      <c r="B21" s="1" t="s">
        <v>17</v>
      </c>
      <c r="C21" s="35">
        <v>5</v>
      </c>
      <c r="D21" s="35">
        <v>5</v>
      </c>
      <c r="E21" s="35">
        <v>5</v>
      </c>
      <c r="F21" s="2"/>
      <c r="G21" s="2"/>
      <c r="H21" s="2">
        <v>1</v>
      </c>
    </row>
    <row r="22" spans="2:8" ht="15.6" thickBot="1">
      <c r="B22" s="1" t="s">
        <v>18</v>
      </c>
      <c r="C22" s="35">
        <v>0</v>
      </c>
      <c r="D22" s="35">
        <v>0</v>
      </c>
      <c r="E22" s="35">
        <v>0</v>
      </c>
      <c r="F22" s="2"/>
      <c r="G22" s="2"/>
      <c r="H22" s="2"/>
    </row>
    <row r="23" spans="2:8" ht="15" thickBot="1">
      <c r="B23" s="1" t="s">
        <v>19</v>
      </c>
      <c r="C23" s="35">
        <v>0</v>
      </c>
      <c r="D23" s="35">
        <v>0</v>
      </c>
      <c r="E23" s="35">
        <v>0</v>
      </c>
      <c r="F23" s="2"/>
      <c r="G23" s="2"/>
      <c r="H23" s="2"/>
    </row>
    <row r="24" spans="2:8" ht="15" thickBot="1">
      <c r="B24" s="3" t="s">
        <v>22</v>
      </c>
      <c r="C24" s="4"/>
      <c r="D24" s="4"/>
      <c r="E24" s="4"/>
      <c r="F24" s="4"/>
      <c r="G24" s="4"/>
      <c r="H24" s="5"/>
    </row>
    <row r="25" spans="2:8">
      <c r="B25" s="6" t="s">
        <v>24</v>
      </c>
      <c r="C25" s="7">
        <v>15</v>
      </c>
      <c r="D25" s="7">
        <v>12</v>
      </c>
      <c r="E25" s="7">
        <v>10</v>
      </c>
      <c r="F25" s="7"/>
      <c r="G25" s="7"/>
      <c r="H25" s="7" t="s">
        <v>94</v>
      </c>
    </row>
    <row r="26" spans="2:8">
      <c r="B26" s="6" t="s">
        <v>26</v>
      </c>
      <c r="C26" s="7" t="s">
        <v>27</v>
      </c>
      <c r="D26" s="7">
        <v>70</v>
      </c>
      <c r="E26" s="7">
        <v>70</v>
      </c>
      <c r="F26" s="7"/>
      <c r="G26" s="7"/>
      <c r="H26" s="7"/>
    </row>
    <row r="27" spans="2:8" ht="15" thickBot="1">
      <c r="B27" s="1" t="s">
        <v>28</v>
      </c>
      <c r="C27" s="2" t="s">
        <v>29</v>
      </c>
      <c r="D27" s="2">
        <v>30</v>
      </c>
      <c r="E27" s="2">
        <v>30</v>
      </c>
      <c r="F27" s="2"/>
      <c r="G27" s="2"/>
      <c r="H27" s="2"/>
    </row>
    <row r="28" spans="2:8" ht="24.6" thickBot="1">
      <c r="B28" s="1" t="s">
        <v>30</v>
      </c>
      <c r="C28" s="2" t="s">
        <v>157</v>
      </c>
      <c r="D28" s="2" t="s">
        <v>157</v>
      </c>
      <c r="E28" s="2" t="s">
        <v>157</v>
      </c>
      <c r="F28" s="2"/>
      <c r="G28" s="2" t="s">
        <v>6</v>
      </c>
      <c r="H28" s="2"/>
    </row>
    <row r="29" spans="2:8" ht="15" thickBot="1">
      <c r="B29" s="1" t="s">
        <v>50</v>
      </c>
      <c r="C29" s="2" t="s">
        <v>68</v>
      </c>
      <c r="D29" s="2" t="s">
        <v>68</v>
      </c>
      <c r="E29" s="2" t="s">
        <v>68</v>
      </c>
      <c r="F29" s="2"/>
      <c r="G29" s="2"/>
      <c r="H29" s="2"/>
    </row>
    <row r="30" spans="2:8" ht="15" thickBot="1">
      <c r="B30" s="1" t="s">
        <v>31</v>
      </c>
      <c r="C30" s="2" t="s">
        <v>194</v>
      </c>
      <c r="D30" s="2" t="s">
        <v>194</v>
      </c>
      <c r="E30" s="2" t="s">
        <v>194</v>
      </c>
      <c r="F30" s="2"/>
      <c r="G30" s="2"/>
      <c r="H30" s="2">
        <v>3</v>
      </c>
    </row>
    <row r="34" spans="2:8" ht="15" thickBot="1"/>
    <row r="35" spans="2:8">
      <c r="B35" s="1118" t="s">
        <v>0</v>
      </c>
      <c r="C35" s="1120" t="s">
        <v>195</v>
      </c>
      <c r="D35" s="1121"/>
      <c r="E35" s="1121"/>
      <c r="F35" s="1121"/>
      <c r="G35" s="1121"/>
      <c r="H35" s="1122"/>
    </row>
    <row r="36" spans="2:8" ht="15" thickBot="1">
      <c r="B36" s="1119"/>
      <c r="C36" s="1001" t="s">
        <v>32</v>
      </c>
      <c r="D36" s="1002"/>
      <c r="E36" s="1002"/>
      <c r="F36" s="1002"/>
      <c r="G36" s="1002"/>
      <c r="H36" s="1003"/>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5</v>
      </c>
      <c r="C39" s="9" t="s">
        <v>196</v>
      </c>
      <c r="D39" s="9" t="s">
        <v>196</v>
      </c>
      <c r="E39" s="9" t="s">
        <v>196</v>
      </c>
      <c r="F39" s="9"/>
      <c r="G39" s="9"/>
      <c r="H39" s="9">
        <v>1</v>
      </c>
    </row>
    <row r="40" spans="2:8" ht="15" thickBot="1">
      <c r="B40" s="1" t="s">
        <v>137</v>
      </c>
      <c r="C40" s="9" t="s">
        <v>197</v>
      </c>
      <c r="D40" s="9" t="s">
        <v>198</v>
      </c>
      <c r="E40" s="9" t="s">
        <v>199</v>
      </c>
      <c r="F40" s="9"/>
      <c r="G40" s="9"/>
      <c r="H40" s="9">
        <v>1</v>
      </c>
    </row>
    <row r="41" spans="2:8" ht="24.6" thickBot="1">
      <c r="B41" s="1" t="s">
        <v>7</v>
      </c>
      <c r="C41" s="9" t="s">
        <v>200</v>
      </c>
      <c r="D41" s="9" t="s">
        <v>200</v>
      </c>
      <c r="E41" s="9" t="s">
        <v>200</v>
      </c>
      <c r="F41" s="9"/>
      <c r="G41" s="9" t="s">
        <v>6</v>
      </c>
      <c r="H41" s="9">
        <v>3</v>
      </c>
    </row>
    <row r="42" spans="2:8" ht="24.6" thickBot="1">
      <c r="B42" s="1" t="s">
        <v>8</v>
      </c>
      <c r="C42" s="9" t="s">
        <v>159</v>
      </c>
      <c r="D42" s="9" t="s">
        <v>159</v>
      </c>
      <c r="E42" s="9" t="s">
        <v>159</v>
      </c>
      <c r="F42" s="9"/>
      <c r="G42" s="9" t="s">
        <v>6</v>
      </c>
      <c r="H42" s="9"/>
    </row>
    <row r="43" spans="2:8" ht="15" thickBot="1">
      <c r="B43" s="1" t="s">
        <v>142</v>
      </c>
      <c r="C43" s="9" t="s">
        <v>201</v>
      </c>
      <c r="D43" s="9" t="s">
        <v>202</v>
      </c>
      <c r="E43" s="9" t="s">
        <v>203</v>
      </c>
      <c r="F43" s="9"/>
      <c r="G43" s="9"/>
      <c r="H43" s="9">
        <v>-1</v>
      </c>
    </row>
    <row r="44" spans="2:8" ht="15" thickBot="1">
      <c r="B44" s="1" t="s">
        <v>146</v>
      </c>
      <c r="C44" s="9" t="s">
        <v>204</v>
      </c>
      <c r="D44" s="9" t="s">
        <v>205</v>
      </c>
      <c r="E44" s="9" t="s">
        <v>206</v>
      </c>
      <c r="F44" s="9"/>
      <c r="G44" s="9"/>
      <c r="H44" s="9">
        <v>-1</v>
      </c>
    </row>
    <row r="45" spans="2:8" ht="15" thickBot="1">
      <c r="B45" s="1" t="s">
        <v>9</v>
      </c>
      <c r="C45" s="9" t="s">
        <v>207</v>
      </c>
      <c r="D45" s="9" t="s">
        <v>208</v>
      </c>
      <c r="E45" s="9" t="s">
        <v>209</v>
      </c>
      <c r="F45" s="9"/>
      <c r="G45" s="9"/>
      <c r="H45" s="9">
        <v>-1</v>
      </c>
    </row>
    <row r="46" spans="2:8" ht="15" thickBot="1">
      <c r="B46" s="1" t="s">
        <v>11</v>
      </c>
      <c r="C46" s="25" t="s">
        <v>303</v>
      </c>
      <c r="D46" s="25" t="s">
        <v>303</v>
      </c>
      <c r="E46" s="25" t="s">
        <v>303</v>
      </c>
      <c r="F46" s="9"/>
      <c r="G46" s="9"/>
      <c r="H46" s="9"/>
    </row>
    <row r="47" spans="2:8" ht="15" thickBot="1">
      <c r="B47" s="3" t="s">
        <v>12</v>
      </c>
      <c r="C47" s="4"/>
      <c r="D47" s="4"/>
      <c r="E47" s="4"/>
      <c r="F47" s="4"/>
      <c r="G47" s="4"/>
      <c r="H47" s="5"/>
    </row>
    <row r="48" spans="2:8" ht="15.6" thickBot="1">
      <c r="B48" s="1" t="s">
        <v>13</v>
      </c>
      <c r="C48" s="2">
        <v>0</v>
      </c>
      <c r="D48" s="2">
        <v>0</v>
      </c>
      <c r="E48" s="2">
        <v>0</v>
      </c>
      <c r="F48" s="2"/>
      <c r="G48" s="2"/>
      <c r="H48" s="2"/>
    </row>
    <row r="49" spans="2:8" ht="15.6" thickBot="1">
      <c r="B49" s="1" t="s">
        <v>15</v>
      </c>
      <c r="C49" s="2" t="s">
        <v>210</v>
      </c>
      <c r="D49" s="11">
        <v>29495</v>
      </c>
      <c r="E49" s="11">
        <v>18537</v>
      </c>
      <c r="F49" s="2"/>
      <c r="G49" s="2"/>
      <c r="H49" s="2"/>
    </row>
    <row r="50" spans="2:8" ht="15.6" thickBot="1">
      <c r="B50" s="1" t="s">
        <v>17</v>
      </c>
      <c r="C50" s="2" t="s">
        <v>211</v>
      </c>
      <c r="D50" s="2" t="s">
        <v>212</v>
      </c>
      <c r="E50" s="2" t="s">
        <v>213</v>
      </c>
      <c r="F50" s="2"/>
      <c r="G50" s="2"/>
      <c r="H50" s="2">
        <v>2</v>
      </c>
    </row>
    <row r="51" spans="2:8" ht="15.6" thickBot="1">
      <c r="B51" s="1" t="s">
        <v>18</v>
      </c>
      <c r="C51" s="2" t="s">
        <v>214</v>
      </c>
      <c r="D51" s="2" t="s">
        <v>215</v>
      </c>
      <c r="E51" s="2" t="s">
        <v>215</v>
      </c>
      <c r="F51" s="2"/>
      <c r="G51" s="2"/>
      <c r="H51" s="2">
        <v>2</v>
      </c>
    </row>
    <row r="52" spans="2:8" ht="15" thickBot="1">
      <c r="B52" s="1" t="s">
        <v>19</v>
      </c>
      <c r="C52" s="35">
        <v>0</v>
      </c>
      <c r="D52" s="35">
        <v>0</v>
      </c>
      <c r="E52" s="35">
        <v>0</v>
      </c>
      <c r="F52" s="2"/>
      <c r="G52" s="2"/>
      <c r="H52" s="2">
        <v>2</v>
      </c>
    </row>
    <row r="53" spans="2:8" ht="15" thickBot="1">
      <c r="B53" s="3" t="s">
        <v>22</v>
      </c>
      <c r="C53" s="4"/>
      <c r="D53" s="4"/>
      <c r="E53" s="4"/>
      <c r="F53" s="4"/>
      <c r="G53" s="4"/>
      <c r="H53" s="5"/>
    </row>
    <row r="54" spans="2:8">
      <c r="B54" s="6" t="s">
        <v>24</v>
      </c>
      <c r="C54" s="7" t="s">
        <v>216</v>
      </c>
      <c r="D54" s="7" t="s">
        <v>216</v>
      </c>
      <c r="E54" s="7" t="s">
        <v>216</v>
      </c>
      <c r="F54" s="7"/>
      <c r="G54" s="7"/>
      <c r="H54" s="7">
        <v>-1</v>
      </c>
    </row>
    <row r="55" spans="2:8">
      <c r="B55" s="6" t="s">
        <v>26</v>
      </c>
      <c r="C55" s="7" t="s">
        <v>217</v>
      </c>
      <c r="D55" s="7" t="s">
        <v>217</v>
      </c>
      <c r="E55" s="7" t="s">
        <v>217</v>
      </c>
      <c r="F55" s="7"/>
      <c r="G55" s="7"/>
      <c r="H55" s="7"/>
    </row>
    <row r="56" spans="2:8" ht="15" thickBot="1">
      <c r="B56" s="1" t="s">
        <v>28</v>
      </c>
      <c r="C56" s="2" t="s">
        <v>218</v>
      </c>
      <c r="D56" s="2" t="s">
        <v>218</v>
      </c>
      <c r="E56" s="2" t="s">
        <v>218</v>
      </c>
      <c r="F56" s="2"/>
      <c r="G56" s="2"/>
      <c r="H56" s="2"/>
    </row>
    <row r="57" spans="2:8" ht="24.6" thickBot="1">
      <c r="B57" s="1" t="s">
        <v>113</v>
      </c>
      <c r="C57" s="2">
        <v>0.2</v>
      </c>
      <c r="D57" s="2">
        <v>0.2</v>
      </c>
      <c r="E57" s="2">
        <v>0.2</v>
      </c>
      <c r="F57" s="2"/>
      <c r="G57" s="2" t="s">
        <v>6</v>
      </c>
      <c r="H57" s="2"/>
    </row>
    <row r="58" spans="2:8" ht="15" thickBot="1">
      <c r="B58" s="1" t="s">
        <v>50</v>
      </c>
      <c r="C58" s="2" t="s">
        <v>68</v>
      </c>
      <c r="D58" s="2" t="s">
        <v>68</v>
      </c>
      <c r="E58" s="2" t="s">
        <v>68</v>
      </c>
      <c r="F58" s="2"/>
      <c r="G58" s="2"/>
      <c r="H58" s="2"/>
    </row>
    <row r="59" spans="2:8" ht="15" thickBot="1">
      <c r="B59" s="1" t="s">
        <v>31</v>
      </c>
      <c r="C59" s="2" t="s">
        <v>219</v>
      </c>
      <c r="D59" s="2" t="s">
        <v>219</v>
      </c>
      <c r="E59" s="2" t="s">
        <v>219</v>
      </c>
      <c r="F59" s="2"/>
      <c r="G59" s="2" t="s">
        <v>59</v>
      </c>
      <c r="H59" s="2">
        <v>4</v>
      </c>
    </row>
    <row r="63" spans="2:8" ht="15" thickBot="1"/>
    <row r="64" spans="2:8">
      <c r="B64" s="1118" t="s">
        <v>0</v>
      </c>
      <c r="C64" s="1120" t="s">
        <v>189</v>
      </c>
      <c r="D64" s="1121"/>
      <c r="E64" s="1121"/>
      <c r="F64" s="1121"/>
      <c r="G64" s="1121"/>
      <c r="H64" s="1122"/>
    </row>
    <row r="65" spans="2:8" ht="15" thickBot="1">
      <c r="B65" s="1119"/>
      <c r="C65" s="1001" t="s">
        <v>34</v>
      </c>
      <c r="D65" s="1002"/>
      <c r="E65" s="1002"/>
      <c r="F65" s="1002"/>
      <c r="G65" s="1002"/>
      <c r="H65" s="1003"/>
    </row>
    <row r="66" spans="2:8" ht="15" thickBot="1">
      <c r="B66" s="1"/>
      <c r="C66" s="2">
        <v>2015</v>
      </c>
      <c r="D66" s="2">
        <v>2020</v>
      </c>
      <c r="E66" s="2">
        <v>2030</v>
      </c>
      <c r="F66" s="2">
        <v>2050</v>
      </c>
      <c r="G66" s="2" t="s">
        <v>2</v>
      </c>
      <c r="H66" s="2" t="s">
        <v>3</v>
      </c>
    </row>
    <row r="67" spans="2:8" ht="15" thickBot="1">
      <c r="B67" s="3" t="s">
        <v>4</v>
      </c>
      <c r="C67" s="4"/>
      <c r="D67" s="4"/>
      <c r="E67" s="4"/>
      <c r="F67" s="4"/>
      <c r="G67" s="4"/>
      <c r="H67" s="5"/>
    </row>
    <row r="68" spans="2:8" ht="15" thickBot="1">
      <c r="B68" s="1" t="s">
        <v>5</v>
      </c>
      <c r="C68" s="2">
        <v>3.2</v>
      </c>
      <c r="D68" s="2">
        <v>3.2</v>
      </c>
      <c r="E68" s="2">
        <v>3</v>
      </c>
      <c r="F68" s="2"/>
      <c r="G68" s="2" t="s">
        <v>16</v>
      </c>
      <c r="H68" s="2">
        <v>2</v>
      </c>
    </row>
    <row r="69" spans="2:8" ht="15" thickBot="1">
      <c r="B69" s="1" t="s">
        <v>137</v>
      </c>
      <c r="C69" s="2">
        <v>1</v>
      </c>
      <c r="D69" s="2">
        <v>1</v>
      </c>
      <c r="E69" s="2">
        <v>1</v>
      </c>
      <c r="F69" s="2"/>
      <c r="G69" s="2"/>
      <c r="H69" s="2">
        <v>2</v>
      </c>
    </row>
    <row r="70" spans="2:8" ht="24.6" thickBot="1">
      <c r="B70" s="1" t="s">
        <v>7</v>
      </c>
      <c r="C70" s="2" t="s">
        <v>175</v>
      </c>
      <c r="D70" s="2" t="s">
        <v>220</v>
      </c>
      <c r="E70" s="2" t="s">
        <v>181</v>
      </c>
      <c r="F70" s="2"/>
      <c r="G70" s="2" t="s">
        <v>6</v>
      </c>
      <c r="H70" s="2"/>
    </row>
    <row r="71" spans="2:8" ht="24.6" thickBot="1">
      <c r="B71" s="1" t="s">
        <v>8</v>
      </c>
      <c r="C71" s="2" t="s">
        <v>221</v>
      </c>
      <c r="D71" s="2" t="s">
        <v>222</v>
      </c>
      <c r="E71" s="2" t="s">
        <v>139</v>
      </c>
      <c r="F71" s="2"/>
      <c r="G71" s="2" t="s">
        <v>6</v>
      </c>
      <c r="H71" s="2"/>
    </row>
    <row r="72" spans="2:8" ht="15" thickBot="1">
      <c r="B72" s="1" t="s">
        <v>142</v>
      </c>
      <c r="C72" s="2">
        <v>20</v>
      </c>
      <c r="D72" s="2">
        <v>22</v>
      </c>
      <c r="E72" s="2">
        <v>25</v>
      </c>
      <c r="F72" s="2"/>
      <c r="G72" s="2"/>
      <c r="H72" s="2"/>
    </row>
    <row r="73" spans="2:8" ht="15" thickBot="1">
      <c r="B73" s="1" t="s">
        <v>146</v>
      </c>
      <c r="C73" s="2">
        <v>65</v>
      </c>
      <c r="D73" s="2">
        <v>70</v>
      </c>
      <c r="E73" s="2" t="s">
        <v>193</v>
      </c>
      <c r="F73" s="2"/>
      <c r="G73" s="2"/>
      <c r="H73" s="2">
        <v>2</v>
      </c>
    </row>
    <row r="74" spans="2:8" ht="15" thickBot="1">
      <c r="B74" s="1" t="s">
        <v>223</v>
      </c>
      <c r="C74" s="2">
        <v>85</v>
      </c>
      <c r="D74" s="2">
        <v>92</v>
      </c>
      <c r="E74" s="2" t="s">
        <v>150</v>
      </c>
      <c r="F74" s="2"/>
      <c r="G74" s="2"/>
      <c r="H74" s="2">
        <v>2</v>
      </c>
    </row>
    <row r="75" spans="2:8" ht="15" thickBot="1">
      <c r="B75" s="1" t="s">
        <v>11</v>
      </c>
      <c r="C75" s="2">
        <v>10</v>
      </c>
      <c r="D75" s="2" t="s">
        <v>153</v>
      </c>
      <c r="E75" s="2" t="s">
        <v>153</v>
      </c>
      <c r="F75" s="2"/>
      <c r="G75" s="2"/>
      <c r="H75" s="2"/>
    </row>
    <row r="76" spans="2:8" ht="15" thickBot="1">
      <c r="B76" s="3" t="s">
        <v>12</v>
      </c>
      <c r="C76" s="4"/>
      <c r="D76" s="4"/>
      <c r="E76" s="4"/>
      <c r="F76" s="4"/>
      <c r="G76" s="4"/>
      <c r="H76" s="5"/>
    </row>
    <row r="77" spans="2:8" ht="15.6" thickBot="1">
      <c r="B77" s="1" t="s">
        <v>13</v>
      </c>
      <c r="C77" s="2">
        <v>0</v>
      </c>
      <c r="D77" s="2">
        <v>0</v>
      </c>
      <c r="E77" s="2">
        <v>0</v>
      </c>
      <c r="F77" s="2"/>
      <c r="G77" s="2"/>
      <c r="H77" s="2"/>
    </row>
    <row r="78" spans="2:8" ht="15.6" thickBot="1">
      <c r="B78" s="1" t="s">
        <v>15</v>
      </c>
      <c r="C78" s="2">
        <v>25</v>
      </c>
      <c r="D78" s="2">
        <v>15</v>
      </c>
      <c r="E78" s="2">
        <v>10</v>
      </c>
      <c r="F78" s="2"/>
      <c r="G78" s="2" t="s">
        <v>59</v>
      </c>
      <c r="H78" s="2">
        <v>1</v>
      </c>
    </row>
    <row r="79" spans="2:8" ht="15.6" thickBot="1">
      <c r="B79" s="1" t="s">
        <v>17</v>
      </c>
      <c r="C79" s="35">
        <v>5</v>
      </c>
      <c r="D79" s="35">
        <v>5</v>
      </c>
      <c r="E79" s="35">
        <v>5</v>
      </c>
      <c r="F79" s="2"/>
      <c r="G79" s="2"/>
      <c r="H79" s="2">
        <v>1</v>
      </c>
    </row>
    <row r="80" spans="2:8" ht="15.6" thickBot="1">
      <c r="B80" s="1" t="s">
        <v>18</v>
      </c>
      <c r="C80" s="35">
        <v>0</v>
      </c>
      <c r="D80" s="35">
        <v>0</v>
      </c>
      <c r="E80" s="35">
        <v>0</v>
      </c>
      <c r="F80" s="2"/>
      <c r="G80" s="2"/>
      <c r="H80" s="2"/>
    </row>
    <row r="81" spans="2:8" ht="15" thickBot="1">
      <c r="B81" s="1" t="s">
        <v>19</v>
      </c>
      <c r="C81" s="35">
        <v>0</v>
      </c>
      <c r="D81" s="35">
        <v>0</v>
      </c>
      <c r="E81" s="35">
        <v>0</v>
      </c>
      <c r="F81" s="2"/>
      <c r="G81" s="2"/>
      <c r="H81" s="2"/>
    </row>
    <row r="82" spans="2:8" ht="15" thickBot="1">
      <c r="B82" s="3" t="s">
        <v>22</v>
      </c>
      <c r="C82" s="4"/>
      <c r="D82" s="4"/>
      <c r="E82" s="4"/>
      <c r="F82" s="4"/>
      <c r="G82" s="4"/>
      <c r="H82" s="5"/>
    </row>
    <row r="83" spans="2:8">
      <c r="B83" s="6" t="s">
        <v>24</v>
      </c>
      <c r="C83" s="7">
        <v>15</v>
      </c>
      <c r="D83" s="7">
        <v>12</v>
      </c>
      <c r="E83" s="7">
        <v>10</v>
      </c>
      <c r="F83" s="7"/>
      <c r="G83" s="7"/>
      <c r="H83" s="7" t="s">
        <v>94</v>
      </c>
    </row>
    <row r="84" spans="2:8">
      <c r="B84" s="6" t="s">
        <v>26</v>
      </c>
      <c r="C84" s="7" t="s">
        <v>27</v>
      </c>
      <c r="D84" s="7">
        <v>70</v>
      </c>
      <c r="E84" s="7">
        <v>70</v>
      </c>
      <c r="F84" s="7"/>
      <c r="G84" s="7"/>
      <c r="H84" s="7"/>
    </row>
    <row r="85" spans="2:8" ht="15" thickBot="1">
      <c r="B85" s="1" t="s">
        <v>28</v>
      </c>
      <c r="C85" s="2" t="s">
        <v>29</v>
      </c>
      <c r="D85" s="2">
        <v>30</v>
      </c>
      <c r="E85" s="2">
        <v>30</v>
      </c>
      <c r="F85" s="2"/>
      <c r="G85" s="2"/>
      <c r="H85" s="2"/>
    </row>
    <row r="86" spans="2:8" ht="24.6" thickBot="1">
      <c r="B86" s="1" t="s">
        <v>30</v>
      </c>
      <c r="C86" s="2" t="s">
        <v>157</v>
      </c>
      <c r="D86" s="2" t="s">
        <v>157</v>
      </c>
      <c r="E86" s="2" t="s">
        <v>157</v>
      </c>
      <c r="F86" s="2"/>
      <c r="G86" s="2" t="s">
        <v>6</v>
      </c>
      <c r="H86" s="2"/>
    </row>
    <row r="87" spans="2:8" ht="15" thickBot="1">
      <c r="B87" s="1" t="s">
        <v>50</v>
      </c>
      <c r="C87" s="2" t="s">
        <v>68</v>
      </c>
      <c r="D87" s="2" t="s">
        <v>68</v>
      </c>
      <c r="E87" s="2" t="s">
        <v>68</v>
      </c>
      <c r="F87" s="2"/>
      <c r="G87" s="2"/>
      <c r="H87" s="2"/>
    </row>
    <row r="88" spans="2:8" ht="15" thickBot="1">
      <c r="B88" s="1" t="s">
        <v>31</v>
      </c>
      <c r="C88" s="2" t="s">
        <v>194</v>
      </c>
      <c r="D88" s="2" t="s">
        <v>194</v>
      </c>
      <c r="E88" s="2" t="s">
        <v>194</v>
      </c>
      <c r="F88" s="2"/>
      <c r="G88" s="2"/>
      <c r="H88" s="2">
        <v>3</v>
      </c>
    </row>
    <row r="92" spans="2:8" ht="15" thickBot="1"/>
    <row r="93" spans="2:8">
      <c r="B93" s="1118" t="s">
        <v>0</v>
      </c>
      <c r="C93" s="1120" t="s">
        <v>195</v>
      </c>
      <c r="D93" s="1121"/>
      <c r="E93" s="1121"/>
      <c r="F93" s="1121"/>
      <c r="G93" s="1121"/>
      <c r="H93" s="1122"/>
    </row>
    <row r="94" spans="2:8" ht="15" thickBot="1">
      <c r="B94" s="1119"/>
      <c r="C94" s="1001" t="s">
        <v>35</v>
      </c>
      <c r="D94" s="1002"/>
      <c r="E94" s="1002"/>
      <c r="F94" s="1002"/>
      <c r="G94" s="1002"/>
      <c r="H94" s="1003"/>
    </row>
    <row r="95" spans="2:8" ht="15" thickBot="1">
      <c r="B95" s="1"/>
      <c r="C95" s="2">
        <v>2015</v>
      </c>
      <c r="D95" s="2">
        <v>2020</v>
      </c>
      <c r="E95" s="2">
        <v>2030</v>
      </c>
      <c r="F95" s="2">
        <v>2050</v>
      </c>
      <c r="G95" s="2" t="s">
        <v>2</v>
      </c>
      <c r="H95" s="2" t="s">
        <v>3</v>
      </c>
    </row>
    <row r="96" spans="2:8" ht="15" thickBot="1">
      <c r="B96" s="3" t="s">
        <v>4</v>
      </c>
      <c r="C96" s="4"/>
      <c r="D96" s="4"/>
      <c r="E96" s="4"/>
      <c r="F96" s="4"/>
      <c r="G96" s="4"/>
      <c r="H96" s="5"/>
    </row>
    <row r="97" spans="2:8" ht="15" thickBot="1">
      <c r="B97" s="1" t="s">
        <v>5</v>
      </c>
      <c r="C97" s="2" t="s">
        <v>224</v>
      </c>
      <c r="D97" s="2" t="s">
        <v>224</v>
      </c>
      <c r="E97" s="2" t="s">
        <v>224</v>
      </c>
      <c r="F97" s="2"/>
      <c r="G97" s="2"/>
      <c r="H97" s="2">
        <v>1</v>
      </c>
    </row>
    <row r="98" spans="2:8" ht="15" thickBot="1">
      <c r="B98" s="1" t="s">
        <v>137</v>
      </c>
      <c r="C98" s="2" t="s">
        <v>225</v>
      </c>
      <c r="D98" s="2" t="s">
        <v>226</v>
      </c>
      <c r="E98" s="2" t="s">
        <v>227</v>
      </c>
      <c r="F98" s="2"/>
      <c r="G98" s="2"/>
      <c r="H98" s="2">
        <v>1</v>
      </c>
    </row>
    <row r="99" spans="2:8" ht="24.6" thickBot="1">
      <c r="B99" s="1" t="s">
        <v>7</v>
      </c>
      <c r="C99" s="2" t="s">
        <v>169</v>
      </c>
      <c r="D99" s="2" t="s">
        <v>169</v>
      </c>
      <c r="E99" s="2" t="s">
        <v>169</v>
      </c>
      <c r="F99" s="2"/>
      <c r="G99" s="2" t="s">
        <v>6</v>
      </c>
      <c r="H99" s="2"/>
    </row>
    <row r="100" spans="2:8" ht="24.6" thickBot="1">
      <c r="B100" s="1" t="s">
        <v>8</v>
      </c>
      <c r="C100" s="2" t="s">
        <v>159</v>
      </c>
      <c r="D100" s="2" t="s">
        <v>159</v>
      </c>
      <c r="E100" s="2" t="s">
        <v>159</v>
      </c>
      <c r="F100" s="2"/>
      <c r="G100" s="2" t="s">
        <v>6</v>
      </c>
      <c r="H100" s="2"/>
    </row>
    <row r="101" spans="2:8" ht="15" thickBot="1">
      <c r="B101" s="1" t="s">
        <v>142</v>
      </c>
      <c r="C101" s="2" t="s">
        <v>228</v>
      </c>
      <c r="D101" s="2" t="s">
        <v>229</v>
      </c>
      <c r="E101" s="2" t="s">
        <v>230</v>
      </c>
      <c r="F101" s="2"/>
      <c r="G101" s="2"/>
      <c r="H101" s="2">
        <v>-1</v>
      </c>
    </row>
    <row r="102" spans="2:8" ht="15" thickBot="1">
      <c r="B102" s="1" t="s">
        <v>146</v>
      </c>
      <c r="C102" s="2" t="s">
        <v>231</v>
      </c>
      <c r="D102" s="2" t="s">
        <v>232</v>
      </c>
      <c r="E102" s="2" t="s">
        <v>233</v>
      </c>
      <c r="F102" s="2"/>
      <c r="G102" s="2"/>
      <c r="H102" s="2">
        <v>-1</v>
      </c>
    </row>
    <row r="103" spans="2:8" ht="15" thickBot="1">
      <c r="B103" s="1" t="s">
        <v>9</v>
      </c>
      <c r="C103" s="2" t="s">
        <v>234</v>
      </c>
      <c r="D103" s="2" t="s">
        <v>235</v>
      </c>
      <c r="E103" s="2" t="s">
        <v>236</v>
      </c>
      <c r="F103" s="2"/>
      <c r="G103" s="2"/>
      <c r="H103" s="2">
        <v>-1</v>
      </c>
    </row>
    <row r="104" spans="2:8" ht="15" thickBot="1">
      <c r="B104" s="1" t="s">
        <v>11</v>
      </c>
      <c r="C104" s="27" t="s">
        <v>303</v>
      </c>
      <c r="D104" s="27" t="s">
        <v>303</v>
      </c>
      <c r="E104" s="27" t="s">
        <v>303</v>
      </c>
      <c r="F104" s="2"/>
      <c r="G104" s="2"/>
      <c r="H104" s="2"/>
    </row>
    <row r="105" spans="2:8" ht="15" thickBot="1">
      <c r="B105" s="3" t="s">
        <v>12</v>
      </c>
      <c r="C105" s="4"/>
      <c r="D105" s="4"/>
      <c r="E105" s="4"/>
      <c r="F105" s="4"/>
      <c r="G105" s="4"/>
      <c r="H105" s="5"/>
    </row>
    <row r="106" spans="2:8" ht="15.6" thickBot="1">
      <c r="B106" s="1" t="s">
        <v>13</v>
      </c>
      <c r="C106" s="2">
        <v>0</v>
      </c>
      <c r="D106" s="2">
        <v>0</v>
      </c>
      <c r="E106" s="2">
        <v>0</v>
      </c>
      <c r="F106" s="2"/>
      <c r="G106" s="2"/>
      <c r="H106" s="2"/>
    </row>
    <row r="107" spans="2:8" ht="15.6" thickBot="1">
      <c r="B107" s="1" t="s">
        <v>15</v>
      </c>
      <c r="C107" s="2" t="s">
        <v>210</v>
      </c>
      <c r="D107" s="27" t="s">
        <v>304</v>
      </c>
      <c r="E107" s="27" t="s">
        <v>305</v>
      </c>
      <c r="F107" s="2"/>
      <c r="G107" s="2"/>
      <c r="H107" s="2">
        <v>1</v>
      </c>
    </row>
    <row r="108" spans="2:8" ht="15.6" thickBot="1">
      <c r="B108" s="1" t="s">
        <v>17</v>
      </c>
      <c r="C108" s="2" t="s">
        <v>211</v>
      </c>
      <c r="D108" s="2" t="s">
        <v>212</v>
      </c>
      <c r="E108" s="2" t="s">
        <v>213</v>
      </c>
      <c r="F108" s="2"/>
      <c r="G108" s="2"/>
      <c r="H108" s="2">
        <v>2</v>
      </c>
    </row>
    <row r="109" spans="2:8" ht="15.6" thickBot="1">
      <c r="B109" s="1" t="s">
        <v>18</v>
      </c>
      <c r="C109" s="2" t="s">
        <v>214</v>
      </c>
      <c r="D109" s="2" t="s">
        <v>215</v>
      </c>
      <c r="E109" s="2" t="s">
        <v>215</v>
      </c>
      <c r="F109" s="2"/>
      <c r="G109" s="2"/>
      <c r="H109" s="2">
        <v>2</v>
      </c>
    </row>
    <row r="110" spans="2:8" ht="15" thickBot="1">
      <c r="B110" s="1" t="s">
        <v>19</v>
      </c>
      <c r="C110" s="35">
        <v>0</v>
      </c>
      <c r="D110" s="35">
        <v>0</v>
      </c>
      <c r="E110" s="35">
        <v>0</v>
      </c>
      <c r="F110" s="2"/>
      <c r="G110" s="2"/>
      <c r="H110" s="2">
        <v>2</v>
      </c>
    </row>
    <row r="111" spans="2:8" ht="15" thickBot="1">
      <c r="B111" s="3" t="s">
        <v>22</v>
      </c>
      <c r="C111" s="4"/>
      <c r="D111" s="4"/>
      <c r="E111" s="4"/>
      <c r="F111" s="4"/>
      <c r="G111" s="4"/>
      <c r="H111" s="5"/>
    </row>
    <row r="112" spans="2:8">
      <c r="B112" s="6" t="s">
        <v>24</v>
      </c>
      <c r="C112" s="7" t="s">
        <v>237</v>
      </c>
      <c r="D112" s="7" t="s">
        <v>237</v>
      </c>
      <c r="E112" s="7" t="s">
        <v>237</v>
      </c>
      <c r="F112" s="7"/>
      <c r="G112" s="7"/>
      <c r="H112" s="7">
        <v>1</v>
      </c>
    </row>
    <row r="113" spans="2:8">
      <c r="B113" s="6" t="s">
        <v>26</v>
      </c>
      <c r="C113" s="7" t="s">
        <v>27</v>
      </c>
      <c r="D113" s="7">
        <v>70</v>
      </c>
      <c r="E113" s="7">
        <v>70</v>
      </c>
      <c r="F113" s="7"/>
      <c r="G113" s="7"/>
      <c r="H113" s="7"/>
    </row>
    <row r="114" spans="2:8" ht="15" thickBot="1">
      <c r="B114" s="1" t="s">
        <v>28</v>
      </c>
      <c r="C114" s="2" t="s">
        <v>29</v>
      </c>
      <c r="D114" s="2">
        <v>30</v>
      </c>
      <c r="E114" s="2">
        <v>30</v>
      </c>
      <c r="F114" s="2"/>
      <c r="G114" s="2"/>
      <c r="H114" s="2"/>
    </row>
    <row r="115" spans="2:8" ht="24.6" thickBot="1">
      <c r="B115" s="1" t="s">
        <v>113</v>
      </c>
      <c r="C115" s="2">
        <v>0.2</v>
      </c>
      <c r="D115" s="2">
        <v>0.2</v>
      </c>
      <c r="E115" s="2">
        <v>0.2</v>
      </c>
      <c r="F115" s="2"/>
      <c r="G115" s="2" t="s">
        <v>6</v>
      </c>
      <c r="H115" s="2"/>
    </row>
    <row r="116" spans="2:8" ht="15" thickBot="1">
      <c r="B116" s="1" t="s">
        <v>50</v>
      </c>
      <c r="C116" s="2" t="s">
        <v>68</v>
      </c>
      <c r="D116" s="2" t="s">
        <v>68</v>
      </c>
      <c r="E116" s="2" t="s">
        <v>68</v>
      </c>
      <c r="F116" s="2"/>
      <c r="G116" s="2"/>
      <c r="H116" s="2"/>
    </row>
    <row r="117" spans="2:8" ht="15" thickBot="1">
      <c r="B117" s="1" t="s">
        <v>31</v>
      </c>
      <c r="C117" s="2" t="s">
        <v>219</v>
      </c>
      <c r="D117" s="2" t="s">
        <v>219</v>
      </c>
      <c r="E117" s="2" t="s">
        <v>219</v>
      </c>
      <c r="F117" s="2"/>
      <c r="G117" s="2" t="s">
        <v>59</v>
      </c>
      <c r="H117" s="2">
        <v>3</v>
      </c>
    </row>
  </sheetData>
  <mergeCells count="12">
    <mergeCell ref="B64:B65"/>
    <mergeCell ref="C64:H64"/>
    <mergeCell ref="C65:H65"/>
    <mergeCell ref="B93:B94"/>
    <mergeCell ref="C93:H93"/>
    <mergeCell ref="C94:H94"/>
    <mergeCell ref="B6:B7"/>
    <mergeCell ref="C6:H6"/>
    <mergeCell ref="C7:H7"/>
    <mergeCell ref="B35:B36"/>
    <mergeCell ref="C35:H35"/>
    <mergeCell ref="C36:H36"/>
  </mergeCell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File" ma:contentTypeID="0x0101000DD098BE9899426A8B0406C5EF9CA50A0088BDD742C1DD304A87D731357DBB47E2" ma:contentTypeVersion="1" ma:contentTypeDescription="This is the base type for all file formats" ma:contentTypeScope="" ma:versionID="7ff74889935fc138bd7541b24877147a">
  <xsd:schema xmlns:xsd="http://www.w3.org/2001/XMLSchema" xmlns:p="http://schemas.microsoft.com/office/2006/metadata/properties" xmlns:ns2="http://schemas.microsoft.com/sharepoint/v3/fields" targetNamespace="http://schemas.microsoft.com/office/2006/metadata/properties" ma:root="true" ma:fieldsID="46dc3d67e2c7a72f7fde2a6a9b1bcac1" ns2:_="">
    <xsd:import namespace="http://schemas.microsoft.com/sharepoint/v3/fields"/>
    <xsd:element name="properties">
      <xsd:complexType>
        <xsd:sequence>
          <xsd:element name="documentManagement">
            <xsd:complexType>
              <xsd:all>
                <xsd:element ref="ns2:PortalAuthor" minOccurs="0"/>
                <xsd:element ref="ns2:Phase" minOccurs="0"/>
              </xsd:all>
            </xsd:complexType>
          </xsd:element>
        </xsd:sequence>
      </xsd:complex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PortalAuthor" ma:index="8" nillable="true" ma:displayName="Author" ma:internalName="PortalAuthor">
      <xsd:simpleType>
        <xsd:restriction base="dms:Text">
          <xsd:maxLength value="255"/>
        </xsd:restriction>
      </xsd:simpleType>
    </xsd:element>
    <xsd:element name="Phase" ma:index="9" nillable="true" ma:displayName="Phase" ma:default="Contracted" ma:internalName="Phase" ma:requiredMultiChoice="true">
      <xsd:complexType>
        <xsd:complexContent>
          <xsd:extension base="dms:MultiChoice">
            <xsd:sequence>
              <xsd:element name="Value" maxOccurs="unbounded" minOccurs="0" nillable="true">
                <xsd:simpleType>
                  <xsd:restriction base="dms:Choice">
                    <xsd:enumeration value="Precontracted"/>
                    <xsd:enumeration value="Contracted"/>
                    <xsd:enumeration value="Closed"/>
                  </xsd:restriction>
                </xsd:simple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hase xmlns="http://schemas.microsoft.com/sharepoint/v3/fields">
      <Value>Contracted</Value>
    </Phase>
    <PortalAuthor xmlns="http://schemas.microsoft.com/sharepoint/v3/fields"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5D6C50A-3B64-4A50-9420-9056232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070053BF-157C-4113-8C4C-D4BF2DACB17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sharepoint/v3/fields"/>
    <ds:schemaRef ds:uri="http://www.w3.org/XML/1998/namespace"/>
    <ds:schemaRef ds:uri="http://purl.org/dc/dcmitype/"/>
    <ds:schemaRef ds:uri="http://schemas.microsoft.com/office/infopath/2007/PartnerControls"/>
  </ds:schemaRefs>
</ds:datastoreItem>
</file>

<file path=customXml/itemProps3.xml><?xml version="1.0" encoding="utf-8"?>
<ds:datastoreItem xmlns:ds="http://schemas.openxmlformats.org/officeDocument/2006/customXml" ds:itemID="{D5848600-2E8A-4836-874B-3D5E5B443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61</vt:i4>
      </vt:variant>
      <vt:variant>
        <vt:lpstr>Named Ranges</vt:lpstr>
      </vt:variant>
      <vt:variant>
        <vt:i4>3</vt:i4>
      </vt:variant>
    </vt:vector>
  </HeadingPairs>
  <TitlesOfParts>
    <vt:vector size="64" baseType="lpstr">
      <vt:lpstr>LOG</vt:lpstr>
      <vt:lpstr>Intro</vt:lpstr>
      <vt:lpstr>READ THIS</vt:lpstr>
      <vt:lpstr>Notes</vt:lpstr>
      <vt:lpstr>IND_SavTechs</vt:lpstr>
      <vt:lpstr>IND_Trade</vt:lpstr>
      <vt:lpstr>IND_Private</vt:lpstr>
      <vt:lpstr>IND_Public</vt:lpstr>
      <vt:lpstr>IND_AGR_new</vt:lpstr>
      <vt:lpstr>IND_Construction_new</vt:lpstr>
      <vt:lpstr>IND_Utilities_new</vt:lpstr>
      <vt:lpstr>IND_Vehicles_new</vt:lpstr>
      <vt:lpstr>IND_PaperPulp_new</vt:lpstr>
      <vt:lpstr>IND_Wood_new</vt:lpstr>
      <vt:lpstr>IND_Other_new</vt:lpstr>
      <vt:lpstr>IND_Mining_new</vt:lpstr>
      <vt:lpstr>IND_IronSteel_new</vt:lpstr>
      <vt:lpstr>IND_Aluminium_new</vt:lpstr>
      <vt:lpstr>IND_Machinery_new</vt:lpstr>
      <vt:lpstr>IND_Food_new</vt:lpstr>
      <vt:lpstr>IND_CHEM_new</vt:lpstr>
      <vt:lpstr>IND_G&amp;C_new</vt:lpstr>
      <vt:lpstr>Carbon Capture Storage</vt:lpstr>
      <vt:lpstr>Oil-fired boiler_NEW</vt:lpstr>
      <vt:lpstr>Natural gas boiler_New</vt:lpstr>
      <vt:lpstr>Biomass boiler</vt:lpstr>
      <vt:lpstr>Coal boiler</vt:lpstr>
      <vt:lpstr>Trad. Heat pump 80C</vt:lpstr>
      <vt:lpstr>Heat driven Heat pump 80C</vt:lpstr>
      <vt:lpstr>High Temp abs. Heat pump 150C</vt:lpstr>
      <vt:lpstr>Booster Heat pump 150C</vt:lpstr>
      <vt:lpstr>MVR</vt:lpstr>
      <vt:lpstr>Hotdisc</vt:lpstr>
      <vt:lpstr>Dielectric heating</vt:lpstr>
      <vt:lpstr>Infrared</vt:lpstr>
      <vt:lpstr>Electric boiler</vt:lpstr>
      <vt:lpstr>Direct electric heating</vt:lpstr>
      <vt:lpstr>DH substation</vt:lpstr>
      <vt:lpstr>DH network</vt:lpstr>
      <vt:lpstr>Electrical grid</vt:lpstr>
      <vt:lpstr>Solar heating</vt:lpstr>
      <vt:lpstr>Oil-fired boiler</vt:lpstr>
      <vt:lpstr>Natural gas boiler</vt:lpstr>
      <vt:lpstr>DHB Wood-Chips</vt:lpstr>
      <vt:lpstr>Biomass boiler, automatic</vt:lpstr>
      <vt:lpstr>Biomass boiler, manual</vt:lpstr>
      <vt:lpstr>Wood stove</vt:lpstr>
      <vt:lpstr>Heat pump, air-to-air</vt:lpstr>
      <vt:lpstr>Heat pump, air-to-water</vt:lpstr>
      <vt:lpstr>Heat pump, ground source</vt:lpstr>
      <vt:lpstr>HP, gas absorption,air-to-water</vt:lpstr>
      <vt:lpstr>HP, gas absorpt,brine-to-water</vt:lpstr>
      <vt:lpstr>Heat pump, gas engine air-water</vt:lpstr>
      <vt:lpstr>Heat pump, gas engine Brine-wat</vt:lpstr>
      <vt:lpstr>Heat pump, gas adsorption</vt:lpstr>
      <vt:lpstr>Heat pump, ventilation</vt:lpstr>
      <vt:lpstr>Electric heating</vt:lpstr>
      <vt:lpstr>Micro CHP, natural gas FC</vt:lpstr>
      <vt:lpstr>Micro CHP, hydrogen FC</vt:lpstr>
      <vt:lpstr>Micro CHP - Stirling engine</vt:lpstr>
      <vt:lpstr>Micro CHP - Gas engine</vt:lpstr>
      <vt:lpstr>'Micro CHP - Stirling engine'!_ftn1</vt:lpstr>
      <vt:lpstr>'Biomass boiler, automatic'!_Toc305146851</vt:lpstr>
      <vt:lpstr>'DHB Wood-Chips'!_Toc305146851</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Mikkel Bosack</cp:lastModifiedBy>
  <dcterms:created xsi:type="dcterms:W3CDTF">2012-05-21T08:38:35Z</dcterms:created>
  <dcterms:modified xsi:type="dcterms:W3CDTF">2021-04-22T13:20:24Z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0x0101000DD098BE9899426A8B0406C5EF9CA50A0088BDD742C1DD304A87D731357DBB47E2</vt:lpwstr>
  </property>
  <property fmtid="{D5CDD505-2E9C-101B-9397-08002B2CF9AE}" pid="3" name="_NewReviewCycle">
    <vt:lpwstr/>
  </property>
  <property fmtid="{D5CDD505-2E9C-101B-9397-08002B2CF9AE}" pid="4" name="SaveCode">
    <vt:r8>779369533061981</vt:r8>
  </property>
</Properties>
</file>