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650" yWindow="-120" windowWidth="26280" windowHeight="13125" activeTab="5"/>
  </bookViews>
  <sheets>
    <sheet name="ELC" sheetId="11" r:id="rId1"/>
    <sheet name="ELC_HTP" sheetId="14" r:id="rId2"/>
    <sheet name="ELC_STG" sheetId="15" r:id="rId3"/>
    <sheet name="IND_CHP" sheetId="9" r:id="rId4"/>
    <sheet name="UPS" sheetId="8" r:id="rId5"/>
    <sheet name="UPS_HYD" sheetId="12" r:id="rId6"/>
    <sheet name="UPS_CC" sheetId="13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BaseYear" localSheetId="0">ELC!$G$1</definedName>
    <definedName name="BaseYear">IND_CHP!$I$1</definedName>
    <definedName name="Cars_12" localSheetId="0">'[1]TechRep-Doc'!#REF!</definedName>
    <definedName name="Cars_12">'[1]TechRep-Doc'!#REF!</definedName>
    <definedName name="ddddd" localSheetId="0">[5]AGR_Fuels!$A$2</definedName>
    <definedName name="ddddd">[4]AGR_Fuels!$A$2</definedName>
    <definedName name="DISCRATE" localSheetId="0">'[1]TechRep-Doc'!#REF!</definedName>
    <definedName name="DISCRATE">'[3]TechRep-Doc'!#REF!</definedName>
    <definedName name="FID_1" localSheetId="0">[7]AGR_Fuels!$A$2</definedName>
    <definedName name="FID_1">[2]AGR_Fuels!$A$2</definedName>
    <definedName name="GROWTH" localSheetId="0">'[1]TechRep-Doc'!#REF!</definedName>
    <definedName name="GROWTH">'[3]TechRep-Doc'!#REF!</definedName>
    <definedName name="GROWTH_TID" localSheetId="0">'[1]TechRep-Doc'!#REF!</definedName>
    <definedName name="GROWTH_TID">'[3]TechRep-Doc'!#REF!</definedName>
    <definedName name="Inflate">#REF!</definedName>
    <definedName name="INVCOST" localSheetId="0">'[1]TechRep-Doc'!#REF!</definedName>
    <definedName name="INVCOST">'[1]TechRep-Doc'!#REF!</definedName>
    <definedName name="LIFE" localSheetId="0">'[1]TechRep-Doc'!#REF!</definedName>
    <definedName name="LIFE">'[1]TechRep-Doc'!#REF!</definedName>
    <definedName name="NAs_CCAR" localSheetId="0">'[1]TechRep-Doc'!#REF!</definedName>
    <definedName name="NAs_CCAR">'[1]TechRep-Doc'!#REF!</definedName>
    <definedName name="_xlnm.Print_Area" localSheetId="0">ELC!$A$4:$AK$191</definedName>
    <definedName name="_xlnm.Print_Titles" localSheetId="0">ELC!$C:$D,ELC!$4:$4</definedName>
    <definedName name="SETS" localSheetId="0">'[1]TechRep-Doc'!#REF!</definedName>
    <definedName name="SETS">'[1]TechRep-Doc'!#REF!</definedName>
    <definedName name="TRTGAB005" localSheetId="0">'[1]TechRep-Doc'!#REF!</definedName>
    <definedName name="TRTGAB005">'[1]TechRep-Doc'!#REF!</definedName>
    <definedName name="TRTGAC005" localSheetId="0">'[1]TechRep-Doc'!#REF!</definedName>
    <definedName name="TRTGAC005">'[1]TechRep-Doc'!#REF!</definedName>
    <definedName name="Trucks_15" localSheetId="0">'[1]TechRep-Doc'!#REF!</definedName>
    <definedName name="Trucks_15">'[1]TechRep-Doc'!#REF!</definedName>
    <definedName name="TSUB_COST" localSheetId="0">'[1]TechRep-Doc'!#REF!</definedName>
    <definedName name="TSUB_COST">'[3]TechRep-Doc'!#REF!</definedName>
    <definedName name="x" localSheetId="0">[6]AGR_Fuels!$A$2</definedName>
    <definedName name="x">[1]AGR_Fuels!$A$2</definedName>
  </definedNames>
  <calcPr calcId="114210" calcMode="manual" fullCalcOnLoad="1"/>
</workbook>
</file>

<file path=xl/calcChain.xml><?xml version="1.0" encoding="utf-8"?>
<calcChain xmlns="http://schemas.openxmlformats.org/spreadsheetml/2006/main">
  <c r="J31" i="13"/>
  <c r="H29"/>
  <c r="V7" i="15"/>
  <c r="U17" i="8"/>
  <c r="AO52" i="11"/>
  <c r="AO51"/>
  <c r="AO50"/>
  <c r="AO49"/>
  <c r="BH106"/>
  <c r="BG106"/>
  <c r="BF106"/>
  <c r="BG104"/>
  <c r="BF104"/>
  <c r="BH100"/>
  <c r="BG100"/>
  <c r="BF100"/>
  <c r="BH99"/>
  <c r="BG99"/>
  <c r="BF99"/>
  <c r="BF98"/>
  <c r="BG95"/>
  <c r="BF95"/>
  <c r="BH94"/>
  <c r="BG94"/>
  <c r="BH92"/>
  <c r="BG92"/>
  <c r="BF92"/>
  <c r="BH91"/>
  <c r="BF90"/>
  <c r="BG87"/>
  <c r="BF87"/>
  <c r="BH85"/>
  <c r="BG85"/>
  <c r="BF81"/>
  <c r="BH80"/>
  <c r="BG80"/>
  <c r="BF80"/>
  <c r="BH79"/>
  <c r="BG79"/>
  <c r="BF79"/>
  <c r="BG78"/>
  <c r="BF78"/>
  <c r="BH75"/>
  <c r="BG75"/>
  <c r="BF75"/>
  <c r="BH74"/>
  <c r="BD113"/>
  <c r="U44"/>
  <c r="U43"/>
  <c r="U42"/>
  <c r="U41"/>
  <c r="U40"/>
  <c r="U39"/>
  <c r="U38"/>
  <c r="U37"/>
  <c r="U36"/>
  <c r="U35"/>
  <c r="U34"/>
  <c r="U33"/>
  <c r="U32"/>
  <c r="U31"/>
  <c r="U30"/>
  <c r="U29"/>
  <c r="U28"/>
  <c r="U27"/>
  <c r="U26"/>
  <c r="U25"/>
  <c r="U24"/>
  <c r="U23"/>
  <c r="U22"/>
  <c r="U21"/>
  <c r="U20"/>
  <c r="U19"/>
  <c r="U18"/>
  <c r="U17"/>
  <c r="U16"/>
  <c r="U15"/>
  <c r="U14"/>
  <c r="U13"/>
  <c r="U12"/>
  <c r="U11"/>
  <c r="U10"/>
  <c r="U9"/>
  <c r="U8"/>
  <c r="U7"/>
  <c r="AE43"/>
  <c r="AE42"/>
  <c r="AE41"/>
  <c r="AE40"/>
  <c r="AE39"/>
  <c r="AE38"/>
  <c r="AE37"/>
  <c r="AE36"/>
  <c r="AE35"/>
  <c r="AE34"/>
  <c r="AE33"/>
  <c r="AE32"/>
  <c r="AE31"/>
  <c r="AE30"/>
  <c r="AE29"/>
  <c r="AE28"/>
  <c r="AE27"/>
  <c r="AE26"/>
  <c r="AE25"/>
  <c r="AE24"/>
  <c r="AE23"/>
  <c r="AE22"/>
  <c r="AE21"/>
  <c r="AE20"/>
  <c r="AE19"/>
  <c r="AE18"/>
  <c r="AE17"/>
  <c r="AE16"/>
  <c r="AE15"/>
  <c r="AE14"/>
  <c r="AE13"/>
  <c r="AE12"/>
  <c r="AE11"/>
  <c r="AE10"/>
  <c r="AE9"/>
  <c r="AE8"/>
  <c r="AE7"/>
  <c r="AE44"/>
  <c r="X153"/>
  <c r="X152"/>
  <c r="H34" i="13"/>
  <c r="N38" i="11"/>
  <c r="P11" i="13"/>
  <c r="AV117" i="11"/>
  <c r="BG117"/>
  <c r="BF117"/>
  <c r="AV116"/>
  <c r="AX116"/>
  <c r="AV115"/>
  <c r="BG115"/>
  <c r="BF115"/>
  <c r="AV114"/>
  <c r="BD114"/>
  <c r="AT114"/>
  <c r="BK114"/>
  <c r="AZ114"/>
  <c r="AS114"/>
  <c r="AQ114"/>
  <c r="AV113"/>
  <c r="AT113"/>
  <c r="BK113"/>
  <c r="BB113"/>
  <c r="AS113"/>
  <c r="BA113"/>
  <c r="AQ113"/>
  <c r="AZ113"/>
  <c r="AV112"/>
  <c r="AZ112"/>
  <c r="AT112"/>
  <c r="BK112"/>
  <c r="AS112"/>
  <c r="AQ112"/>
  <c r="AV111"/>
  <c r="BD111"/>
  <c r="AT111"/>
  <c r="BB111"/>
  <c r="BK111"/>
  <c r="AS111"/>
  <c r="BA111"/>
  <c r="AQ111"/>
  <c r="AV110"/>
  <c r="BF110"/>
  <c r="BK110"/>
  <c r="AV109"/>
  <c r="BK109"/>
  <c r="BA109"/>
  <c r="BK108"/>
  <c r="AV108"/>
  <c r="BK107"/>
  <c r="AV105"/>
  <c r="BF105"/>
  <c r="AV104"/>
  <c r="BH104"/>
  <c r="AV103"/>
  <c r="BD103"/>
  <c r="BK103"/>
  <c r="BA103"/>
  <c r="AV102"/>
  <c r="BH102"/>
  <c r="AV101"/>
  <c r="BF101"/>
  <c r="BK101"/>
  <c r="BA101"/>
  <c r="AV100"/>
  <c r="BK100"/>
  <c r="AV98"/>
  <c r="BG98"/>
  <c r="BK98"/>
  <c r="AV97"/>
  <c r="AY97"/>
  <c r="BK96"/>
  <c r="AV95"/>
  <c r="BH95"/>
  <c r="AV94"/>
  <c r="BF94"/>
  <c r="AV93"/>
  <c r="BF93"/>
  <c r="AV91"/>
  <c r="BF91"/>
  <c r="AV90"/>
  <c r="BG90"/>
  <c r="AV89"/>
  <c r="BD89"/>
  <c r="BK88"/>
  <c r="AZ88"/>
  <c r="AV87"/>
  <c r="BH87"/>
  <c r="AV86"/>
  <c r="BA86"/>
  <c r="BK86"/>
  <c r="AV85"/>
  <c r="BF85"/>
  <c r="BK84"/>
  <c r="AV84"/>
  <c r="AV83"/>
  <c r="AX83"/>
  <c r="BK83"/>
  <c r="BA83"/>
  <c r="AV82"/>
  <c r="BF82"/>
  <c r="BK82"/>
  <c r="BB82"/>
  <c r="AV81"/>
  <c r="BG81"/>
  <c r="BK81"/>
  <c r="AV80"/>
  <c r="AV78"/>
  <c r="BH78"/>
  <c r="AV77"/>
  <c r="AY77"/>
  <c r="BK77"/>
  <c r="BA77"/>
  <c r="AV76"/>
  <c r="BF76"/>
  <c r="BK76"/>
  <c r="BA76"/>
  <c r="BK75"/>
  <c r="AV74"/>
  <c r="BF74"/>
  <c r="BK74"/>
  <c r="AV73"/>
  <c r="BH73"/>
  <c r="BG73"/>
  <c r="BF73"/>
  <c r="AV72"/>
  <c r="AZ72"/>
  <c r="BK117"/>
  <c r="BB117"/>
  <c r="BA117"/>
  <c r="BK116"/>
  <c r="BB116"/>
  <c r="BK115"/>
  <c r="BA115"/>
  <c r="BB114"/>
  <c r="BA114"/>
  <c r="BB110"/>
  <c r="BA110"/>
  <c r="BK106"/>
  <c r="BB106"/>
  <c r="BK105"/>
  <c r="AZ105"/>
  <c r="BK104"/>
  <c r="BB104"/>
  <c r="BA104"/>
  <c r="BK102"/>
  <c r="BA102"/>
  <c r="BB100"/>
  <c r="BA100"/>
  <c r="BK99"/>
  <c r="BA99"/>
  <c r="BB98"/>
  <c r="BA98"/>
  <c r="BK97"/>
  <c r="BB97"/>
  <c r="BK95"/>
  <c r="BK94"/>
  <c r="BB94"/>
  <c r="BA94"/>
  <c r="BK93"/>
  <c r="BB93"/>
  <c r="BK92"/>
  <c r="BA92"/>
  <c r="BK91"/>
  <c r="BA91"/>
  <c r="BK90"/>
  <c r="BA90"/>
  <c r="BK89"/>
  <c r="BB89"/>
  <c r="BA89"/>
  <c r="BB88"/>
  <c r="BK87"/>
  <c r="BA87"/>
  <c r="BK85"/>
  <c r="AZ85"/>
  <c r="BA82"/>
  <c r="BB81"/>
  <c r="BA81"/>
  <c r="BK80"/>
  <c r="AZ80"/>
  <c r="BK79"/>
  <c r="BB79"/>
  <c r="BA79"/>
  <c r="BK78"/>
  <c r="BB78"/>
  <c r="BB75"/>
  <c r="BA75"/>
  <c r="BB74"/>
  <c r="BA74"/>
  <c r="BK73"/>
  <c r="BB73"/>
  <c r="BA73"/>
  <c r="BK72"/>
  <c r="BB72"/>
  <c r="BA72"/>
  <c r="AZ117"/>
  <c r="AZ115"/>
  <c r="AZ111"/>
  <c r="AZ110"/>
  <c r="AZ104"/>
  <c r="AZ103"/>
  <c r="AZ102"/>
  <c r="AZ101"/>
  <c r="AZ100"/>
  <c r="AZ98"/>
  <c r="AZ95"/>
  <c r="AZ94"/>
  <c r="AZ93"/>
  <c r="AZ92"/>
  <c r="AZ87"/>
  <c r="AZ86"/>
  <c r="AZ81"/>
  <c r="AZ79"/>
  <c r="AZ75"/>
  <c r="AZ74"/>
  <c r="AZ73"/>
  <c r="K11" i="12"/>
  <c r="R10"/>
  <c r="Q10"/>
  <c r="R6"/>
  <c r="Q6"/>
  <c r="L11"/>
  <c r="M11"/>
  <c r="D149"/>
  <c r="M85"/>
  <c r="L85"/>
  <c r="K85"/>
  <c r="J85"/>
  <c r="X84"/>
  <c r="S84"/>
  <c r="S81"/>
  <c r="T23" i="8"/>
  <c r="K198"/>
  <c r="U20"/>
  <c r="N71"/>
  <c r="M72"/>
  <c r="L72"/>
  <c r="J72"/>
  <c r="P71" i="9"/>
  <c r="P75"/>
  <c r="P79"/>
  <c r="P84"/>
  <c r="P88"/>
  <c r="P92"/>
  <c r="P96"/>
  <c r="P100"/>
  <c r="P105"/>
  <c r="P66"/>
  <c r="P62"/>
  <c r="P58"/>
  <c r="P53"/>
  <c r="P49"/>
  <c r="P45"/>
  <c r="P41"/>
  <c r="P37"/>
  <c r="P33"/>
  <c r="P29"/>
  <c r="P25"/>
  <c r="P21"/>
  <c r="P17"/>
  <c r="P13"/>
  <c r="P9"/>
  <c r="P5"/>
  <c r="F112"/>
  <c r="K148" i="8"/>
  <c r="L148"/>
  <c r="L150"/>
  <c r="Z158"/>
  <c r="Z157"/>
  <c r="Z156"/>
  <c r="AX117" i="11"/>
  <c r="AX115"/>
  <c r="AX114"/>
  <c r="AX112"/>
  <c r="AX110"/>
  <c r="AX109"/>
  <c r="AX106"/>
  <c r="AX105"/>
  <c r="AX104"/>
  <c r="AX103"/>
  <c r="AX100"/>
  <c r="AX99"/>
  <c r="AX98"/>
  <c r="AX94"/>
  <c r="AX93"/>
  <c r="AX92"/>
  <c r="AX91"/>
  <c r="AX90"/>
  <c r="AX88"/>
  <c r="AX85"/>
  <c r="AX82"/>
  <c r="AX81"/>
  <c r="AX80"/>
  <c r="AX79"/>
  <c r="AX78"/>
  <c r="AX75"/>
  <c r="AX74"/>
  <c r="AX73"/>
  <c r="AX72"/>
  <c r="BK71"/>
  <c r="BK70"/>
  <c r="BJ70"/>
  <c r="BD117"/>
  <c r="AY117"/>
  <c r="BD116"/>
  <c r="BD115"/>
  <c r="AY115"/>
  <c r="AN114"/>
  <c r="AN113"/>
  <c r="AY113"/>
  <c r="AN112"/>
  <c r="BD112"/>
  <c r="AY112"/>
  <c r="AN111"/>
  <c r="AN110"/>
  <c r="BD110"/>
  <c r="AY110"/>
  <c r="AN109"/>
  <c r="BD109"/>
  <c r="AY109"/>
  <c r="AN108"/>
  <c r="AN107"/>
  <c r="BD106"/>
  <c r="AY106"/>
  <c r="BD105"/>
  <c r="AY105"/>
  <c r="BD104"/>
  <c r="AY104"/>
  <c r="AN103"/>
  <c r="AY103"/>
  <c r="BD102"/>
  <c r="AN101"/>
  <c r="AN100"/>
  <c r="BD100"/>
  <c r="AY100"/>
  <c r="BD99"/>
  <c r="AY99"/>
  <c r="AN98"/>
  <c r="BD98"/>
  <c r="AY98"/>
  <c r="AN96"/>
  <c r="BD95"/>
  <c r="BD94"/>
  <c r="AY94"/>
  <c r="BD93"/>
  <c r="AY93"/>
  <c r="BD92"/>
  <c r="AY92"/>
  <c r="BD91"/>
  <c r="AY91"/>
  <c r="BD90"/>
  <c r="AY90"/>
  <c r="AY89"/>
  <c r="BD88"/>
  <c r="AY88"/>
  <c r="AN86"/>
  <c r="BD85"/>
  <c r="AY85"/>
  <c r="AN84"/>
  <c r="AN83"/>
  <c r="AN82"/>
  <c r="BD82"/>
  <c r="AY82"/>
  <c r="AN81"/>
  <c r="BD81"/>
  <c r="AY81"/>
  <c r="BD80"/>
  <c r="AY80"/>
  <c r="BD79"/>
  <c r="AY79"/>
  <c r="BD78"/>
  <c r="AY78"/>
  <c r="AN77"/>
  <c r="AN76"/>
  <c r="BD76"/>
  <c r="AY76"/>
  <c r="BD75"/>
  <c r="AY75"/>
  <c r="AN74"/>
  <c r="BD74"/>
  <c r="AY74"/>
  <c r="BD73"/>
  <c r="AY73"/>
  <c r="BD72"/>
  <c r="AY72"/>
  <c r="BD71"/>
  <c r="AY71"/>
  <c r="AV70"/>
  <c r="AN70"/>
  <c r="BD70"/>
  <c r="AN147"/>
  <c r="H147"/>
  <c r="AN146"/>
  <c r="R146"/>
  <c r="AN145"/>
  <c r="R145"/>
  <c r="AN144"/>
  <c r="AN143"/>
  <c r="AN142"/>
  <c r="H142"/>
  <c r="AN141"/>
  <c r="H141"/>
  <c r="AN140"/>
  <c r="H140"/>
  <c r="AN139"/>
  <c r="AN138"/>
  <c r="H138"/>
  <c r="AN137"/>
  <c r="H137"/>
  <c r="AN136"/>
  <c r="AN135"/>
  <c r="H135"/>
  <c r="AN134"/>
  <c r="AN133"/>
  <c r="H133"/>
  <c r="AN132"/>
  <c r="AN131"/>
  <c r="H131"/>
  <c r="AN130"/>
  <c r="AN129"/>
  <c r="H129"/>
  <c r="AN128"/>
  <c r="H128"/>
  <c r="AN127"/>
  <c r="AE127"/>
  <c r="U127"/>
  <c r="AN126"/>
  <c r="AE126"/>
  <c r="U126"/>
  <c r="AN125"/>
  <c r="AE125"/>
  <c r="U125"/>
  <c r="AN124"/>
  <c r="AE124"/>
  <c r="U124"/>
  <c r="AN123"/>
  <c r="AE123"/>
  <c r="U123"/>
  <c r="AN122"/>
  <c r="AE122"/>
  <c r="U122"/>
  <c r="H122"/>
  <c r="AN121"/>
  <c r="AE121"/>
  <c r="U121"/>
  <c r="H121"/>
  <c r="AN120"/>
  <c r="AE120"/>
  <c r="U120"/>
  <c r="H120"/>
  <c r="AN119"/>
  <c r="AE119"/>
  <c r="U119"/>
  <c r="AN117"/>
  <c r="AE117"/>
  <c r="U117"/>
  <c r="AN116"/>
  <c r="AE116"/>
  <c r="U116"/>
  <c r="AN115"/>
  <c r="AE115"/>
  <c r="U115"/>
  <c r="AE114"/>
  <c r="U114"/>
  <c r="AE113"/>
  <c r="U113"/>
  <c r="AE112"/>
  <c r="U112"/>
  <c r="AE111"/>
  <c r="U111"/>
  <c r="AE110"/>
  <c r="U110"/>
  <c r="AE109"/>
  <c r="U109"/>
  <c r="AE108"/>
  <c r="U108"/>
  <c r="AE107"/>
  <c r="U107"/>
  <c r="AN105"/>
  <c r="AE105"/>
  <c r="U105"/>
  <c r="AN104"/>
  <c r="AE104"/>
  <c r="U104"/>
  <c r="AE103"/>
  <c r="U103"/>
  <c r="AN102"/>
  <c r="AE102"/>
  <c r="U102"/>
  <c r="AE101"/>
  <c r="U101"/>
  <c r="AE100"/>
  <c r="U100"/>
  <c r="AE98"/>
  <c r="U98"/>
  <c r="AN97"/>
  <c r="AE97"/>
  <c r="U97"/>
  <c r="AE96"/>
  <c r="U96"/>
  <c r="AN95"/>
  <c r="AE95"/>
  <c r="U95"/>
  <c r="AN94"/>
  <c r="AE94"/>
  <c r="U94"/>
  <c r="AN93"/>
  <c r="AE93"/>
  <c r="U93"/>
  <c r="AN91"/>
  <c r="AE91"/>
  <c r="U91"/>
  <c r="AN90"/>
  <c r="AE90"/>
  <c r="U90"/>
  <c r="AN89"/>
  <c r="AE89"/>
  <c r="U89"/>
  <c r="AN87"/>
  <c r="AE87"/>
  <c r="U87"/>
  <c r="AE86"/>
  <c r="U86"/>
  <c r="AN85"/>
  <c r="AE85"/>
  <c r="U85"/>
  <c r="AE84"/>
  <c r="U84"/>
  <c r="AE83"/>
  <c r="U83"/>
  <c r="AE82"/>
  <c r="U82"/>
  <c r="AE81"/>
  <c r="U81"/>
  <c r="AN80"/>
  <c r="AE80"/>
  <c r="U80"/>
  <c r="AN78"/>
  <c r="AE78"/>
  <c r="U78"/>
  <c r="AE77"/>
  <c r="U77"/>
  <c r="AE76"/>
  <c r="U76"/>
  <c r="AE74"/>
  <c r="U74"/>
  <c r="AN73"/>
  <c r="AE73"/>
  <c r="U73"/>
  <c r="AN72"/>
  <c r="AE72"/>
  <c r="U72"/>
  <c r="AN118"/>
  <c r="AE118"/>
  <c r="U118"/>
  <c r="AN71"/>
  <c r="AE71"/>
  <c r="U71"/>
  <c r="AE70"/>
  <c r="U70"/>
  <c r="AP66"/>
  <c r="AN66"/>
  <c r="U66"/>
  <c r="AP65"/>
  <c r="AN65"/>
  <c r="U65"/>
  <c r="AP64"/>
  <c r="AN64"/>
  <c r="U64"/>
  <c r="AP63"/>
  <c r="AN63"/>
  <c r="U63"/>
  <c r="AP62"/>
  <c r="AN62"/>
  <c r="U62"/>
  <c r="AP61"/>
  <c r="AN61"/>
  <c r="U61"/>
  <c r="AP60"/>
  <c r="AN60"/>
  <c r="U60"/>
  <c r="AP59"/>
  <c r="AN59"/>
  <c r="U59"/>
  <c r="AP58"/>
  <c r="AN58"/>
  <c r="U58"/>
  <c r="AP57"/>
  <c r="AN57"/>
  <c r="U57"/>
  <c r="AP56"/>
  <c r="AN56"/>
  <c r="U56"/>
  <c r="AS54"/>
  <c r="AT54"/>
  <c r="AU54"/>
  <c r="AR54"/>
  <c r="AP54"/>
  <c r="AN54"/>
  <c r="AS53"/>
  <c r="AT53"/>
  <c r="AU53"/>
  <c r="AR53"/>
  <c r="AP53"/>
  <c r="AN53"/>
  <c r="AS52"/>
  <c r="AT52"/>
  <c r="AU52"/>
  <c r="AR52"/>
  <c r="AP52"/>
  <c r="AN52"/>
  <c r="AT51"/>
  <c r="AU51"/>
  <c r="AS51"/>
  <c r="AR51"/>
  <c r="AP51"/>
  <c r="AN51"/>
  <c r="AS50"/>
  <c r="AT50"/>
  <c r="AU50"/>
  <c r="AR50"/>
  <c r="AP50"/>
  <c r="AN50"/>
  <c r="AS49"/>
  <c r="AT49"/>
  <c r="AU49"/>
  <c r="AR49"/>
  <c r="AP49"/>
  <c r="AN49"/>
  <c r="AN44"/>
  <c r="AN43"/>
  <c r="AN42"/>
  <c r="AN41"/>
  <c r="M154" i="8"/>
  <c r="M150"/>
  <c r="N151"/>
  <c r="M151"/>
  <c r="L152"/>
  <c r="K152"/>
  <c r="K149"/>
  <c r="J146"/>
  <c r="N148"/>
  <c r="U4" i="14"/>
  <c r="O5"/>
  <c r="M5"/>
  <c r="N5"/>
  <c r="V6"/>
  <c r="N7"/>
  <c r="O11"/>
  <c r="V11"/>
  <c r="N11"/>
  <c r="M11"/>
  <c r="M9"/>
  <c r="O9"/>
  <c r="N9"/>
  <c r="K199" i="8"/>
  <c r="O14" i="14"/>
  <c r="N14"/>
  <c r="M14"/>
  <c r="Q12"/>
  <c r="Q10"/>
  <c r="O8"/>
  <c r="N8"/>
  <c r="M8"/>
  <c r="M10" a="1"/>
  <c r="V9"/>
  <c r="Q8"/>
  <c r="R6"/>
  <c r="Q6"/>
  <c r="K5"/>
  <c r="O6"/>
  <c r="N6"/>
  <c r="V4"/>
  <c r="Q4"/>
  <c r="D46" i="13"/>
  <c r="D43"/>
  <c r="D42"/>
  <c r="N31" i="8"/>
  <c r="H8" i="13"/>
  <c r="Q6"/>
  <c r="P6"/>
  <c r="O6"/>
  <c r="D150" i="12"/>
  <c r="D148"/>
  <c r="D138"/>
  <c r="D137"/>
  <c r="D136"/>
  <c r="D135"/>
  <c r="D134"/>
  <c r="D133"/>
  <c r="D132"/>
  <c r="C122"/>
  <c r="D122"/>
  <c r="C110"/>
  <c r="C109"/>
  <c r="C108"/>
  <c r="L69"/>
  <c r="M67"/>
  <c r="M65"/>
  <c r="M61"/>
  <c r="L61"/>
  <c r="J61"/>
  <c r="P59"/>
  <c r="M55"/>
  <c r="M56"/>
  <c r="L55"/>
  <c r="L56"/>
  <c r="J55"/>
  <c r="J56"/>
  <c r="J54"/>
  <c r="P52"/>
  <c r="M49"/>
  <c r="L49"/>
  <c r="J49"/>
  <c r="P47"/>
  <c r="M43"/>
  <c r="M44"/>
  <c r="L43"/>
  <c r="L44"/>
  <c r="J43"/>
  <c r="J44"/>
  <c r="J42"/>
  <c r="P40"/>
  <c r="M37"/>
  <c r="L37"/>
  <c r="J37"/>
  <c r="P35"/>
  <c r="M24"/>
  <c r="M25"/>
  <c r="L24"/>
  <c r="L29"/>
  <c r="L31"/>
  <c r="L32"/>
  <c r="J24"/>
  <c r="J25"/>
  <c r="P28"/>
  <c r="H22"/>
  <c r="H20"/>
  <c r="T18"/>
  <c r="L25"/>
  <c r="P23"/>
  <c r="M108" i="9"/>
  <c r="L108"/>
  <c r="K108"/>
  <c r="J107"/>
  <c r="J108"/>
  <c r="J106"/>
  <c r="F108"/>
  <c r="AA105"/>
  <c r="Z105"/>
  <c r="Y105"/>
  <c r="X105"/>
  <c r="K93"/>
  <c r="Y92"/>
  <c r="J97"/>
  <c r="J101"/>
  <c r="F103"/>
  <c r="O100"/>
  <c r="J99"/>
  <c r="F99"/>
  <c r="X96"/>
  <c r="O96"/>
  <c r="J95"/>
  <c r="F95"/>
  <c r="X92"/>
  <c r="O92"/>
  <c r="K89"/>
  <c r="K91"/>
  <c r="J91"/>
  <c r="F91"/>
  <c r="X88"/>
  <c r="O88"/>
  <c r="K85"/>
  <c r="L85"/>
  <c r="Z84"/>
  <c r="K87"/>
  <c r="J87"/>
  <c r="F87"/>
  <c r="Y84"/>
  <c r="X84"/>
  <c r="O84"/>
  <c r="K83"/>
  <c r="M82"/>
  <c r="L82"/>
  <c r="K82"/>
  <c r="J82"/>
  <c r="F82"/>
  <c r="AA79"/>
  <c r="Z79"/>
  <c r="Y79"/>
  <c r="X79"/>
  <c r="M78"/>
  <c r="L78"/>
  <c r="K78"/>
  <c r="J78"/>
  <c r="F78"/>
  <c r="AA75"/>
  <c r="Z75"/>
  <c r="Y75"/>
  <c r="X75"/>
  <c r="O75"/>
  <c r="M74"/>
  <c r="L74"/>
  <c r="K74"/>
  <c r="J74"/>
  <c r="F74"/>
  <c r="AA71"/>
  <c r="Z71"/>
  <c r="Y71"/>
  <c r="X71"/>
  <c r="O71"/>
  <c r="M69"/>
  <c r="L69"/>
  <c r="K68"/>
  <c r="K69"/>
  <c r="K67"/>
  <c r="J69"/>
  <c r="F69"/>
  <c r="AA66"/>
  <c r="Z66"/>
  <c r="Y66"/>
  <c r="X66"/>
  <c r="M65"/>
  <c r="L65"/>
  <c r="K65"/>
  <c r="J65"/>
  <c r="F65"/>
  <c r="AA62"/>
  <c r="Z62"/>
  <c r="Y62"/>
  <c r="X62"/>
  <c r="O62"/>
  <c r="M61"/>
  <c r="L61"/>
  <c r="K61"/>
  <c r="J61"/>
  <c r="F61"/>
  <c r="AA58"/>
  <c r="Z58"/>
  <c r="Y58"/>
  <c r="X58"/>
  <c r="O58"/>
  <c r="K57"/>
  <c r="M56"/>
  <c r="L56"/>
  <c r="K54"/>
  <c r="K56"/>
  <c r="J56"/>
  <c r="F56"/>
  <c r="AA53"/>
  <c r="Z53"/>
  <c r="Y53"/>
  <c r="X53"/>
  <c r="M52"/>
  <c r="L52"/>
  <c r="K52"/>
  <c r="J52"/>
  <c r="F52"/>
  <c r="AA49"/>
  <c r="Z49"/>
  <c r="Y49"/>
  <c r="X49"/>
  <c r="O49"/>
  <c r="M48"/>
  <c r="L48"/>
  <c r="K48"/>
  <c r="J48"/>
  <c r="F48"/>
  <c r="AA45"/>
  <c r="Z45"/>
  <c r="Y45"/>
  <c r="X45"/>
  <c r="O45"/>
  <c r="M44"/>
  <c r="L44"/>
  <c r="K44"/>
  <c r="J44"/>
  <c r="F44"/>
  <c r="AA41"/>
  <c r="Z41"/>
  <c r="Y41"/>
  <c r="X41"/>
  <c r="O41"/>
  <c r="M40"/>
  <c r="L40"/>
  <c r="K40"/>
  <c r="J40"/>
  <c r="F40"/>
  <c r="AA37"/>
  <c r="Z37"/>
  <c r="Y37"/>
  <c r="X37"/>
  <c r="O37"/>
  <c r="M36"/>
  <c r="L36"/>
  <c r="K36"/>
  <c r="J36"/>
  <c r="F36"/>
  <c r="AA33"/>
  <c r="Z33"/>
  <c r="Y33"/>
  <c r="X33"/>
  <c r="O33"/>
  <c r="M32"/>
  <c r="L32"/>
  <c r="K32"/>
  <c r="J32"/>
  <c r="F32"/>
  <c r="AA29"/>
  <c r="Z29"/>
  <c r="Y29"/>
  <c r="X29"/>
  <c r="O29"/>
  <c r="M28"/>
  <c r="L28"/>
  <c r="K28"/>
  <c r="J28"/>
  <c r="F28"/>
  <c r="AA25"/>
  <c r="Z25"/>
  <c r="Y25"/>
  <c r="X25"/>
  <c r="O25"/>
  <c r="M24"/>
  <c r="L24"/>
  <c r="K24"/>
  <c r="J24"/>
  <c r="F24"/>
  <c r="AA21"/>
  <c r="Z21"/>
  <c r="Y21"/>
  <c r="X21"/>
  <c r="O21"/>
  <c r="M20"/>
  <c r="L20"/>
  <c r="K20"/>
  <c r="J20"/>
  <c r="F20"/>
  <c r="AA17"/>
  <c r="Z17"/>
  <c r="Y17"/>
  <c r="X17"/>
  <c r="O17"/>
  <c r="M16"/>
  <c r="L16"/>
  <c r="K16"/>
  <c r="J16"/>
  <c r="F16"/>
  <c r="AA13"/>
  <c r="Z13"/>
  <c r="Y13"/>
  <c r="X13"/>
  <c r="O13"/>
  <c r="M12"/>
  <c r="L12"/>
  <c r="K12"/>
  <c r="J12"/>
  <c r="F12"/>
  <c r="AA9"/>
  <c r="Z9"/>
  <c r="Y9"/>
  <c r="X9"/>
  <c r="O9"/>
  <c r="M8"/>
  <c r="L8"/>
  <c r="K8"/>
  <c r="J8"/>
  <c r="F8"/>
  <c r="AA5"/>
  <c r="Z5"/>
  <c r="Y5"/>
  <c r="X5"/>
  <c r="O5"/>
  <c r="L7" i="8"/>
  <c r="J133"/>
  <c r="J130"/>
  <c r="J127"/>
  <c r="S133"/>
  <c r="S130"/>
  <c r="X180" i="11"/>
  <c r="Y179"/>
  <c r="X178"/>
  <c r="Y177"/>
  <c r="X159"/>
  <c r="X158"/>
  <c r="Y155"/>
  <c r="X154"/>
  <c r="X161"/>
  <c r="Y171"/>
  <c r="Y174"/>
  <c r="Y164"/>
  <c r="X176"/>
  <c r="Y175"/>
  <c r="I23" i="8"/>
  <c r="K200"/>
  <c r="M124"/>
  <c r="M128"/>
  <c r="L197"/>
  <c r="K119"/>
  <c r="S127"/>
  <c r="M123"/>
  <c r="K123"/>
  <c r="S123"/>
  <c r="K196"/>
  <c r="T123"/>
  <c r="J114"/>
  <c r="J123"/>
  <c r="S114"/>
  <c r="O30"/>
  <c r="N29"/>
  <c r="J119"/>
  <c r="X170" i="11"/>
  <c r="Y172"/>
  <c r="X173"/>
  <c r="H126" i="8"/>
  <c r="H125"/>
  <c r="S119"/>
  <c r="D250"/>
  <c r="C250"/>
  <c r="N21"/>
  <c r="D164" i="11"/>
  <c r="W126" i="8"/>
  <c r="W125"/>
  <c r="F191"/>
  <c r="I191"/>
  <c r="M105"/>
  <c r="N106"/>
  <c r="Y167" i="11"/>
  <c r="Y166"/>
  <c r="X169"/>
  <c r="X168"/>
  <c r="I22" i="8"/>
  <c r="I19"/>
  <c r="I18"/>
  <c r="I17"/>
  <c r="I16"/>
  <c r="I15"/>
  <c r="F190"/>
  <c r="I190"/>
  <c r="J190"/>
  <c r="F187"/>
  <c r="F193"/>
  <c r="I193"/>
  <c r="J193"/>
  <c r="F188"/>
  <c r="F189"/>
  <c r="N64"/>
  <c r="D194" i="11"/>
  <c r="D193"/>
  <c r="D191"/>
  <c r="D190"/>
  <c r="D189"/>
  <c r="D188"/>
  <c r="D184"/>
  <c r="D183"/>
  <c r="D182"/>
  <c r="D181"/>
  <c r="D179"/>
  <c r="D177"/>
  <c r="D175"/>
  <c r="D174"/>
  <c r="D172"/>
  <c r="D171"/>
  <c r="D169"/>
  <c r="D165"/>
  <c r="D163"/>
  <c r="D162"/>
  <c r="D160"/>
  <c r="AX108"/>
  <c r="BH108"/>
  <c r="BF108"/>
  <c r="AY108"/>
  <c r="BG108"/>
  <c r="BD108"/>
  <c r="O10" i="14"/>
  <c r="N10"/>
  <c r="M10"/>
  <c r="J103" i="9"/>
  <c r="X100"/>
  <c r="BF84" i="11"/>
  <c r="AZ84"/>
  <c r="AX84"/>
  <c r="BG84"/>
  <c r="BB84"/>
  <c r="BD84"/>
  <c r="BH84"/>
  <c r="BA84"/>
  <c r="AY84"/>
  <c r="AZ96"/>
  <c r="BH83"/>
  <c r="BH109"/>
  <c r="BB85"/>
  <c r="BB91"/>
  <c r="BB103"/>
  <c r="K97" i="9"/>
  <c r="J29" i="12"/>
  <c r="AX113" i="11"/>
  <c r="BB109"/>
  <c r="BF83"/>
  <c r="L87" i="9"/>
  <c r="L89"/>
  <c r="BD87" i="11"/>
  <c r="AZ76"/>
  <c r="AZ108"/>
  <c r="BA78"/>
  <c r="BB99"/>
  <c r="BG102"/>
  <c r="I188" i="8"/>
  <c r="Y88" i="9"/>
  <c r="AY87" i="11"/>
  <c r="AY95"/>
  <c r="BD101"/>
  <c r="AY111"/>
  <c r="AX87"/>
  <c r="AX95"/>
  <c r="AX111"/>
  <c r="AZ83"/>
  <c r="AZ91"/>
  <c r="AZ99"/>
  <c r="AZ107"/>
  <c r="BB77"/>
  <c r="BB80"/>
  <c r="BB87"/>
  <c r="BB90"/>
  <c r="BA93"/>
  <c r="BB102"/>
  <c r="BB105"/>
  <c r="BB108"/>
  <c r="BB112"/>
  <c r="BA116"/>
  <c r="BH72"/>
  <c r="AV107"/>
  <c r="BF116"/>
  <c r="BG74"/>
  <c r="BF77"/>
  <c r="BG82"/>
  <c r="BH88"/>
  <c r="BG91"/>
  <c r="BF102"/>
  <c r="BH105"/>
  <c r="BG83"/>
  <c r="BH89"/>
  <c r="BH97"/>
  <c r="K95" i="9"/>
  <c r="L93"/>
  <c r="M29" i="12"/>
  <c r="M31"/>
  <c r="M32"/>
  <c r="AZ77" i="11"/>
  <c r="BA106"/>
  <c r="AV96"/>
  <c r="BG89"/>
  <c r="BF109"/>
  <c r="BG77"/>
  <c r="BH82"/>
  <c r="BD77"/>
  <c r="AY101"/>
  <c r="AX77"/>
  <c r="AX86"/>
  <c r="AX102"/>
  <c r="AZ82"/>
  <c r="AZ90"/>
  <c r="AZ106"/>
  <c r="BA80"/>
  <c r="BB83"/>
  <c r="BB95"/>
  <c r="BA105"/>
  <c r="BA108"/>
  <c r="BA112"/>
  <c r="BG72"/>
  <c r="BH76"/>
  <c r="BG88"/>
  <c r="BH93"/>
  <c r="BH101"/>
  <c r="BG105"/>
  <c r="BH110"/>
  <c r="M85" i="9"/>
  <c r="BA97" i="11"/>
  <c r="AY102"/>
  <c r="AX89"/>
  <c r="AX97"/>
  <c r="AZ109"/>
  <c r="BA85"/>
  <c r="BH116"/>
  <c r="BH77"/>
  <c r="AZ116"/>
  <c r="BG116"/>
  <c r="BD83"/>
  <c r="BD86"/>
  <c r="BD97"/>
  <c r="AY114"/>
  <c r="AX76"/>
  <c r="AX101"/>
  <c r="AZ89"/>
  <c r="AZ97"/>
  <c r="BB76"/>
  <c r="BB86"/>
  <c r="BB92"/>
  <c r="BA95"/>
  <c r="BB101"/>
  <c r="BB107"/>
  <c r="BB115"/>
  <c r="BF72"/>
  <c r="BH115"/>
  <c r="BH117"/>
  <c r="BG76"/>
  <c r="BH81"/>
  <c r="BF88"/>
  <c r="BH90"/>
  <c r="BG93"/>
  <c r="BH98"/>
  <c r="BG101"/>
  <c r="BG110"/>
  <c r="AZ78"/>
  <c r="BG109"/>
  <c r="AY116"/>
  <c r="BA88"/>
  <c r="BB96"/>
  <c r="BG97"/>
  <c r="BA96"/>
  <c r="BF89"/>
  <c r="BF97"/>
  <c r="AY83"/>
  <c r="AY86"/>
  <c r="BG107"/>
  <c r="BD107"/>
  <c r="BF107"/>
  <c r="BH107"/>
  <c r="AY107"/>
  <c r="AX107"/>
  <c r="J188" i="8"/>
  <c r="I189"/>
  <c r="J189"/>
  <c r="BD96" i="11"/>
  <c r="BF96"/>
  <c r="BG96"/>
  <c r="AY96"/>
  <c r="BH96"/>
  <c r="AX96"/>
  <c r="L91" i="9"/>
  <c r="Z88"/>
  <c r="M89"/>
  <c r="BA107" i="11"/>
  <c r="AA84" i="9"/>
  <c r="M87"/>
  <c r="Y96"/>
  <c r="K99"/>
  <c r="K101"/>
  <c r="L97"/>
  <c r="Z92"/>
  <c r="M93"/>
  <c r="L95"/>
  <c r="J30" i="12"/>
  <c r="J31"/>
  <c r="J32"/>
  <c r="AA92" i="9"/>
  <c r="M97"/>
  <c r="M95"/>
  <c r="Y100"/>
  <c r="K103"/>
  <c r="M91"/>
  <c r="AA88"/>
  <c r="L99"/>
  <c r="Z96"/>
  <c r="L101"/>
  <c r="Z100"/>
  <c r="L103"/>
  <c r="M99"/>
  <c r="M101"/>
  <c r="AA96"/>
  <c r="M103"/>
  <c r="AA100"/>
</calcChain>
</file>

<file path=xl/comments1.xml><?xml version="1.0" encoding="utf-8"?>
<comments xmlns="http://schemas.openxmlformats.org/spreadsheetml/2006/main">
  <authors>
    <author>Antti L</author>
  </authors>
  <commentList>
    <comment ref="P66" authorId="0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Esa Peltola 2018</t>
        </r>
      </text>
    </comment>
  </commentList>
</comments>
</file>

<file path=xl/comments2.xml><?xml version="1.0" encoding="utf-8"?>
<comments xmlns="http://schemas.openxmlformats.org/spreadsheetml/2006/main">
  <authors>
    <author xml:space="preserve"> Steve Pye</author>
    <author>Antti L</author>
    <author>Antti Lehtilä</author>
    <author>Administrador</author>
    <author>Richard Loulou</author>
  </authors>
  <commentList>
    <comment ref="E7" authorId="0">
      <text>
        <r>
          <rPr>
            <b/>
            <sz val="8"/>
            <color indexed="81"/>
            <rFont val="Tahoma"/>
            <family val="2"/>
          </rPr>
          <t xml:space="preserve"> Steve Pye:</t>
        </r>
        <r>
          <rPr>
            <sz val="8"/>
            <color indexed="81"/>
            <rFont val="Tahoma"/>
            <family val="2"/>
          </rPr>
          <t xml:space="preserve">
Check resource module naming</t>
        </r>
      </text>
    </comment>
    <comment ref="U20" authorId="1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Excessive stump use discouraged </t>
        </r>
      </text>
    </comment>
    <comment ref="P23" authorId="2">
      <text>
        <r>
          <rPr>
            <b/>
            <sz val="9"/>
            <color indexed="81"/>
            <rFont val="Tahoma"/>
            <family val="2"/>
          </rPr>
          <t>Antti Lehtilä:</t>
        </r>
        <r>
          <rPr>
            <sz val="9"/>
            <color indexed="81"/>
            <rFont val="Tahoma"/>
            <family val="2"/>
          </rPr>
          <t xml:space="preserve">
Energy content of wood improves in pelletizing</t>
        </r>
      </text>
    </comment>
    <comment ref="M27" authorId="2">
      <text>
        <r>
          <rPr>
            <b/>
            <sz val="9"/>
            <color indexed="81"/>
            <rFont val="Tahoma"/>
            <family val="2"/>
          </rPr>
          <t>Antti Lehtilä:</t>
        </r>
        <r>
          <rPr>
            <sz val="9"/>
            <color indexed="81"/>
            <rFont val="Tahoma"/>
            <family val="2"/>
          </rPr>
          <t xml:space="preserve">
Theoretically up to 98% thermal efficiency (without considering electricity imput),
Source: IEA Bioenergy Task 32 report</t>
        </r>
      </text>
    </comment>
    <comment ref="N31" authorId="1">
      <text>
        <r>
          <rPr>
            <b/>
            <sz val="10"/>
            <color indexed="81"/>
            <rFont val="Tahoma"/>
            <family val="2"/>
          </rPr>
          <t>Antti L:</t>
        </r>
        <r>
          <rPr>
            <sz val="10"/>
            <color indexed="81"/>
            <rFont val="Tahoma"/>
            <family val="2"/>
          </rPr>
          <t xml:space="preserve">
LHV = 24 GJ/t</t>
        </r>
      </text>
    </comment>
    <comment ref="V31" authorId="1">
      <text>
        <r>
          <rPr>
            <b/>
            <sz val="10"/>
            <color indexed="81"/>
            <rFont val="Tahoma"/>
            <family val="2"/>
          </rPr>
          <t>Antti L:</t>
        </r>
        <r>
          <rPr>
            <sz val="10"/>
            <color indexed="81"/>
            <rFont val="Tahoma"/>
            <family val="2"/>
          </rPr>
          <t xml:space="preserve">
Opportunity cost 300 EUR10/tonne</t>
        </r>
      </text>
    </comment>
    <comment ref="C64" authorId="3">
      <text>
        <r>
          <rPr>
            <b/>
            <sz val="8"/>
            <color indexed="81"/>
            <rFont val="Tahoma"/>
            <family val="2"/>
          </rPr>
          <t>Maryse&amp;Richard:</t>
        </r>
        <r>
          <rPr>
            <sz val="8"/>
            <color indexed="81"/>
            <rFont val="Tahoma"/>
            <family val="2"/>
          </rPr>
          <t xml:space="preserve">
Changed name.</t>
        </r>
      </text>
    </comment>
    <comment ref="C66" authorId="3">
      <text>
        <r>
          <rPr>
            <b/>
            <sz val="8"/>
            <color indexed="81"/>
            <rFont val="Tahoma"/>
            <family val="2"/>
          </rPr>
          <t>Maryse&amp;Richard:</t>
        </r>
        <r>
          <rPr>
            <sz val="8"/>
            <color indexed="81"/>
            <rFont val="Tahoma"/>
            <family val="2"/>
          </rPr>
          <t xml:space="preserve">
Changed name</t>
        </r>
      </text>
    </comment>
    <comment ref="C68" authorId="3">
      <text>
        <r>
          <rPr>
            <b/>
            <sz val="8"/>
            <color indexed="81"/>
            <rFont val="Tahoma"/>
            <family val="2"/>
          </rPr>
          <t>Maryse&amp;Richard:</t>
        </r>
        <r>
          <rPr>
            <sz val="8"/>
            <color indexed="81"/>
            <rFont val="Tahoma"/>
            <family val="2"/>
          </rPr>
          <t xml:space="preserve">
Changed name.
Was in UPS_Templates</t>
        </r>
      </text>
    </comment>
    <comment ref="C71" authorId="3">
      <text>
        <r>
          <rPr>
            <b/>
            <sz val="8"/>
            <color indexed="81"/>
            <rFont val="Tahoma"/>
            <family val="2"/>
          </rPr>
          <t>Maryse&amp;Richard:</t>
        </r>
        <r>
          <rPr>
            <sz val="8"/>
            <color indexed="81"/>
            <rFont val="Tahoma"/>
            <family val="2"/>
          </rPr>
          <t xml:space="preserve">
Changed name</t>
        </r>
      </text>
    </comment>
    <comment ref="C88" authorId="3">
      <text>
        <r>
          <rPr>
            <b/>
            <sz val="8"/>
            <color indexed="81"/>
            <rFont val="Tahoma"/>
            <family val="2"/>
          </rPr>
          <t>Maryse&amp;Richard:</t>
        </r>
        <r>
          <rPr>
            <sz val="8"/>
            <color indexed="81"/>
            <rFont val="Tahoma"/>
            <family val="2"/>
          </rPr>
          <t xml:space="preserve">
Changed name.
Was in TRA_Templates</t>
        </r>
      </text>
    </comment>
    <comment ref="P88" authorId="3">
      <text>
        <r>
          <rPr>
            <b/>
            <sz val="8"/>
            <color indexed="81"/>
            <rFont val="Tahoma"/>
            <family val="2"/>
          </rPr>
          <t>Administrador:</t>
        </r>
        <r>
          <rPr>
            <sz val="8"/>
            <color indexed="81"/>
            <rFont val="Tahoma"/>
            <family val="2"/>
          </rPr>
          <t xml:space="preserve">
to remove dmy imports in 2010</t>
        </r>
      </text>
    </comment>
    <comment ref="J99" authorId="4">
      <text>
        <r>
          <rPr>
            <b/>
            <sz val="10"/>
            <color indexed="81"/>
            <rFont val="Tahoma"/>
            <family val="2"/>
          </rPr>
          <t>Richard Loulou:</t>
        </r>
        <r>
          <rPr>
            <sz val="10"/>
            <color indexed="81"/>
            <rFont val="Tahoma"/>
            <family val="2"/>
          </rPr>
          <t xml:space="preserve">
I increased all these INVCOSTS feb 22 2008</t>
        </r>
      </text>
    </comment>
    <comment ref="K99" authorId="4">
      <text>
        <r>
          <rPr>
            <b/>
            <sz val="10"/>
            <color indexed="81"/>
            <rFont val="Tahoma"/>
            <family val="2"/>
          </rPr>
          <t>Richard Loulou:</t>
        </r>
        <r>
          <rPr>
            <sz val="10"/>
            <color indexed="81"/>
            <rFont val="Tahoma"/>
            <family val="2"/>
          </rPr>
          <t xml:space="preserve">
I increased all these INVCOSTS feb 22 2008</t>
        </r>
      </text>
    </comment>
    <comment ref="C108" authorId="4">
      <text>
        <r>
          <rPr>
            <b/>
            <sz val="9"/>
            <color indexed="81"/>
            <rFont val="Tahoma"/>
            <family val="2"/>
          </rPr>
          <t>Richard Loulou:</t>
        </r>
        <r>
          <rPr>
            <sz val="9"/>
            <color indexed="81"/>
            <rFont val="Tahoma"/>
            <family val="2"/>
          </rPr>
          <t xml:space="preserve">
Added by RL august 2008 to allow low carbon fuels in aviation and ships</t>
        </r>
      </text>
    </comment>
    <comment ref="C111" authorId="4">
      <text>
        <r>
          <rPr>
            <b/>
            <sz val="9"/>
            <color indexed="81"/>
            <rFont val="Tahoma"/>
            <family val="2"/>
          </rPr>
          <t>Richard Loulou:</t>
        </r>
        <r>
          <rPr>
            <sz val="9"/>
            <color indexed="81"/>
            <rFont val="Tahoma"/>
            <family val="2"/>
          </rPr>
          <t xml:space="preserve">
Added by RL august 2008 to allow low carbon fuels in aviation and ships</t>
        </r>
      </text>
    </comment>
    <comment ref="K114" authorId="2">
      <text>
        <r>
          <rPr>
            <b/>
            <sz val="10"/>
            <color indexed="81"/>
            <rFont val="Tahoma"/>
            <family val="2"/>
          </rPr>
          <t>Antti Lehtilä:</t>
        </r>
        <r>
          <rPr>
            <sz val="10"/>
            <color indexed="81"/>
            <rFont val="Tahoma"/>
            <family val="2"/>
          </rPr>
          <t xml:space="preserve">
Costs and efficiencies from Hannula et al. 2013</t>
        </r>
      </text>
    </comment>
    <comment ref="F117" authorId="3">
      <text>
        <r>
          <rPr>
            <b/>
            <sz val="8"/>
            <color indexed="81"/>
            <rFont val="Tahoma"/>
            <family val="2"/>
          </rPr>
          <t>Maryse&amp;Richard:</t>
        </r>
        <r>
          <rPr>
            <sz val="8"/>
            <color indexed="81"/>
            <rFont val="Tahoma"/>
            <family val="2"/>
          </rPr>
          <t xml:space="preserve">
To distinguish between distillate from fossils and distillates from biomass</t>
        </r>
      </text>
    </comment>
    <comment ref="F121" authorId="3">
      <text>
        <r>
          <rPr>
            <b/>
            <sz val="8"/>
            <color indexed="81"/>
            <rFont val="Tahoma"/>
            <family val="2"/>
          </rPr>
          <t>Maryse&amp;Richard:</t>
        </r>
        <r>
          <rPr>
            <sz val="8"/>
            <color indexed="81"/>
            <rFont val="Tahoma"/>
            <family val="2"/>
          </rPr>
          <t xml:space="preserve">
To distinguish between distillate from fossils and distillates from biomass</t>
        </r>
      </text>
    </comment>
    <comment ref="F125" authorId="3">
      <text>
        <r>
          <rPr>
            <b/>
            <sz val="8"/>
            <color indexed="81"/>
            <rFont val="Tahoma"/>
            <family val="2"/>
          </rPr>
          <t>Maryse&amp;Richard:</t>
        </r>
        <r>
          <rPr>
            <sz val="8"/>
            <color indexed="81"/>
            <rFont val="Tahoma"/>
            <family val="2"/>
          </rPr>
          <t xml:space="preserve">
To distinguish between distillate from fossils and distillates from biomass</t>
        </r>
      </text>
    </comment>
    <comment ref="C139" authorId="4">
      <text>
        <r>
          <rPr>
            <b/>
            <sz val="9"/>
            <color indexed="81"/>
            <rFont val="Tahoma"/>
            <family val="2"/>
          </rPr>
          <t>Richard Loulou:</t>
        </r>
        <r>
          <rPr>
            <sz val="9"/>
            <color indexed="81"/>
            <rFont val="Tahoma"/>
            <family val="2"/>
          </rPr>
          <t xml:space="preserve">
added H to make new name</t>
        </r>
      </text>
    </comment>
    <comment ref="F142" authorId="3">
      <text>
        <r>
          <rPr>
            <b/>
            <sz val="8"/>
            <color indexed="81"/>
            <rFont val="Tahoma"/>
            <family val="2"/>
          </rPr>
          <t>Maryse&amp;Richard:</t>
        </r>
        <r>
          <rPr>
            <sz val="8"/>
            <color indexed="81"/>
            <rFont val="Tahoma"/>
            <family val="2"/>
          </rPr>
          <t xml:space="preserve">
To distinguish between distillate from fossils and distillates from biomass</t>
        </r>
      </text>
    </comment>
    <comment ref="N148" authorId="2">
      <text>
        <r>
          <rPr>
            <b/>
            <sz val="9"/>
            <color indexed="81"/>
            <rFont val="Tahoma"/>
            <family val="2"/>
          </rPr>
          <t>Antti Lehtilä:</t>
        </r>
        <r>
          <rPr>
            <sz val="9"/>
            <color indexed="81"/>
            <rFont val="Tahoma"/>
            <family val="2"/>
          </rPr>
          <t xml:space="preserve">
40% of input fuel loss converted to useful heat. Biodiesel yield is 1/Input, and total efficiency is 1/Input+40%*(1/Input-1).=74%.</t>
        </r>
      </text>
    </comment>
    <comment ref="K149" authorId="2">
      <text>
        <r>
          <rPr>
            <b/>
            <sz val="9"/>
            <color indexed="81"/>
            <rFont val="Tahoma"/>
            <family val="2"/>
          </rPr>
          <t>Antti Lehtilä:</t>
        </r>
        <r>
          <rPr>
            <sz val="9"/>
            <color indexed="81"/>
            <rFont val="Tahoma"/>
            <family val="2"/>
          </rPr>
          <t xml:space="preserve">
VTT RN-2434</t>
        </r>
      </text>
    </comment>
    <comment ref="M154" authorId="1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Investment was supposed to include hydrogen processing, (3%), thus input is electricity.</t>
        </r>
      </text>
    </comment>
    <comment ref="L197" authorId="2">
      <text>
        <r>
          <rPr>
            <b/>
            <sz val="10"/>
            <color indexed="81"/>
            <rFont val="Tahoma"/>
            <family val="2"/>
          </rPr>
          <t>Antti Lehtilä:</t>
        </r>
        <r>
          <rPr>
            <sz val="10"/>
            <color indexed="81"/>
            <rFont val="Tahoma"/>
            <family val="2"/>
          </rPr>
          <t xml:space="preserve">
Compensate downstream emissions via TOTCO2 because of biomass feedstock (quick solution)</t>
        </r>
      </text>
    </comment>
  </commentList>
</comments>
</file>

<file path=xl/comments3.xml><?xml version="1.0" encoding="utf-8"?>
<comments xmlns="http://schemas.openxmlformats.org/spreadsheetml/2006/main">
  <authors>
    <author>Antti L</author>
    <author>Maryse Labriet</author>
    <author>Administrador</author>
    <author>Richard Loulou</author>
  </authors>
  <commentList>
    <comment ref="N35" authorId="0">
      <text>
        <r>
          <rPr>
            <b/>
            <sz val="8"/>
            <color indexed="81"/>
            <rFont val="Tahoma"/>
            <family val="2"/>
          </rPr>
          <t>Antti L:</t>
        </r>
        <r>
          <rPr>
            <sz val="8"/>
            <color indexed="81"/>
            <rFont val="Tahoma"/>
            <family val="2"/>
          </rPr>
          <t xml:space="preserve">
Disable non-CCS process by default</t>
        </r>
      </text>
    </comment>
    <comment ref="N47" authorId="0">
      <text>
        <r>
          <rPr>
            <b/>
            <sz val="8"/>
            <color indexed="81"/>
            <rFont val="Tahoma"/>
            <family val="2"/>
          </rPr>
          <t>Antti L:</t>
        </r>
        <r>
          <rPr>
            <sz val="8"/>
            <color indexed="81"/>
            <rFont val="Tahoma"/>
            <family val="2"/>
          </rPr>
          <t xml:space="preserve">
Disable non-CCS process by default</t>
        </r>
      </text>
    </comment>
    <comment ref="S59" authorId="1">
      <text>
        <r>
          <rPr>
            <b/>
            <sz val="8"/>
            <color indexed="81"/>
            <rFont val="Tahoma"/>
            <family val="2"/>
          </rPr>
          <t>Maryse Labriet:</t>
        </r>
        <r>
          <rPr>
            <sz val="8"/>
            <color indexed="81"/>
            <rFont val="Tahoma"/>
            <family val="2"/>
          </rPr>
          <t xml:space="preserve">
added to represent refuelling station costs</t>
        </r>
      </text>
    </comment>
    <comment ref="C64" authorId="2">
      <text>
        <r>
          <rPr>
            <b/>
            <sz val="8"/>
            <color indexed="81"/>
            <rFont val="Tahoma"/>
            <family val="2"/>
          </rPr>
          <t>Administrador:</t>
        </r>
        <r>
          <rPr>
            <sz val="8"/>
            <color indexed="81"/>
            <rFont val="Tahoma"/>
            <family val="2"/>
          </rPr>
          <t xml:space="preserve">
Shifted here from AltFuel in spring 2008
There is allso a similar tech with CCS in subres_Sequestration</t>
        </r>
      </text>
    </comment>
    <comment ref="C66" authorId="3">
      <text>
        <r>
          <rPr>
            <b/>
            <sz val="9"/>
            <color indexed="81"/>
            <rFont val="Tahoma"/>
            <family val="2"/>
          </rPr>
          <t>Richard Loulou:</t>
        </r>
        <r>
          <rPr>
            <sz val="9"/>
            <color indexed="81"/>
            <rFont val="Tahoma"/>
            <family val="2"/>
          </rPr>
          <t xml:space="preserve">
added by RL august 2008. This tech has negative emissions equal to the CO2 sequestered in trees that will replace those that are being used to produce Hydrogen </t>
        </r>
      </text>
    </comment>
    <comment ref="X81" authorId="0">
      <text>
        <r>
          <rPr>
            <b/>
            <sz val="8"/>
            <color indexed="81"/>
            <rFont val="Tahoma"/>
            <family val="2"/>
          </rPr>
          <t>Antti L:
state of the art large-scale liquid hydrogen tanks have boil-off rates of 0.03% per day.</t>
        </r>
      </text>
    </comment>
    <comment ref="J87" authorId="0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Heat requirements for charge / discharge cycle.</t>
        </r>
      </text>
    </comment>
  </commentList>
</comments>
</file>

<file path=xl/comments4.xml><?xml version="1.0" encoding="utf-8"?>
<comments xmlns="http://schemas.openxmlformats.org/spreadsheetml/2006/main">
  <authors>
    <author>Maryse Labriet</author>
    <author>Kathleen</author>
    <author>Antti L</author>
  </authors>
  <commentList>
    <comment ref="G18" authorId="0">
      <text>
        <r>
          <rPr>
            <b/>
            <sz val="8"/>
            <color indexed="81"/>
            <rFont val="Tahoma"/>
            <family val="2"/>
          </rPr>
          <t>Maryse Labriet:</t>
        </r>
        <r>
          <rPr>
            <sz val="8"/>
            <color indexed="81"/>
            <rFont val="Tahoma"/>
            <family val="2"/>
          </rPr>
          <t xml:space="preserve">
Converted to TOTCO2 because only TOTCO2 can be sequestrated in our approach. This does not change the global results. This changes the emissions by sectors.</t>
        </r>
      </text>
    </comment>
    <comment ref="G22" authorId="0">
      <text>
        <r>
          <rPr>
            <b/>
            <sz val="8"/>
            <color indexed="81"/>
            <rFont val="Tahoma"/>
            <family val="2"/>
          </rPr>
          <t>Maryse Labriet:</t>
        </r>
        <r>
          <rPr>
            <sz val="8"/>
            <color indexed="81"/>
            <rFont val="Tahoma"/>
            <family val="2"/>
          </rPr>
          <t xml:space="preserve">
Converted to TOTCO2 because only TOTCO2 can be sequestrated in our approach. This does not change the global results. This changes the emissions by sectors.</t>
        </r>
      </text>
    </comment>
    <comment ref="G26" authorId="0">
      <text>
        <r>
          <rPr>
            <b/>
            <sz val="8"/>
            <color indexed="81"/>
            <rFont val="Tahoma"/>
            <family val="2"/>
          </rPr>
          <t>Maryse Labriet:</t>
        </r>
        <r>
          <rPr>
            <sz val="8"/>
            <color indexed="81"/>
            <rFont val="Tahoma"/>
            <family val="2"/>
          </rPr>
          <t xml:space="preserve">
Converted to TOTCO2 because only TOTCO2 can be sequestrated in our approach. This does not change the global results. This changes the emissions by sectors.</t>
        </r>
      </text>
    </comment>
    <comment ref="C28" authorId="1">
      <text>
        <r>
          <rPr>
            <sz val="8"/>
            <color indexed="81"/>
            <rFont val="Tahoma"/>
            <family val="2"/>
          </rPr>
          <t>For technology below</t>
        </r>
      </text>
    </comment>
    <comment ref="H28" authorId="2">
      <text>
        <r>
          <rPr>
            <b/>
            <sz val="8"/>
            <color indexed="81"/>
            <rFont val="Tahoma"/>
            <family val="2"/>
          </rPr>
          <t>Antti L:</t>
        </r>
        <r>
          <rPr>
            <sz val="8"/>
            <color indexed="81"/>
            <rFont val="Tahoma"/>
            <family val="2"/>
          </rPr>
          <t xml:space="preserve">
See Hannula-Bioboost</t>
        </r>
      </text>
    </comment>
    <comment ref="I28" authorId="2">
      <text>
        <r>
          <rPr>
            <b/>
            <sz val="8"/>
            <color indexed="81"/>
            <rFont val="Tahoma"/>
            <family val="2"/>
          </rPr>
          <t>Antti L:</t>
        </r>
        <r>
          <rPr>
            <sz val="8"/>
            <color indexed="81"/>
            <rFont val="Tahoma"/>
            <family val="2"/>
          </rPr>
          <t xml:space="preserve">
Hannula: H2-boost</t>
        </r>
      </text>
    </comment>
    <comment ref="J31" authorId="2">
      <text>
        <r>
          <rPr>
            <b/>
            <sz val="8"/>
            <color indexed="81"/>
            <rFont val="Tahoma"/>
            <family val="2"/>
          </rPr>
          <t>Antti L:</t>
        </r>
        <r>
          <rPr>
            <sz val="8"/>
            <color indexed="81"/>
            <rFont val="Tahoma"/>
            <family val="2"/>
          </rPr>
          <t xml:space="preserve">
5.25 GJ/t(CO2)</t>
        </r>
      </text>
    </comment>
    <comment ref="H34" authorId="2">
      <text>
        <r>
          <rPr>
            <b/>
            <sz val="8"/>
            <color indexed="81"/>
            <rFont val="Tahoma"/>
            <family val="2"/>
          </rPr>
          <t>Antti L:</t>
        </r>
        <r>
          <rPr>
            <sz val="8"/>
            <color indexed="81"/>
            <rFont val="Tahoma"/>
            <family val="2"/>
          </rPr>
          <t xml:space="preserve">
366 (kWh/t CO2)</t>
        </r>
      </text>
    </comment>
  </commentList>
</comments>
</file>

<file path=xl/sharedStrings.xml><?xml version="1.0" encoding="utf-8"?>
<sst xmlns="http://schemas.openxmlformats.org/spreadsheetml/2006/main" count="6355" uniqueCount="901">
  <si>
    <t>HET1ELCBOI-0</t>
  </si>
  <si>
    <t>HET3ELCBOI-0</t>
  </si>
  <si>
    <t>HPL: Electric boiler HET1</t>
  </si>
  <si>
    <t>HPL: Electric boiler HET3</t>
  </si>
  <si>
    <t>BIOSTR</t>
  </si>
  <si>
    <t>Biostraw (AGR)</t>
  </si>
  <si>
    <t>BIOCHR</t>
  </si>
  <si>
    <t>Bio charcoal</t>
  </si>
  <si>
    <t>UBIOTOR0</t>
  </si>
  <si>
    <t>Torrefaction</t>
  </si>
  <si>
    <t>UBIOFOR1</t>
  </si>
  <si>
    <t>UBIOFOR2</t>
  </si>
  <si>
    <t>UBIOFOR3</t>
  </si>
  <si>
    <t>UBIOFOR4</t>
  </si>
  <si>
    <t>UBIOFOR5</t>
  </si>
  <si>
    <t>BIOFOR</t>
  </si>
  <si>
    <t>Forest residues potential 1</t>
  </si>
  <si>
    <t>Forest residues potential 2</t>
  </si>
  <si>
    <t>Forest residues potential 3</t>
  </si>
  <si>
    <t>Forest residues potential 4</t>
  </si>
  <si>
    <t>Forest residues potential 5</t>
  </si>
  <si>
    <t>MSW to RDF conversion</t>
  </si>
  <si>
    <t>UBMURDF0</t>
  </si>
  <si>
    <t>BIOBMU</t>
  </si>
  <si>
    <t>BIORDF</t>
  </si>
  <si>
    <t>BIOGLQ</t>
  </si>
  <si>
    <t>BIOPLT</t>
  </si>
  <si>
    <t>UBIOPLT0</t>
  </si>
  <si>
    <t>Biopellet production</t>
  </si>
  <si>
    <t>Supplementary UPStream fuel technologies</t>
  </si>
  <si>
    <t>Bio-pellets</t>
  </si>
  <si>
    <t>UWODLIQ0</t>
  </si>
  <si>
    <t>ELCC</t>
  </si>
  <si>
    <t>Curr</t>
  </si>
  <si>
    <t>INDCOG</t>
  </si>
  <si>
    <t>INDBFG</t>
  </si>
  <si>
    <t>~FI_Comm</t>
  </si>
  <si>
    <t>CSet</t>
  </si>
  <si>
    <t>CommName</t>
  </si>
  <si>
    <t>CommDesc</t>
  </si>
  <si>
    <t>Unit</t>
  </si>
  <si>
    <t>PJ</t>
  </si>
  <si>
    <t>Electricity (Centralized)</t>
  </si>
  <si>
    <t>ENV</t>
  </si>
  <si>
    <t>ISCH</t>
  </si>
  <si>
    <t>Electricity-Season (IND)</t>
  </si>
  <si>
    <t>FLO_EFF</t>
  </si>
  <si>
    <t>INDPTC</t>
  </si>
  <si>
    <t>Comm-OUT</t>
  </si>
  <si>
    <t>DHP1OILSTB-0</t>
  </si>
  <si>
    <t>DHP1BIOBFB-0</t>
  </si>
  <si>
    <t>DHP1COACFB-0</t>
  </si>
  <si>
    <t>DHP1GASFCM-0</t>
  </si>
  <si>
    <t>DHP1GASCCT+0</t>
  </si>
  <si>
    <t>DHP1GASCCT-0</t>
  </si>
  <si>
    <t>DHP1GASWGT-0</t>
  </si>
  <si>
    <t>DHP1BIOGFE-0</t>
  </si>
  <si>
    <t>DHP1GASICE-0</t>
  </si>
  <si>
    <t>DHP1COAIGC-0</t>
  </si>
  <si>
    <t>DHP1COAPFB-0</t>
  </si>
  <si>
    <t>DHP1COAPFS-0</t>
  </si>
  <si>
    <t>DHP1COAPFU+0</t>
  </si>
  <si>
    <t>DHP1REFBFB-0</t>
  </si>
  <si>
    <t>DHP1BIOFCS-0</t>
  </si>
  <si>
    <t>DHP3OILSTB-0</t>
  </si>
  <si>
    <t>DHP3BIOCFB+0</t>
  </si>
  <si>
    <t>DHP3BIOBFB-0</t>
  </si>
  <si>
    <t>DHP3BIOCFB-0</t>
  </si>
  <si>
    <t>DHP3BIOGFE-0</t>
  </si>
  <si>
    <t>DHP3BIOIGC-0</t>
  </si>
  <si>
    <t>DHP3BIOPFB-0</t>
  </si>
  <si>
    <t>DHP3REFBFB-0</t>
  </si>
  <si>
    <t>DHP3BIOFCS-0</t>
  </si>
  <si>
    <t>DHP1COAPFB+0</t>
  </si>
  <si>
    <t>DHP3BIOPFB+0</t>
  </si>
  <si>
    <t>DHP1BIOFCS+0</t>
  </si>
  <si>
    <t>DHP3BIOFCS+0</t>
  </si>
  <si>
    <t>DHP1BCOFCS+0</t>
  </si>
  <si>
    <t>DHP3BCOFCS+0</t>
  </si>
  <si>
    <t>DHP1NUCPBR-0</t>
  </si>
  <si>
    <t>DHP2BIOBFB-0</t>
  </si>
  <si>
    <t>DHP2GASFCM-0</t>
  </si>
  <si>
    <t>DHP2GASCCT-0</t>
  </si>
  <si>
    <t>DHP2GASWGT-0</t>
  </si>
  <si>
    <t>DHP2BGSICE-0</t>
  </si>
  <si>
    <t>DHP2BIOGFE-0</t>
  </si>
  <si>
    <t>DHP2GASICE-0</t>
  </si>
  <si>
    <t>DHP2BIOIGC-0</t>
  </si>
  <si>
    <t>DHP4OILICE-0</t>
  </si>
  <si>
    <t>DHP4BIOBFB-0</t>
  </si>
  <si>
    <t>DHP4BIOGFE-0</t>
  </si>
  <si>
    <t>INDGEO</t>
  </si>
  <si>
    <t>ESTMBLQR05</t>
  </si>
  <si>
    <t>Auto CHP with BLQ Large ILP CCS</t>
  </si>
  <si>
    <t>Sets</t>
  </si>
  <si>
    <t>YEAR</t>
  </si>
  <si>
    <t>CAPUNIT</t>
  </si>
  <si>
    <t>START</t>
  </si>
  <si>
    <t>INVCOST</t>
  </si>
  <si>
    <t>FIXOM</t>
  </si>
  <si>
    <t>VAROM</t>
  </si>
  <si>
    <t>EFF</t>
  </si>
  <si>
    <t>AF</t>
  </si>
  <si>
    <t>DISCRATE</t>
  </si>
  <si>
    <t>\I:</t>
  </si>
  <si>
    <t>INDBFO</t>
  </si>
  <si>
    <t>Auto CHP with Bio-OIL New</t>
  </si>
  <si>
    <t>~FI_T: NCAP_FOM</t>
  </si>
  <si>
    <t/>
  </si>
  <si>
    <t>Anaerobic biogasification</t>
  </si>
  <si>
    <t>ILPBLQFT005</t>
  </si>
  <si>
    <t>DHP1BIOBFB-1</t>
  </si>
  <si>
    <t>CHP FGC, biomass, medium</t>
  </si>
  <si>
    <t>DHP2BIOBFB-1</t>
  </si>
  <si>
    <t>DHP3BIOBFB-1</t>
  </si>
  <si>
    <t>HPL FBC, cond. biomass, medium</t>
  </si>
  <si>
    <t>HET2BIOBFB-0</t>
  </si>
  <si>
    <t>HET4BIOBFB-0</t>
  </si>
  <si>
    <t>VA_Attrib_TC</t>
  </si>
  <si>
    <t>UFTSYNHMTG</t>
  </si>
  <si>
    <t>FT BioRefinery Biomass H2-MTG process</t>
  </si>
  <si>
    <t>UFTSYNHGAS</t>
  </si>
  <si>
    <t>FT BioRefinery Biomass H2-GAS process</t>
  </si>
  <si>
    <t>UFTSYNHMET</t>
  </si>
  <si>
    <t>FT BioRefinery Biomass H2-MET process</t>
  </si>
  <si>
    <t>ESTMBLQ005</t>
  </si>
  <si>
    <t>YES</t>
  </si>
  <si>
    <t>CHP BIG-SOFC, medium 1</t>
  </si>
  <si>
    <t>CHP BIG-SOFC, medium 3</t>
  </si>
  <si>
    <t>CHP BIG-SOFC, medium peat 1</t>
  </si>
  <si>
    <t>CHP BIG-SOFC, medium peat 3</t>
  </si>
  <si>
    <t>INDBCO</t>
  </si>
  <si>
    <t>Forest logging residues 1</t>
  </si>
  <si>
    <t>Forest smallwood residues 2</t>
  </si>
  <si>
    <t>Forest smallwood residues 1</t>
  </si>
  <si>
    <t>Forest stump residues 1</t>
  </si>
  <si>
    <t>Forest stump residues 2</t>
  </si>
  <si>
    <t>Forest logging residues 2</t>
  </si>
  <si>
    <t>\I:Source</t>
  </si>
  <si>
    <t>LIFE</t>
  </si>
  <si>
    <t>BIOBLQ</t>
  </si>
  <si>
    <t>CEFF</t>
  </si>
  <si>
    <t>Peak</t>
  </si>
  <si>
    <t>HET1BIOCFB-1</t>
  </si>
  <si>
    <t>HPL FBC, biomass, LARGE</t>
  </si>
  <si>
    <t>HET1BIOCFB+1</t>
  </si>
  <si>
    <t>HPL FBC, biomass, LARGE+CCS</t>
  </si>
  <si>
    <t>CHPR~LO</t>
  </si>
  <si>
    <t>CHP PFBC, coal-bio, large CCS</t>
  </si>
  <si>
    <t>G-PUBELC</t>
  </si>
  <si>
    <t>FT Diesel Solid biomass non-integrated</t>
  </si>
  <si>
    <t>FT Diesel Solid biomass - integrated to pulp mill</t>
  </si>
  <si>
    <t>ACTFLO</t>
  </si>
  <si>
    <t>Comm-IN-A</t>
  </si>
  <si>
    <t>COMELC</t>
  </si>
  <si>
    <t>INDSTM</t>
  </si>
  <si>
    <t>Steam (IND)</t>
  </si>
  <si>
    <t>UBCRETH100</t>
  </si>
  <si>
    <t>Heat 4</t>
  </si>
  <si>
    <t>Heat 3</t>
  </si>
  <si>
    <t>Heat 2</t>
  </si>
  <si>
    <t>Heat 1</t>
  </si>
  <si>
    <t>\I: Dummy fuel technologies, for debugging</t>
  </si>
  <si>
    <t>WAV</t>
  </si>
  <si>
    <t>ELCWAV</t>
  </si>
  <si>
    <t>EWINNOF3-05</t>
  </si>
  <si>
    <t>EPP: Wind onshore Fells</t>
  </si>
  <si>
    <t>BIOCRP</t>
  </si>
  <si>
    <t>BIOWOO</t>
  </si>
  <si>
    <t>Offshore wave (ELC)</t>
  </si>
  <si>
    <t>Fuel Tech - ELCWAV</t>
  </si>
  <si>
    <t>ISIS</t>
  </si>
  <si>
    <t>BIOJTK</t>
  </si>
  <si>
    <t>DELIV</t>
  </si>
  <si>
    <t>ISNF</t>
  </si>
  <si>
    <t>INDHFO</t>
  </si>
  <si>
    <t>INDOIL</t>
  </si>
  <si>
    <t>INDNGA</t>
  </si>
  <si>
    <t>INDCOA</t>
  </si>
  <si>
    <t>INDELC</t>
  </si>
  <si>
    <t>GASNGA</t>
  </si>
  <si>
    <t>OILNGL</t>
  </si>
  <si>
    <t>COAHCO</t>
  </si>
  <si>
    <t>OILHFO</t>
  </si>
  <si>
    <t>OILDST</t>
  </si>
  <si>
    <t>GASETH</t>
  </si>
  <si>
    <t>Cap2Act</t>
  </si>
  <si>
    <t>INSELC</t>
  </si>
  <si>
    <t>0</t>
  </si>
  <si>
    <t>ACT_EFF</t>
  </si>
  <si>
    <t>INPUT</t>
  </si>
  <si>
    <t>IISRED</t>
  </si>
  <si>
    <t>GASBFG</t>
  </si>
  <si>
    <t>G-INDFUEL</t>
  </si>
  <si>
    <t>SNKINDCO2</t>
  </si>
  <si>
    <t>FLO_EMIS</t>
  </si>
  <si>
    <t>MAT</t>
  </si>
  <si>
    <t>CHP NGCC, large CCS</t>
  </si>
  <si>
    <t>ACT</t>
  </si>
  <si>
    <t>MANWOD</t>
  </si>
  <si>
    <t>DHP1COACLC+0</t>
  </si>
  <si>
    <t>DHP3COACLC+0</t>
  </si>
  <si>
    <t>CHP CLC, coal-bio, large CCS</t>
  </si>
  <si>
    <t>Public Electricity (ELC)</t>
  </si>
  <si>
    <t>Forest residues potential 6</t>
  </si>
  <si>
    <t>UBIOFOR6</t>
  </si>
  <si>
    <t>EPP: .SOL.CEN.PV.Tracker</t>
  </si>
  <si>
    <t>EPP: .SOL.CEN.PV.NoTracker</t>
  </si>
  <si>
    <t>EPP: .SOL.DCN.PV.COM</t>
  </si>
  <si>
    <t>EPP: .SOL.DCN.PV.No Tracker</t>
  </si>
  <si>
    <t>~FI_T: CF</t>
  </si>
  <si>
    <t>*</t>
  </si>
  <si>
    <t>Mix NGL to GASETH</t>
  </si>
  <si>
    <t>UNNGLETH0</t>
  </si>
  <si>
    <t>INDLTH</t>
  </si>
  <si>
    <t>INDBSL</t>
  </si>
  <si>
    <t>CEH</t>
  </si>
  <si>
    <t>\I:CHPeff-10</t>
  </si>
  <si>
    <t>\I:CHPeff-30</t>
  </si>
  <si>
    <t>\I:CHPeff-50</t>
  </si>
  <si>
    <t>\I:CHPeff-100</t>
  </si>
  <si>
    <t>INDHYN</t>
  </si>
  <si>
    <t>Hydrogen for IND</t>
  </si>
  <si>
    <t>ESTMNGA105</t>
  </si>
  <si>
    <t>Auto CHP with NGA Large ICH Combi</t>
  </si>
  <si>
    <t>ESTMNGA705</t>
  </si>
  <si>
    <t>Auto CHP with NGA Large ICH Combi CCS</t>
  </si>
  <si>
    <t>ESTMBFG105</t>
  </si>
  <si>
    <t>Auto CHP with BFG Large IIS Combi</t>
  </si>
  <si>
    <t>Auto CHP with BIO Large ILP</t>
  </si>
  <si>
    <t>ESTMBIOG05</t>
  </si>
  <si>
    <t>Auto CHP with BIO Large IGCC ILP</t>
  </si>
  <si>
    <t>ESTMBIOC05</t>
  </si>
  <si>
    <t>Auto CHP with BIO Large IGCC+CCS ILP</t>
  </si>
  <si>
    <t>IOICHPNGA05</t>
  </si>
  <si>
    <t>Auto CHP with NGA IOI</t>
  </si>
  <si>
    <t>IOICHPDST05</t>
  </si>
  <si>
    <t>Auto CHP with DST IOI</t>
  </si>
  <si>
    <t>IOICHPCOA05</t>
  </si>
  <si>
    <t>Auto CHP with COA IOI</t>
  </si>
  <si>
    <t>IOICHPBIO05</t>
  </si>
  <si>
    <t>Auto CHP with BIO IOI</t>
  </si>
  <si>
    <t>IOICHPFCG05</t>
  </si>
  <si>
    <t>Auto CHP with NGA Fuel Cell</t>
  </si>
  <si>
    <t>Total number of new technologies per region:</t>
  </si>
  <si>
    <t>Tracking Industrial Energy Efficiency and CO2 Emissions, IEA 2007</t>
  </si>
  <si>
    <t>EUROPEAN COMMISSION, Integrated Pollution Prevention and Control (IPPC), BREF reports</t>
  </si>
  <si>
    <t>FX</t>
  </si>
  <si>
    <t>HTHEAT</t>
  </si>
  <si>
    <t>District heat</t>
  </si>
  <si>
    <t>ANNUAL</t>
  </si>
  <si>
    <t>ELCMP</t>
  </si>
  <si>
    <t>ELCDP</t>
  </si>
  <si>
    <t>SYNGAS</t>
  </si>
  <si>
    <t>Hydrogen before distribution</t>
  </si>
  <si>
    <t>~FI_T: INVCOST</t>
  </si>
  <si>
    <t>~FI_T: ACT_EFF</t>
  </si>
  <si>
    <t>CAP2ACT</t>
  </si>
  <si>
    <t>AFA</t>
  </si>
  <si>
    <t>EBIOICE-D5</t>
  </si>
  <si>
    <t>EPP: Gasification engine, biomass</t>
  </si>
  <si>
    <t>ELCBIO</t>
  </si>
  <si>
    <t>ELCM</t>
  </si>
  <si>
    <t>EBIOIGC-05</t>
  </si>
  <si>
    <t>EPP: IGCC, biomass</t>
  </si>
  <si>
    <t>EBIOCFB-05</t>
  </si>
  <si>
    <t>EPP: CFBC, biomass</t>
  </si>
  <si>
    <t>ELCBCO</t>
  </si>
  <si>
    <t>EBIOPFB+05</t>
  </si>
  <si>
    <t>EPP: PFBC biomass, CCS</t>
  </si>
  <si>
    <t>EBIOSFC-D5</t>
  </si>
  <si>
    <t>EPP: FC (biomassa)</t>
  </si>
  <si>
    <t>EBIOBFB-D5</t>
  </si>
  <si>
    <t>EPP: BFBC, decentralized biomass</t>
  </si>
  <si>
    <t>ELCBGS</t>
  </si>
  <si>
    <t>EBMUIGC-05</t>
  </si>
  <si>
    <t>EPP: IGCC (biomass, waste)</t>
  </si>
  <si>
    <t>ELCBMU</t>
  </si>
  <si>
    <t>EBMUINC-05</t>
  </si>
  <si>
    <t>FLO_MARK~UP~0</t>
  </si>
  <si>
    <t>FLO_MARK~UP~2030</t>
  </si>
  <si>
    <t>EPP: Incineration (waste)</t>
  </si>
  <si>
    <t>UBIOWOD15</t>
  </si>
  <si>
    <t>Stemwood biomass</t>
  </si>
  <si>
    <t>ECOACFB-05</t>
  </si>
  <si>
    <t>EPP: CFB (coal, biomass &lt;20%)</t>
  </si>
  <si>
    <t>ELCCOA</t>
  </si>
  <si>
    <t>ECOAIGC+05</t>
  </si>
  <si>
    <t>EPP: IGCC (coal) + CCS</t>
  </si>
  <si>
    <t>CHP</t>
  </si>
  <si>
    <t>ECOAIGC-05</t>
  </si>
  <si>
    <t>EPP: IGCC (coal)</t>
  </si>
  <si>
    <t>ECOAPFB+05</t>
  </si>
  <si>
    <t>EPP: PFBC coal, CCS</t>
  </si>
  <si>
    <t>ECOAPFB-05</t>
  </si>
  <si>
    <t>EPP: PFBC (coal)</t>
  </si>
  <si>
    <t>ECOAPFS-05</t>
  </si>
  <si>
    <t>EPP: PF (coal)</t>
  </si>
  <si>
    <t>ECOAPFU-05</t>
  </si>
  <si>
    <t>EPP: PF (coal, USC)</t>
  </si>
  <si>
    <t>ECOAPUL+05</t>
  </si>
  <si>
    <t>EPP: PF coal, CCS</t>
  </si>
  <si>
    <t>ECOASFC+05</t>
  </si>
  <si>
    <t>EPP: SOFC, coal, CCS</t>
  </si>
  <si>
    <t>ECOASFC-05</t>
  </si>
  <si>
    <t>EPP: FC (coal)</t>
  </si>
  <si>
    <t>EOILSTE-05</t>
  </si>
  <si>
    <t>ELCOIL</t>
  </si>
  <si>
    <t>EOILICC-05</t>
  </si>
  <si>
    <t>EPP: IC Engine + ST (HFO)</t>
  </si>
  <si>
    <t>EGOIICE-D5</t>
  </si>
  <si>
    <t>EPP: IC Engine (DST)</t>
  </si>
  <si>
    <t>ELCDST</t>
  </si>
  <si>
    <t>EGOITUA105</t>
  </si>
  <si>
    <t>EPP: .G1.05.ADV.GOI.Advanced Gas Turbine.</t>
  </si>
  <si>
    <t>ELCNGA</t>
  </si>
  <si>
    <t>EGOITUR105</t>
  </si>
  <si>
    <t>EPP: .G1.05.CON.GOI.Gas/Oil Turbine.</t>
  </si>
  <si>
    <t>EOILGBL105</t>
  </si>
  <si>
    <t>CHP PFBC, coal, large CCS</t>
  </si>
  <si>
    <t>CHP PFBC, bio, large CCS</t>
  </si>
  <si>
    <t>EPP: .G1.05.CON.OIL.Generic Dist Gen for Base Load.</t>
  </si>
  <si>
    <t>EOILGPL105</t>
  </si>
  <si>
    <t>EPP: .G1.05.CON.OIL.Generic Dist Gen for Peak Load.</t>
  </si>
  <si>
    <t>EOILIGC-05</t>
  </si>
  <si>
    <t>EPP: IGCC (HFO)</t>
  </si>
  <si>
    <t>ENGACCA+05</t>
  </si>
  <si>
    <t>EPP: NGCC, CCS</t>
  </si>
  <si>
    <t>ENGACCA-05</t>
  </si>
  <si>
    <t>ENGACCC-05</t>
  </si>
  <si>
    <t>ENGAICC-05</t>
  </si>
  <si>
    <t>ENGAICE-D5</t>
  </si>
  <si>
    <t>ENGASFC+05</t>
  </si>
  <si>
    <t>EPP: SOFC, NG, CCS</t>
  </si>
  <si>
    <t>ENGASFC-05</t>
  </si>
  <si>
    <t>EHYNSFC-05</t>
  </si>
  <si>
    <t>ELCHYN</t>
  </si>
  <si>
    <t>ENUCFUS-05</t>
  </si>
  <si>
    <t>EPP: NucFusion</t>
  </si>
  <si>
    <t>ELCLIT</t>
  </si>
  <si>
    <t>EURALWR-05</t>
  </si>
  <si>
    <t>EPP: NucLWR, Gen3</t>
  </si>
  <si>
    <t>ELCNUC</t>
  </si>
  <si>
    <t>EURALWR-10</t>
  </si>
  <si>
    <t>EPP: NucLWR, Gen4</t>
  </si>
  <si>
    <t>EURAPBR-05</t>
  </si>
  <si>
    <t>EPP: NucPBR, Gen4</t>
  </si>
  <si>
    <t>ELCGEO</t>
  </si>
  <si>
    <t>EGEOBNY105</t>
  </si>
  <si>
    <t>EPP: .G1.05.CON.GEO.CEN.Binary</t>
  </si>
  <si>
    <t>EHYDDAM105</t>
  </si>
  <si>
    <t>EPP: .G1.05.CON.HYD.Generic Impoundment Hydro.</t>
  </si>
  <si>
    <t>ELCHYD</t>
  </si>
  <si>
    <t>EHYDDAM205</t>
  </si>
  <si>
    <t>EHYDRUN105</t>
  </si>
  <si>
    <t>EPP: .G1.05.CON.HYD.Generic ROR Hydro.</t>
  </si>
  <si>
    <t>ELCHYR</t>
  </si>
  <si>
    <t>EHYDRUN205</t>
  </si>
  <si>
    <t>EPP: .G1.05.CON.HYD.Generic ROR Mini Hydro.</t>
  </si>
  <si>
    <t>ELCHYM</t>
  </si>
  <si>
    <t>EMARTDL110</t>
  </si>
  <si>
    <t>EPP: .G1.05.CON.MAR.Tidal stream</t>
  </si>
  <si>
    <t>ELCTDL</t>
  </si>
  <si>
    <t>ESOPV105</t>
  </si>
  <si>
    <t>EPP: .G1.03.CON.SOL.CEN.PV.</t>
  </si>
  <si>
    <t>ELCSOL</t>
  </si>
  <si>
    <t>ESOPVD105</t>
  </si>
  <si>
    <t>EPP: .G1.05.CON.SOL.DCN.PV.</t>
  </si>
  <si>
    <t>ELCD</t>
  </si>
  <si>
    <t>ESOTH105</t>
  </si>
  <si>
    <t>EPP: .G1.04.CON.SOL.DCN.Thermal.</t>
  </si>
  <si>
    <t>EWINDON1-05</t>
  </si>
  <si>
    <t>EPP: Wind onshore Class 6-7</t>
  </si>
  <si>
    <t>ELCWIN</t>
  </si>
  <si>
    <t>EWINDON2-05</t>
  </si>
  <si>
    <t>EPP: Wind onshore Class 5-6</t>
  </si>
  <si>
    <t>EWINDON3-05</t>
  </si>
  <si>
    <t>EPP: Wind onshore Class 4</t>
  </si>
  <si>
    <t>EWINDON4-05</t>
  </si>
  <si>
    <t>EPP: Wind onshore Class 3 central</t>
  </si>
  <si>
    <t>EWINDON5-D5</t>
  </si>
  <si>
    <t>EPP: Wind onshore Class 3 decentral</t>
  </si>
  <si>
    <t>EPP: .SOL.DCN.PV.RES</t>
  </si>
  <si>
    <t>EPP: .SOL.CEN.Thermal.</t>
  </si>
  <si>
    <t>EWINNOF1-05</t>
  </si>
  <si>
    <t>Attribute</t>
  </si>
  <si>
    <t>BD</t>
  </si>
  <si>
    <t>NCAP_CHPR</t>
  </si>
  <si>
    <t>Energy Technology Perspectives, IEA 2006-2018</t>
  </si>
  <si>
    <t>Tracking Clean Energy Progress, IEA 2014-2018</t>
  </si>
  <si>
    <t xml:space="preserve">Pan-European TIMES Database </t>
  </si>
  <si>
    <t>Data Sources for industrial processes:</t>
  </si>
  <si>
    <t>EPP: Wind nearshore Class 5-7</t>
  </si>
  <si>
    <t>EWINNOF2-05</t>
  </si>
  <si>
    <t>EPP: Wind nearshore Class 4-5</t>
  </si>
  <si>
    <t>EWINOFF1-05</t>
  </si>
  <si>
    <t>EPP: Wind offshore Class 7</t>
  </si>
  <si>
    <t>EWINOFF2-05</t>
  </si>
  <si>
    <t>EPP: Wind offshore Class 6</t>
  </si>
  <si>
    <t>EWINOFF3-05</t>
  </si>
  <si>
    <t>EPP: Wind offshore Class 5</t>
  </si>
  <si>
    <t>~FI_T: NCAP_CHPR</t>
  </si>
  <si>
    <t>AFA~UP</t>
  </si>
  <si>
    <t>CHP burner+ST, oil-gas, medium</t>
  </si>
  <si>
    <t>HET1</t>
  </si>
  <si>
    <t>CHP FBC, biomass, medium</t>
  </si>
  <si>
    <t>CHP FBC, large</t>
  </si>
  <si>
    <t>CHP MC fuel cell gas, large</t>
  </si>
  <si>
    <t>CHP NGCC, large</t>
  </si>
  <si>
    <t>CHP GT+WHB large</t>
  </si>
  <si>
    <t>CHP gasif. engine, biomass, medium</t>
  </si>
  <si>
    <t>CHP gas engine, medium</t>
  </si>
  <si>
    <t>CHP IGCC, coal, large</t>
  </si>
  <si>
    <t>CHP PFBC, coal, large</t>
  </si>
  <si>
    <t>CHP pulv.coal, large</t>
  </si>
  <si>
    <t>CHP pulv.coal, large CCS</t>
  </si>
  <si>
    <t>CHP REF-FBC, waste, medium</t>
  </si>
  <si>
    <t>ELCRDF</t>
  </si>
  <si>
    <t>CHP BIG-SOFC, medium</t>
  </si>
  <si>
    <t>HET2</t>
  </si>
  <si>
    <t>CHP fuel cell gas, small-hydrogen</t>
  </si>
  <si>
    <t>CHP NGCC, medium</t>
  </si>
  <si>
    <t>CHP GT+WHB small</t>
  </si>
  <si>
    <t>CHP biogas engine, small</t>
  </si>
  <si>
    <t>CHP gasif. engine, biomass, small</t>
  </si>
  <si>
    <t>CHP gas engine, small</t>
  </si>
  <si>
    <t>UFTSYNBREF</t>
  </si>
  <si>
    <t>FT BioRefinery Solid biomass with CO2 capture</t>
  </si>
  <si>
    <t>FLO_EMIS~INDSTM</t>
  </si>
  <si>
    <t>~FI_T: FLO_EMIS~2030</t>
  </si>
  <si>
    <t>Comm-OUT-A</t>
  </si>
  <si>
    <t>CHP IGCC, biomass, medium</t>
  </si>
  <si>
    <t>IOWSTM</t>
  </si>
  <si>
    <t>IOWCHPBIO05</t>
  </si>
  <si>
    <t>Auto CHP with BIO IOW</t>
  </si>
  <si>
    <t>CHP burner+ST, oil, medium</t>
  </si>
  <si>
    <t>HET3</t>
  </si>
  <si>
    <t>CHP FBC, large CCS</t>
  </si>
  <si>
    <t>CHP IGCC, biomass, large</t>
  </si>
  <si>
    <t>CHP PFBC, biomass, large</t>
  </si>
  <si>
    <t>CHP diesel engine, oil, small</t>
  </si>
  <si>
    <t>HET4</t>
  </si>
  <si>
    <t>CHP FBC, biomass, small</t>
  </si>
  <si>
    <t>HET1BIOGFE-1</t>
  </si>
  <si>
    <t>HPL biogasif., biomass, medium</t>
  </si>
  <si>
    <t>HET1BLQBUR-1</t>
  </si>
  <si>
    <t>HPL burner, oil-pyro-oil, large</t>
  </si>
  <si>
    <t>ELCGOI</t>
  </si>
  <si>
    <t>HET1OILBUR-1</t>
  </si>
  <si>
    <t>ESOPVD205</t>
  </si>
  <si>
    <t>ESOPV205</t>
  </si>
  <si>
    <t>EPP: .G1.03.CON.SOL.CEN.PV.COM</t>
  </si>
  <si>
    <t>EPP: .G1.05.CON.SOL.DCN.PV.COM</t>
  </si>
  <si>
    <t>HET1SOLHET-2</t>
  </si>
  <si>
    <t>HPL burner, oil-gas, large</t>
  </si>
  <si>
    <t>ELCBLQ</t>
  </si>
  <si>
    <t>DHP1NUCSMR</t>
  </si>
  <si>
    <t>Small Modular Reactor CHP</t>
  </si>
  <si>
    <t>HET1NUCSMR</t>
  </si>
  <si>
    <t>Small Modular Reactor HPL</t>
  </si>
  <si>
    <t>HET1BIOBFB-1</t>
  </si>
  <si>
    <t>HPL FBC, biomass, medium</t>
  </si>
  <si>
    <t>HET1COACFB-1</t>
  </si>
  <si>
    <t>HPL FBC, coal, large</t>
  </si>
  <si>
    <t>HET1REFBFB-1</t>
  </si>
  <si>
    <t>HPL grate, waste, medium</t>
  </si>
  <si>
    <t>HET2BIOGFE-1</t>
  </si>
  <si>
    <t>HPL biogasif., biomass, small</t>
  </si>
  <si>
    <t>PRE</t>
  </si>
  <si>
    <t>HET2OILBUR-1</t>
  </si>
  <si>
    <t>HPL burner, oil-gas, small</t>
  </si>
  <si>
    <t>HET2BLQBUR-1</t>
  </si>
  <si>
    <t>HPL burner, oil-pyro-oil, small</t>
  </si>
  <si>
    <t>HET2BIOBFB-1</t>
  </si>
  <si>
    <t>HPL FBC, biomass, small</t>
  </si>
  <si>
    <t>HET3BIOGFE-1</t>
  </si>
  <si>
    <t>HET3OILBUR-1</t>
  </si>
  <si>
    <t>UBIOBLSFU30</t>
  </si>
  <si>
    <t>Biochar for blast furnace</t>
  </si>
  <si>
    <t>FLO_MARK</t>
  </si>
  <si>
    <t>HPL burner, oil, large</t>
  </si>
  <si>
    <t>HET3BLQBUR-1</t>
  </si>
  <si>
    <t>HET3BIOBFB-1</t>
  </si>
  <si>
    <t>HET3REFBFB-1</t>
  </si>
  <si>
    <t>HET4BIOGFE-1</t>
  </si>
  <si>
    <t>HET4OILBUR-1</t>
  </si>
  <si>
    <t>HPL burner, oil, small</t>
  </si>
  <si>
    <t>HET4BLQBUR-1</t>
  </si>
  <si>
    <t>HET4BIOBFB-1</t>
  </si>
  <si>
    <t>HET1SOLHET-1</t>
  </si>
  <si>
    <t>HPL: Solar district heat</t>
  </si>
  <si>
    <t>HETGEOP105</t>
  </si>
  <si>
    <t>HPL: .CON.GEO.</t>
  </si>
  <si>
    <t>HET</t>
  </si>
  <si>
    <t>FCOST</t>
  </si>
  <si>
    <t>SNKTOTCO2</t>
  </si>
  <si>
    <t>ELCE</t>
  </si>
  <si>
    <t>Electricity (Intermediate)</t>
  </si>
  <si>
    <t>Electricity (Decentralized)</t>
  </si>
  <si>
    <t>FIN</t>
  </si>
  <si>
    <t>N</t>
  </si>
  <si>
    <t>ELCBSL</t>
  </si>
  <si>
    <t>Heat</t>
  </si>
  <si>
    <t>kt</t>
  </si>
  <si>
    <t>ELE</t>
  </si>
  <si>
    <t>HPL</t>
  </si>
  <si>
    <t>UP</t>
  </si>
  <si>
    <t>BaseYear</t>
  </si>
  <si>
    <t>INDETH</t>
  </si>
  <si>
    <t>ISNM</t>
  </si>
  <si>
    <t>Electricity (IND)</t>
  </si>
  <si>
    <t>Heat (IND)</t>
  </si>
  <si>
    <t>BIOLOG</t>
  </si>
  <si>
    <t>Stemwood for energy</t>
  </si>
  <si>
    <t>BIOSOD</t>
  </si>
  <si>
    <t>Biosod (grass)</t>
  </si>
  <si>
    <t>~FI_T</t>
  </si>
  <si>
    <t>INDHET</t>
  </si>
  <si>
    <t>ISLP</t>
  </si>
  <si>
    <t>INDBIO</t>
  </si>
  <si>
    <t>ISOI</t>
  </si>
  <si>
    <t>COABCO</t>
  </si>
  <si>
    <t>FT Diesel Peat with CO2 capture</t>
  </si>
  <si>
    <t>FT-ELCWAV0</t>
  </si>
  <si>
    <t>Fuel Tech Wave</t>
  </si>
  <si>
    <t>UFTSYNPDSS</t>
  </si>
  <si>
    <t>~FI_Process</t>
  </si>
  <si>
    <t>Tact</t>
  </si>
  <si>
    <t>Tcap</t>
  </si>
  <si>
    <t>Tslvl</t>
  </si>
  <si>
    <t>PrimaryCG</t>
  </si>
  <si>
    <t>Vintage</t>
  </si>
  <si>
    <t>GW</t>
  </si>
  <si>
    <t>NO</t>
  </si>
  <si>
    <t>PJ_a</t>
  </si>
  <si>
    <t>ESTMCOA005</t>
  </si>
  <si>
    <t>ESTMCOG005</t>
  </si>
  <si>
    <t>ESTMBFG005</t>
  </si>
  <si>
    <t>ESTMHFO005</t>
  </si>
  <si>
    <t>ESTMOIL005</t>
  </si>
  <si>
    <t>ESTMETH005</t>
  </si>
  <si>
    <t>ESTMPTC005</t>
  </si>
  <si>
    <t>ESTMBIO005</t>
  </si>
  <si>
    <t>ESTMGEO005</t>
  </si>
  <si>
    <t>ESTMNGA005</t>
  </si>
  <si>
    <t>Auto CHP with COA New</t>
  </si>
  <si>
    <t>Auto CHP with COG New</t>
  </si>
  <si>
    <t>Auto CHP with BFG New</t>
  </si>
  <si>
    <t>Auto CHP with HFO New</t>
  </si>
  <si>
    <t>Auto CHP with OIL New</t>
  </si>
  <si>
    <t>Auto CHP with ETH New</t>
  </si>
  <si>
    <t>Auto CHP with PTC New</t>
  </si>
  <si>
    <t>Auto CHP with BIO New</t>
  </si>
  <si>
    <t>Auto CHP with GEO New</t>
  </si>
  <si>
    <t>Auto CHP with NGA New</t>
  </si>
  <si>
    <t>TechName</t>
  </si>
  <si>
    <t>TechDesc</t>
  </si>
  <si>
    <t>Comm-IN</t>
  </si>
  <si>
    <t>Output</t>
  </si>
  <si>
    <t>Input</t>
  </si>
  <si>
    <t>LimType</t>
  </si>
  <si>
    <t>CTSLvl</t>
  </si>
  <si>
    <t>PeakTS</t>
  </si>
  <si>
    <t>Ctype</t>
  </si>
  <si>
    <t>DAYNITE</t>
  </si>
  <si>
    <t>ELC</t>
  </si>
  <si>
    <t>SEASON</t>
  </si>
  <si>
    <t>LTHEAT</t>
  </si>
  <si>
    <t>Alternative fuel production technologies</t>
  </si>
  <si>
    <t>COMM-OUT</t>
  </si>
  <si>
    <t>\I: FT technologies</t>
  </si>
  <si>
    <t>FT Diesel Natural gas</t>
  </si>
  <si>
    <t>FT Diesel Coal</t>
  </si>
  <si>
    <t>FT Diesel Coal with CO2 capture</t>
  </si>
  <si>
    <t>UPNELC</t>
  </si>
  <si>
    <t>FT Jet fuel Coal with CO2 capture</t>
  </si>
  <si>
    <t>OILJTK</t>
  </si>
  <si>
    <t>FT BioRefinery+Heat Biomass</t>
  </si>
  <si>
    <t>UFTSYNBHET1</t>
  </si>
  <si>
    <t>FT HFO Coal with CO2 capture</t>
  </si>
  <si>
    <t>BIODST</t>
  </si>
  <si>
    <t>Synth Diesel Hydrothermal upgrading</t>
  </si>
  <si>
    <t>SYNHY0</t>
  </si>
  <si>
    <t>EL1BIO</t>
  </si>
  <si>
    <t>EL2BIO</t>
  </si>
  <si>
    <t>EL3BIO</t>
  </si>
  <si>
    <t>\I: Ethanol and methanol technologies</t>
  </si>
  <si>
    <t>Cellulose ethanol plant</t>
  </si>
  <si>
    <t>Methanol from coal with CO2 capture</t>
  </si>
  <si>
    <t>SNKELCCO2</t>
  </si>
  <si>
    <t>ELCCO2N</t>
  </si>
  <si>
    <t>UPNCH4N</t>
  </si>
  <si>
    <t>UPNN2ON</t>
  </si>
  <si>
    <t>Methanol from coal</t>
  </si>
  <si>
    <t>Methanol from Bioliquids</t>
  </si>
  <si>
    <t>BIOLIQ</t>
  </si>
  <si>
    <t>Prod of Methanol from natural gas</t>
  </si>
  <si>
    <t>SYNETH</t>
  </si>
  <si>
    <t>SYNMET</t>
  </si>
  <si>
    <t>Prod of JTK from coal FT</t>
  </si>
  <si>
    <t>Prod of HFO from coal FT</t>
  </si>
  <si>
    <t>BIOBSL</t>
  </si>
  <si>
    <t>UPNCO2N</t>
  </si>
  <si>
    <t>NRG</t>
  </si>
  <si>
    <t>CommGrp</t>
  </si>
  <si>
    <t>Emissions on flows</t>
  </si>
  <si>
    <t>UFTSYNGDSL</t>
  </si>
  <si>
    <t>UFTSYNCDSL</t>
  </si>
  <si>
    <t>UFTSYNCDSLS</t>
  </si>
  <si>
    <t>UFTSYNCJTKS</t>
  </si>
  <si>
    <t>UFTSYNCHFOS</t>
  </si>
  <si>
    <t>UFTSYNBDSL</t>
  </si>
  <si>
    <t>UFTSYNBDSLH</t>
  </si>
  <si>
    <t>UCOAMETS100</t>
  </si>
  <si>
    <t>UCOAMET100</t>
  </si>
  <si>
    <t>UBIOMET100</t>
  </si>
  <si>
    <t>UGASMET100</t>
  </si>
  <si>
    <t>UPNHET</t>
  </si>
  <si>
    <t>Heat (UPS)</t>
  </si>
  <si>
    <t>RESELC</t>
  </si>
  <si>
    <t>ESTMBIOM05</t>
  </si>
  <si>
    <t>EUR10</t>
  </si>
  <si>
    <t>Auto CHP with BIO Medium ILP</t>
  </si>
  <si>
    <t>INDBLQ</t>
  </si>
  <si>
    <t>Auto CHP with BIO Liquor ILP</t>
  </si>
  <si>
    <t>WEEKLY</t>
  </si>
  <si>
    <t>CHP HTR PBR Hydrogen</t>
  </si>
  <si>
    <t>ESTMBIOS05</t>
  </si>
  <si>
    <t>Auto CHP with BIO Small</t>
  </si>
  <si>
    <t>LIFE~2040</t>
  </si>
  <si>
    <t>Electricity (Decentralized Production)</t>
  </si>
  <si>
    <t>EDSOLRES05</t>
  </si>
  <si>
    <t>EDSOLCOM05</t>
  </si>
  <si>
    <t>HET3BIOCFB-1</t>
  </si>
  <si>
    <t>BIOGAS</t>
  </si>
  <si>
    <t>UFTSYNBDSS</t>
  </si>
  <si>
    <t>FLO_BND~0</t>
  </si>
  <si>
    <t>UFTSYNBMTG</t>
  </si>
  <si>
    <t>FT BioRefinery Solid biomass MTG process</t>
  </si>
  <si>
    <t>BIOGSL</t>
  </si>
  <si>
    <t>OILLPG</t>
  </si>
  <si>
    <t>TOTCO2</t>
  </si>
  <si>
    <t>SNKBIOREF</t>
  </si>
  <si>
    <t>BIOREF CO2 for sinking</t>
  </si>
  <si>
    <t>USNKBIOREF</t>
  </si>
  <si>
    <t>DUM1</t>
  </si>
  <si>
    <t>DUM2</t>
  </si>
  <si>
    <t>DUM3</t>
  </si>
  <si>
    <t>Dummy FIN-UP</t>
  </si>
  <si>
    <t>Transport of CO2 from biorefineries</t>
  </si>
  <si>
    <t>BREFBSL</t>
  </si>
  <si>
    <t>SUPELC</t>
  </si>
  <si>
    <t>Hydrogen production</t>
  </si>
  <si>
    <t>ENV_ACT</t>
  </si>
  <si>
    <t>CHPR~UP</t>
  </si>
  <si>
    <t>HLYS105</t>
  </si>
  <si>
    <t>HNGA105</t>
  </si>
  <si>
    <t>Hydrogen from NGA</t>
  </si>
  <si>
    <t>DHYNPFC-05</t>
  </si>
  <si>
    <t>HZNGA105</t>
  </si>
  <si>
    <t>Hydrogen from NGA, CCS</t>
  </si>
  <si>
    <t>SNKUPNCO2</t>
  </si>
  <si>
    <t>HHCO105</t>
  </si>
  <si>
    <t>Hydrogen from Hardcoal</t>
  </si>
  <si>
    <t>HZHCO105</t>
  </si>
  <si>
    <t>Hydrogen from Hardcoal + CO2 removal</t>
  </si>
  <si>
    <t>HBCO105</t>
  </si>
  <si>
    <t>Hydrogen from Browncoal</t>
  </si>
  <si>
    <t>HZBCO105</t>
  </si>
  <si>
    <t>Hydrogen from Browncoal + CO2 removal</t>
  </si>
  <si>
    <t>HNGAD105</t>
  </si>
  <si>
    <t>Hydrogen from NGA - Decentralized</t>
  </si>
  <si>
    <t>SYNHYD</t>
  </si>
  <si>
    <t>HBIO105</t>
  </si>
  <si>
    <t>Hydrogen from biomass gasification</t>
  </si>
  <si>
    <t>HZBIO205</t>
  </si>
  <si>
    <t>Hydrogen from biomass gasification + CO2 removal</t>
  </si>
  <si>
    <t>NCAP_BND~UP~0</t>
  </si>
  <si>
    <t>STG_EFF</t>
  </si>
  <si>
    <t>UDISTHH200</t>
  </si>
  <si>
    <t>SYNHYN</t>
  </si>
  <si>
    <t>USTGHYD200</t>
  </si>
  <si>
    <t>FT-ELCHYN0</t>
  </si>
  <si>
    <t>Fuel Tech - Hydrogen (ELC)</t>
  </si>
  <si>
    <t>FT-INDHYN0</t>
  </si>
  <si>
    <t>Fuel Tech - Hydrogen (IND)</t>
  </si>
  <si>
    <t>UTAXSUB1</t>
  </si>
  <si>
    <t>Dummy tech for taxes</t>
  </si>
  <si>
    <t>MANRAW</t>
  </si>
  <si>
    <t>UBIOLIGN</t>
  </si>
  <si>
    <t>Biolignine</t>
  </si>
  <si>
    <t>ILPLGN</t>
  </si>
  <si>
    <t>SINKMIN</t>
  </si>
  <si>
    <t>Mineralization for CO2 storage</t>
  </si>
  <si>
    <t>Purchase of CO2 storage service</t>
  </si>
  <si>
    <t>SNKCCS</t>
  </si>
  <si>
    <t>TOTCO2 backstop</t>
  </si>
  <si>
    <t>INDCO2SN0</t>
  </si>
  <si>
    <t>CO2 sinking - IND</t>
  </si>
  <si>
    <t>INDCO2N</t>
  </si>
  <si>
    <t>CO2 sinking - TOT</t>
  </si>
  <si>
    <t>UH2METH00</t>
  </si>
  <si>
    <t>H2 + CO2 from flue gas</t>
  </si>
  <si>
    <t>Hydrogen decentralized</t>
  </si>
  <si>
    <t>Chemical methanol</t>
  </si>
  <si>
    <t>Hydrogen for ELC</t>
  </si>
  <si>
    <t>Natural gas</t>
  </si>
  <si>
    <t>Hard coal</t>
  </si>
  <si>
    <t>Brown coal</t>
  </si>
  <si>
    <t>Biomass</t>
  </si>
  <si>
    <t>HETLD</t>
  </si>
  <si>
    <t>Heat long distance</t>
  </si>
  <si>
    <t>Dummy for CCS</t>
  </si>
  <si>
    <t>TRACO2N</t>
  </si>
  <si>
    <t>RESCO2N</t>
  </si>
  <si>
    <t>COMCO2N</t>
  </si>
  <si>
    <t>INDCO2 for sinking</t>
  </si>
  <si>
    <t>ELCCO2 for sinking</t>
  </si>
  <si>
    <t>NONCO2T</t>
  </si>
  <si>
    <t>STGTSS</t>
  </si>
  <si>
    <t>DUMMY</t>
  </si>
  <si>
    <t>NEO905</t>
  </si>
  <si>
    <t>UNEOHLYS</t>
  </si>
  <si>
    <t>UNEOCCSMET</t>
  </si>
  <si>
    <t>NRGO</t>
  </si>
  <si>
    <t>Distribution for hydrogen</t>
  </si>
  <si>
    <t>Biolignine as fuel</t>
  </si>
  <si>
    <t>EPP: PEM-FC (hydrogen)</t>
  </si>
  <si>
    <t>HET1HTPUMP</t>
  </si>
  <si>
    <t>DH Heat Pump</t>
  </si>
  <si>
    <t>DHC1</t>
  </si>
  <si>
    <t>GEO</t>
  </si>
  <si>
    <t>HET3HTPUMP</t>
  </si>
  <si>
    <t>DHC3</t>
  </si>
  <si>
    <t>HET1HTPABS</t>
  </si>
  <si>
    <t>DNETSCO2</t>
  </si>
  <si>
    <t>Non-ETS-ELCCO2</t>
  </si>
  <si>
    <t>DH Heat Pump 1</t>
  </si>
  <si>
    <t>DH Heat Pump 3</t>
  </si>
  <si>
    <t>Supplementary ELC+HET technologies</t>
  </si>
  <si>
    <t>Fuel combustion CO2 (ELC)</t>
  </si>
  <si>
    <t>Fuel combustion CO2 (COM)</t>
  </si>
  <si>
    <t>Fuel combustion CO2 (RES)</t>
  </si>
  <si>
    <t>Fuel combustion CO2 (IND)</t>
  </si>
  <si>
    <t>Fuel combustion CO2 (TRA)</t>
  </si>
  <si>
    <t>Fuel combustion CO2 (UPS)</t>
  </si>
  <si>
    <t>HET1WUPHET</t>
  </si>
  <si>
    <t>Upgraded waste heat to large cities</t>
  </si>
  <si>
    <t>HETCMTH</t>
  </si>
  <si>
    <t>UHETCMTH</t>
  </si>
  <si>
    <t>Supply of MT waste heat</t>
  </si>
  <si>
    <t>MT waste heat</t>
  </si>
  <si>
    <t>HET1PIPHET</t>
  </si>
  <si>
    <t xml:space="preserve">Heat LD piping </t>
  </si>
  <si>
    <t>TOTCO2 Negem for sinking</t>
  </si>
  <si>
    <t>Lignine from pulping</t>
  </si>
  <si>
    <t>Mt</t>
  </si>
  <si>
    <t>Electricity flat (UPS)</t>
  </si>
  <si>
    <t>Electricity (UPS) - Weekly</t>
  </si>
  <si>
    <t>ILPBIOFT005</t>
  </si>
  <si>
    <t>Fisher Tropsch production of Biodiesel from industrial Biowaste</t>
  </si>
  <si>
    <t>BIOISW</t>
  </si>
  <si>
    <t>Fisher Tropsch integrated Biodiesel production from BIOBLQ</t>
  </si>
  <si>
    <t>ILPELC</t>
  </si>
  <si>
    <t>ILPBLQFT705</t>
  </si>
  <si>
    <t>Fisher Tropsch HLT Biodiesel production from BIOBLQ</t>
  </si>
  <si>
    <t>Fisher Tropsch production of Biodiesel from BIOBLQ</t>
  </si>
  <si>
    <t>EPP: Oil steam turbine</t>
  </si>
  <si>
    <t>AFAC</t>
  </si>
  <si>
    <t>AFAC~ELCC</t>
  </si>
  <si>
    <t>VA_Attrib_TC~2015</t>
  </si>
  <si>
    <t>VA_Attrib_TC~2030</t>
  </si>
  <si>
    <t>VA_Attrib_TC~2050</t>
  </si>
  <si>
    <t>ETXCOA</t>
  </si>
  <si>
    <t>ETXGAS</t>
  </si>
  <si>
    <t>ETXPET</t>
  </si>
  <si>
    <t>CHP Style</t>
  </si>
  <si>
    <t>Share</t>
  </si>
  <si>
    <t>LO</t>
  </si>
  <si>
    <t>CHPR-LO</t>
  </si>
  <si>
    <t>~FI_T: EUR10</t>
  </si>
  <si>
    <t>Upgrading Biogas to SNG</t>
  </si>
  <si>
    <t>OUTPUT</t>
  </si>
  <si>
    <t>Biogasification BGS</t>
  </si>
  <si>
    <t>BIOAGR</t>
  </si>
  <si>
    <t>UBIOSNG15</t>
  </si>
  <si>
    <t>Biogasification SNG</t>
  </si>
  <si>
    <t>Integrated pyrolysis oil production</t>
  </si>
  <si>
    <t>UBIOHBO100</t>
  </si>
  <si>
    <t>Production of hydrotreated bio-oil</t>
  </si>
  <si>
    <t>BIOHBO</t>
  </si>
  <si>
    <t>UPNNGA</t>
  </si>
  <si>
    <t>EUR15</t>
  </si>
  <si>
    <t>UBSTETH100</t>
  </si>
  <si>
    <t>Bioethanol from straw</t>
  </si>
  <si>
    <t>UBSTMET100</t>
  </si>
  <si>
    <t>Biomethanol from straw</t>
  </si>
  <si>
    <t>UPXMETH100</t>
  </si>
  <si>
    <t>Biomethanol from power</t>
  </si>
  <si>
    <t>CCXCO2</t>
  </si>
  <si>
    <t>UPXBIOJET05</t>
  </si>
  <si>
    <t>Biojet from power</t>
  </si>
  <si>
    <t>Methanol from natural gas</t>
  </si>
  <si>
    <t>Supplementary UPStream fuel technologies, Part 2</t>
  </si>
  <si>
    <t>Hydrogen from electrolysis (AEC/PEC)</t>
  </si>
  <si>
    <t>HLYSOFC05</t>
  </si>
  <si>
    <t>SOFC electrolyzer</t>
  </si>
  <si>
    <t>Hydrotreated bio-oil</t>
  </si>
  <si>
    <t>Biogasification SNG + CCS</t>
  </si>
  <si>
    <t>UBIOSNG10</t>
  </si>
  <si>
    <t>UBIOGAS10</t>
  </si>
  <si>
    <t>UBIOGUP10</t>
  </si>
  <si>
    <t>UBIOAGF10</t>
  </si>
  <si>
    <t>Captured CO2 for CCU</t>
  </si>
  <si>
    <t>Non-ETS CO2</t>
  </si>
  <si>
    <t>Storage ELC+HET technologies</t>
  </si>
  <si>
    <t>STG_LOSS</t>
  </si>
  <si>
    <t>AFC~DAYNITE</t>
  </si>
  <si>
    <t>FLO_FUNC</t>
  </si>
  <si>
    <t>ESTGPHS100</t>
  </si>
  <si>
    <t>Pumped hydro</t>
  </si>
  <si>
    <t>ESTGCAES100</t>
  </si>
  <si>
    <t>CAES storage</t>
  </si>
  <si>
    <t>ESTGLIB100</t>
  </si>
  <si>
    <t>Li-ion battery</t>
  </si>
  <si>
    <t>ESTGNAB100</t>
  </si>
  <si>
    <t>NaS or NaCl battery</t>
  </si>
  <si>
    <t>Pit Thermal Energy Storage</t>
  </si>
  <si>
    <t>STS</t>
  </si>
  <si>
    <t>NCAP_AFC</t>
  </si>
  <si>
    <t>HSTGPTES100</t>
  </si>
  <si>
    <t>USTGHYD100</t>
  </si>
  <si>
    <t>Storage of liquid hydrogen</t>
  </si>
  <si>
    <t>Storage of LOHC hydrogen</t>
  </si>
  <si>
    <t>FLO_COST</t>
  </si>
  <si>
    <t>Hydrogen from electrolysis -- Decentral</t>
  </si>
  <si>
    <t>Hydrogen to pipeline of large consumers</t>
  </si>
  <si>
    <t>Liquid or LOHC hydrogen</t>
  </si>
  <si>
    <t>UDISTLH200</t>
  </si>
  <si>
    <t>Hydrogen from central supply</t>
  </si>
  <si>
    <t>Hydrogen from storage back to supply sector</t>
  </si>
  <si>
    <t>HLYSD105</t>
  </si>
  <si>
    <t>SYNLH2</t>
  </si>
  <si>
    <t>Absorption heat pump for district heat</t>
  </si>
  <si>
    <t>GWh</t>
  </si>
  <si>
    <t>MW</t>
  </si>
  <si>
    <t>CHP fuel cell gas, large</t>
  </si>
  <si>
    <t>CHP fuel cell gas, small</t>
  </si>
  <si>
    <t>EPP: NGCC advanced (gas)</t>
  </si>
  <si>
    <t>EPP: NGCC (gas)</t>
  </si>
  <si>
    <t>EPP: engine CC (gas)</t>
  </si>
  <si>
    <t>EPP: engine (gas)</t>
  </si>
  <si>
    <t>EPP: FC (hydrgogen)</t>
  </si>
  <si>
    <t>SINKCCSDSA</t>
  </si>
  <si>
    <t>CSTRASFINOS</t>
  </si>
  <si>
    <t>Transport technology by ship from FIN to North Sea</t>
  </si>
  <si>
    <t>Technologies related to Carbon Capture</t>
  </si>
  <si>
    <t>EPP: SOFC (gas)</t>
  </si>
  <si>
    <t>EPP: CON.BIO.Biogas</t>
  </si>
  <si>
    <t>EBIOGAS105</t>
  </si>
  <si>
    <t>SUPDACELC5N</t>
  </si>
  <si>
    <t>ELCCO2SN0</t>
  </si>
  <si>
    <t>CO2 sinking - ELC</t>
  </si>
  <si>
    <t>kt_a</t>
  </si>
  <si>
    <t>From: https://keith.seas.harvard.edu/files/tkg/files/keith_et_al._-_2018_-_a_process_for_capturing_co2_from_the_atmosphere.pdf</t>
  </si>
  <si>
    <t>Scenario</t>
  </si>
  <si>
    <t>Gas Input (GJ/t CO2)</t>
  </si>
  <si>
    <t>C-Gas/C-Air</t>
  </si>
  <si>
    <t>O&amp;M (USD/ t CO2)</t>
  </si>
  <si>
    <t>Levelised (USD/ t CO2)</t>
  </si>
  <si>
    <t>CFR</t>
  </si>
  <si>
    <t>A Baseline: Gas fired -&gt; 15 Mpa CO2 Output</t>
  </si>
  <si>
    <t>B: Baseline with Nth plant financials</t>
  </si>
  <si>
    <t>C: Gas and Electricity input -&gt; 15 Mpa CO2 Outpur</t>
  </si>
  <si>
    <t>113-124</t>
  </si>
  <si>
    <t>152-163</t>
  </si>
  <si>
    <t>D: Gas and electricity input -&gt; 0.1 Mpa CO2 Output assuming zero cost O2</t>
  </si>
  <si>
    <t>94-97</t>
  </si>
  <si>
    <t>128-130</t>
  </si>
  <si>
    <t>Elec Input (kWh/t CO2)</t>
  </si>
  <si>
    <t>Capital USD per t co2/a</t>
  </si>
  <si>
    <t>TOTCO2SN0</t>
  </si>
  <si>
    <t>ELCWOF</t>
  </si>
  <si>
    <t>UPNCO2SN0</t>
  </si>
  <si>
    <t>CO2 sinking - UPS</t>
  </si>
  <si>
    <t>G-ALLELC</t>
  </si>
  <si>
    <t>All Electricity (ELC)</t>
  </si>
  <si>
    <t>G-ALLDHT</t>
  </si>
  <si>
    <t>All heat (ELC)</t>
  </si>
  <si>
    <t>CEFF~2015</t>
  </si>
  <si>
    <t>CEFF~2030</t>
  </si>
  <si>
    <t>CEFF~2050</t>
  </si>
  <si>
    <t>UCO2BKSTP</t>
  </si>
  <si>
    <t>Input~2020</t>
  </si>
  <si>
    <t>Input~2050</t>
  </si>
  <si>
    <t>UMET2JET00</t>
  </si>
  <si>
    <t>Methanol to Jet fuel upgrading</t>
  </si>
  <si>
    <t>Direct air to Capturing CO2, Gas and electricity driven</t>
  </si>
  <si>
    <t>EXPSYNHYN</t>
  </si>
  <si>
    <t>Export hydrogen</t>
  </si>
  <si>
    <t>EXP</t>
  </si>
</sst>
</file>

<file path=xl/styles.xml><?xml version="1.0" encoding="utf-8"?>
<styleSheet xmlns="http://schemas.openxmlformats.org/spreadsheetml/2006/main">
  <numFmts count="7">
    <numFmt numFmtId="182" formatCode="0.000"/>
    <numFmt numFmtId="183" formatCode="0.0"/>
    <numFmt numFmtId="185" formatCode="0;0;&quot;&quot;"/>
    <numFmt numFmtId="186" formatCode="0.0000"/>
    <numFmt numFmtId="187" formatCode="0.00000"/>
    <numFmt numFmtId="188" formatCode="0.0;0.0;&quot;&quot;"/>
    <numFmt numFmtId="189" formatCode="_ * #,##0.00_ ;_ * \-#,##0.00_ ;_ * &quot;-&quot;??_ ;_ @_ "/>
  </numFmts>
  <fonts count="46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sz val="14"/>
      <color indexed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indexed="9"/>
      <name val="Arial"/>
      <family val="2"/>
    </font>
    <font>
      <sz val="10"/>
      <color indexed="9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9"/>
      <color indexed="8"/>
      <name val="Arial"/>
      <family val="2"/>
    </font>
    <font>
      <b/>
      <sz val="10"/>
      <color indexed="55"/>
      <name val="Arial"/>
      <family val="2"/>
    </font>
    <font>
      <b/>
      <sz val="12"/>
      <color indexed="12"/>
      <name val="Arial"/>
      <family val="2"/>
    </font>
    <font>
      <sz val="10"/>
      <color indexed="16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9"/>
      <color indexed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20"/>
      <name val="Calibri"/>
      <family val="2"/>
    </font>
    <font>
      <sz val="10"/>
      <color indexed="8"/>
      <name val="Calibri"/>
      <family val="2"/>
    </font>
    <font>
      <sz val="9"/>
      <name val="Arial"/>
      <family val="2"/>
    </font>
    <font>
      <sz val="11"/>
      <name val="Calibri"/>
      <family val="2"/>
    </font>
    <font>
      <sz val="10"/>
      <color indexed="12"/>
      <name val="Arial"/>
      <family val="2"/>
    </font>
    <font>
      <b/>
      <sz val="11"/>
      <color indexed="1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4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9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9"/>
      </bottom>
      <diagonal/>
    </border>
    <border>
      <left/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40" fillId="2" borderId="0" applyNumberFormat="0" applyBorder="0" applyAlignment="0" applyProtection="0"/>
    <xf numFmtId="0" fontId="17" fillId="4" borderId="0" applyNumberFormat="0" applyBorder="0" applyAlignment="0" applyProtection="0"/>
    <xf numFmtId="189" fontId="1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/>
    <xf numFmtId="0" fontId="16" fillId="0" borderId="0"/>
    <xf numFmtId="0" fontId="41" fillId="0" borderId="0"/>
    <xf numFmtId="0" fontId="1" fillId="0" borderId="0"/>
    <xf numFmtId="0" fontId="16" fillId="0" borderId="0"/>
    <xf numFmtId="9" fontId="5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8" fillId="3" borderId="0" applyNumberFormat="0" applyBorder="0" applyAlignment="0" applyProtection="0"/>
  </cellStyleXfs>
  <cellXfs count="428">
    <xf numFmtId="0" fontId="0" fillId="0" borderId="0" xfId="0"/>
    <xf numFmtId="0" fontId="2" fillId="0" borderId="0" xfId="0" applyFont="1"/>
    <xf numFmtId="182" fontId="2" fillId="0" borderId="0" xfId="0" applyNumberFormat="1" applyFont="1"/>
    <xf numFmtId="0" fontId="0" fillId="0" borderId="0" xfId="0" applyFill="1" applyBorder="1"/>
    <xf numFmtId="0" fontId="0" fillId="0" borderId="0" xfId="0" applyFill="1"/>
    <xf numFmtId="0" fontId="5" fillId="0" borderId="0" xfId="0" applyFont="1"/>
    <xf numFmtId="0" fontId="5" fillId="0" borderId="0" xfId="0" applyFont="1" applyFill="1"/>
    <xf numFmtId="0" fontId="5" fillId="0" borderId="0" xfId="0" applyFont="1" applyFill="1" applyBorder="1"/>
    <xf numFmtId="0" fontId="5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left" wrapText="1"/>
    </xf>
    <xf numFmtId="0" fontId="9" fillId="0" borderId="0" xfId="0" applyFont="1"/>
    <xf numFmtId="0" fontId="9" fillId="0" borderId="0" xfId="0" applyNumberFormat="1" applyFont="1" applyFill="1" applyBorder="1" applyAlignment="1"/>
    <xf numFmtId="0" fontId="2" fillId="5" borderId="1" xfId="0" applyFont="1" applyFill="1" applyBorder="1" applyAlignment="1">
      <alignment horizontal="center" wrapText="1"/>
    </xf>
    <xf numFmtId="0" fontId="3" fillId="6" borderId="0" xfId="0" applyFont="1" applyFill="1"/>
    <xf numFmtId="0" fontId="0" fillId="5" borderId="0" xfId="0" applyFill="1"/>
    <xf numFmtId="0" fontId="5" fillId="5" borderId="0" xfId="0" applyFont="1" applyFill="1"/>
    <xf numFmtId="0" fontId="0" fillId="7" borderId="0" xfId="0" applyFill="1"/>
    <xf numFmtId="0" fontId="9" fillId="0" borderId="0" xfId="0" applyFont="1" applyBorder="1"/>
    <xf numFmtId="2" fontId="0" fillId="0" borderId="0" xfId="0" applyNumberFormat="1"/>
    <xf numFmtId="0" fontId="0" fillId="8" borderId="0" xfId="0" applyFill="1"/>
    <xf numFmtId="0" fontId="13" fillId="0" borderId="0" xfId="0" applyFont="1"/>
    <xf numFmtId="0" fontId="6" fillId="8" borderId="0" xfId="0" applyFont="1" applyFill="1"/>
    <xf numFmtId="0" fontId="5" fillId="8" borderId="0" xfId="0" applyFont="1" applyFill="1"/>
    <xf numFmtId="0" fontId="7" fillId="5" borderId="1" xfId="0" applyFont="1" applyFill="1" applyBorder="1" applyAlignment="1">
      <alignment horizontal="center" wrapText="1"/>
    </xf>
    <xf numFmtId="182" fontId="7" fillId="5" borderId="1" xfId="0" applyNumberFormat="1" applyFont="1" applyFill="1" applyBorder="1" applyAlignment="1">
      <alignment horizontal="center" wrapText="1"/>
    </xf>
    <xf numFmtId="0" fontId="20" fillId="9" borderId="0" xfId="0" applyFont="1" applyFill="1"/>
    <xf numFmtId="0" fontId="7" fillId="9" borderId="0" xfId="0" applyFont="1" applyFill="1"/>
    <xf numFmtId="0" fontId="7" fillId="9" borderId="0" xfId="0" applyFont="1" applyFill="1" applyAlignment="1">
      <alignment horizontal="left"/>
    </xf>
    <xf numFmtId="0" fontId="7" fillId="0" borderId="0" xfId="0" applyFont="1" applyFill="1"/>
    <xf numFmtId="0" fontId="0" fillId="9" borderId="0" xfId="0" applyFill="1"/>
    <xf numFmtId="0" fontId="3" fillId="5" borderId="2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26" fillId="10" borderId="0" xfId="0" applyFont="1" applyFill="1" applyBorder="1"/>
    <xf numFmtId="0" fontId="27" fillId="10" borderId="0" xfId="0" applyFont="1" applyFill="1" applyBorder="1"/>
    <xf numFmtId="0" fontId="27" fillId="10" borderId="0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right" vertical="center" wrapText="1"/>
    </xf>
    <xf numFmtId="0" fontId="3" fillId="5" borderId="0" xfId="0" applyFont="1" applyFill="1"/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right" vertical="center" wrapText="1"/>
    </xf>
    <xf numFmtId="0" fontId="5" fillId="5" borderId="0" xfId="0" applyNumberFormat="1" applyFont="1" applyFill="1" applyBorder="1" applyAlignment="1"/>
    <xf numFmtId="0" fontId="5" fillId="5" borderId="0" xfId="0" applyFont="1" applyFill="1" applyBorder="1"/>
    <xf numFmtId="0" fontId="9" fillId="5" borderId="0" xfId="0" applyFont="1" applyFill="1" applyBorder="1"/>
    <xf numFmtId="2" fontId="5" fillId="9" borderId="0" xfId="0" applyNumberFormat="1" applyFont="1" applyFill="1" applyBorder="1"/>
    <xf numFmtId="0" fontId="5" fillId="9" borderId="0" xfId="0" applyFont="1" applyFill="1" applyBorder="1"/>
    <xf numFmtId="182" fontId="5" fillId="5" borderId="0" xfId="0" applyNumberFormat="1" applyFont="1" applyFill="1" applyBorder="1"/>
    <xf numFmtId="0" fontId="10" fillId="5" borderId="0" xfId="0" applyFont="1" applyFill="1" applyBorder="1"/>
    <xf numFmtId="0" fontId="5" fillId="11" borderId="0" xfId="0" applyFont="1" applyFill="1" applyBorder="1"/>
    <xf numFmtId="0" fontId="5" fillId="5" borderId="5" xfId="0" applyFont="1" applyFill="1" applyBorder="1"/>
    <xf numFmtId="0" fontId="5" fillId="9" borderId="5" xfId="0" applyFont="1" applyFill="1" applyBorder="1"/>
    <xf numFmtId="182" fontId="5" fillId="5" borderId="5" xfId="0" applyNumberFormat="1" applyFont="1" applyFill="1" applyBorder="1"/>
    <xf numFmtId="0" fontId="5" fillId="8" borderId="0" xfId="0" applyFont="1" applyFill="1" applyAlignment="1">
      <alignment wrapText="1"/>
    </xf>
    <xf numFmtId="1" fontId="0" fillId="8" borderId="0" xfId="0" applyNumberFormat="1" applyFill="1"/>
    <xf numFmtId="2" fontId="0" fillId="8" borderId="0" xfId="0" applyNumberFormat="1" applyFill="1"/>
    <xf numFmtId="0" fontId="0" fillId="8" borderId="5" xfId="0" applyFill="1" applyBorder="1"/>
    <xf numFmtId="0" fontId="0" fillId="8" borderId="5" xfId="0" applyFill="1" applyBorder="1" applyAlignment="1">
      <alignment wrapText="1"/>
    </xf>
    <xf numFmtId="0" fontId="5" fillId="8" borderId="5" xfId="0" applyFont="1" applyFill="1" applyBorder="1"/>
    <xf numFmtId="2" fontId="0" fillId="8" borderId="5" xfId="0" applyNumberFormat="1" applyFill="1" applyBorder="1"/>
    <xf numFmtId="0" fontId="0" fillId="8" borderId="5" xfId="0" applyFill="1" applyBorder="1" applyProtection="1">
      <protection locked="0"/>
    </xf>
    <xf numFmtId="0" fontId="5" fillId="8" borderId="0" xfId="0" applyFont="1" applyFill="1" applyProtection="1">
      <protection locked="0"/>
    </xf>
    <xf numFmtId="0" fontId="9" fillId="8" borderId="5" xfId="0" applyFont="1" applyFill="1" applyBorder="1"/>
    <xf numFmtId="0" fontId="5" fillId="8" borderId="0" xfId="0" applyFont="1" applyFill="1" applyBorder="1"/>
    <xf numFmtId="0" fontId="5" fillId="8" borderId="0" xfId="0" applyNumberFormat="1" applyFont="1" applyFill="1" applyBorder="1" applyAlignment="1"/>
    <xf numFmtId="0" fontId="5" fillId="11" borderId="0" xfId="0" applyFont="1" applyFill="1"/>
    <xf numFmtId="0" fontId="1" fillId="5" borderId="0" xfId="0" applyFont="1" applyFill="1" applyBorder="1"/>
    <xf numFmtId="0" fontId="0" fillId="5" borderId="0" xfId="0" applyFill="1" applyAlignment="1">
      <alignment wrapText="1"/>
    </xf>
    <xf numFmtId="1" fontId="0" fillId="5" borderId="0" xfId="0" applyNumberFormat="1" applyFill="1"/>
    <xf numFmtId="0" fontId="0" fillId="5" borderId="6" xfId="0" applyFill="1" applyBorder="1"/>
    <xf numFmtId="0" fontId="26" fillId="10" borderId="0" xfId="0" applyFont="1" applyFill="1"/>
    <xf numFmtId="1" fontId="30" fillId="5" borderId="1" xfId="0" applyNumberFormat="1" applyFont="1" applyFill="1" applyBorder="1" applyAlignment="1">
      <alignment horizontal="right"/>
    </xf>
    <xf numFmtId="0" fontId="2" fillId="5" borderId="7" xfId="0" applyFont="1" applyFill="1" applyBorder="1" applyAlignment="1">
      <alignment horizontal="right" vertical="center" wrapText="1"/>
    </xf>
    <xf numFmtId="1" fontId="30" fillId="5" borderId="1" xfId="0" applyNumberFormat="1" applyFont="1" applyFill="1" applyBorder="1" applyAlignment="1">
      <alignment horizontal="center"/>
    </xf>
    <xf numFmtId="1" fontId="0" fillId="0" borderId="0" xfId="0" applyNumberFormat="1"/>
    <xf numFmtId="183" fontId="0" fillId="5" borderId="0" xfId="0" applyNumberFormat="1" applyFill="1"/>
    <xf numFmtId="183" fontId="0" fillId="0" borderId="0" xfId="0" applyNumberFormat="1"/>
    <xf numFmtId="0" fontId="31" fillId="0" borderId="0" xfId="0" applyFont="1"/>
    <xf numFmtId="0" fontId="3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1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wrapText="1"/>
    </xf>
    <xf numFmtId="182" fontId="5" fillId="9" borderId="0" xfId="0" applyNumberFormat="1" applyFont="1" applyFill="1"/>
    <xf numFmtId="0" fontId="5" fillId="9" borderId="0" xfId="0" applyFont="1" applyFill="1"/>
    <xf numFmtId="2" fontId="5" fillId="9" borderId="0" xfId="0" applyNumberFormat="1" applyFont="1" applyFill="1"/>
    <xf numFmtId="0" fontId="9" fillId="12" borderId="3" xfId="0" applyFont="1" applyFill="1" applyBorder="1"/>
    <xf numFmtId="0" fontId="5" fillId="12" borderId="3" xfId="0" applyFont="1" applyFill="1" applyBorder="1"/>
    <xf numFmtId="0" fontId="0" fillId="12" borderId="3" xfId="0" applyFill="1" applyBorder="1"/>
    <xf numFmtId="0" fontId="8" fillId="12" borderId="3" xfId="0" applyNumberFormat="1" applyFont="1" applyFill="1" applyBorder="1" applyAlignment="1"/>
    <xf numFmtId="0" fontId="9" fillId="0" borderId="0" xfId="0" applyFont="1" applyAlignment="1">
      <alignment horizontal="center"/>
    </xf>
    <xf numFmtId="0" fontId="12" fillId="5" borderId="2" xfId="0" applyFont="1" applyFill="1" applyBorder="1"/>
    <xf numFmtId="0" fontId="12" fillId="5" borderId="3" xfId="0" applyFont="1" applyFill="1" applyBorder="1"/>
    <xf numFmtId="0" fontId="4" fillId="8" borderId="0" xfId="0" applyFont="1" applyFill="1"/>
    <xf numFmtId="0" fontId="9" fillId="0" borderId="0" xfId="0" applyFont="1" applyAlignment="1">
      <alignment horizontal="right"/>
    </xf>
    <xf numFmtId="0" fontId="7" fillId="5" borderId="8" xfId="0" applyFont="1" applyFill="1" applyBorder="1" applyAlignment="1">
      <alignment horizontal="center" wrapText="1"/>
    </xf>
    <xf numFmtId="0" fontId="7" fillId="5" borderId="9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7" borderId="0" xfId="0" applyFont="1" applyFill="1" applyBorder="1" applyAlignment="1">
      <alignment horizontal="center" wrapText="1"/>
    </xf>
    <xf numFmtId="0" fontId="7" fillId="5" borderId="10" xfId="0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wrapText="1"/>
    </xf>
    <xf numFmtId="185" fontId="0" fillId="0" borderId="0" xfId="0" applyNumberFormat="1"/>
    <xf numFmtId="0" fontId="0" fillId="0" borderId="11" xfId="0" applyBorder="1"/>
    <xf numFmtId="0" fontId="2" fillId="0" borderId="0" xfId="0" applyFont="1" applyFill="1" applyBorder="1" applyAlignment="1">
      <alignment horizontal="left" wrapText="1"/>
    </xf>
    <xf numFmtId="0" fontId="2" fillId="7" borderId="12" xfId="0" applyFont="1" applyFill="1" applyBorder="1" applyAlignment="1">
      <alignment horizontal="center" wrapText="1"/>
    </xf>
    <xf numFmtId="0" fontId="2" fillId="7" borderId="11" xfId="0" applyFont="1" applyFill="1" applyBorder="1" applyAlignment="1">
      <alignment horizontal="center" wrapText="1"/>
    </xf>
    <xf numFmtId="0" fontId="20" fillId="0" borderId="0" xfId="0" applyFont="1" applyFill="1"/>
    <xf numFmtId="0" fontId="7" fillId="0" borderId="0" xfId="0" applyFont="1" applyFill="1" applyAlignment="1">
      <alignment horizontal="left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32" fillId="0" borderId="0" xfId="0" applyFont="1"/>
    <xf numFmtId="0" fontId="9" fillId="9" borderId="0" xfId="0" applyFont="1" applyFill="1" applyBorder="1"/>
    <xf numFmtId="0" fontId="1" fillId="9" borderId="0" xfId="0" applyFont="1" applyFill="1" applyBorder="1"/>
    <xf numFmtId="0" fontId="10" fillId="9" borderId="0" xfId="0" applyFont="1" applyFill="1" applyBorder="1"/>
    <xf numFmtId="0" fontId="0" fillId="9" borderId="0" xfId="0" applyFill="1" applyAlignment="1">
      <alignment horizontal="center"/>
    </xf>
    <xf numFmtId="182" fontId="5" fillId="9" borderId="0" xfId="0" applyNumberFormat="1" applyFont="1" applyFill="1" applyBorder="1"/>
    <xf numFmtId="0" fontId="0" fillId="13" borderId="0" xfId="0" applyFill="1"/>
    <xf numFmtId="2" fontId="5" fillId="5" borderId="0" xfId="0" applyNumberFormat="1" applyFont="1" applyFill="1" applyBorder="1"/>
    <xf numFmtId="183" fontId="5" fillId="5" borderId="0" xfId="0" applyNumberFormat="1" applyFont="1" applyFill="1" applyBorder="1"/>
    <xf numFmtId="0" fontId="20" fillId="5" borderId="0" xfId="0" applyFont="1" applyFill="1"/>
    <xf numFmtId="0" fontId="7" fillId="5" borderId="0" xfId="0" applyFont="1" applyFill="1"/>
    <xf numFmtId="0" fontId="7" fillId="5" borderId="0" xfId="0" applyFont="1" applyFill="1" applyAlignment="1">
      <alignment horizontal="left"/>
    </xf>
    <xf numFmtId="0" fontId="7" fillId="5" borderId="13" xfId="0" applyFont="1" applyFill="1" applyBorder="1"/>
    <xf numFmtId="0" fontId="0" fillId="5" borderId="12" xfId="0" applyFill="1" applyBorder="1"/>
    <xf numFmtId="2" fontId="7" fillId="5" borderId="0" xfId="0" applyNumberFormat="1" applyFont="1" applyFill="1"/>
    <xf numFmtId="183" fontId="7" fillId="5" borderId="0" xfId="0" applyNumberFormat="1" applyFont="1" applyFill="1"/>
    <xf numFmtId="2" fontId="0" fillId="5" borderId="0" xfId="0" applyNumberFormat="1" applyFill="1"/>
    <xf numFmtId="0" fontId="11" fillId="5" borderId="0" xfId="0" applyFont="1" applyFill="1" applyBorder="1"/>
    <xf numFmtId="0" fontId="7" fillId="14" borderId="0" xfId="0" applyFont="1" applyFill="1" applyAlignment="1">
      <alignment horizontal="left"/>
    </xf>
    <xf numFmtId="0" fontId="7" fillId="14" borderId="0" xfId="0" applyFont="1" applyFill="1"/>
    <xf numFmtId="183" fontId="0" fillId="14" borderId="0" xfId="0" applyNumberFormat="1" applyFill="1"/>
    <xf numFmtId="0" fontId="0" fillId="14" borderId="12" xfId="0" applyFill="1" applyBorder="1"/>
    <xf numFmtId="0" fontId="0" fillId="7" borderId="0" xfId="0" applyFill="1" applyBorder="1"/>
    <xf numFmtId="0" fontId="5" fillId="7" borderId="0" xfId="0" applyFont="1" applyFill="1" applyBorder="1"/>
    <xf numFmtId="1" fontId="10" fillId="5" borderId="0" xfId="0" applyNumberFormat="1" applyFont="1" applyFill="1" applyBorder="1"/>
    <xf numFmtId="2" fontId="5" fillId="5" borderId="0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182" fontId="0" fillId="5" borderId="0" xfId="0" applyNumberFormat="1" applyFill="1"/>
    <xf numFmtId="0" fontId="5" fillId="7" borderId="0" xfId="0" applyFont="1" applyFill="1"/>
    <xf numFmtId="0" fontId="8" fillId="7" borderId="0" xfId="0" applyNumberFormat="1" applyFont="1" applyFill="1" applyBorder="1" applyAlignment="1"/>
    <xf numFmtId="0" fontId="5" fillId="7" borderId="12" xfId="0" applyFont="1" applyFill="1" applyBorder="1"/>
    <xf numFmtId="183" fontId="10" fillId="5" borderId="0" xfId="0" applyNumberFormat="1" applyFont="1" applyFill="1" applyBorder="1"/>
    <xf numFmtId="1" fontId="5" fillId="5" borderId="0" xfId="0" applyNumberFormat="1" applyFont="1" applyFill="1" applyBorder="1"/>
    <xf numFmtId="0" fontId="7" fillId="5" borderId="0" xfId="0" applyFont="1" applyFill="1" applyAlignment="1">
      <alignment horizontal="center"/>
    </xf>
    <xf numFmtId="0" fontId="7" fillId="14" borderId="0" xfId="0" applyFont="1" applyFill="1" applyAlignment="1">
      <alignment horizontal="center"/>
    </xf>
    <xf numFmtId="0" fontId="0" fillId="8" borderId="11" xfId="0" applyFill="1" applyBorder="1"/>
    <xf numFmtId="2" fontId="0" fillId="6" borderId="0" xfId="0" applyNumberFormat="1" applyFill="1"/>
    <xf numFmtId="2" fontId="0" fillId="14" borderId="0" xfId="0" applyNumberFormat="1" applyFill="1"/>
    <xf numFmtId="183" fontId="7" fillId="14" borderId="0" xfId="0" applyNumberFormat="1" applyFont="1" applyFill="1" applyAlignment="1">
      <alignment horizontal="center"/>
    </xf>
    <xf numFmtId="1" fontId="7" fillId="14" borderId="0" xfId="0" applyNumberFormat="1" applyFont="1" applyFill="1" applyAlignment="1">
      <alignment horizontal="center"/>
    </xf>
    <xf numFmtId="2" fontId="0" fillId="15" borderId="0" xfId="0" applyNumberFormat="1" applyFill="1"/>
    <xf numFmtId="0" fontId="0" fillId="15" borderId="0" xfId="0" applyFill="1"/>
    <xf numFmtId="0" fontId="5" fillId="12" borderId="0" xfId="0" applyFont="1" applyFill="1" applyBorder="1"/>
    <xf numFmtId="0" fontId="5" fillId="12" borderId="0" xfId="0" applyFont="1" applyFill="1"/>
    <xf numFmtId="2" fontId="5" fillId="12" borderId="0" xfId="0" applyNumberFormat="1" applyFont="1" applyFill="1" applyBorder="1"/>
    <xf numFmtId="1" fontId="5" fillId="7" borderId="12" xfId="0" applyNumberFormat="1" applyFont="1" applyFill="1" applyBorder="1"/>
    <xf numFmtId="182" fontId="5" fillId="7" borderId="0" xfId="0" applyNumberFormat="1" applyFont="1" applyFill="1"/>
    <xf numFmtId="0" fontId="5" fillId="0" borderId="0" xfId="0" applyFont="1" applyBorder="1" applyAlignment="1">
      <alignment horizontal="center"/>
    </xf>
    <xf numFmtId="2" fontId="0" fillId="13" borderId="0" xfId="0" applyNumberFormat="1" applyFill="1"/>
    <xf numFmtId="183" fontId="0" fillId="13" borderId="0" xfId="0" applyNumberFormat="1" applyFill="1"/>
    <xf numFmtId="2" fontId="5" fillId="7" borderId="0" xfId="0" applyNumberFormat="1" applyFont="1" applyFill="1"/>
    <xf numFmtId="0" fontId="10" fillId="7" borderId="0" xfId="0" applyFont="1" applyFill="1" applyBorder="1"/>
    <xf numFmtId="1" fontId="5" fillId="7" borderId="0" xfId="0" applyNumberFormat="1" applyFont="1" applyFill="1" applyBorder="1"/>
    <xf numFmtId="182" fontId="5" fillId="7" borderId="0" xfId="0" applyNumberFormat="1" applyFont="1" applyFill="1" applyBorder="1"/>
    <xf numFmtId="2" fontId="5" fillId="7" borderId="0" xfId="0" applyNumberFormat="1" applyFont="1" applyFill="1" applyBorder="1"/>
    <xf numFmtId="0" fontId="0" fillId="8" borderId="0" xfId="0" applyFill="1" applyAlignment="1">
      <alignment horizontal="center"/>
    </xf>
    <xf numFmtId="0" fontId="0" fillId="12" borderId="0" xfId="0" applyFill="1"/>
    <xf numFmtId="0" fontId="0" fillId="12" borderId="12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11" xfId="0" applyFill="1" applyBorder="1"/>
    <xf numFmtId="183" fontId="0" fillId="12" borderId="11" xfId="0" applyNumberFormat="1" applyFill="1" applyBorder="1"/>
    <xf numFmtId="183" fontId="0" fillId="12" borderId="0" xfId="0" applyNumberFormat="1" applyFill="1"/>
    <xf numFmtId="185" fontId="0" fillId="5" borderId="11" xfId="0" applyNumberFormat="1" applyFill="1" applyBorder="1" applyAlignment="1">
      <alignment horizontal="center"/>
    </xf>
    <xf numFmtId="2" fontId="0" fillId="5" borderId="12" xfId="0" applyNumberForma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6" fillId="5" borderId="0" xfId="0" applyFont="1" applyFill="1"/>
    <xf numFmtId="0" fontId="5" fillId="5" borderId="6" xfId="0" applyFont="1" applyFill="1" applyBorder="1"/>
    <xf numFmtId="0" fontId="6" fillId="7" borderId="0" xfId="0" applyFont="1" applyFill="1"/>
    <xf numFmtId="0" fontId="5" fillId="5" borderId="8" xfId="0" applyFont="1" applyFill="1" applyBorder="1" applyAlignment="1">
      <alignment horizontal="right" vertical="center" wrapText="1"/>
    </xf>
    <xf numFmtId="0" fontId="3" fillId="0" borderId="0" xfId="0" applyFont="1" applyBorder="1"/>
    <xf numFmtId="0" fontId="3" fillId="5" borderId="7" xfId="0" quotePrefix="1" applyFont="1" applyFill="1" applyBorder="1" applyAlignment="1">
      <alignment horizontal="center" wrapText="1"/>
    </xf>
    <xf numFmtId="0" fontId="5" fillId="7" borderId="0" xfId="0" applyFont="1" applyFill="1" applyAlignment="1">
      <alignment horizontal="center"/>
    </xf>
    <xf numFmtId="2" fontId="5" fillId="12" borderId="0" xfId="0" applyNumberFormat="1" applyFont="1" applyFill="1"/>
    <xf numFmtId="0" fontId="9" fillId="0" borderId="0" xfId="0" applyFont="1" applyFill="1"/>
    <xf numFmtId="0" fontId="5" fillId="5" borderId="1" xfId="0" applyFont="1" applyFill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183" fontId="5" fillId="12" borderId="0" xfId="0" applyNumberFormat="1" applyFont="1" applyFill="1" applyBorder="1"/>
    <xf numFmtId="0" fontId="5" fillId="5" borderId="14" xfId="0" applyFont="1" applyFill="1" applyBorder="1"/>
    <xf numFmtId="0" fontId="9" fillId="5" borderId="0" xfId="0" applyFont="1" applyFill="1" applyAlignment="1">
      <alignment wrapText="1"/>
    </xf>
    <xf numFmtId="0" fontId="35" fillId="5" borderId="0" xfId="0" applyFont="1" applyFill="1" applyBorder="1" applyAlignment="1">
      <alignment wrapText="1"/>
    </xf>
    <xf numFmtId="0" fontId="9" fillId="5" borderId="0" xfId="0" applyFont="1" applyFill="1" applyBorder="1" applyAlignment="1">
      <alignment wrapText="1"/>
    </xf>
    <xf numFmtId="1" fontId="5" fillId="12" borderId="0" xfId="0" applyNumberFormat="1" applyFont="1" applyFill="1" applyBorder="1"/>
    <xf numFmtId="0" fontId="5" fillId="5" borderId="0" xfId="0" applyFont="1" applyFill="1" applyBorder="1" applyAlignment="1">
      <alignment horizontal="center"/>
    </xf>
    <xf numFmtId="182" fontId="5" fillId="12" borderId="0" xfId="0" applyNumberFormat="1" applyFont="1" applyFill="1" applyBorder="1"/>
    <xf numFmtId="0" fontId="10" fillId="5" borderId="0" xfId="0" applyNumberFormat="1" applyFont="1" applyFill="1" applyBorder="1" applyAlignment="1"/>
    <xf numFmtId="0" fontId="10" fillId="5" borderId="5" xfId="0" applyFont="1" applyFill="1" applyBorder="1"/>
    <xf numFmtId="2" fontId="10" fillId="12" borderId="0" xfId="0" applyNumberFormat="1" applyFont="1" applyFill="1" applyBorder="1"/>
    <xf numFmtId="0" fontId="5" fillId="5" borderId="15" xfId="0" applyFont="1" applyFill="1" applyBorder="1"/>
    <xf numFmtId="2" fontId="5" fillId="12" borderId="15" xfId="0" applyNumberFormat="1" applyFont="1" applyFill="1" applyBorder="1"/>
    <xf numFmtId="183" fontId="5" fillId="12" borderId="15" xfId="0" applyNumberFormat="1" applyFont="1" applyFill="1" applyBorder="1"/>
    <xf numFmtId="0" fontId="5" fillId="9" borderId="15" xfId="0" applyFont="1" applyFill="1" applyBorder="1"/>
    <xf numFmtId="182" fontId="5" fillId="5" borderId="15" xfId="0" applyNumberFormat="1" applyFont="1" applyFill="1" applyBorder="1"/>
    <xf numFmtId="0" fontId="2" fillId="5" borderId="1" xfId="0" applyFont="1" applyFill="1" applyBorder="1" applyAlignment="1">
      <alignment horizontal="center" vertical="center" wrapText="1"/>
    </xf>
    <xf numFmtId="1" fontId="5" fillId="9" borderId="0" xfId="0" applyNumberFormat="1" applyFont="1" applyFill="1" applyBorder="1"/>
    <xf numFmtId="1" fontId="5" fillId="5" borderId="0" xfId="0" applyNumberFormat="1" applyFont="1" applyFill="1" applyBorder="1" applyAlignment="1">
      <alignment horizontal="center"/>
    </xf>
    <xf numFmtId="183" fontId="5" fillId="5" borderId="0" xfId="0" applyNumberFormat="1" applyFont="1" applyFill="1" applyBorder="1" applyAlignment="1">
      <alignment horizontal="center"/>
    </xf>
    <xf numFmtId="0" fontId="5" fillId="5" borderId="0" xfId="0" applyFont="1" applyFill="1" applyAlignment="1">
      <alignment wrapText="1"/>
    </xf>
    <xf numFmtId="0" fontId="7" fillId="5" borderId="0" xfId="0" applyFont="1" applyFill="1" applyBorder="1"/>
    <xf numFmtId="0" fontId="21" fillId="5" borderId="0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center"/>
    </xf>
    <xf numFmtId="187" fontId="7" fillId="9" borderId="0" xfId="0" applyNumberFormat="1" applyFont="1" applyFill="1" applyBorder="1"/>
    <xf numFmtId="0" fontId="7" fillId="5" borderId="5" xfId="0" applyFont="1" applyFill="1" applyBorder="1"/>
    <xf numFmtId="0" fontId="7" fillId="5" borderId="5" xfId="0" applyFont="1" applyFill="1" applyBorder="1" applyAlignment="1">
      <alignment horizontal="center"/>
    </xf>
    <xf numFmtId="187" fontId="7" fillId="9" borderId="5" xfId="0" applyNumberFormat="1" applyFont="1" applyFill="1" applyBorder="1"/>
    <xf numFmtId="1" fontId="7" fillId="9" borderId="0" xfId="0" applyNumberFormat="1" applyFont="1" applyFill="1"/>
    <xf numFmtId="183" fontId="7" fillId="9" borderId="0" xfId="0" applyNumberFormat="1" applyFont="1" applyFill="1"/>
    <xf numFmtId="2" fontId="7" fillId="6" borderId="0" xfId="0" applyNumberFormat="1" applyFont="1" applyFill="1" applyBorder="1" applyAlignment="1">
      <alignment horizontal="left"/>
    </xf>
    <xf numFmtId="0" fontId="7" fillId="5" borderId="0" xfId="0" applyFont="1" applyFill="1" applyBorder="1" applyAlignment="1">
      <alignment horizontal="right"/>
    </xf>
    <xf numFmtId="0" fontId="21" fillId="5" borderId="0" xfId="0" applyFont="1" applyFill="1" applyBorder="1"/>
    <xf numFmtId="2" fontId="7" fillId="5" borderId="0" xfId="0" applyNumberFormat="1" applyFont="1" applyFill="1" applyBorder="1" applyAlignment="1">
      <alignment horizontal="left"/>
    </xf>
    <xf numFmtId="2" fontId="36" fillId="5" borderId="0" xfId="0" applyNumberFormat="1" applyFont="1" applyFill="1" applyBorder="1" applyAlignment="1">
      <alignment horizontal="left"/>
    </xf>
    <xf numFmtId="187" fontId="7" fillId="5" borderId="0" xfId="0" applyNumberFormat="1" applyFont="1" applyFill="1"/>
    <xf numFmtId="2" fontId="7" fillId="9" borderId="0" xfId="0" applyNumberFormat="1" applyFont="1" applyFill="1" applyBorder="1" applyAlignment="1">
      <alignment horizontal="right"/>
    </xf>
    <xf numFmtId="0" fontId="7" fillId="9" borderId="0" xfId="0" applyFont="1" applyFill="1" applyBorder="1" applyAlignment="1">
      <alignment horizontal="right"/>
    </xf>
    <xf numFmtId="0" fontId="7" fillId="5" borderId="0" xfId="0" applyFont="1" applyFill="1" applyBorder="1" applyAlignment="1">
      <alignment wrapText="1"/>
    </xf>
    <xf numFmtId="183" fontId="7" fillId="9" borderId="0" xfId="0" applyNumberFormat="1" applyFont="1" applyFill="1" applyBorder="1" applyAlignment="1">
      <alignment horizontal="right"/>
    </xf>
    <xf numFmtId="0" fontId="7" fillId="5" borderId="5" xfId="0" applyFont="1" applyFill="1" applyBorder="1" applyAlignment="1">
      <alignment wrapText="1"/>
    </xf>
    <xf numFmtId="2" fontId="7" fillId="5" borderId="5" xfId="0" applyNumberFormat="1" applyFont="1" applyFill="1" applyBorder="1" applyAlignment="1">
      <alignment horizontal="left"/>
    </xf>
    <xf numFmtId="186" fontId="7" fillId="5" borderId="5" xfId="0" applyNumberFormat="1" applyFont="1" applyFill="1" applyBorder="1" applyAlignment="1">
      <alignment horizontal="right"/>
    </xf>
    <xf numFmtId="2" fontId="7" fillId="5" borderId="5" xfId="0" applyNumberFormat="1" applyFont="1" applyFill="1" applyBorder="1" applyAlignment="1">
      <alignment horizontal="center"/>
    </xf>
    <xf numFmtId="0" fontId="37" fillId="0" borderId="0" xfId="0" applyFont="1" applyFill="1"/>
    <xf numFmtId="0" fontId="1" fillId="0" borderId="0" xfId="0" applyFont="1" applyFill="1"/>
    <xf numFmtId="0" fontId="3" fillId="6" borderId="3" xfId="0" applyFont="1" applyFill="1" applyBorder="1"/>
    <xf numFmtId="0" fontId="3" fillId="6" borderId="3" xfId="0" applyFont="1" applyFill="1" applyBorder="1" applyAlignment="1">
      <alignment horizontal="center"/>
    </xf>
    <xf numFmtId="0" fontId="37" fillId="5" borderId="0" xfId="0" applyFont="1" applyFill="1" applyBorder="1"/>
    <xf numFmtId="0" fontId="1" fillId="5" borderId="0" xfId="0" applyFont="1" applyFill="1"/>
    <xf numFmtId="0" fontId="0" fillId="16" borderId="0" xfId="0" applyFill="1"/>
    <xf numFmtId="0" fontId="21" fillId="5" borderId="0" xfId="0" applyFont="1" applyFill="1" applyAlignment="1">
      <alignment horizontal="center"/>
    </xf>
    <xf numFmtId="1" fontId="7" fillId="5" borderId="0" xfId="0" applyNumberFormat="1" applyFont="1" applyFill="1" applyAlignment="1">
      <alignment horizontal="center"/>
    </xf>
    <xf numFmtId="183" fontId="7" fillId="5" borderId="0" xfId="0" applyNumberFormat="1" applyFon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7" fillId="5" borderId="0" xfId="0" applyNumberFormat="1" applyFont="1" applyFill="1" applyAlignment="1">
      <alignment horizontal="center"/>
    </xf>
    <xf numFmtId="0" fontId="9" fillId="5" borderId="0" xfId="0" applyFont="1" applyFill="1"/>
    <xf numFmtId="0" fontId="21" fillId="14" borderId="0" xfId="0" applyFont="1" applyFill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2" fontId="1" fillId="5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17" borderId="13" xfId="0" applyFont="1" applyFill="1" applyBorder="1" applyAlignment="1">
      <alignment horizontal="center"/>
    </xf>
    <xf numFmtId="1" fontId="0" fillId="5" borderId="0" xfId="0" applyNumberFormat="1" applyFill="1" applyAlignment="1">
      <alignment horizontal="center"/>
    </xf>
    <xf numFmtId="0" fontId="5" fillId="5" borderId="7" xfId="0" applyFont="1" applyFill="1" applyBorder="1" applyAlignment="1">
      <alignment horizontal="center" wrapText="1"/>
    </xf>
    <xf numFmtId="0" fontId="8" fillId="7" borderId="11" xfId="0" applyNumberFormat="1" applyFont="1" applyFill="1" applyBorder="1" applyAlignment="1"/>
    <xf numFmtId="0" fontId="8" fillId="7" borderId="11" xfId="0" applyNumberFormat="1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5" fillId="5" borderId="12" xfId="0" applyFont="1" applyFill="1" applyBorder="1" applyAlignment="1">
      <alignment horizontal="right" vertical="center" wrapText="1"/>
    </xf>
    <xf numFmtId="2" fontId="5" fillId="9" borderId="12" xfId="0" applyNumberFormat="1" applyFont="1" applyFill="1" applyBorder="1"/>
    <xf numFmtId="0" fontId="5" fillId="9" borderId="12" xfId="0" applyFont="1" applyFill="1" applyBorder="1"/>
    <xf numFmtId="182" fontId="5" fillId="9" borderId="12" xfId="0" applyNumberFormat="1" applyFont="1" applyFill="1" applyBorder="1"/>
    <xf numFmtId="2" fontId="0" fillId="8" borderId="12" xfId="0" applyNumberFormat="1" applyFill="1" applyBorder="1"/>
    <xf numFmtId="182" fontId="0" fillId="8" borderId="16" xfId="0" applyNumberFormat="1" applyFill="1" applyBorder="1"/>
    <xf numFmtId="0" fontId="5" fillId="5" borderId="13" xfId="0" applyFont="1" applyFill="1" applyBorder="1" applyAlignment="1">
      <alignment horizontal="center" vertical="center" wrapText="1"/>
    </xf>
    <xf numFmtId="0" fontId="9" fillId="5" borderId="13" xfId="0" applyFont="1" applyFill="1" applyBorder="1"/>
    <xf numFmtId="0" fontId="5" fillId="5" borderId="13" xfId="0" applyFont="1" applyFill="1" applyBorder="1"/>
    <xf numFmtId="0" fontId="11" fillId="5" borderId="13" xfId="0" applyFont="1" applyFill="1" applyBorder="1"/>
    <xf numFmtId="0" fontId="5" fillId="7" borderId="13" xfId="0" applyFont="1" applyFill="1" applyBorder="1"/>
    <xf numFmtId="0" fontId="5" fillId="5" borderId="17" xfId="0" applyFont="1" applyFill="1" applyBorder="1"/>
    <xf numFmtId="0" fontId="0" fillId="8" borderId="13" xfId="0" applyFill="1" applyBorder="1"/>
    <xf numFmtId="0" fontId="5" fillId="8" borderId="17" xfId="0" applyFont="1" applyFill="1" applyBorder="1"/>
    <xf numFmtId="0" fontId="0" fillId="5" borderId="13" xfId="0" applyFill="1" applyBorder="1"/>
    <xf numFmtId="183" fontId="5" fillId="8" borderId="0" xfId="0" applyNumberFormat="1" applyFont="1" applyFill="1"/>
    <xf numFmtId="2" fontId="5" fillId="8" borderId="0" xfId="0" applyNumberFormat="1" applyFont="1" applyFill="1"/>
    <xf numFmtId="183" fontId="5" fillId="8" borderId="0" xfId="0" applyNumberFormat="1" applyFont="1" applyFill="1" applyBorder="1"/>
    <xf numFmtId="1" fontId="5" fillId="7" borderId="0" xfId="0" applyNumberFormat="1" applyFont="1" applyFill="1"/>
    <xf numFmtId="183" fontId="5" fillId="7" borderId="0" xfId="0" applyNumberFormat="1" applyFont="1" applyFill="1"/>
    <xf numFmtId="188" fontId="0" fillId="5" borderId="0" xfId="0" applyNumberFormat="1" applyFill="1"/>
    <xf numFmtId="183" fontId="0" fillId="5" borderId="18" xfId="0" applyNumberFormat="1" applyFill="1" applyBorder="1"/>
    <xf numFmtId="183" fontId="0" fillId="5" borderId="11" xfId="0" applyNumberFormat="1" applyFill="1" applyBorder="1"/>
    <xf numFmtId="188" fontId="0" fillId="12" borderId="0" xfId="0" applyNumberFormat="1" applyFill="1"/>
    <xf numFmtId="0" fontId="0" fillId="9" borderId="12" xfId="0" applyFill="1" applyBorder="1" applyAlignment="1">
      <alignment horizontal="center"/>
    </xf>
    <xf numFmtId="0" fontId="1" fillId="9" borderId="0" xfId="0" applyFont="1" applyFill="1"/>
    <xf numFmtId="0" fontId="1" fillId="9" borderId="0" xfId="0" applyFont="1" applyFill="1" applyAlignment="1">
      <alignment horizontal="center"/>
    </xf>
    <xf numFmtId="185" fontId="0" fillId="7" borderId="11" xfId="0" applyNumberFormat="1" applyFill="1" applyBorder="1" applyAlignment="1">
      <alignment horizontal="center"/>
    </xf>
    <xf numFmtId="182" fontId="0" fillId="7" borderId="0" xfId="0" applyNumberFormat="1" applyFill="1"/>
    <xf numFmtId="183" fontId="0" fillId="7" borderId="11" xfId="0" applyNumberFormat="1" applyFill="1" applyBorder="1"/>
    <xf numFmtId="183" fontId="0" fillId="7" borderId="0" xfId="0" applyNumberFormat="1" applyFill="1" applyAlignment="1">
      <alignment horizontal="center"/>
    </xf>
    <xf numFmtId="185" fontId="0" fillId="5" borderId="0" xfId="0" applyNumberFormat="1" applyFill="1"/>
    <xf numFmtId="0" fontId="0" fillId="5" borderId="11" xfId="0" applyFill="1" applyBorder="1"/>
    <xf numFmtId="0" fontId="2" fillId="7" borderId="0" xfId="0" applyFont="1" applyFill="1" applyBorder="1" applyAlignment="1">
      <alignment horizontal="left" wrapText="1"/>
    </xf>
    <xf numFmtId="0" fontId="0" fillId="5" borderId="0" xfId="0" applyFill="1" applyBorder="1"/>
    <xf numFmtId="185" fontId="0" fillId="16" borderId="11" xfId="0" applyNumberFormat="1" applyFill="1" applyBorder="1" applyAlignment="1">
      <alignment horizontal="center"/>
    </xf>
    <xf numFmtId="182" fontId="0" fillId="16" borderId="0" xfId="0" applyNumberFormat="1" applyFill="1"/>
    <xf numFmtId="2" fontId="0" fillId="16" borderId="0" xfId="0" applyNumberFormat="1" applyFill="1"/>
    <xf numFmtId="185" fontId="0" fillId="16" borderId="0" xfId="0" applyNumberFormat="1" applyFill="1"/>
    <xf numFmtId="183" fontId="0" fillId="16" borderId="0" xfId="0" applyNumberFormat="1" applyFill="1"/>
    <xf numFmtId="0" fontId="0" fillId="13" borderId="0" xfId="0" applyFill="1" applyBorder="1"/>
    <xf numFmtId="2" fontId="0" fillId="13" borderId="0" xfId="0" applyNumberFormat="1" applyFill="1" applyBorder="1"/>
    <xf numFmtId="0" fontId="2" fillId="13" borderId="0" xfId="0" applyFont="1" applyFill="1" applyBorder="1" applyAlignment="1">
      <alignment horizontal="left" wrapText="1"/>
    </xf>
    <xf numFmtId="0" fontId="0" fillId="16" borderId="11" xfId="0" applyFill="1" applyBorder="1" applyAlignment="1">
      <alignment horizontal="center"/>
    </xf>
    <xf numFmtId="0" fontId="0" fillId="5" borderId="18" xfId="0" applyFill="1" applyBorder="1"/>
    <xf numFmtId="0" fontId="0" fillId="5" borderId="11" xfId="0" applyFill="1" applyBorder="1" applyAlignment="1">
      <alignment horizontal="center"/>
    </xf>
    <xf numFmtId="0" fontId="2" fillId="5" borderId="0" xfId="0" applyFont="1" applyFill="1"/>
    <xf numFmtId="0" fontId="2" fillId="7" borderId="0" xfId="0" applyFont="1" applyFill="1"/>
    <xf numFmtId="2" fontId="0" fillId="7" borderId="0" xfId="0" applyNumberFormat="1" applyFill="1"/>
    <xf numFmtId="2" fontId="0" fillId="13" borderId="0" xfId="0" applyNumberFormat="1" applyFill="1" applyBorder="1" applyAlignment="1"/>
    <xf numFmtId="2" fontId="0" fillId="5" borderId="11" xfId="0" applyNumberFormat="1" applyFill="1" applyBorder="1"/>
    <xf numFmtId="2" fontId="0" fillId="16" borderId="11" xfId="0" applyNumberFormat="1" applyFill="1" applyBorder="1"/>
    <xf numFmtId="0" fontId="3" fillId="0" borderId="0" xfId="0" applyFont="1"/>
    <xf numFmtId="0" fontId="0" fillId="9" borderId="0" xfId="0" applyFill="1" applyBorder="1"/>
    <xf numFmtId="183" fontId="0" fillId="5" borderId="0" xfId="0" applyNumberFormat="1" applyFill="1" applyBorder="1"/>
    <xf numFmtId="2" fontId="0" fillId="9" borderId="0" xfId="0" applyNumberFormat="1" applyFill="1" applyAlignment="1">
      <alignment horizontal="center"/>
    </xf>
    <xf numFmtId="2" fontId="0" fillId="12" borderId="0" xfId="0" applyNumberFormat="1" applyFill="1" applyAlignment="1">
      <alignment horizontal="center"/>
    </xf>
    <xf numFmtId="183" fontId="0" fillId="8" borderId="0" xfId="0" applyNumberFormat="1" applyFill="1" applyAlignment="1">
      <alignment horizontal="center"/>
    </xf>
    <xf numFmtId="2" fontId="0" fillId="5" borderId="12" xfId="0" applyNumberFormat="1" applyFill="1" applyBorder="1"/>
    <xf numFmtId="183" fontId="0" fillId="5" borderId="11" xfId="0" applyNumberFormat="1" applyFill="1" applyBorder="1" applyAlignment="1">
      <alignment horizontal="center"/>
    </xf>
    <xf numFmtId="183" fontId="0" fillId="5" borderId="18" xfId="0" applyNumberFormat="1" applyFill="1" applyBorder="1" applyAlignment="1">
      <alignment horizontal="center"/>
    </xf>
    <xf numFmtId="183" fontId="0" fillId="12" borderId="11" xfId="0" applyNumberFormat="1" applyFill="1" applyBorder="1" applyAlignment="1">
      <alignment horizontal="center"/>
    </xf>
    <xf numFmtId="183" fontId="0" fillId="16" borderId="11" xfId="0" applyNumberFormat="1" applyFill="1" applyBorder="1" applyAlignment="1">
      <alignment horizontal="center"/>
    </xf>
    <xf numFmtId="0" fontId="9" fillId="7" borderId="0" xfId="0" applyFont="1" applyFill="1" applyAlignment="1"/>
    <xf numFmtId="0" fontId="5" fillId="7" borderId="19" xfId="0" applyFont="1" applyFill="1" applyBorder="1"/>
    <xf numFmtId="0" fontId="5" fillId="7" borderId="20" xfId="0" applyFont="1" applyFill="1" applyBorder="1"/>
    <xf numFmtId="0" fontId="5" fillId="7" borderId="11" xfId="0" applyFont="1" applyFill="1" applyBorder="1"/>
    <xf numFmtId="0" fontId="5" fillId="7" borderId="21" xfId="0" applyFont="1" applyFill="1" applyBorder="1"/>
    <xf numFmtId="0" fontId="9" fillId="7" borderId="0" xfId="0" applyFont="1" applyFill="1"/>
    <xf numFmtId="0" fontId="6" fillId="7" borderId="11" xfId="0" applyFont="1" applyFill="1" applyBorder="1"/>
    <xf numFmtId="0" fontId="6" fillId="7" borderId="12" xfId="0" applyFont="1" applyFill="1" applyBorder="1"/>
    <xf numFmtId="0" fontId="6" fillId="7" borderId="0" xfId="0" applyFont="1" applyFill="1" applyAlignment="1">
      <alignment horizontal="center"/>
    </xf>
    <xf numFmtId="183" fontId="5" fillId="7" borderId="0" xfId="0" applyNumberFormat="1" applyFont="1" applyFill="1" applyBorder="1"/>
    <xf numFmtId="0" fontId="8" fillId="7" borderId="22" xfId="0" applyNumberFormat="1" applyFont="1" applyFill="1" applyBorder="1" applyAlignment="1"/>
    <xf numFmtId="0" fontId="5" fillId="7" borderId="23" xfId="0" applyFont="1" applyFill="1" applyBorder="1"/>
    <xf numFmtId="0" fontId="7" fillId="5" borderId="12" xfId="0" applyFont="1" applyFill="1" applyBorder="1"/>
    <xf numFmtId="2" fontId="7" fillId="5" borderId="12" xfId="0" applyNumberFormat="1" applyFont="1" applyFill="1" applyBorder="1"/>
    <xf numFmtId="0" fontId="7" fillId="14" borderId="12" xfId="0" applyFont="1" applyFill="1" applyBorder="1"/>
    <xf numFmtId="182" fontId="7" fillId="13" borderId="12" xfId="0" applyNumberFormat="1" applyFont="1" applyFill="1" applyBorder="1"/>
    <xf numFmtId="182" fontId="7" fillId="14" borderId="12" xfId="0" applyNumberFormat="1" applyFont="1" applyFill="1" applyBorder="1"/>
    <xf numFmtId="0" fontId="7" fillId="14" borderId="13" xfId="0" applyFont="1" applyFill="1" applyBorder="1" applyAlignment="1">
      <alignment horizontal="center"/>
    </xf>
    <xf numFmtId="0" fontId="35" fillId="5" borderId="13" xfId="0" applyFont="1" applyFill="1" applyBorder="1"/>
    <xf numFmtId="1" fontId="33" fillId="5" borderId="0" xfId="0" applyNumberFormat="1" applyFont="1" applyFill="1" applyBorder="1"/>
    <xf numFmtId="183" fontId="33" fillId="5" borderId="0" xfId="0" applyNumberFormat="1" applyFont="1" applyFill="1" applyBorder="1"/>
    <xf numFmtId="182" fontId="0" fillId="7" borderId="0" xfId="0" applyNumberFormat="1" applyFill="1" applyBorder="1"/>
    <xf numFmtId="182" fontId="0" fillId="5" borderId="12" xfId="0" applyNumberFormat="1" applyFill="1" applyBorder="1"/>
    <xf numFmtId="0" fontId="0" fillId="5" borderId="0" xfId="0" applyFill="1" applyProtection="1">
      <protection locked="0"/>
    </xf>
    <xf numFmtId="0" fontId="0" fillId="5" borderId="5" xfId="0" applyFill="1" applyBorder="1"/>
    <xf numFmtId="0" fontId="0" fillId="5" borderId="5" xfId="0" applyFill="1" applyBorder="1" applyAlignment="1">
      <alignment wrapText="1"/>
    </xf>
    <xf numFmtId="0" fontId="0" fillId="5" borderId="17" xfId="0" applyFill="1" applyBorder="1"/>
    <xf numFmtId="0" fontId="0" fillId="5" borderId="5" xfId="0" applyFill="1" applyBorder="1" applyProtection="1">
      <protection locked="0"/>
    </xf>
    <xf numFmtId="2" fontId="5" fillId="5" borderId="12" xfId="0" applyNumberFormat="1" applyFont="1" applyFill="1" applyBorder="1"/>
    <xf numFmtId="0" fontId="5" fillId="5" borderId="12" xfId="0" applyFont="1" applyFill="1" applyBorder="1"/>
    <xf numFmtId="2" fontId="5" fillId="5" borderId="0" xfId="0" applyNumberFormat="1" applyFont="1" applyFill="1" applyBorder="1" applyAlignment="1">
      <alignment horizontal="left"/>
    </xf>
    <xf numFmtId="0" fontId="5" fillId="5" borderId="0" xfId="0" applyFont="1" applyFill="1" applyBorder="1" applyAlignment="1">
      <alignment horizontal="left" vertical="center"/>
    </xf>
    <xf numFmtId="0" fontId="5" fillId="5" borderId="13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right"/>
    </xf>
    <xf numFmtId="2" fontId="5" fillId="5" borderId="12" xfId="0" applyNumberFormat="1" applyFont="1" applyFill="1" applyBorder="1" applyAlignment="1">
      <alignment horizontal="right"/>
    </xf>
    <xf numFmtId="2" fontId="5" fillId="5" borderId="0" xfId="0" applyNumberFormat="1" applyFont="1" applyFill="1" applyBorder="1" applyAlignment="1">
      <alignment horizontal="right"/>
    </xf>
    <xf numFmtId="0" fontId="5" fillId="5" borderId="0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182" fontId="5" fillId="5" borderId="12" xfId="0" applyNumberFormat="1" applyFont="1" applyFill="1" applyBorder="1" applyAlignment="1">
      <alignment horizontal="right"/>
    </xf>
    <xf numFmtId="0" fontId="5" fillId="5" borderId="16" xfId="0" applyFont="1" applyFill="1" applyBorder="1"/>
    <xf numFmtId="182" fontId="0" fillId="5" borderId="0" xfId="0" applyNumberFormat="1" applyFill="1" applyBorder="1"/>
    <xf numFmtId="2" fontId="0" fillId="5" borderId="0" xfId="0" applyNumberFormat="1" applyFill="1" applyBorder="1"/>
    <xf numFmtId="0" fontId="5" fillId="5" borderId="12" xfId="0" applyFont="1" applyFill="1" applyBorder="1" applyAlignment="1">
      <alignment horizontal="center" vertical="center" wrapText="1"/>
    </xf>
    <xf numFmtId="1" fontId="0" fillId="5" borderId="12" xfId="0" applyNumberFormat="1" applyFill="1" applyBorder="1"/>
    <xf numFmtId="183" fontId="5" fillId="5" borderId="0" xfId="0" applyNumberFormat="1" applyFont="1" applyFill="1" applyBorder="1" applyAlignment="1">
      <alignment horizontal="center" vertical="center" wrapText="1"/>
    </xf>
    <xf numFmtId="183" fontId="0" fillId="5" borderId="12" xfId="0" applyNumberFormat="1" applyFill="1" applyBorder="1"/>
    <xf numFmtId="183" fontId="0" fillId="5" borderId="0" xfId="0" applyNumberFormat="1" applyFill="1" applyBorder="1" applyAlignment="1">
      <alignment horizontal="center"/>
    </xf>
    <xf numFmtId="183" fontId="10" fillId="5" borderId="0" xfId="0" applyNumberFormat="1" applyFont="1" applyFill="1" applyBorder="1" applyAlignment="1" applyProtection="1">
      <alignment horizontal="center"/>
      <protection locked="0"/>
    </xf>
    <xf numFmtId="183" fontId="0" fillId="5" borderId="0" xfId="0" applyNumberFormat="1" applyFill="1" applyBorder="1" applyAlignment="1" applyProtection="1">
      <alignment horizontal="center"/>
      <protection locked="0"/>
    </xf>
    <xf numFmtId="183" fontId="10" fillId="5" borderId="0" xfId="0" applyNumberFormat="1" applyFont="1" applyFill="1" applyBorder="1" applyAlignment="1">
      <alignment horizontal="center"/>
    </xf>
    <xf numFmtId="183" fontId="9" fillId="5" borderId="0" xfId="0" applyNumberFormat="1" applyFont="1" applyFill="1" applyBorder="1" applyAlignment="1">
      <alignment horizontal="center"/>
    </xf>
    <xf numFmtId="183" fontId="5" fillId="5" borderId="0" xfId="0" applyNumberFormat="1" applyFont="1" applyFill="1" applyBorder="1" applyAlignment="1">
      <alignment horizontal="center" vertical="center"/>
    </xf>
    <xf numFmtId="1" fontId="0" fillId="5" borderId="12" xfId="0" applyNumberFormat="1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5" fillId="5" borderId="12" xfId="0" applyFont="1" applyFill="1" applyBorder="1" applyAlignment="1">
      <alignment horizontal="right"/>
    </xf>
    <xf numFmtId="0" fontId="10" fillId="5" borderId="12" xfId="0" applyFont="1" applyFill="1" applyBorder="1"/>
    <xf numFmtId="0" fontId="10" fillId="8" borderId="12" xfId="0" applyFont="1" applyFill="1" applyBorder="1"/>
    <xf numFmtId="0" fontId="0" fillId="8" borderId="16" xfId="0" applyFill="1" applyBorder="1" applyProtection="1">
      <protection locked="0"/>
    </xf>
    <xf numFmtId="182" fontId="7" fillId="14" borderId="0" xfId="0" applyNumberFormat="1" applyFont="1" applyFill="1"/>
    <xf numFmtId="1" fontId="5" fillId="12" borderId="0" xfId="0" applyNumberFormat="1" applyFont="1" applyFill="1"/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24" xfId="0" applyFont="1" applyFill="1" applyBorder="1"/>
    <xf numFmtId="0" fontId="5" fillId="5" borderId="12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183" fontId="0" fillId="5" borderId="12" xfId="0" applyNumberForma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5" fillId="5" borderId="25" xfId="0" applyFont="1" applyFill="1" applyBorder="1"/>
    <xf numFmtId="2" fontId="5" fillId="5" borderId="15" xfId="0" applyNumberFormat="1" applyFont="1" applyFill="1" applyBorder="1" applyAlignment="1">
      <alignment horizontal="center"/>
    </xf>
    <xf numFmtId="2" fontId="5" fillId="5" borderId="15" xfId="0" applyNumberFormat="1" applyFont="1" applyFill="1" applyBorder="1"/>
    <xf numFmtId="0" fontId="5" fillId="5" borderId="15" xfId="0" applyFont="1" applyFill="1" applyBorder="1" applyAlignment="1">
      <alignment horizontal="center"/>
    </xf>
    <xf numFmtId="182" fontId="7" fillId="9" borderId="0" xfId="0" applyNumberFormat="1" applyFont="1" applyFill="1" applyBorder="1"/>
    <xf numFmtId="2" fontId="7" fillId="9" borderId="0" xfId="0" applyNumberFormat="1" applyFont="1" applyFill="1" applyBorder="1"/>
    <xf numFmtId="2" fontId="7" fillId="9" borderId="0" xfId="0" applyNumberFormat="1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0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82" fontId="7" fillId="5" borderId="0" xfId="0" applyNumberFormat="1" applyFont="1" applyFill="1" applyBorder="1"/>
    <xf numFmtId="188" fontId="0" fillId="7" borderId="0" xfId="0" applyNumberFormat="1" applyFill="1"/>
    <xf numFmtId="0" fontId="42" fillId="5" borderId="0" xfId="0" applyFont="1" applyFill="1"/>
    <xf numFmtId="0" fontId="0" fillId="16" borderId="0" xfId="0" applyFont="1" applyFill="1"/>
    <xf numFmtId="0" fontId="19" fillId="16" borderId="0" xfId="0" applyFont="1" applyFill="1"/>
    <xf numFmtId="0" fontId="43" fillId="5" borderId="0" xfId="0" applyFont="1" applyFill="1" applyBorder="1" applyAlignment="1">
      <alignment horizontal="center" vertical="center" wrapText="1"/>
    </xf>
    <xf numFmtId="0" fontId="44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16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185" fontId="0" fillId="12" borderId="11" xfId="0" applyNumberFormat="1" applyFill="1" applyBorder="1" applyAlignment="1">
      <alignment horizontal="center"/>
    </xf>
    <xf numFmtId="0" fontId="3" fillId="8" borderId="0" xfId="0" applyFont="1" applyFill="1"/>
    <xf numFmtId="2" fontId="7" fillId="9" borderId="5" xfId="0" applyNumberFormat="1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5" fillId="5" borderId="0" xfId="0" applyFont="1" applyFill="1" applyBorder="1" applyAlignment="1">
      <alignment vertical="center" wrapText="1"/>
    </xf>
    <xf numFmtId="182" fontId="7" fillId="5" borderId="0" xfId="0" applyNumberFormat="1" applyFont="1" applyFill="1"/>
    <xf numFmtId="0" fontId="45" fillId="0" borderId="0" xfId="0" applyFont="1"/>
    <xf numFmtId="0" fontId="5" fillId="5" borderId="26" xfId="0" applyFont="1" applyFill="1" applyBorder="1"/>
    <xf numFmtId="0" fontId="5" fillId="5" borderId="27" xfId="0" applyFont="1" applyFill="1" applyBorder="1"/>
    <xf numFmtId="0" fontId="5" fillId="5" borderId="28" xfId="0" applyFont="1" applyFill="1" applyBorder="1"/>
    <xf numFmtId="1" fontId="5" fillId="5" borderId="26" xfId="0" applyNumberFormat="1" applyFont="1" applyFill="1" applyBorder="1"/>
    <xf numFmtId="182" fontId="5" fillId="5" borderId="26" xfId="0" applyNumberFormat="1" applyFont="1" applyFill="1" applyBorder="1"/>
    <xf numFmtId="0" fontId="9" fillId="5" borderId="26" xfId="0" applyFont="1" applyFill="1" applyBorder="1"/>
  </cellXfs>
  <cellStyles count="16">
    <cellStyle name="Bad 2" xfId="1"/>
    <cellStyle name="Colore 2" xfId="2"/>
    <cellStyle name="Comma 2" xfId="3"/>
    <cellStyle name="Normal" xfId="0" builtinId="0"/>
    <cellStyle name="Normal 10" xfId="4"/>
    <cellStyle name="Normal 13" xfId="5"/>
    <cellStyle name="Normal 2" xfId="6"/>
    <cellStyle name="Normal 3" xfId="7"/>
    <cellStyle name="Normal 3 2" xfId="8"/>
    <cellStyle name="Normal 4" xfId="9"/>
    <cellStyle name="Normal 5" xfId="10"/>
    <cellStyle name="Normal_SUBRES_B-NTech-BE" xfId="11"/>
    <cellStyle name="Normale_Scen_UC_IND-StrucConst" xfId="12"/>
    <cellStyle name="Percent 2" xfId="13"/>
    <cellStyle name="Percent 3" xfId="14"/>
    <cellStyle name="Valore valido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12</xdr:row>
      <xdr:rowOff>0</xdr:rowOff>
    </xdr:from>
    <xdr:to>
      <xdr:col>28</xdr:col>
      <xdr:colOff>2517</xdr:colOff>
      <xdr:row>19</xdr:row>
      <xdr:rowOff>0</xdr:rowOff>
    </xdr:to>
    <xdr:sp macro="" textlink="">
      <xdr:nvSpPr>
        <xdr:cNvPr id="10252" name="Text Box 12"/>
        <xdr:cNvSpPr txBox="1">
          <a:spLocks noChangeArrowheads="1"/>
        </xdr:cNvSpPr>
      </xdr:nvSpPr>
      <xdr:spPr bwMode="auto">
        <a:xfrm>
          <a:off x="13430250" y="2428875"/>
          <a:ext cx="5448300" cy="1133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Gas and electrical inputs as well as levelized cost are all per ton CO2 capture from the atmosphere. b Non-energy O&amp;M expressed as fixed per unit of capacity with variable costs including cost of make-up streams included and converted equivalent fixed costs using 90% utilization. c CRF is the average capital recovery factor defined in the section on Process Economics. Calculations assume NG at 3.5 $/GJ and a 90% utilization. For the C and D variants levelized costs are shown as a range using electricity at 30 and 60 $/MWhr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AGE\saic_technology\ResCOM\New%20Microsoft%20Excel%20Workshee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endat\u5439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endat\u5439\SAGE\saic_technology\ResCOM\New%20Microsoft%20Excel%20Workshee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EP\PACK\UpJan\Backup\TMPL_R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jects\EFDA\TECHS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Administrator\Desktop\TMPL_R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emphold\TMPL_RE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_Emi"/>
      <sheetName val="AGR"/>
      <sheetName val="RES_Fuels"/>
      <sheetName val="RES_Emi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OM_Emi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</sheetNames>
    <sheetDataSet>
      <sheetData sheetId="0" refreshError="1"/>
      <sheetData sheetId="1" refreshError="1"/>
      <sheetData sheetId="2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3"/>
  <dimension ref="B1:BK364"/>
  <sheetViews>
    <sheetView zoomScale="75" workbookViewId="0">
      <pane xSplit="5" ySplit="5" topLeftCell="Y6" activePane="bottomRight" state="frozen"/>
      <selection pane="topRight" activeCell="F1" sqref="F1"/>
      <selection pane="bottomLeft" activeCell="A6" sqref="A6"/>
      <selection pane="bottomRight" activeCell="C1" sqref="C1"/>
    </sheetView>
  </sheetViews>
  <sheetFormatPr defaultRowHeight="12.75"/>
  <cols>
    <col min="1" max="1" width="3.85546875" customWidth="1"/>
    <col min="2" max="2" width="7.140625" customWidth="1"/>
    <col min="3" max="3" width="16.85546875" customWidth="1"/>
    <col min="4" max="4" width="34.7109375" customWidth="1"/>
    <col min="5" max="5" width="9.28515625" customWidth="1"/>
    <col min="6" max="6" width="8.5703125" customWidth="1"/>
    <col min="7" max="7" width="8" customWidth="1"/>
    <col min="8" max="8" width="7" customWidth="1"/>
    <col min="9" max="10" width="7.5703125" customWidth="1"/>
    <col min="11" max="18" width="7.7109375" customWidth="1"/>
    <col min="19" max="20" width="6.28515625" customWidth="1"/>
    <col min="21" max="21" width="17.5703125" customWidth="1"/>
    <col min="22" max="22" width="8" customWidth="1"/>
    <col min="23" max="24" width="8.7109375" customWidth="1"/>
    <col min="25" max="30" width="7.7109375" customWidth="1"/>
    <col min="31" max="31" width="15.140625" customWidth="1"/>
    <col min="32" max="32" width="6.42578125" customWidth="1"/>
    <col min="35" max="39" width="7.7109375" customWidth="1"/>
    <col min="40" max="40" width="16.85546875" customWidth="1"/>
    <col min="41" max="41" width="7.7109375" customWidth="1"/>
    <col min="42" max="42" width="7.140625" customWidth="1"/>
    <col min="44" max="44" width="8.140625" customWidth="1"/>
    <col min="45" max="45" width="8.5703125" customWidth="1"/>
    <col min="46" max="50" width="7.5703125" customWidth="1"/>
    <col min="55" max="55" width="8.140625" customWidth="1"/>
    <col min="56" max="56" width="17.140625" customWidth="1"/>
    <col min="58" max="60" width="6.140625" customWidth="1"/>
    <col min="61" max="61" width="8" customWidth="1"/>
    <col min="63" max="63" width="8.140625" customWidth="1"/>
  </cols>
  <sheetData>
    <row r="1" spans="2:50">
      <c r="B1" s="15"/>
      <c r="F1" s="416" t="s">
        <v>507</v>
      </c>
      <c r="G1" s="416">
        <v>2010</v>
      </c>
    </row>
    <row r="2" spans="2:50">
      <c r="B2" s="15"/>
    </row>
    <row r="3" spans="2:50">
      <c r="B3" s="15"/>
    </row>
    <row r="4" spans="2:50" ht="18" customHeight="1">
      <c r="G4" s="97" t="s">
        <v>255</v>
      </c>
      <c r="V4" s="97" t="s">
        <v>107</v>
      </c>
      <c r="AF4" s="97" t="s">
        <v>256</v>
      </c>
      <c r="AO4" s="97"/>
      <c r="AP4" s="97" t="s">
        <v>210</v>
      </c>
    </row>
    <row r="5" spans="2:50" ht="24.75" thickBot="1">
      <c r="C5" s="28" t="s">
        <v>555</v>
      </c>
      <c r="D5" s="28" t="s">
        <v>556</v>
      </c>
      <c r="E5" s="28" t="s">
        <v>557</v>
      </c>
      <c r="F5" s="28" t="s">
        <v>48</v>
      </c>
      <c r="G5" s="98" t="s">
        <v>33</v>
      </c>
      <c r="H5" s="98" t="s">
        <v>97</v>
      </c>
      <c r="I5" s="28" t="s">
        <v>257</v>
      </c>
      <c r="J5" s="28" t="s">
        <v>102</v>
      </c>
      <c r="K5" s="28" t="s">
        <v>139</v>
      </c>
      <c r="L5" s="28">
        <v>2015</v>
      </c>
      <c r="M5" s="28">
        <v>2020</v>
      </c>
      <c r="N5" s="28">
        <v>2030</v>
      </c>
      <c r="O5" s="28">
        <v>2040</v>
      </c>
      <c r="P5" s="28">
        <v>2050</v>
      </c>
      <c r="Q5" s="28">
        <v>2080</v>
      </c>
      <c r="R5" s="104" t="s">
        <v>559</v>
      </c>
      <c r="S5" s="104" t="s">
        <v>142</v>
      </c>
      <c r="U5" s="100" t="s">
        <v>555</v>
      </c>
      <c r="V5" s="105" t="s">
        <v>33</v>
      </c>
      <c r="W5" s="28">
        <v>2015</v>
      </c>
      <c r="X5" s="28">
        <v>2020</v>
      </c>
      <c r="Y5" s="28">
        <v>2030</v>
      </c>
      <c r="Z5" s="28">
        <v>2040</v>
      </c>
      <c r="AA5" s="28">
        <v>2050</v>
      </c>
      <c r="AB5" s="99">
        <v>2080</v>
      </c>
      <c r="AC5" s="101" t="s">
        <v>100</v>
      </c>
      <c r="AE5" s="102" t="s">
        <v>555</v>
      </c>
      <c r="AF5" s="105" t="s">
        <v>604</v>
      </c>
      <c r="AG5" s="17">
        <v>2015</v>
      </c>
      <c r="AH5" s="17">
        <v>2020</v>
      </c>
      <c r="AI5" s="17">
        <v>2030</v>
      </c>
      <c r="AJ5" s="17">
        <v>2040</v>
      </c>
      <c r="AK5" s="17">
        <v>2050</v>
      </c>
      <c r="AL5" s="101">
        <v>2080</v>
      </c>
      <c r="AN5" s="100" t="s">
        <v>555</v>
      </c>
      <c r="AO5" s="105" t="s">
        <v>557</v>
      </c>
      <c r="AP5" s="105" t="s">
        <v>604</v>
      </c>
      <c r="AQ5" s="105" t="s">
        <v>559</v>
      </c>
      <c r="AR5" s="17">
        <v>2015</v>
      </c>
      <c r="AS5" s="17">
        <v>2030</v>
      </c>
      <c r="AT5" s="17">
        <v>2050</v>
      </c>
      <c r="AU5" s="101">
        <v>2080</v>
      </c>
      <c r="AV5" s="101" t="s">
        <v>152</v>
      </c>
      <c r="AW5" s="100" t="s">
        <v>629</v>
      </c>
      <c r="AX5" s="100" t="s">
        <v>258</v>
      </c>
    </row>
    <row r="6" spans="2:50">
      <c r="C6" s="19" t="s">
        <v>259</v>
      </c>
      <c r="D6" s="19" t="s">
        <v>260</v>
      </c>
      <c r="E6" s="19" t="s">
        <v>261</v>
      </c>
      <c r="F6" s="19" t="s">
        <v>251</v>
      </c>
      <c r="G6" s="177" t="s">
        <v>621</v>
      </c>
      <c r="H6" s="19">
        <v>2012</v>
      </c>
      <c r="I6" s="142">
        <v>3.1536000000000002E-2</v>
      </c>
      <c r="J6" s="19">
        <v>0.95</v>
      </c>
      <c r="K6" s="19">
        <v>30</v>
      </c>
      <c r="L6" s="283">
        <v>1.9112305556813307</v>
      </c>
      <c r="M6" s="283">
        <v>1.7529388946328182</v>
      </c>
      <c r="N6" s="283">
        <v>1.6459813853088192</v>
      </c>
      <c r="O6" s="283" t="s">
        <v>108</v>
      </c>
      <c r="P6" s="283">
        <v>1.5000270886321367</v>
      </c>
      <c r="Q6" s="283" t="s">
        <v>108</v>
      </c>
      <c r="R6" s="128"/>
      <c r="S6" s="19"/>
      <c r="T6" s="107"/>
      <c r="U6" s="19" t="s">
        <v>259</v>
      </c>
      <c r="V6" s="323" t="s">
        <v>621</v>
      </c>
      <c r="W6" s="79">
        <v>0.12151999999999999</v>
      </c>
      <c r="X6" s="79" t="s">
        <v>108</v>
      </c>
      <c r="Y6" s="79" t="s">
        <v>108</v>
      </c>
      <c r="Z6" s="79" t="s">
        <v>108</v>
      </c>
      <c r="AA6" s="79">
        <v>9.9199999999999997E-2</v>
      </c>
      <c r="AB6" s="19"/>
      <c r="AC6" s="284">
        <v>1.3777777777777778</v>
      </c>
      <c r="AD6" s="107"/>
      <c r="AE6" s="19" t="s">
        <v>259</v>
      </c>
      <c r="AF6" s="307" t="s">
        <v>603</v>
      </c>
      <c r="AG6" s="131">
        <v>0.39051297412023189</v>
      </c>
      <c r="AH6" s="131">
        <v>0.41808686110164056</v>
      </c>
      <c r="AI6" s="131">
        <v>0.42995042106336911</v>
      </c>
      <c r="AJ6" s="131" t="s">
        <v>108</v>
      </c>
      <c r="AK6" s="131">
        <v>0.44329174784532765</v>
      </c>
      <c r="AL6" s="131"/>
      <c r="AM6" s="107"/>
      <c r="AN6" s="288" t="s">
        <v>211</v>
      </c>
      <c r="AO6" s="288"/>
      <c r="AP6" s="288"/>
      <c r="AQ6" s="289">
        <v>0</v>
      </c>
      <c r="AR6" s="289">
        <v>0</v>
      </c>
      <c r="AS6" s="289">
        <v>0</v>
      </c>
      <c r="AT6" s="289">
        <v>0</v>
      </c>
      <c r="AU6" s="289">
        <v>0</v>
      </c>
      <c r="AV6" s="289">
        <v>0</v>
      </c>
      <c r="AW6" s="289">
        <v>0</v>
      </c>
      <c r="AX6" s="289">
        <v>0</v>
      </c>
    </row>
    <row r="7" spans="2:50">
      <c r="C7" s="19" t="s">
        <v>263</v>
      </c>
      <c r="D7" s="19" t="s">
        <v>264</v>
      </c>
      <c r="E7" s="19" t="s">
        <v>261</v>
      </c>
      <c r="F7" s="19" t="s">
        <v>32</v>
      </c>
      <c r="G7" s="177" t="s">
        <v>621</v>
      </c>
      <c r="H7" s="19">
        <v>2012</v>
      </c>
      <c r="I7" s="142">
        <v>3.1536000000000002E-2</v>
      </c>
      <c r="J7" s="19">
        <v>0.95</v>
      </c>
      <c r="K7" s="19">
        <v>30</v>
      </c>
      <c r="L7" s="283">
        <v>1.8566531508486559</v>
      </c>
      <c r="M7" s="283">
        <v>1.8074001335094982</v>
      </c>
      <c r="N7" s="283">
        <v>1.7648517032919624</v>
      </c>
      <c r="O7" s="283" t="s">
        <v>108</v>
      </c>
      <c r="P7" s="283">
        <v>1.6939518016914621</v>
      </c>
      <c r="Q7" s="283" t="s">
        <v>108</v>
      </c>
      <c r="R7" s="128"/>
      <c r="S7" s="19"/>
      <c r="T7" s="107"/>
      <c r="U7" s="19" t="str">
        <f t="shared" ref="U7:U44" si="0">$C7</f>
        <v>EBIOIGC-05</v>
      </c>
      <c r="V7" s="322" t="s">
        <v>621</v>
      </c>
      <c r="W7" s="79">
        <v>7.5639999999999999E-2</v>
      </c>
      <c r="X7" s="79" t="s">
        <v>108</v>
      </c>
      <c r="Y7" s="79" t="s">
        <v>108</v>
      </c>
      <c r="Z7" s="79" t="s">
        <v>108</v>
      </c>
      <c r="AA7" s="79">
        <v>4.9599999999999998E-2</v>
      </c>
      <c r="AB7" s="19"/>
      <c r="AC7" s="285">
        <v>2.0666666666666664</v>
      </c>
      <c r="AD7" s="107"/>
      <c r="AE7" s="19" t="str">
        <f t="shared" ref="AE7:AE43" si="1">$C7</f>
        <v>EBIOIGC-05</v>
      </c>
      <c r="AF7" s="295" t="s">
        <v>603</v>
      </c>
      <c r="AG7" s="131">
        <v>0.44271816376832462</v>
      </c>
      <c r="AH7" s="131">
        <v>0.48132160554229669</v>
      </c>
      <c r="AI7" s="131">
        <v>0.49793058948871677</v>
      </c>
      <c r="AJ7" s="131" t="s">
        <v>108</v>
      </c>
      <c r="AK7" s="131">
        <v>0.51660844698345876</v>
      </c>
      <c r="AL7" s="131"/>
      <c r="AM7" s="107"/>
      <c r="AN7" s="171" t="s">
        <v>211</v>
      </c>
      <c r="AO7" s="171"/>
      <c r="AP7" s="171"/>
      <c r="AQ7" s="171"/>
      <c r="AR7" s="171"/>
      <c r="AS7" s="171"/>
      <c r="AT7" s="171"/>
      <c r="AU7" s="171"/>
      <c r="AV7" s="171"/>
      <c r="AW7" s="171"/>
      <c r="AX7" s="171"/>
    </row>
    <row r="8" spans="2:50">
      <c r="C8" s="19" t="s">
        <v>265</v>
      </c>
      <c r="D8" s="19" t="s">
        <v>266</v>
      </c>
      <c r="E8" s="19" t="s">
        <v>286</v>
      </c>
      <c r="F8" s="19" t="s">
        <v>32</v>
      </c>
      <c r="G8" s="177" t="s">
        <v>621</v>
      </c>
      <c r="H8" s="19">
        <v>2012</v>
      </c>
      <c r="I8" s="142">
        <v>3.1536000000000002E-2</v>
      </c>
      <c r="J8" s="19">
        <v>0.95</v>
      </c>
      <c r="K8" s="19">
        <v>30</v>
      </c>
      <c r="L8" s="283">
        <v>2.1152471953578331</v>
      </c>
      <c r="M8" s="283">
        <v>2.0802401837524176</v>
      </c>
      <c r="N8" s="283">
        <v>2.0452331721470021</v>
      </c>
      <c r="O8" s="283" t="s">
        <v>108</v>
      </c>
      <c r="P8" s="283">
        <v>1.9752191489361701</v>
      </c>
      <c r="Q8" s="283">
        <v>1.9752191489361701</v>
      </c>
      <c r="R8" s="128"/>
      <c r="S8" s="19"/>
      <c r="T8" s="107"/>
      <c r="U8" s="19" t="str">
        <f t="shared" si="0"/>
        <v>EBIOCFB-05</v>
      </c>
      <c r="V8" s="322" t="s">
        <v>621</v>
      </c>
      <c r="W8" s="79">
        <v>7.4400000000000008E-2</v>
      </c>
      <c r="X8" s="79" t="s">
        <v>108</v>
      </c>
      <c r="Y8" s="79" t="s">
        <v>108</v>
      </c>
      <c r="Z8" s="79" t="s">
        <v>108</v>
      </c>
      <c r="AA8" s="79" t="s">
        <v>108</v>
      </c>
      <c r="AB8" s="19"/>
      <c r="AC8" s="285">
        <v>3.72</v>
      </c>
      <c r="AD8" s="107"/>
      <c r="AE8" s="19" t="str">
        <f t="shared" si="1"/>
        <v>EBIOCFB-05</v>
      </c>
      <c r="AF8" s="295" t="s">
        <v>603</v>
      </c>
      <c r="AG8" s="131">
        <v>0.39</v>
      </c>
      <c r="AH8" s="131">
        <v>0.41808686110164056</v>
      </c>
      <c r="AI8" s="131">
        <v>0.43</v>
      </c>
      <c r="AJ8" s="131" t="s">
        <v>108</v>
      </c>
      <c r="AK8" s="131">
        <v>0.44329174784532765</v>
      </c>
      <c r="AL8" s="131"/>
      <c r="AM8" s="107"/>
      <c r="AN8" s="171" t="s">
        <v>211</v>
      </c>
      <c r="AO8" s="171"/>
      <c r="AP8" s="171"/>
      <c r="AQ8" s="171"/>
      <c r="AR8" s="171"/>
      <c r="AS8" s="171"/>
      <c r="AT8" s="171"/>
      <c r="AU8" s="171"/>
      <c r="AV8" s="171"/>
      <c r="AW8" s="171"/>
      <c r="AX8" s="171"/>
    </row>
    <row r="9" spans="2:50">
      <c r="C9" s="19" t="s">
        <v>268</v>
      </c>
      <c r="D9" s="19" t="s">
        <v>269</v>
      </c>
      <c r="E9" s="19" t="s">
        <v>286</v>
      </c>
      <c r="F9" s="19" t="s">
        <v>32</v>
      </c>
      <c r="G9" s="177" t="s">
        <v>621</v>
      </c>
      <c r="H9" s="19">
        <v>2025</v>
      </c>
      <c r="I9" s="142">
        <v>3.1536000000000002E-2</v>
      </c>
      <c r="J9" s="19">
        <v>0.95</v>
      </c>
      <c r="K9" s="19">
        <v>35</v>
      </c>
      <c r="L9" s="283">
        <v>3.2997856247582202</v>
      </c>
      <c r="M9" s="283">
        <v>3.1212707450377311</v>
      </c>
      <c r="N9" s="283">
        <v>2.9515772257987694</v>
      </c>
      <c r="O9" s="283" t="s">
        <v>108</v>
      </c>
      <c r="P9" s="283">
        <v>2.756990096304591</v>
      </c>
      <c r="Q9" s="283">
        <v>2.6370194569652288</v>
      </c>
      <c r="R9" s="128"/>
      <c r="S9" s="19"/>
      <c r="T9" s="107"/>
      <c r="U9" s="19" t="str">
        <f t="shared" si="0"/>
        <v>EBIOPFB+05</v>
      </c>
      <c r="V9" s="322" t="s">
        <v>621</v>
      </c>
      <c r="W9" s="79">
        <v>7.4400000000000008E-2</v>
      </c>
      <c r="X9" s="79" t="s">
        <v>108</v>
      </c>
      <c r="Y9" s="79" t="s">
        <v>108</v>
      </c>
      <c r="Z9" s="79" t="s">
        <v>108</v>
      </c>
      <c r="AA9" s="79" t="s">
        <v>108</v>
      </c>
      <c r="AB9" s="19"/>
      <c r="AC9" s="285">
        <v>2.48</v>
      </c>
      <c r="AD9" s="107"/>
      <c r="AE9" s="19" t="str">
        <f t="shared" si="1"/>
        <v>EBIOPFB+05</v>
      </c>
      <c r="AF9" s="295" t="s">
        <v>603</v>
      </c>
      <c r="AG9" s="131">
        <v>0.29249999999999998</v>
      </c>
      <c r="AH9" s="131">
        <v>0.329670092739829</v>
      </c>
      <c r="AI9" s="131">
        <v>0.35647842774323474</v>
      </c>
      <c r="AJ9" s="131" t="s">
        <v>108</v>
      </c>
      <c r="AK9" s="131">
        <v>0.38361785871230281</v>
      </c>
      <c r="AL9" s="131"/>
      <c r="AM9" s="107"/>
      <c r="AN9" s="171" t="s">
        <v>211</v>
      </c>
      <c r="AO9" s="171"/>
      <c r="AP9" s="171"/>
      <c r="AQ9" s="171"/>
      <c r="AR9" s="171"/>
      <c r="AS9" s="171"/>
      <c r="AT9" s="171"/>
      <c r="AU9" s="171"/>
      <c r="AV9" s="171"/>
      <c r="AW9" s="171"/>
      <c r="AX9" s="171"/>
    </row>
    <row r="10" spans="2:50">
      <c r="C10" s="19" t="s">
        <v>270</v>
      </c>
      <c r="D10" s="19" t="s">
        <v>271</v>
      </c>
      <c r="E10" s="19" t="s">
        <v>261</v>
      </c>
      <c r="F10" s="19" t="s">
        <v>32</v>
      </c>
      <c r="G10" s="177" t="s">
        <v>621</v>
      </c>
      <c r="H10" s="19">
        <v>2012</v>
      </c>
      <c r="I10" s="142">
        <v>3.1536000000000002E-2</v>
      </c>
      <c r="J10" s="19">
        <v>0.95</v>
      </c>
      <c r="K10" s="19">
        <v>20</v>
      </c>
      <c r="L10" s="283">
        <v>3.2723459264420134</v>
      </c>
      <c r="M10" s="283">
        <v>2.817336451524965</v>
      </c>
      <c r="N10" s="283">
        <v>2.560524933157875</v>
      </c>
      <c r="O10" s="283" t="s">
        <v>108</v>
      </c>
      <c r="P10" s="283">
        <v>2.242352256850257</v>
      </c>
      <c r="Q10" s="283" t="s">
        <v>108</v>
      </c>
      <c r="R10" s="128"/>
      <c r="S10" s="19"/>
      <c r="T10" s="107"/>
      <c r="U10" s="19" t="str">
        <f t="shared" si="0"/>
        <v>EBIOSFC-D5</v>
      </c>
      <c r="V10" s="322" t="s">
        <v>621</v>
      </c>
      <c r="W10" s="79">
        <v>0.248</v>
      </c>
      <c r="X10" s="79" t="s">
        <v>108</v>
      </c>
      <c r="Y10" s="79" t="s">
        <v>108</v>
      </c>
      <c r="Z10" s="79" t="s">
        <v>108</v>
      </c>
      <c r="AA10" s="79">
        <v>9.2999999999999999E-2</v>
      </c>
      <c r="AB10" s="19"/>
      <c r="AC10" s="285">
        <v>1.24</v>
      </c>
      <c r="AD10" s="107"/>
      <c r="AE10" s="19" t="str">
        <f t="shared" si="1"/>
        <v>EBIOSFC-D5</v>
      </c>
      <c r="AF10" s="295" t="s">
        <v>603</v>
      </c>
      <c r="AG10" s="131">
        <v>0.49069095744039454</v>
      </c>
      <c r="AH10" s="131">
        <v>0.52842395100208905</v>
      </c>
      <c r="AI10" s="131">
        <v>0.55527512267759727</v>
      </c>
      <c r="AJ10" s="131" t="s">
        <v>108</v>
      </c>
      <c r="AK10" s="131">
        <v>0.593197511050505</v>
      </c>
      <c r="AL10" s="131"/>
      <c r="AM10" s="107"/>
      <c r="AN10" s="171" t="s">
        <v>211</v>
      </c>
      <c r="AO10" s="171"/>
      <c r="AP10" s="171"/>
      <c r="AQ10" s="171"/>
      <c r="AR10" s="171"/>
      <c r="AS10" s="171"/>
      <c r="AT10" s="171"/>
      <c r="AU10" s="171"/>
      <c r="AV10" s="171"/>
      <c r="AW10" s="171"/>
      <c r="AX10" s="171"/>
    </row>
    <row r="11" spans="2:50">
      <c r="C11" s="19" t="s">
        <v>272</v>
      </c>
      <c r="D11" s="19" t="s">
        <v>273</v>
      </c>
      <c r="E11" s="19" t="s">
        <v>261</v>
      </c>
      <c r="F11" s="19" t="s">
        <v>251</v>
      </c>
      <c r="G11" s="177" t="s">
        <v>621</v>
      </c>
      <c r="H11" s="19">
        <v>2012</v>
      </c>
      <c r="I11" s="142">
        <v>3.1536000000000002E-2</v>
      </c>
      <c r="J11" s="19">
        <v>0.95</v>
      </c>
      <c r="K11" s="19">
        <v>30</v>
      </c>
      <c r="L11" s="283">
        <v>2.1292499999999999</v>
      </c>
      <c r="M11" s="283" t="s">
        <v>108</v>
      </c>
      <c r="N11" s="283" t="s">
        <v>108</v>
      </c>
      <c r="O11" s="283" t="s">
        <v>108</v>
      </c>
      <c r="P11" s="283" t="s">
        <v>108</v>
      </c>
      <c r="Q11" s="283" t="s">
        <v>108</v>
      </c>
      <c r="R11" s="128"/>
      <c r="S11" s="19"/>
      <c r="T11" s="107"/>
      <c r="U11" s="19" t="str">
        <f t="shared" si="0"/>
        <v>EBIOBFB-D5</v>
      </c>
      <c r="V11" s="322" t="s">
        <v>621</v>
      </c>
      <c r="W11" s="79">
        <v>7.4400000000000008E-2</v>
      </c>
      <c r="X11" s="79" t="s">
        <v>108</v>
      </c>
      <c r="Y11" s="79" t="s">
        <v>108</v>
      </c>
      <c r="Z11" s="79" t="s">
        <v>108</v>
      </c>
      <c r="AA11" s="79" t="s">
        <v>108</v>
      </c>
      <c r="AB11" s="19"/>
      <c r="AC11" s="285">
        <v>3.72</v>
      </c>
      <c r="AD11" s="107"/>
      <c r="AE11" s="19" t="str">
        <f t="shared" si="1"/>
        <v>EBIOBFB-D5</v>
      </c>
      <c r="AF11" s="295" t="s">
        <v>603</v>
      </c>
      <c r="AG11" s="131">
        <v>0.2950819672131148</v>
      </c>
      <c r="AH11" s="131">
        <v>0.33300000000000002</v>
      </c>
      <c r="AI11" s="131" t="s">
        <v>108</v>
      </c>
      <c r="AJ11" s="131" t="s">
        <v>108</v>
      </c>
      <c r="AK11" s="131">
        <v>0.36399999999999999</v>
      </c>
      <c r="AL11" s="131"/>
      <c r="AM11" s="107"/>
      <c r="AN11" s="171" t="s">
        <v>211</v>
      </c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</row>
    <row r="12" spans="2:50">
      <c r="C12" s="19" t="s">
        <v>859</v>
      </c>
      <c r="D12" s="19" t="s">
        <v>858</v>
      </c>
      <c r="E12" s="19" t="s">
        <v>274</v>
      </c>
      <c r="F12" s="19" t="s">
        <v>32</v>
      </c>
      <c r="G12" s="177" t="s">
        <v>621</v>
      </c>
      <c r="H12" s="19">
        <v>2012</v>
      </c>
      <c r="I12" s="142">
        <v>3.1536000000000002E-2</v>
      </c>
      <c r="J12" s="19">
        <v>0.95</v>
      </c>
      <c r="K12" s="19">
        <v>30</v>
      </c>
      <c r="L12" s="283">
        <v>1.0866123614356991</v>
      </c>
      <c r="M12" s="283">
        <v>1.0009961561370158</v>
      </c>
      <c r="N12" s="283">
        <v>0.91804222404316682</v>
      </c>
      <c r="O12" s="283">
        <v>0.87700847344681654</v>
      </c>
      <c r="P12" s="283">
        <v>0.83780880917450029</v>
      </c>
      <c r="Q12" s="283" t="s">
        <v>108</v>
      </c>
      <c r="R12" s="128"/>
      <c r="S12" s="19"/>
      <c r="T12" s="107"/>
      <c r="U12" s="19" t="str">
        <f t="shared" si="0"/>
        <v>EBIOGAS105</v>
      </c>
      <c r="V12" s="322" t="s">
        <v>621</v>
      </c>
      <c r="W12" s="79">
        <v>1.2500000000000001E-2</v>
      </c>
      <c r="X12" s="79">
        <v>1.21875E-2</v>
      </c>
      <c r="Y12" s="79">
        <v>1.1625000000000002E-2</v>
      </c>
      <c r="Z12" s="79">
        <v>1.0987700317658682E-2</v>
      </c>
      <c r="AA12" s="79">
        <v>1.0385338345864661E-2</v>
      </c>
      <c r="AB12" s="19"/>
      <c r="AC12" s="285">
        <v>1.827485380116959</v>
      </c>
      <c r="AD12" s="107"/>
      <c r="AE12" s="19" t="str">
        <f t="shared" si="1"/>
        <v>EBIOGAS105</v>
      </c>
      <c r="AF12" s="295" t="s">
        <v>603</v>
      </c>
      <c r="AG12" s="131">
        <v>0.42</v>
      </c>
      <c r="AH12" s="131">
        <v>0.43</v>
      </c>
      <c r="AI12" s="131">
        <v>0.45</v>
      </c>
      <c r="AJ12" s="131">
        <v>0.45989129150267677</v>
      </c>
      <c r="AK12" s="131">
        <v>0.47</v>
      </c>
      <c r="AL12" s="131"/>
      <c r="AM12" s="107"/>
      <c r="AN12" s="171" t="s">
        <v>211</v>
      </c>
      <c r="AO12" s="171"/>
      <c r="AP12" s="171"/>
      <c r="AQ12" s="171"/>
      <c r="AR12" s="171"/>
      <c r="AS12" s="171"/>
      <c r="AT12" s="171"/>
      <c r="AU12" s="171"/>
      <c r="AV12" s="171"/>
      <c r="AW12" s="171"/>
      <c r="AX12" s="171"/>
    </row>
    <row r="13" spans="2:50">
      <c r="C13" s="19" t="s">
        <v>275</v>
      </c>
      <c r="D13" s="19" t="s">
        <v>276</v>
      </c>
      <c r="E13" s="19" t="s">
        <v>277</v>
      </c>
      <c r="F13" s="19" t="s">
        <v>32</v>
      </c>
      <c r="G13" s="177" t="s">
        <v>621</v>
      </c>
      <c r="H13" s="19">
        <v>2012</v>
      </c>
      <c r="I13" s="142">
        <v>3.1536000000000002E-2</v>
      </c>
      <c r="J13" s="19">
        <v>0.95</v>
      </c>
      <c r="K13" s="19">
        <v>25</v>
      </c>
      <c r="L13" s="283">
        <v>7.4350531914893612</v>
      </c>
      <c r="M13" s="283">
        <v>7.2351861702127653</v>
      </c>
      <c r="N13" s="283">
        <v>7.0353191489361704</v>
      </c>
      <c r="O13" s="283" t="s">
        <v>108</v>
      </c>
      <c r="P13" s="283">
        <v>6.6355851063829778</v>
      </c>
      <c r="Q13" s="283" t="s">
        <v>108</v>
      </c>
      <c r="R13" s="128"/>
      <c r="S13" s="19"/>
      <c r="T13" s="107"/>
      <c r="U13" s="19" t="str">
        <f t="shared" si="0"/>
        <v>EBMUIGC-05</v>
      </c>
      <c r="V13" s="322" t="s">
        <v>621</v>
      </c>
      <c r="W13" s="79">
        <v>0.35960000000000003</v>
      </c>
      <c r="X13" s="79" t="s">
        <v>108</v>
      </c>
      <c r="Y13" s="79" t="s">
        <v>108</v>
      </c>
      <c r="Z13" s="79" t="s">
        <v>108</v>
      </c>
      <c r="AA13" s="79">
        <v>0.26039999999999996</v>
      </c>
      <c r="AB13" s="19"/>
      <c r="AC13" s="285">
        <v>2.48</v>
      </c>
      <c r="AD13" s="107"/>
      <c r="AE13" s="19" t="str">
        <f t="shared" si="1"/>
        <v>EBMUIGC-05</v>
      </c>
      <c r="AF13" s="295" t="s">
        <v>603</v>
      </c>
      <c r="AG13" s="131">
        <v>0.41661556894427826</v>
      </c>
      <c r="AH13" s="131">
        <v>0.44970423332196868</v>
      </c>
      <c r="AI13" s="131">
        <v>0.46394050527604291</v>
      </c>
      <c r="AJ13" s="131" t="s">
        <v>108</v>
      </c>
      <c r="AK13" s="131">
        <v>0.47995009741439321</v>
      </c>
      <c r="AL13" s="131"/>
      <c r="AM13" s="107"/>
      <c r="AN13" s="171" t="s">
        <v>211</v>
      </c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</row>
    <row r="14" spans="2:50">
      <c r="C14" s="19" t="s">
        <v>278</v>
      </c>
      <c r="D14" s="19" t="s">
        <v>281</v>
      </c>
      <c r="E14" s="19" t="s">
        <v>277</v>
      </c>
      <c r="F14" s="19" t="s">
        <v>32</v>
      </c>
      <c r="G14" s="177" t="s">
        <v>621</v>
      </c>
      <c r="H14" s="19">
        <v>2012</v>
      </c>
      <c r="I14" s="142">
        <v>3.1536000000000002E-2</v>
      </c>
      <c r="J14" s="19">
        <v>0.95</v>
      </c>
      <c r="K14" s="19">
        <v>30</v>
      </c>
      <c r="L14" s="283">
        <v>5.4896808510638291</v>
      </c>
      <c r="M14" s="283">
        <v>5.4363829787234037</v>
      </c>
      <c r="N14" s="283">
        <v>5.3830851063829774</v>
      </c>
      <c r="O14" s="283" t="s">
        <v>108</v>
      </c>
      <c r="P14" s="283">
        <v>5.2764893617021276</v>
      </c>
      <c r="Q14" s="283" t="s">
        <v>108</v>
      </c>
      <c r="R14" s="128"/>
      <c r="S14" s="19"/>
      <c r="T14" s="107"/>
      <c r="U14" s="19" t="str">
        <f t="shared" si="0"/>
        <v>EBMUINC-05</v>
      </c>
      <c r="V14" s="322" t="s">
        <v>621</v>
      </c>
      <c r="W14" s="79">
        <v>0.248</v>
      </c>
      <c r="X14" s="79" t="s">
        <v>108</v>
      </c>
      <c r="Y14" s="79" t="s">
        <v>108</v>
      </c>
      <c r="Z14" s="79" t="s">
        <v>108</v>
      </c>
      <c r="AA14" s="79">
        <v>0.248</v>
      </c>
      <c r="AB14" s="19"/>
      <c r="AC14" s="285">
        <v>1.86</v>
      </c>
      <c r="AD14" s="107"/>
      <c r="AE14" s="19" t="str">
        <f t="shared" si="1"/>
        <v>EBMUINC-05</v>
      </c>
      <c r="AF14" s="295" t="s">
        <v>603</v>
      </c>
      <c r="AG14" s="131">
        <v>0.30271816376832461</v>
      </c>
      <c r="AH14" s="131">
        <v>0.34132160554229674</v>
      </c>
      <c r="AI14" s="131">
        <v>0.35793058948871675</v>
      </c>
      <c r="AJ14" s="131" t="s">
        <v>108</v>
      </c>
      <c r="AK14" s="131">
        <v>0.37660844698345874</v>
      </c>
      <c r="AL14" s="131"/>
      <c r="AM14" s="107"/>
      <c r="AN14" s="171" t="s">
        <v>211</v>
      </c>
      <c r="AO14" s="171"/>
      <c r="AP14" s="171"/>
      <c r="AQ14" s="171"/>
      <c r="AR14" s="171"/>
      <c r="AS14" s="171"/>
      <c r="AT14" s="171"/>
      <c r="AU14" s="171"/>
      <c r="AV14" s="171"/>
      <c r="AW14" s="171"/>
      <c r="AX14" s="171"/>
    </row>
    <row r="15" spans="2:50">
      <c r="C15" s="19" t="s">
        <v>284</v>
      </c>
      <c r="D15" s="19" t="s">
        <v>285</v>
      </c>
      <c r="E15" s="19" t="s">
        <v>286</v>
      </c>
      <c r="F15" s="19" t="s">
        <v>32</v>
      </c>
      <c r="G15" s="177" t="s">
        <v>621</v>
      </c>
      <c r="H15" s="19">
        <v>2012</v>
      </c>
      <c r="I15" s="142">
        <v>3.1536000000000002E-2</v>
      </c>
      <c r="J15" s="19">
        <v>0.95</v>
      </c>
      <c r="K15" s="19">
        <v>35</v>
      </c>
      <c r="L15" s="283">
        <v>1.4870106382978723</v>
      </c>
      <c r="M15" s="283">
        <v>1.447037234042553</v>
      </c>
      <c r="N15" s="283">
        <v>1.4070638297872338</v>
      </c>
      <c r="O15" s="283" t="s">
        <v>108</v>
      </c>
      <c r="P15" s="283">
        <v>1.3271170212765957</v>
      </c>
      <c r="Q15" s="283" t="s">
        <v>108</v>
      </c>
      <c r="R15" s="128"/>
      <c r="S15" s="19"/>
      <c r="T15" s="107"/>
      <c r="U15" s="19" t="str">
        <f t="shared" si="0"/>
        <v>ECOACFB-05</v>
      </c>
      <c r="V15" s="322" t="s">
        <v>621</v>
      </c>
      <c r="W15" s="79">
        <v>3.7200000000000004E-2</v>
      </c>
      <c r="X15" s="79" t="s">
        <v>108</v>
      </c>
      <c r="Y15" s="79" t="s">
        <v>108</v>
      </c>
      <c r="Z15" s="79" t="s">
        <v>108</v>
      </c>
      <c r="AA15" s="79" t="s">
        <v>108</v>
      </c>
      <c r="AB15" s="19"/>
      <c r="AC15" s="285">
        <v>1.3777777777777778</v>
      </c>
      <c r="AD15" s="107"/>
      <c r="AE15" s="19" t="str">
        <f t="shared" si="1"/>
        <v>ECOACFB-05</v>
      </c>
      <c r="AF15" s="295" t="s">
        <v>603</v>
      </c>
      <c r="AG15" s="131">
        <v>0.45220518964809275</v>
      </c>
      <c r="AH15" s="131">
        <v>0.46323474444065627</v>
      </c>
      <c r="AI15" s="131">
        <v>0.46798016842534762</v>
      </c>
      <c r="AJ15" s="131" t="s">
        <v>108</v>
      </c>
      <c r="AK15" s="131">
        <v>0.47331669913813107</v>
      </c>
      <c r="AL15" s="131"/>
      <c r="AM15" s="107"/>
      <c r="AN15" s="171" t="s">
        <v>211</v>
      </c>
      <c r="AO15" s="171"/>
      <c r="AP15" s="171"/>
      <c r="AQ15" s="171"/>
      <c r="AR15" s="171"/>
      <c r="AS15" s="171"/>
      <c r="AT15" s="171"/>
      <c r="AU15" s="171"/>
      <c r="AV15" s="171"/>
      <c r="AW15" s="171"/>
      <c r="AX15" s="171"/>
    </row>
    <row r="16" spans="2:50">
      <c r="C16" s="19" t="s">
        <v>287</v>
      </c>
      <c r="D16" s="19" t="s">
        <v>288</v>
      </c>
      <c r="E16" s="19" t="s">
        <v>286</v>
      </c>
      <c r="F16" s="19" t="s">
        <v>32</v>
      </c>
      <c r="G16" s="177" t="s">
        <v>621</v>
      </c>
      <c r="H16" s="19">
        <v>2025</v>
      </c>
      <c r="I16" s="142">
        <v>3.1536000000000002E-2</v>
      </c>
      <c r="J16" s="19">
        <v>0.95</v>
      </c>
      <c r="K16" s="19">
        <v>35</v>
      </c>
      <c r="L16" s="283">
        <v>2.7846852811982701</v>
      </c>
      <c r="M16" s="283">
        <v>2.6770992366412214</v>
      </c>
      <c r="N16" s="283">
        <v>2.4858778625954194</v>
      </c>
      <c r="O16" s="283">
        <v>2.4380725190839692</v>
      </c>
      <c r="P16" s="283">
        <v>2.4380725190839692</v>
      </c>
      <c r="Q16" s="283">
        <v>1.9674195913659731</v>
      </c>
      <c r="R16" s="128"/>
      <c r="S16" s="19"/>
      <c r="T16" s="107"/>
      <c r="U16" s="19" t="str">
        <f t="shared" si="0"/>
        <v>ECOAIGC+05</v>
      </c>
      <c r="V16" s="322" t="s">
        <v>621</v>
      </c>
      <c r="W16" s="79">
        <v>6.8199999999999997E-2</v>
      </c>
      <c r="X16" s="79">
        <v>6.6259541984732814E-2</v>
      </c>
      <c r="Y16" s="79">
        <v>6.1526717557251906E-2</v>
      </c>
      <c r="Z16" s="79">
        <v>6.0343511450381679E-2</v>
      </c>
      <c r="AA16" s="79">
        <v>6.0343511450381679E-2</v>
      </c>
      <c r="AB16" s="19"/>
      <c r="AC16" s="285">
        <v>2.1355555555555559</v>
      </c>
      <c r="AD16" s="107"/>
      <c r="AE16" s="19" t="str">
        <f t="shared" si="1"/>
        <v>ECOAIGC+05</v>
      </c>
      <c r="AF16" s="295" t="s">
        <v>603</v>
      </c>
      <c r="AG16" s="131">
        <v>0.40247536933072386</v>
      </c>
      <c r="AH16" s="131">
        <v>0.37</v>
      </c>
      <c r="AI16" s="131">
        <v>0.4</v>
      </c>
      <c r="AJ16" s="131">
        <v>0.41</v>
      </c>
      <c r="AK16" s="131">
        <v>0.44</v>
      </c>
      <c r="AL16" s="131"/>
      <c r="AM16" s="107"/>
      <c r="AN16" s="171" t="s">
        <v>211</v>
      </c>
      <c r="AO16" s="171"/>
      <c r="AP16" s="171"/>
      <c r="AQ16" s="171"/>
      <c r="AR16" s="171"/>
      <c r="AS16" s="171"/>
      <c r="AT16" s="171"/>
      <c r="AU16" s="171"/>
      <c r="AV16" s="171"/>
      <c r="AW16" s="171"/>
      <c r="AX16" s="171"/>
    </row>
    <row r="17" spans="3:50">
      <c r="C17" s="19" t="s">
        <v>290</v>
      </c>
      <c r="D17" s="19" t="s">
        <v>291</v>
      </c>
      <c r="E17" s="19" t="s">
        <v>286</v>
      </c>
      <c r="F17" s="19" t="s">
        <v>32</v>
      </c>
      <c r="G17" s="177" t="s">
        <v>621</v>
      </c>
      <c r="H17" s="19">
        <v>2012</v>
      </c>
      <c r="I17" s="142">
        <v>3.1536000000000002E-2</v>
      </c>
      <c r="J17" s="19">
        <v>0.95</v>
      </c>
      <c r="K17" s="19">
        <v>30</v>
      </c>
      <c r="L17" s="283">
        <v>1.6112738386474807</v>
      </c>
      <c r="M17" s="283">
        <v>1.5729688532916508</v>
      </c>
      <c r="N17" s="283">
        <v>1.5394079363909376</v>
      </c>
      <c r="O17" s="283" t="s">
        <v>108</v>
      </c>
      <c r="P17" s="283">
        <v>1.4826438842549465</v>
      </c>
      <c r="Q17" s="283">
        <v>1.4826438842549465</v>
      </c>
      <c r="R17" s="128"/>
      <c r="S17" s="19"/>
      <c r="T17" s="107"/>
      <c r="U17" s="19" t="str">
        <f t="shared" si="0"/>
        <v>ECOAIGC-05</v>
      </c>
      <c r="V17" s="322" t="s">
        <v>621</v>
      </c>
      <c r="W17" s="79">
        <v>3.7200000000000004E-2</v>
      </c>
      <c r="X17" s="79" t="s">
        <v>108</v>
      </c>
      <c r="Y17" s="79" t="s">
        <v>108</v>
      </c>
      <c r="Z17" s="79" t="s">
        <v>108</v>
      </c>
      <c r="AA17" s="79" t="s">
        <v>108</v>
      </c>
      <c r="AB17" s="19"/>
      <c r="AC17" s="285">
        <v>1.3777777777777778</v>
      </c>
      <c r="AD17" s="107"/>
      <c r="AE17" s="19" t="str">
        <f t="shared" si="1"/>
        <v>ECOAIGC-05</v>
      </c>
      <c r="AF17" s="295" t="s">
        <v>603</v>
      </c>
      <c r="AG17" s="131">
        <v>0.47661556894427826</v>
      </c>
      <c r="AH17" s="131">
        <v>0.50970423332196868</v>
      </c>
      <c r="AI17" s="131">
        <v>0.52394050527604297</v>
      </c>
      <c r="AJ17" s="131" t="s">
        <v>108</v>
      </c>
      <c r="AK17" s="131">
        <v>0.53995009741439315</v>
      </c>
      <c r="AL17" s="131"/>
      <c r="AM17" s="107"/>
      <c r="AN17" s="171" t="s">
        <v>211</v>
      </c>
      <c r="AO17" s="171"/>
      <c r="AP17" s="171"/>
      <c r="AQ17" s="171"/>
      <c r="AR17" s="171"/>
      <c r="AS17" s="171"/>
      <c r="AT17" s="171"/>
      <c r="AU17" s="171"/>
      <c r="AV17" s="171"/>
      <c r="AW17" s="171"/>
      <c r="AX17" s="171"/>
    </row>
    <row r="18" spans="3:50">
      <c r="C18" s="19" t="s">
        <v>292</v>
      </c>
      <c r="D18" s="19" t="s">
        <v>293</v>
      </c>
      <c r="E18" s="19" t="s">
        <v>286</v>
      </c>
      <c r="F18" s="19" t="s">
        <v>32</v>
      </c>
      <c r="G18" s="177" t="s">
        <v>621</v>
      </c>
      <c r="H18" s="19">
        <v>2020</v>
      </c>
      <c r="I18" s="142">
        <v>3.1536000000000002E-2</v>
      </c>
      <c r="J18" s="19">
        <v>0.95</v>
      </c>
      <c r="K18" s="19">
        <v>35</v>
      </c>
      <c r="L18" s="283">
        <v>2.9314042978723402</v>
      </c>
      <c r="M18" s="283">
        <v>2.618001033057852</v>
      </c>
      <c r="N18" s="283">
        <v>2.4871009814049589</v>
      </c>
      <c r="O18" s="283">
        <v>2.3562009297520663</v>
      </c>
      <c r="P18" s="283">
        <v>2.2253008780991737</v>
      </c>
      <c r="Q18" s="283">
        <v>2.1251161009417521</v>
      </c>
      <c r="R18" s="128"/>
      <c r="S18" s="19"/>
      <c r="T18" s="107"/>
      <c r="U18" s="19" t="str">
        <f t="shared" si="0"/>
        <v>ECOAPFB+05</v>
      </c>
      <c r="V18" s="322" t="s">
        <v>621</v>
      </c>
      <c r="W18" s="79">
        <v>5.4560000000000004E-2</v>
      </c>
      <c r="X18" s="79">
        <v>4.9104683195592295E-2</v>
      </c>
      <c r="Y18" s="79">
        <v>4.786132484744348E-2</v>
      </c>
      <c r="Z18" s="79">
        <v>4.6584792803720139E-2</v>
      </c>
      <c r="AA18" s="79">
        <v>4.5272280978304609E-2</v>
      </c>
      <c r="AB18" s="19"/>
      <c r="AC18" s="285">
        <v>1.5884297520661159</v>
      </c>
      <c r="AD18" s="107"/>
      <c r="AE18" s="19" t="str">
        <f t="shared" si="1"/>
        <v>ECOAPFB+05</v>
      </c>
      <c r="AF18" s="295" t="s">
        <v>603</v>
      </c>
      <c r="AG18" s="131">
        <v>0.38638767727331241</v>
      </c>
      <c r="AH18" s="131">
        <v>0.36299999999999999</v>
      </c>
      <c r="AI18" s="131">
        <v>0.38</v>
      </c>
      <c r="AJ18" s="131">
        <v>0.39</v>
      </c>
      <c r="AK18" s="131">
        <v>0.4</v>
      </c>
      <c r="AL18" s="131"/>
      <c r="AM18" s="107"/>
      <c r="AN18" s="171" t="s">
        <v>211</v>
      </c>
      <c r="AO18" s="171"/>
      <c r="AP18" s="171"/>
      <c r="AQ18" s="171"/>
      <c r="AR18" s="171"/>
      <c r="AS18" s="171"/>
      <c r="AT18" s="171"/>
      <c r="AU18" s="171"/>
      <c r="AV18" s="171"/>
      <c r="AW18" s="171"/>
      <c r="AX18" s="171"/>
    </row>
    <row r="19" spans="3:50">
      <c r="C19" s="19" t="s">
        <v>294</v>
      </c>
      <c r="D19" s="19" t="s">
        <v>295</v>
      </c>
      <c r="E19" s="19" t="s">
        <v>286</v>
      </c>
      <c r="F19" s="19" t="s">
        <v>32</v>
      </c>
      <c r="G19" s="177" t="s">
        <v>621</v>
      </c>
      <c r="H19" s="19">
        <v>2012</v>
      </c>
      <c r="I19" s="142">
        <v>3.1536000000000002E-2</v>
      </c>
      <c r="J19" s="19">
        <v>0.95</v>
      </c>
      <c r="K19" s="19">
        <v>35</v>
      </c>
      <c r="L19" s="283">
        <v>1.6106617021276597</v>
      </c>
      <c r="M19" s="283">
        <v>1.5666909574468084</v>
      </c>
      <c r="N19" s="283">
        <v>1.5227202127659574</v>
      </c>
      <c r="O19" s="283" t="s">
        <v>108</v>
      </c>
      <c r="P19" s="283">
        <v>1.4347787234042553</v>
      </c>
      <c r="Q19" s="283">
        <v>1.4347787234042553</v>
      </c>
      <c r="R19" s="128"/>
      <c r="S19" s="19"/>
      <c r="T19" s="107"/>
      <c r="U19" s="19" t="str">
        <f t="shared" si="0"/>
        <v>ECOAPFB-05</v>
      </c>
      <c r="V19" s="322" t="s">
        <v>621</v>
      </c>
      <c r="W19" s="79">
        <v>4.3400000000000001E-2</v>
      </c>
      <c r="X19" s="79" t="s">
        <v>108</v>
      </c>
      <c r="Y19" s="79" t="s">
        <v>108</v>
      </c>
      <c r="Z19" s="79" t="s">
        <v>108</v>
      </c>
      <c r="AA19" s="79" t="s">
        <v>108</v>
      </c>
      <c r="AB19" s="19"/>
      <c r="AC19" s="285">
        <v>1.3777777777777778</v>
      </c>
      <c r="AD19" s="107"/>
      <c r="AE19" s="19" t="str">
        <f t="shared" si="1"/>
        <v>ECOAPFB-05</v>
      </c>
      <c r="AF19" s="295" t="s">
        <v>603</v>
      </c>
      <c r="AG19" s="131">
        <v>0.47661556894427826</v>
      </c>
      <c r="AH19" s="131">
        <v>0.50970423332196868</v>
      </c>
      <c r="AI19" s="131">
        <v>0.52394050527604297</v>
      </c>
      <c r="AJ19" s="131" t="s">
        <v>108</v>
      </c>
      <c r="AK19" s="131">
        <v>0.53995009741439315</v>
      </c>
      <c r="AL19" s="131"/>
      <c r="AM19" s="107"/>
      <c r="AN19" s="171" t="s">
        <v>211</v>
      </c>
      <c r="AO19" s="171"/>
      <c r="AP19" s="171"/>
      <c r="AQ19" s="171"/>
      <c r="AR19" s="171"/>
      <c r="AS19" s="171"/>
      <c r="AT19" s="171"/>
      <c r="AU19" s="171"/>
      <c r="AV19" s="171"/>
      <c r="AW19" s="171"/>
      <c r="AX19" s="171"/>
    </row>
    <row r="20" spans="3:50">
      <c r="C20" s="19" t="s">
        <v>296</v>
      </c>
      <c r="D20" s="19" t="s">
        <v>297</v>
      </c>
      <c r="E20" s="19" t="s">
        <v>286</v>
      </c>
      <c r="F20" s="19" t="s">
        <v>32</v>
      </c>
      <c r="G20" s="177" t="s">
        <v>621</v>
      </c>
      <c r="H20" s="19">
        <v>2012</v>
      </c>
      <c r="I20" s="142">
        <v>3.1536000000000002E-2</v>
      </c>
      <c r="J20" s="19">
        <v>0.95</v>
      </c>
      <c r="K20" s="19">
        <v>35</v>
      </c>
      <c r="L20" s="283">
        <v>1.1914952553191491</v>
      </c>
      <c r="M20" s="283">
        <v>1.1830208936170212</v>
      </c>
      <c r="N20" s="283">
        <v>1.1745465319148936</v>
      </c>
      <c r="O20" s="283"/>
      <c r="P20" s="283">
        <v>1.1575978085106382</v>
      </c>
      <c r="Q20" s="283" t="s">
        <v>108</v>
      </c>
      <c r="R20" s="128"/>
      <c r="S20" s="19"/>
      <c r="T20" s="107"/>
      <c r="U20" s="19" t="str">
        <f t="shared" si="0"/>
        <v>ECOAPFS-05</v>
      </c>
      <c r="V20" s="322" t="s">
        <v>621</v>
      </c>
      <c r="W20" s="79">
        <v>3.7200000000000004E-2</v>
      </c>
      <c r="X20" s="79" t="s">
        <v>108</v>
      </c>
      <c r="Y20" s="79" t="s">
        <v>108</v>
      </c>
      <c r="Z20" s="79" t="s">
        <v>108</v>
      </c>
      <c r="AA20" s="79" t="s">
        <v>108</v>
      </c>
      <c r="AB20" s="19"/>
      <c r="AC20" s="285">
        <v>1.3777777777777778</v>
      </c>
      <c r="AD20" s="107"/>
      <c r="AE20" s="19" t="str">
        <f t="shared" si="1"/>
        <v>ECOAPFS-05</v>
      </c>
      <c r="AF20" s="295" t="s">
        <v>603</v>
      </c>
      <c r="AG20" s="131">
        <v>0.43830778447213908</v>
      </c>
      <c r="AH20" s="131">
        <v>0.4548521166609843</v>
      </c>
      <c r="AI20" s="131">
        <v>0.46197025263802144</v>
      </c>
      <c r="AJ20" s="131" t="s">
        <v>108</v>
      </c>
      <c r="AK20" s="131">
        <v>0.46997504870719659</v>
      </c>
      <c r="AL20" s="131"/>
      <c r="AM20" s="107"/>
      <c r="AN20" s="171" t="s">
        <v>211</v>
      </c>
      <c r="AO20" s="171"/>
      <c r="AP20" s="171"/>
      <c r="AQ20" s="171"/>
      <c r="AR20" s="171"/>
      <c r="AS20" s="171"/>
      <c r="AT20" s="171"/>
      <c r="AU20" s="171"/>
      <c r="AV20" s="171"/>
      <c r="AW20" s="171"/>
      <c r="AX20" s="171"/>
    </row>
    <row r="21" spans="3:50">
      <c r="C21" s="19" t="s">
        <v>298</v>
      </c>
      <c r="D21" s="19" t="s">
        <v>299</v>
      </c>
      <c r="E21" s="19" t="s">
        <v>286</v>
      </c>
      <c r="F21" s="19" t="s">
        <v>32</v>
      </c>
      <c r="G21" s="177" t="s">
        <v>621</v>
      </c>
      <c r="H21" s="19">
        <v>2012</v>
      </c>
      <c r="I21" s="142">
        <v>3.1536000000000002E-2</v>
      </c>
      <c r="J21" s="19">
        <v>0.95</v>
      </c>
      <c r="K21" s="19">
        <v>35</v>
      </c>
      <c r="L21" s="283">
        <v>1.3686893617021274</v>
      </c>
      <c r="M21" s="283">
        <v>1.3460377659574467</v>
      </c>
      <c r="N21" s="283">
        <v>1.3233861702127661</v>
      </c>
      <c r="O21" s="283" t="s">
        <v>108</v>
      </c>
      <c r="P21" s="283">
        <v>1.278082978723404</v>
      </c>
      <c r="Q21" s="283">
        <v>1.278082978723404</v>
      </c>
      <c r="R21" s="128"/>
      <c r="S21" s="19"/>
      <c r="T21" s="107"/>
      <c r="U21" s="19" t="str">
        <f t="shared" si="0"/>
        <v>ECOAPFU-05</v>
      </c>
      <c r="V21" s="322" t="s">
        <v>621</v>
      </c>
      <c r="W21" s="79">
        <v>3.7200000000000004E-2</v>
      </c>
      <c r="X21" s="79" t="s">
        <v>108</v>
      </c>
      <c r="Y21" s="79" t="s">
        <v>108</v>
      </c>
      <c r="Z21" s="79" t="s">
        <v>108</v>
      </c>
      <c r="AA21" s="79" t="s">
        <v>108</v>
      </c>
      <c r="AB21" s="19"/>
      <c r="AC21" s="285">
        <v>1.3777777777777778</v>
      </c>
      <c r="AD21" s="107"/>
      <c r="AE21" s="19" t="str">
        <f t="shared" si="1"/>
        <v>ECOAPFU-05</v>
      </c>
      <c r="AF21" s="295" t="s">
        <v>603</v>
      </c>
      <c r="AG21" s="131">
        <v>0.48746167670820867</v>
      </c>
      <c r="AH21" s="131">
        <v>0.51227817499147643</v>
      </c>
      <c r="AI21" s="131">
        <v>0.52295537895703215</v>
      </c>
      <c r="AJ21" s="131" t="s">
        <v>108</v>
      </c>
      <c r="AK21" s="131">
        <v>0.53496257306079498</v>
      </c>
      <c r="AL21" s="131"/>
      <c r="AM21" s="107"/>
      <c r="AN21" s="171" t="s">
        <v>211</v>
      </c>
      <c r="AO21" s="171"/>
      <c r="AP21" s="171"/>
      <c r="AQ21" s="171"/>
      <c r="AR21" s="171"/>
      <c r="AS21" s="171"/>
      <c r="AT21" s="171"/>
      <c r="AU21" s="171"/>
      <c r="AV21" s="171"/>
      <c r="AW21" s="171"/>
      <c r="AX21" s="171"/>
    </row>
    <row r="22" spans="3:50">
      <c r="C22" s="19" t="s">
        <v>300</v>
      </c>
      <c r="D22" s="19" t="s">
        <v>301</v>
      </c>
      <c r="E22" s="19" t="s">
        <v>286</v>
      </c>
      <c r="F22" s="19" t="s">
        <v>32</v>
      </c>
      <c r="G22" s="177" t="s">
        <v>621</v>
      </c>
      <c r="H22" s="19">
        <v>2070</v>
      </c>
      <c r="I22" s="142">
        <v>3.1536000000000002E-2</v>
      </c>
      <c r="J22" s="19">
        <v>0.95</v>
      </c>
      <c r="K22" s="19">
        <v>35</v>
      </c>
      <c r="L22" s="283">
        <v>2.0256602553191483</v>
      </c>
      <c r="M22" s="283">
        <v>1.9160741979341731</v>
      </c>
      <c r="N22" s="283">
        <v>1.8119033648568612</v>
      </c>
      <c r="O22" s="283" t="s">
        <v>108</v>
      </c>
      <c r="P22" s="283">
        <v>1.6924509339305709</v>
      </c>
      <c r="Q22" s="283">
        <v>1.618803799373828</v>
      </c>
      <c r="R22" s="128"/>
      <c r="S22" s="19"/>
      <c r="T22" s="107"/>
      <c r="U22" s="19" t="str">
        <f t="shared" si="0"/>
        <v>ECOAPUL+05</v>
      </c>
      <c r="V22" s="322" t="s">
        <v>621</v>
      </c>
      <c r="W22" s="79">
        <v>4.9475999999999999E-2</v>
      </c>
      <c r="X22" s="79" t="s">
        <v>108</v>
      </c>
      <c r="Y22" s="79" t="s">
        <v>108</v>
      </c>
      <c r="Z22" s="79" t="s">
        <v>108</v>
      </c>
      <c r="AA22" s="79" t="s">
        <v>108</v>
      </c>
      <c r="AB22" s="19"/>
      <c r="AC22" s="285">
        <v>2.0666666666666664</v>
      </c>
      <c r="AD22" s="107"/>
      <c r="AE22" s="19" t="str">
        <f t="shared" si="1"/>
        <v>ECOAPUL+05</v>
      </c>
      <c r="AF22" s="295" t="s">
        <v>603</v>
      </c>
      <c r="AG22" s="131">
        <v>0.36830437795731319</v>
      </c>
      <c r="AH22" s="131">
        <v>0.40630082345475838</v>
      </c>
      <c r="AI22" s="131">
        <v>0.43539348761964275</v>
      </c>
      <c r="AJ22" s="131" t="s">
        <v>108</v>
      </c>
      <c r="AK22" s="131">
        <v>0.46430713888295416</v>
      </c>
      <c r="AL22" s="131"/>
      <c r="AM22" s="107"/>
      <c r="AN22" s="171" t="s">
        <v>211</v>
      </c>
      <c r="AO22" s="171"/>
      <c r="AP22" s="171"/>
      <c r="AQ22" s="171"/>
      <c r="AR22" s="171"/>
      <c r="AS22" s="171"/>
      <c r="AT22" s="171"/>
      <c r="AU22" s="171"/>
      <c r="AV22" s="171"/>
      <c r="AW22" s="171"/>
      <c r="AX22" s="171"/>
    </row>
    <row r="23" spans="3:50">
      <c r="C23" s="19" t="s">
        <v>302</v>
      </c>
      <c r="D23" s="19" t="s">
        <v>303</v>
      </c>
      <c r="E23" s="19" t="s">
        <v>286</v>
      </c>
      <c r="F23" s="19" t="s">
        <v>32</v>
      </c>
      <c r="G23" s="177" t="s">
        <v>621</v>
      </c>
      <c r="H23" s="19">
        <v>2035</v>
      </c>
      <c r="I23" s="142">
        <v>3.1536000000000002E-2</v>
      </c>
      <c r="J23" s="19">
        <v>0.95</v>
      </c>
      <c r="K23" s="19">
        <v>20</v>
      </c>
      <c r="L23" s="283">
        <v>4.6311152165593192</v>
      </c>
      <c r="M23" s="283">
        <v>3.8464787450653262</v>
      </c>
      <c r="N23" s="283">
        <v>3.3874339659892425</v>
      </c>
      <c r="O23" s="283" t="s">
        <v>108</v>
      </c>
      <c r="P23" s="283">
        <v>2.8825573849427508</v>
      </c>
      <c r="Q23" s="283">
        <v>2.7940530965246708</v>
      </c>
      <c r="R23" s="128"/>
      <c r="S23" s="19"/>
      <c r="T23" s="107"/>
      <c r="U23" s="19" t="str">
        <f t="shared" si="0"/>
        <v>ECOASFC+05</v>
      </c>
      <c r="V23" s="322" t="s">
        <v>621</v>
      </c>
      <c r="W23" s="79">
        <v>0.17439092267171144</v>
      </c>
      <c r="X23" s="79">
        <v>0.12808656617724823</v>
      </c>
      <c r="Y23" s="79">
        <v>0.10682643851448842</v>
      </c>
      <c r="Z23" s="79" t="s">
        <v>108</v>
      </c>
      <c r="AA23" s="79">
        <v>8.2459999999999992E-2</v>
      </c>
      <c r="AB23" s="19"/>
      <c r="AC23" s="285">
        <v>1.86</v>
      </c>
      <c r="AD23" s="107"/>
      <c r="AE23" s="19" t="str">
        <f t="shared" si="1"/>
        <v>ECOASFC+05</v>
      </c>
      <c r="AF23" s="295" t="s">
        <v>603</v>
      </c>
      <c r="AG23" s="131">
        <v>0.41860666986740225</v>
      </c>
      <c r="AH23" s="131">
        <v>0.46775765756720089</v>
      </c>
      <c r="AI23" s="131">
        <v>0.50657144626483375</v>
      </c>
      <c r="AJ23" s="131" t="s">
        <v>108</v>
      </c>
      <c r="AK23" s="131">
        <v>0.55507026968260686</v>
      </c>
      <c r="AL23" s="131"/>
      <c r="AM23" s="107"/>
      <c r="AN23" s="171" t="s">
        <v>211</v>
      </c>
      <c r="AO23" s="171"/>
      <c r="AP23" s="171"/>
      <c r="AQ23" s="171"/>
      <c r="AR23" s="171"/>
      <c r="AS23" s="171"/>
      <c r="AT23" s="171"/>
      <c r="AU23" s="171"/>
      <c r="AV23" s="171"/>
      <c r="AW23" s="171"/>
      <c r="AX23" s="171"/>
    </row>
    <row r="24" spans="3:50">
      <c r="C24" s="19" t="s">
        <v>304</v>
      </c>
      <c r="D24" s="19" t="s">
        <v>305</v>
      </c>
      <c r="E24" s="19" t="s">
        <v>286</v>
      </c>
      <c r="F24" s="19" t="s">
        <v>32</v>
      </c>
      <c r="G24" s="177" t="s">
        <v>621</v>
      </c>
      <c r="H24" s="19">
        <v>2012</v>
      </c>
      <c r="I24" s="142">
        <v>3.1536000000000002E-2</v>
      </c>
      <c r="J24" s="19">
        <v>0.95</v>
      </c>
      <c r="K24" s="19">
        <v>20</v>
      </c>
      <c r="L24" s="283">
        <v>3.1291319030806215</v>
      </c>
      <c r="M24" s="283">
        <v>2.6708654804128473</v>
      </c>
      <c r="N24" s="283">
        <v>2.4171851060533385</v>
      </c>
      <c r="O24" s="283" t="s">
        <v>108</v>
      </c>
      <c r="P24" s="283">
        <v>2.1055934148595701</v>
      </c>
      <c r="Q24" s="283">
        <v>2.1055934148595701</v>
      </c>
      <c r="R24" s="128"/>
      <c r="S24" s="19"/>
      <c r="T24" s="107"/>
      <c r="U24" s="19" t="str">
        <f t="shared" si="0"/>
        <v>ECOASFC-05</v>
      </c>
      <c r="V24" s="322" t="s">
        <v>621</v>
      </c>
      <c r="W24" s="79">
        <v>0.14880000000000002</v>
      </c>
      <c r="X24" s="79" t="s">
        <v>108</v>
      </c>
      <c r="Y24" s="79" t="s">
        <v>108</v>
      </c>
      <c r="Z24" s="79" t="s">
        <v>108</v>
      </c>
      <c r="AA24" s="79">
        <v>7.4400000000000008E-2</v>
      </c>
      <c r="AB24" s="19"/>
      <c r="AC24" s="285">
        <v>1.24</v>
      </c>
      <c r="AD24" s="107"/>
      <c r="AE24" s="19" t="str">
        <f t="shared" si="1"/>
        <v>ECOASFC-05</v>
      </c>
      <c r="AF24" s="295" t="s">
        <v>603</v>
      </c>
      <c r="AG24" s="131">
        <v>0.49571842484297635</v>
      </c>
      <c r="AH24" s="131">
        <v>0.53980529706431801</v>
      </c>
      <c r="AI24" s="131">
        <v>0.56969743116950311</v>
      </c>
      <c r="AJ24" s="131" t="s">
        <v>108</v>
      </c>
      <c r="AK24" s="131">
        <v>0.61057729665086757</v>
      </c>
      <c r="AL24" s="131"/>
      <c r="AM24" s="107"/>
      <c r="AN24" s="171" t="s">
        <v>211</v>
      </c>
      <c r="AO24" s="171"/>
      <c r="AP24" s="171"/>
      <c r="AQ24" s="171"/>
      <c r="AR24" s="171"/>
      <c r="AS24" s="171"/>
      <c r="AT24" s="171"/>
      <c r="AU24" s="171"/>
      <c r="AV24" s="171"/>
      <c r="AW24" s="171"/>
      <c r="AX24" s="171"/>
    </row>
    <row r="25" spans="3:50">
      <c r="C25" s="19" t="s">
        <v>306</v>
      </c>
      <c r="D25" s="19" t="s">
        <v>767</v>
      </c>
      <c r="E25" s="19" t="s">
        <v>307</v>
      </c>
      <c r="F25" s="19" t="s">
        <v>32</v>
      </c>
      <c r="G25" s="177" t="s">
        <v>621</v>
      </c>
      <c r="H25" s="19">
        <v>2012</v>
      </c>
      <c r="I25" s="142">
        <v>3.1536000000000002E-2</v>
      </c>
      <c r="J25" s="19">
        <v>0.95</v>
      </c>
      <c r="K25" s="19">
        <v>35</v>
      </c>
      <c r="L25" s="283">
        <v>0.93671010638297869</v>
      </c>
      <c r="M25" s="283">
        <v>0.93004787234042541</v>
      </c>
      <c r="N25" s="283">
        <v>0.92338563829787212</v>
      </c>
      <c r="O25" s="283" t="s">
        <v>108</v>
      </c>
      <c r="P25" s="283">
        <v>0.91006117021276589</v>
      </c>
      <c r="Q25" s="283" t="s">
        <v>108</v>
      </c>
      <c r="R25" s="128"/>
      <c r="S25" s="19"/>
      <c r="T25" s="107"/>
      <c r="U25" s="19" t="str">
        <f t="shared" si="0"/>
        <v>EOILSTE-05</v>
      </c>
      <c r="V25" s="322" t="s">
        <v>621</v>
      </c>
      <c r="W25" s="79">
        <v>2.4799999999999999E-2</v>
      </c>
      <c r="X25" s="79" t="s">
        <v>108</v>
      </c>
      <c r="Y25" s="79" t="s">
        <v>108</v>
      </c>
      <c r="Z25" s="79" t="s">
        <v>108</v>
      </c>
      <c r="AA25" s="79" t="s">
        <v>108</v>
      </c>
      <c r="AB25" s="19"/>
      <c r="AC25" s="285">
        <v>0.51666666666666661</v>
      </c>
      <c r="AD25" s="107"/>
      <c r="AE25" s="19" t="str">
        <f t="shared" si="1"/>
        <v>EOILSTE-05</v>
      </c>
      <c r="AF25" s="295" t="s">
        <v>603</v>
      </c>
      <c r="AG25" s="131">
        <v>0.4583077844721391</v>
      </c>
      <c r="AH25" s="131">
        <v>0.47485211666098431</v>
      </c>
      <c r="AI25" s="131">
        <v>0.48197025263802146</v>
      </c>
      <c r="AJ25" s="131" t="s">
        <v>108</v>
      </c>
      <c r="AK25" s="131">
        <v>0.4899750487071966</v>
      </c>
      <c r="AL25" s="131"/>
      <c r="AM25" s="107"/>
      <c r="AN25" s="171" t="s">
        <v>211</v>
      </c>
      <c r="AO25" s="171"/>
      <c r="AP25" s="171"/>
      <c r="AQ25" s="171"/>
      <c r="AR25" s="171"/>
      <c r="AS25" s="171"/>
      <c r="AT25" s="171"/>
      <c r="AU25" s="171"/>
      <c r="AV25" s="171"/>
      <c r="AW25" s="171"/>
      <c r="AX25" s="171"/>
    </row>
    <row r="26" spans="3:50">
      <c r="C26" s="19" t="s">
        <v>308</v>
      </c>
      <c r="D26" s="19" t="s">
        <v>309</v>
      </c>
      <c r="E26" s="19" t="s">
        <v>307</v>
      </c>
      <c r="F26" s="19" t="s">
        <v>32</v>
      </c>
      <c r="G26" s="177" t="s">
        <v>621</v>
      </c>
      <c r="H26" s="19">
        <v>2012</v>
      </c>
      <c r="I26" s="142">
        <v>3.1536000000000002E-2</v>
      </c>
      <c r="J26" s="19">
        <v>0.95</v>
      </c>
      <c r="K26" s="19">
        <v>30</v>
      </c>
      <c r="L26" s="283">
        <v>0.81078008169852289</v>
      </c>
      <c r="M26" s="283">
        <v>0.80276167549398258</v>
      </c>
      <c r="N26" s="283">
        <v>0.79519079105152568</v>
      </c>
      <c r="O26" s="283" t="s">
        <v>108</v>
      </c>
      <c r="P26" s="283">
        <v>0.78120942117234549</v>
      </c>
      <c r="Q26" s="283" t="s">
        <v>108</v>
      </c>
      <c r="R26" s="128"/>
      <c r="S26" s="19"/>
      <c r="T26" s="107"/>
      <c r="U26" s="19" t="str">
        <f t="shared" si="0"/>
        <v>EOILICC-05</v>
      </c>
      <c r="V26" s="322" t="s">
        <v>621</v>
      </c>
      <c r="W26" s="79">
        <v>4.2059204575149674E-2</v>
      </c>
      <c r="X26" s="79" t="s">
        <v>108</v>
      </c>
      <c r="Y26" s="79" t="s">
        <v>108</v>
      </c>
      <c r="Z26" s="79" t="s">
        <v>108</v>
      </c>
      <c r="AA26" s="79" t="s">
        <v>108</v>
      </c>
      <c r="AB26" s="19"/>
      <c r="AC26" s="285">
        <v>0.68888888888888888</v>
      </c>
      <c r="AD26" s="107"/>
      <c r="AE26" s="19" t="str">
        <f t="shared" si="1"/>
        <v>EOILICC-05</v>
      </c>
      <c r="AF26" s="295" t="s">
        <v>603</v>
      </c>
      <c r="AG26" s="131">
        <v>0.49441037929618548</v>
      </c>
      <c r="AH26" s="131">
        <v>0.51646948888131239</v>
      </c>
      <c r="AI26" s="131">
        <v>0.52596033685069532</v>
      </c>
      <c r="AJ26" s="131" t="s">
        <v>108</v>
      </c>
      <c r="AK26" s="131">
        <v>0.53663339827626222</v>
      </c>
      <c r="AL26" s="131"/>
      <c r="AM26" s="107"/>
      <c r="AN26" s="171" t="s">
        <v>211</v>
      </c>
      <c r="AO26" s="171"/>
      <c r="AP26" s="171"/>
      <c r="AQ26" s="171"/>
      <c r="AR26" s="171"/>
      <c r="AS26" s="171"/>
      <c r="AT26" s="171"/>
      <c r="AU26" s="171"/>
      <c r="AV26" s="171"/>
      <c r="AW26" s="171"/>
      <c r="AX26" s="171"/>
    </row>
    <row r="27" spans="3:50">
      <c r="C27" s="19" t="s">
        <v>310</v>
      </c>
      <c r="D27" s="19" t="s">
        <v>311</v>
      </c>
      <c r="E27" s="19" t="s">
        <v>312</v>
      </c>
      <c r="F27" s="19" t="s">
        <v>251</v>
      </c>
      <c r="G27" s="177" t="s">
        <v>621</v>
      </c>
      <c r="H27" s="19">
        <v>2012</v>
      </c>
      <c r="I27" s="142">
        <v>3.1536000000000002E-2</v>
      </c>
      <c r="J27" s="19">
        <v>0.95</v>
      </c>
      <c r="K27" s="19">
        <v>30</v>
      </c>
      <c r="L27" s="283">
        <v>0.81078008169852289</v>
      </c>
      <c r="M27" s="283">
        <v>0.80276167549398258</v>
      </c>
      <c r="N27" s="283">
        <v>0.79519079105152568</v>
      </c>
      <c r="O27" s="283" t="s">
        <v>108</v>
      </c>
      <c r="P27" s="283">
        <v>0.78120942117234549</v>
      </c>
      <c r="Q27" s="283" t="s">
        <v>108</v>
      </c>
      <c r="R27" s="128"/>
      <c r="S27" s="19"/>
      <c r="T27" s="107"/>
      <c r="U27" s="19" t="str">
        <f t="shared" si="0"/>
        <v>EGOIICE-D5</v>
      </c>
      <c r="V27" s="322" t="s">
        <v>621</v>
      </c>
      <c r="W27" s="79">
        <v>6.2E-2</v>
      </c>
      <c r="X27" s="79" t="s">
        <v>108</v>
      </c>
      <c r="Y27" s="79" t="s">
        <v>108</v>
      </c>
      <c r="Z27" s="79" t="s">
        <v>108</v>
      </c>
      <c r="AA27" s="79" t="s">
        <v>108</v>
      </c>
      <c r="AB27" s="19"/>
      <c r="AC27" s="285">
        <v>0.68888888888888888</v>
      </c>
      <c r="AD27" s="107"/>
      <c r="AE27" s="19" t="str">
        <f t="shared" si="1"/>
        <v>EGOIICE-D5</v>
      </c>
      <c r="AF27" s="295" t="s">
        <v>603</v>
      </c>
      <c r="AG27" s="131">
        <v>0.40356427153225505</v>
      </c>
      <c r="AH27" s="131">
        <v>0.43389554721180462</v>
      </c>
      <c r="AI27" s="131">
        <v>0.44694546316970601</v>
      </c>
      <c r="AJ27" s="131" t="s">
        <v>108</v>
      </c>
      <c r="AK27" s="131">
        <v>0.46162092262986049</v>
      </c>
      <c r="AL27" s="131"/>
      <c r="AM27" s="107"/>
      <c r="AN27" s="171" t="s">
        <v>211</v>
      </c>
      <c r="AO27" s="171"/>
      <c r="AP27" s="171"/>
      <c r="AQ27" s="171"/>
      <c r="AR27" s="171"/>
      <c r="AS27" s="171"/>
      <c r="AT27" s="171"/>
      <c r="AU27" s="171"/>
      <c r="AV27" s="171"/>
      <c r="AW27" s="171"/>
      <c r="AX27" s="171"/>
    </row>
    <row r="28" spans="3:50">
      <c r="C28" s="19" t="s">
        <v>313</v>
      </c>
      <c r="D28" s="19" t="s">
        <v>314</v>
      </c>
      <c r="E28" s="19" t="s">
        <v>315</v>
      </c>
      <c r="F28" s="19" t="s">
        <v>32</v>
      </c>
      <c r="G28" s="177" t="s">
        <v>621</v>
      </c>
      <c r="H28" s="19">
        <v>2012</v>
      </c>
      <c r="I28" s="142">
        <v>3.1536000000000002E-2</v>
      </c>
      <c r="J28" s="19">
        <v>0.95</v>
      </c>
      <c r="K28" s="19">
        <v>30</v>
      </c>
      <c r="L28" s="283">
        <v>0.51227249999999991</v>
      </c>
      <c r="M28" s="283" t="s">
        <v>108</v>
      </c>
      <c r="N28" s="283" t="s">
        <v>108</v>
      </c>
      <c r="O28" s="283" t="s">
        <v>108</v>
      </c>
      <c r="P28" s="283" t="s">
        <v>108</v>
      </c>
      <c r="Q28" s="283" t="s">
        <v>108</v>
      </c>
      <c r="R28" s="128"/>
      <c r="S28" s="19"/>
      <c r="T28" s="107"/>
      <c r="U28" s="19" t="str">
        <f t="shared" si="0"/>
        <v>EGOITUA105</v>
      </c>
      <c r="V28" s="322" t="s">
        <v>621</v>
      </c>
      <c r="W28" s="79">
        <v>2.7518551665234446E-2</v>
      </c>
      <c r="X28" s="79" t="s">
        <v>108</v>
      </c>
      <c r="Y28" s="79" t="s">
        <v>108</v>
      </c>
      <c r="Z28" s="79" t="s">
        <v>108</v>
      </c>
      <c r="AA28" s="79" t="s">
        <v>108</v>
      </c>
      <c r="AB28" s="19"/>
      <c r="AC28" s="285">
        <v>0.434</v>
      </c>
      <c r="AD28" s="107"/>
      <c r="AE28" s="19" t="str">
        <f t="shared" si="1"/>
        <v>EGOITUA105</v>
      </c>
      <c r="AF28" s="295" t="s">
        <v>603</v>
      </c>
      <c r="AG28" s="131">
        <v>0.39409953348113136</v>
      </c>
      <c r="AH28" s="131" t="s">
        <v>108</v>
      </c>
      <c r="AI28" s="131">
        <v>0.40772483929028891</v>
      </c>
      <c r="AJ28" s="131"/>
      <c r="AK28" s="131">
        <v>0.42507414422195244</v>
      </c>
      <c r="AL28" s="131"/>
      <c r="AM28" s="107"/>
      <c r="AN28" s="171" t="s">
        <v>211</v>
      </c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</row>
    <row r="29" spans="3:50">
      <c r="C29" s="19" t="s">
        <v>316</v>
      </c>
      <c r="D29" s="19" t="s">
        <v>317</v>
      </c>
      <c r="E29" s="19" t="s">
        <v>315</v>
      </c>
      <c r="F29" s="19" t="s">
        <v>32</v>
      </c>
      <c r="G29" s="177" t="s">
        <v>621</v>
      </c>
      <c r="H29" s="19">
        <v>2012</v>
      </c>
      <c r="I29" s="142">
        <v>3.1536000000000002E-2</v>
      </c>
      <c r="J29" s="19">
        <v>0.95</v>
      </c>
      <c r="K29" s="19">
        <v>30</v>
      </c>
      <c r="L29" s="283">
        <v>0.44929812303562744</v>
      </c>
      <c r="M29" s="283" t="s">
        <v>108</v>
      </c>
      <c r="N29" s="283" t="s">
        <v>108</v>
      </c>
      <c r="O29" s="283" t="s">
        <v>108</v>
      </c>
      <c r="P29" s="283" t="s">
        <v>108</v>
      </c>
      <c r="Q29" s="283" t="s">
        <v>108</v>
      </c>
      <c r="R29" s="128"/>
      <c r="S29" s="19"/>
      <c r="T29" s="107"/>
      <c r="U29" s="19" t="str">
        <f t="shared" si="0"/>
        <v>EGOITUR105</v>
      </c>
      <c r="V29" s="322" t="s">
        <v>621</v>
      </c>
      <c r="W29" s="79">
        <v>1.24E-2</v>
      </c>
      <c r="X29" s="79" t="s">
        <v>108</v>
      </c>
      <c r="Y29" s="79" t="s">
        <v>108</v>
      </c>
      <c r="Z29" s="79" t="s">
        <v>108</v>
      </c>
      <c r="AA29" s="79" t="s">
        <v>108</v>
      </c>
      <c r="AB29" s="19"/>
      <c r="AC29" s="285">
        <v>0.434</v>
      </c>
      <c r="AD29" s="107"/>
      <c r="AE29" s="19" t="str">
        <f t="shared" si="1"/>
        <v>EGOITUR105</v>
      </c>
      <c r="AF29" s="295" t="s">
        <v>603</v>
      </c>
      <c r="AG29" s="131">
        <v>0.34129692832764502</v>
      </c>
      <c r="AH29" s="131" t="s">
        <v>108</v>
      </c>
      <c r="AI29" s="131" t="s">
        <v>108</v>
      </c>
      <c r="AJ29" s="131" t="s">
        <v>108</v>
      </c>
      <c r="AK29" s="131" t="s">
        <v>108</v>
      </c>
      <c r="AL29" s="131"/>
      <c r="AM29" s="107"/>
      <c r="AN29" s="171" t="s">
        <v>211</v>
      </c>
      <c r="AO29" s="171"/>
      <c r="AP29" s="171"/>
      <c r="AQ29" s="171"/>
      <c r="AR29" s="171"/>
      <c r="AS29" s="171"/>
      <c r="AT29" s="171"/>
      <c r="AU29" s="171"/>
      <c r="AV29" s="171"/>
      <c r="AW29" s="171"/>
      <c r="AX29" s="171"/>
    </row>
    <row r="30" spans="3:50">
      <c r="C30" s="19" t="s">
        <v>318</v>
      </c>
      <c r="D30" s="19" t="s">
        <v>321</v>
      </c>
      <c r="E30" s="19" t="s">
        <v>312</v>
      </c>
      <c r="F30" s="19" t="s">
        <v>32</v>
      </c>
      <c r="G30" s="177" t="s">
        <v>621</v>
      </c>
      <c r="H30" s="19">
        <v>2012</v>
      </c>
      <c r="I30" s="142">
        <v>3.1536000000000002E-2</v>
      </c>
      <c r="J30" s="19">
        <v>0.95</v>
      </c>
      <c r="K30" s="19">
        <v>30</v>
      </c>
      <c r="L30" s="283">
        <v>0.75027227564484988</v>
      </c>
      <c r="M30" s="283" t="s">
        <v>108</v>
      </c>
      <c r="N30" s="283" t="s">
        <v>108</v>
      </c>
      <c r="O30" s="283" t="s">
        <v>108</v>
      </c>
      <c r="P30" s="283" t="s">
        <v>108</v>
      </c>
      <c r="Q30" s="283" t="s">
        <v>108</v>
      </c>
      <c r="R30" s="128"/>
      <c r="S30" s="19"/>
      <c r="T30" s="107"/>
      <c r="U30" s="19" t="str">
        <f t="shared" si="0"/>
        <v>EOILGBL105</v>
      </c>
      <c r="V30" s="322" t="s">
        <v>621</v>
      </c>
      <c r="W30" s="79">
        <v>4.7890055119425394E-3</v>
      </c>
      <c r="X30" s="79" t="s">
        <v>108</v>
      </c>
      <c r="Y30" s="79" t="s">
        <v>108</v>
      </c>
      <c r="Z30" s="79" t="s">
        <v>108</v>
      </c>
      <c r="AA30" s="79" t="s">
        <v>108</v>
      </c>
      <c r="AB30" s="19"/>
      <c r="AC30" s="285">
        <v>5.0055152566009369</v>
      </c>
      <c r="AD30" s="107"/>
      <c r="AE30" s="19" t="str">
        <f t="shared" si="1"/>
        <v>EOILGBL105</v>
      </c>
      <c r="AF30" s="295" t="s">
        <v>603</v>
      </c>
      <c r="AG30" s="131">
        <v>0.35971223021582738</v>
      </c>
      <c r="AH30" s="131" t="s">
        <v>108</v>
      </c>
      <c r="AI30" s="131" t="s">
        <v>108</v>
      </c>
      <c r="AJ30" s="131" t="s">
        <v>108</v>
      </c>
      <c r="AK30" s="131" t="s">
        <v>108</v>
      </c>
      <c r="AL30" s="131"/>
      <c r="AM30" s="107"/>
      <c r="AN30" s="171" t="s">
        <v>211</v>
      </c>
      <c r="AO30" s="171"/>
      <c r="AP30" s="171"/>
      <c r="AQ30" s="171"/>
      <c r="AR30" s="171"/>
      <c r="AS30" s="171"/>
      <c r="AT30" s="171"/>
      <c r="AU30" s="171"/>
      <c r="AV30" s="171"/>
      <c r="AW30" s="171"/>
      <c r="AX30" s="171"/>
    </row>
    <row r="31" spans="3:50">
      <c r="C31" s="19" t="s">
        <v>322</v>
      </c>
      <c r="D31" s="19" t="s">
        <v>323</v>
      </c>
      <c r="E31" s="19" t="s">
        <v>312</v>
      </c>
      <c r="F31" s="19" t="s">
        <v>32</v>
      </c>
      <c r="G31" s="177" t="s">
        <v>621</v>
      </c>
      <c r="H31" s="19">
        <v>2012</v>
      </c>
      <c r="I31" s="142">
        <v>3.1536000000000002E-2</v>
      </c>
      <c r="J31" s="19">
        <v>0.95</v>
      </c>
      <c r="K31" s="19">
        <v>30</v>
      </c>
      <c r="L31" s="283">
        <v>0.43837499999999996</v>
      </c>
      <c r="M31" s="283" t="s">
        <v>108</v>
      </c>
      <c r="N31" s="283" t="s">
        <v>108</v>
      </c>
      <c r="O31" s="283" t="s">
        <v>108</v>
      </c>
      <c r="P31" s="283" t="s">
        <v>108</v>
      </c>
      <c r="Q31" s="283" t="s">
        <v>108</v>
      </c>
      <c r="R31" s="128"/>
      <c r="S31" s="19"/>
      <c r="T31" s="107"/>
      <c r="U31" s="19" t="str">
        <f t="shared" si="0"/>
        <v>EOILGPL105</v>
      </c>
      <c r="V31" s="322" t="s">
        <v>621</v>
      </c>
      <c r="W31" s="79">
        <v>5.6235566217062013E-3</v>
      </c>
      <c r="X31" s="79" t="s">
        <v>108</v>
      </c>
      <c r="Y31" s="79" t="s">
        <v>108</v>
      </c>
      <c r="Z31" s="79" t="s">
        <v>108</v>
      </c>
      <c r="AA31" s="79" t="s">
        <v>108</v>
      </c>
      <c r="AB31" s="19"/>
      <c r="AC31" s="285">
        <v>7.6524995956848247</v>
      </c>
      <c r="AD31" s="107"/>
      <c r="AE31" s="19" t="str">
        <f t="shared" si="1"/>
        <v>EOILGPL105</v>
      </c>
      <c r="AF31" s="295" t="s">
        <v>603</v>
      </c>
      <c r="AG31" s="131">
        <v>0.33705881152991496</v>
      </c>
      <c r="AH31" s="131" t="s">
        <v>108</v>
      </c>
      <c r="AI31" s="131">
        <v>0.34871203360353659</v>
      </c>
      <c r="AJ31" s="131"/>
      <c r="AK31" s="131">
        <v>0.36355025492666987</v>
      </c>
      <c r="AL31" s="131"/>
      <c r="AM31" s="107"/>
      <c r="AN31" s="171" t="s">
        <v>211</v>
      </c>
      <c r="AO31" s="171"/>
      <c r="AP31" s="171"/>
      <c r="AQ31" s="171"/>
      <c r="AR31" s="171"/>
      <c r="AS31" s="171"/>
      <c r="AT31" s="171"/>
      <c r="AU31" s="171"/>
      <c r="AV31" s="171"/>
      <c r="AW31" s="171"/>
      <c r="AX31" s="171"/>
    </row>
    <row r="32" spans="3:50">
      <c r="C32" s="19" t="s">
        <v>324</v>
      </c>
      <c r="D32" s="19" t="s">
        <v>325</v>
      </c>
      <c r="E32" s="19" t="s">
        <v>307</v>
      </c>
      <c r="F32" s="19" t="s">
        <v>32</v>
      </c>
      <c r="G32" s="177" t="s">
        <v>621</v>
      </c>
      <c r="H32" s="19">
        <v>2012</v>
      </c>
      <c r="I32" s="142">
        <v>3.1536000000000002E-2</v>
      </c>
      <c r="J32" s="19">
        <v>0.95</v>
      </c>
      <c r="K32" s="19">
        <v>30</v>
      </c>
      <c r="L32" s="283">
        <v>1.4961786324726569</v>
      </c>
      <c r="M32" s="283">
        <v>1.4798961459248814</v>
      </c>
      <c r="N32" s="283">
        <v>1.4646077339009782</v>
      </c>
      <c r="O32" s="283" t="s">
        <v>108</v>
      </c>
      <c r="P32" s="283">
        <v>1.4365741104343768</v>
      </c>
      <c r="Q32" s="283" t="s">
        <v>108</v>
      </c>
      <c r="R32" s="128"/>
      <c r="S32" s="19"/>
      <c r="T32" s="107"/>
      <c r="U32" s="19" t="str">
        <f t="shared" si="0"/>
        <v>EOILIGC-05</v>
      </c>
      <c r="V32" s="322" t="s">
        <v>621</v>
      </c>
      <c r="W32" s="79">
        <v>4.7119999999999995E-2</v>
      </c>
      <c r="X32" s="79" t="s">
        <v>108</v>
      </c>
      <c r="Y32" s="79" t="s">
        <v>108</v>
      </c>
      <c r="Z32" s="79" t="s">
        <v>108</v>
      </c>
      <c r="AA32" s="79">
        <v>3.7200000000000004E-2</v>
      </c>
      <c r="AB32" s="19"/>
      <c r="AC32" s="285">
        <v>1.3777777777777778</v>
      </c>
      <c r="AD32" s="107"/>
      <c r="AE32" s="19" t="str">
        <f t="shared" si="1"/>
        <v>EOILIGC-05</v>
      </c>
      <c r="AF32" s="295" t="s">
        <v>603</v>
      </c>
      <c r="AG32" s="131">
        <v>0.48356427153225501</v>
      </c>
      <c r="AH32" s="131">
        <v>0.51389554721180464</v>
      </c>
      <c r="AI32" s="131">
        <v>0.52694546316970603</v>
      </c>
      <c r="AJ32" s="131" t="s">
        <v>108</v>
      </c>
      <c r="AK32" s="131">
        <v>0.5416209226298605</v>
      </c>
      <c r="AL32" s="131"/>
      <c r="AM32" s="107"/>
      <c r="AN32" s="171" t="s">
        <v>211</v>
      </c>
      <c r="AO32" s="171"/>
      <c r="AP32" s="171"/>
      <c r="AQ32" s="171"/>
      <c r="AR32" s="171"/>
      <c r="AS32" s="171"/>
      <c r="AT32" s="171"/>
      <c r="AU32" s="171"/>
      <c r="AV32" s="171"/>
      <c r="AW32" s="171"/>
      <c r="AX32" s="171"/>
    </row>
    <row r="33" spans="3:50">
      <c r="C33" s="19" t="s">
        <v>326</v>
      </c>
      <c r="D33" s="19" t="s">
        <v>327</v>
      </c>
      <c r="E33" s="19" t="s">
        <v>315</v>
      </c>
      <c r="F33" s="19" t="s">
        <v>32</v>
      </c>
      <c r="G33" s="177" t="s">
        <v>621</v>
      </c>
      <c r="H33" s="19">
        <v>2020</v>
      </c>
      <c r="I33" s="142">
        <v>3.1536000000000002E-2</v>
      </c>
      <c r="J33" s="19">
        <v>0.95</v>
      </c>
      <c r="K33" s="19">
        <v>30</v>
      </c>
      <c r="L33" s="283">
        <v>1.6547382660923051</v>
      </c>
      <c r="M33" s="283">
        <v>1.564060939060939</v>
      </c>
      <c r="N33" s="283">
        <v>1.553307612932006</v>
      </c>
      <c r="O33" s="283">
        <v>1.4715545806724268</v>
      </c>
      <c r="P33" s="283">
        <v>1.3898015484128474</v>
      </c>
      <c r="Q33" s="283">
        <v>1.3012544657311556</v>
      </c>
      <c r="R33" s="128"/>
      <c r="S33" s="19"/>
      <c r="T33" s="107"/>
      <c r="U33" s="19" t="str">
        <f t="shared" si="0"/>
        <v>ENGACCA+05</v>
      </c>
      <c r="V33" s="322" t="s">
        <v>621</v>
      </c>
      <c r="W33" s="79">
        <v>4.2159999999999996E-2</v>
      </c>
      <c r="X33" s="79">
        <v>4.2230496775951323E-2</v>
      </c>
      <c r="Y33" s="79">
        <v>4.2085073559610789E-2</v>
      </c>
      <c r="Z33" s="79">
        <v>4.0962602647396457E-2</v>
      </c>
      <c r="AA33" s="79">
        <v>3.9808494254105244E-2</v>
      </c>
      <c r="AB33" s="19"/>
      <c r="AC33" s="285">
        <v>0.79706152433425159</v>
      </c>
      <c r="AD33" s="107"/>
      <c r="AE33" s="19" t="str">
        <f t="shared" si="1"/>
        <v>ENGACCA+05</v>
      </c>
      <c r="AF33" s="295" t="s">
        <v>603</v>
      </c>
      <c r="AG33" s="131">
        <v>0.51098436114935242</v>
      </c>
      <c r="AH33" s="131">
        <v>0.52</v>
      </c>
      <c r="AI33" s="131">
        <v>0.53030197349104058</v>
      </c>
      <c r="AJ33" s="131">
        <v>0.54048985421835471</v>
      </c>
      <c r="AK33" s="131">
        <v>0.54954376178573894</v>
      </c>
      <c r="AL33" s="131"/>
      <c r="AM33" s="107"/>
      <c r="AN33" s="171" t="s">
        <v>211</v>
      </c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</row>
    <row r="34" spans="3:50">
      <c r="C34" s="19" t="s">
        <v>328</v>
      </c>
      <c r="D34" s="19" t="s">
        <v>848</v>
      </c>
      <c r="E34" s="19" t="s">
        <v>315</v>
      </c>
      <c r="F34" s="19" t="s">
        <v>32</v>
      </c>
      <c r="G34" s="177" t="s">
        <v>621</v>
      </c>
      <c r="H34" s="19">
        <v>2012</v>
      </c>
      <c r="I34" s="142">
        <v>3.1536000000000002E-2</v>
      </c>
      <c r="J34" s="19">
        <v>0.95</v>
      </c>
      <c r="K34" s="19">
        <v>30</v>
      </c>
      <c r="L34" s="283">
        <v>0.67672340425531907</v>
      </c>
      <c r="M34" s="283">
        <v>0.66353191489361707</v>
      </c>
      <c r="N34" s="283">
        <v>0.65034042553191485</v>
      </c>
      <c r="O34" s="283" t="s">
        <v>108</v>
      </c>
      <c r="P34" s="283">
        <v>0.62395744680851062</v>
      </c>
      <c r="Q34" s="283">
        <v>0.62395744680851062</v>
      </c>
      <c r="R34" s="128"/>
      <c r="S34" s="19"/>
      <c r="T34" s="107"/>
      <c r="U34" s="19" t="str">
        <f t="shared" si="0"/>
        <v>ENGACCA-05</v>
      </c>
      <c r="V34" s="322" t="s">
        <v>621</v>
      </c>
      <c r="W34" s="79">
        <v>2.4799999999999999E-2</v>
      </c>
      <c r="X34" s="79" t="s">
        <v>108</v>
      </c>
      <c r="Y34" s="79" t="s">
        <v>108</v>
      </c>
      <c r="Z34" s="79" t="s">
        <v>108</v>
      </c>
      <c r="AA34" s="79" t="s">
        <v>108</v>
      </c>
      <c r="AB34" s="19"/>
      <c r="AC34" s="285">
        <v>0.51666666666666661</v>
      </c>
      <c r="AD34" s="107"/>
      <c r="AE34" s="19" t="str">
        <f t="shared" si="1"/>
        <v>ENGACCA-05</v>
      </c>
      <c r="AF34" s="295" t="s">
        <v>603</v>
      </c>
      <c r="AG34" s="131">
        <v>0.59441037929618545</v>
      </c>
      <c r="AH34" s="131">
        <v>0.61646948888131237</v>
      </c>
      <c r="AI34" s="131">
        <v>0.6259603368506953</v>
      </c>
      <c r="AJ34" s="131" t="s">
        <v>108</v>
      </c>
      <c r="AK34" s="131">
        <v>0.6366333982762622</v>
      </c>
      <c r="AL34" s="131"/>
      <c r="AM34" s="107"/>
      <c r="AN34" s="171" t="s">
        <v>211</v>
      </c>
      <c r="AO34" s="171"/>
      <c r="AP34" s="171"/>
      <c r="AQ34" s="171"/>
      <c r="AR34" s="171"/>
      <c r="AS34" s="171"/>
      <c r="AT34" s="171"/>
      <c r="AU34" s="171"/>
      <c r="AV34" s="171"/>
      <c r="AW34" s="171"/>
      <c r="AX34" s="171"/>
    </row>
    <row r="35" spans="3:50">
      <c r="C35" s="19" t="s">
        <v>329</v>
      </c>
      <c r="D35" s="19" t="s">
        <v>849</v>
      </c>
      <c r="E35" s="19" t="s">
        <v>315</v>
      </c>
      <c r="F35" s="19" t="s">
        <v>32</v>
      </c>
      <c r="G35" s="177" t="s">
        <v>621</v>
      </c>
      <c r="H35" s="19">
        <v>2012</v>
      </c>
      <c r="I35" s="142">
        <v>3.1536000000000002E-2</v>
      </c>
      <c r="J35" s="19">
        <v>0.95</v>
      </c>
      <c r="K35" s="19">
        <v>30</v>
      </c>
      <c r="L35" s="283">
        <v>0.62</v>
      </c>
      <c r="M35" s="283">
        <v>0.62</v>
      </c>
      <c r="N35" s="283">
        <v>0.62</v>
      </c>
      <c r="O35" s="283" t="s">
        <v>108</v>
      </c>
      <c r="P35" s="283">
        <v>0.62</v>
      </c>
      <c r="Q35" s="283" t="s">
        <v>108</v>
      </c>
      <c r="R35" s="128"/>
      <c r="S35" s="19"/>
      <c r="T35" s="107"/>
      <c r="U35" s="19" t="str">
        <f t="shared" si="0"/>
        <v>ENGACCC-05</v>
      </c>
      <c r="V35" s="322" t="s">
        <v>621</v>
      </c>
      <c r="W35" s="79">
        <v>2.4799999999999999E-2</v>
      </c>
      <c r="X35" s="79" t="s">
        <v>108</v>
      </c>
      <c r="Y35" s="79" t="s">
        <v>108</v>
      </c>
      <c r="Z35" s="79" t="s">
        <v>108</v>
      </c>
      <c r="AA35" s="79" t="s">
        <v>108</v>
      </c>
      <c r="AB35" s="19"/>
      <c r="AC35" s="285">
        <v>0.51666666666666661</v>
      </c>
      <c r="AD35" s="107"/>
      <c r="AE35" s="19" t="str">
        <f t="shared" si="1"/>
        <v>ENGACCC-05</v>
      </c>
      <c r="AF35" s="295" t="s">
        <v>603</v>
      </c>
      <c r="AG35" s="131">
        <v>0.57220518964809275</v>
      </c>
      <c r="AH35" s="131">
        <v>0.58323474444065626</v>
      </c>
      <c r="AI35" s="131">
        <v>0.58798016842534762</v>
      </c>
      <c r="AJ35" s="131" t="s">
        <v>108</v>
      </c>
      <c r="AK35" s="131">
        <v>0.59331669913813112</v>
      </c>
      <c r="AL35" s="131"/>
      <c r="AM35" s="107"/>
      <c r="AN35" s="171" t="s">
        <v>211</v>
      </c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</row>
    <row r="36" spans="3:50">
      <c r="C36" s="19" t="s">
        <v>330</v>
      </c>
      <c r="D36" s="19" t="s">
        <v>850</v>
      </c>
      <c r="E36" s="19" t="s">
        <v>315</v>
      </c>
      <c r="F36" s="19" t="s">
        <v>32</v>
      </c>
      <c r="G36" s="177" t="s">
        <v>621</v>
      </c>
      <c r="H36" s="19">
        <v>2012</v>
      </c>
      <c r="I36" s="142">
        <v>3.1536000000000002E-2</v>
      </c>
      <c r="J36" s="19">
        <v>0.95</v>
      </c>
      <c r="K36" s="19">
        <v>30</v>
      </c>
      <c r="L36" s="283">
        <v>0.80268846411670136</v>
      </c>
      <c r="M36" s="283">
        <v>0.79475008192617846</v>
      </c>
      <c r="N36" s="283">
        <v>0.78725475521268817</v>
      </c>
      <c r="O36" s="283" t="s">
        <v>108</v>
      </c>
      <c r="P36" s="283">
        <v>0.77341291996304073</v>
      </c>
      <c r="Q36" s="283" t="s">
        <v>108</v>
      </c>
      <c r="R36" s="128"/>
      <c r="S36" s="19"/>
      <c r="T36" s="107"/>
      <c r="U36" s="19" t="str">
        <f t="shared" si="0"/>
        <v>ENGAICC-05</v>
      </c>
      <c r="V36" s="322" t="s">
        <v>621</v>
      </c>
      <c r="W36" s="79">
        <v>2.4799999999999999E-2</v>
      </c>
      <c r="X36" s="79" t="s">
        <v>108</v>
      </c>
      <c r="Y36" s="79" t="s">
        <v>108</v>
      </c>
      <c r="Z36" s="79" t="s">
        <v>108</v>
      </c>
      <c r="AA36" s="79" t="s">
        <v>108</v>
      </c>
      <c r="AB36" s="19"/>
      <c r="AC36" s="285">
        <v>0.68888888888888888</v>
      </c>
      <c r="AD36" s="107"/>
      <c r="AE36" s="19" t="str">
        <f t="shared" si="1"/>
        <v>ENGAICC-05</v>
      </c>
      <c r="AF36" s="295" t="s">
        <v>603</v>
      </c>
      <c r="AG36" s="131">
        <v>0.50830778447213909</v>
      </c>
      <c r="AH36" s="131">
        <v>0.5248521166609843</v>
      </c>
      <c r="AI36" s="131">
        <v>0.53197025263802145</v>
      </c>
      <c r="AJ36" s="131" t="s">
        <v>108</v>
      </c>
      <c r="AK36" s="131">
        <v>0.53997504870719659</v>
      </c>
      <c r="AL36" s="131"/>
      <c r="AM36" s="107"/>
      <c r="AN36" s="171" t="s">
        <v>211</v>
      </c>
      <c r="AO36" s="171"/>
      <c r="AP36" s="171"/>
      <c r="AQ36" s="171"/>
      <c r="AR36" s="171"/>
      <c r="AS36" s="171"/>
      <c r="AT36" s="171"/>
      <c r="AU36" s="171"/>
      <c r="AV36" s="171"/>
      <c r="AW36" s="171"/>
      <c r="AX36" s="171"/>
    </row>
    <row r="37" spans="3:50">
      <c r="C37" s="19" t="s">
        <v>331</v>
      </c>
      <c r="D37" s="19" t="s">
        <v>851</v>
      </c>
      <c r="E37" s="19" t="s">
        <v>315</v>
      </c>
      <c r="F37" s="19" t="s">
        <v>251</v>
      </c>
      <c r="G37" s="177" t="s">
        <v>621</v>
      </c>
      <c r="H37" s="19">
        <v>2012</v>
      </c>
      <c r="I37" s="142">
        <v>3.1536000000000002E-2</v>
      </c>
      <c r="J37" s="19">
        <v>0.95</v>
      </c>
      <c r="K37" s="19">
        <v>30</v>
      </c>
      <c r="L37" s="283">
        <v>0.6741996500145736</v>
      </c>
      <c r="M37" s="283">
        <v>0.65676158178565225</v>
      </c>
      <c r="N37" s="283">
        <v>0.64164634827103351</v>
      </c>
      <c r="O37" s="283" t="s">
        <v>108</v>
      </c>
      <c r="P37" s="283">
        <v>0.61637039169316332</v>
      </c>
      <c r="Q37" s="283" t="s">
        <v>108</v>
      </c>
      <c r="R37" s="128"/>
      <c r="S37" s="19"/>
      <c r="T37" s="107"/>
      <c r="U37" s="19" t="str">
        <f t="shared" si="0"/>
        <v>ENGAICE-D5</v>
      </c>
      <c r="V37" s="322" t="s">
        <v>621</v>
      </c>
      <c r="W37" s="79">
        <v>1.6823681830059868E-2</v>
      </c>
      <c r="X37" s="79" t="s">
        <v>108</v>
      </c>
      <c r="Y37" s="79" t="s">
        <v>108</v>
      </c>
      <c r="Z37" s="79" t="s">
        <v>108</v>
      </c>
      <c r="AA37" s="79" t="s">
        <v>108</v>
      </c>
      <c r="AB37" s="19"/>
      <c r="AC37" s="285">
        <v>0.68888888888888888</v>
      </c>
      <c r="AD37" s="107"/>
      <c r="AE37" s="19" t="str">
        <f t="shared" si="1"/>
        <v>ENGAICE-D5</v>
      </c>
      <c r="AF37" s="295" t="s">
        <v>603</v>
      </c>
      <c r="AG37" s="131">
        <v>0.43051297412023187</v>
      </c>
      <c r="AH37" s="131">
        <v>0.45808686110164054</v>
      </c>
      <c r="AI37" s="131">
        <v>0.46995042106336909</v>
      </c>
      <c r="AJ37" s="131" t="s">
        <v>108</v>
      </c>
      <c r="AK37" s="131">
        <v>0.48329174784532769</v>
      </c>
      <c r="AL37" s="131"/>
      <c r="AM37" s="107"/>
      <c r="AN37" s="171" t="s">
        <v>211</v>
      </c>
      <c r="AO37" s="171"/>
      <c r="AP37" s="171"/>
      <c r="AQ37" s="171"/>
      <c r="AR37" s="171"/>
      <c r="AS37" s="171"/>
      <c r="AT37" s="171"/>
      <c r="AU37" s="171"/>
      <c r="AV37" s="171"/>
      <c r="AW37" s="171"/>
      <c r="AX37" s="171"/>
    </row>
    <row r="38" spans="3:50">
      <c r="C38" s="19" t="s">
        <v>332</v>
      </c>
      <c r="D38" s="19" t="s">
        <v>333</v>
      </c>
      <c r="E38" s="19" t="s">
        <v>315</v>
      </c>
      <c r="F38" s="19" t="s">
        <v>32</v>
      </c>
      <c r="G38" s="177" t="s">
        <v>621</v>
      </c>
      <c r="H38" s="19">
        <v>2035</v>
      </c>
      <c r="I38" s="142">
        <v>3.1536000000000002E-2</v>
      </c>
      <c r="J38" s="19">
        <v>0.95</v>
      </c>
      <c r="K38" s="19">
        <v>20</v>
      </c>
      <c r="L38" s="283">
        <v>6.6869077374972203</v>
      </c>
      <c r="M38" s="283">
        <v>3.8362862870342398</v>
      </c>
      <c r="N38" s="283">
        <f>M38+(N39-M39)*0.9</f>
        <v>2.7366622268838636</v>
      </c>
      <c r="O38" s="283" t="s">
        <v>108</v>
      </c>
      <c r="P38" s="283">
        <v>1.5508181290576599</v>
      </c>
      <c r="Q38" s="283">
        <v>1.5354675711642201</v>
      </c>
      <c r="R38" s="128"/>
      <c r="S38" s="19"/>
      <c r="T38" s="107"/>
      <c r="U38" s="19" t="str">
        <f t="shared" si="0"/>
        <v>ENGASFC+05</v>
      </c>
      <c r="V38" s="322" t="s">
        <v>621</v>
      </c>
      <c r="W38" s="79">
        <v>0.17439092267171144</v>
      </c>
      <c r="X38" s="79">
        <v>0.12808656617724823</v>
      </c>
      <c r="Y38" s="79">
        <v>0.10682643851448842</v>
      </c>
      <c r="Z38" s="79" t="s">
        <v>108</v>
      </c>
      <c r="AA38" s="79">
        <v>8.2459999999999992E-2</v>
      </c>
      <c r="AB38" s="19"/>
      <c r="AC38" s="285">
        <v>1.86</v>
      </c>
      <c r="AD38" s="107"/>
      <c r="AE38" s="19" t="str">
        <f t="shared" si="1"/>
        <v>ENGASFC+05</v>
      </c>
      <c r="AF38" s="295" t="s">
        <v>603</v>
      </c>
      <c r="AG38" s="131">
        <v>0.49230139897000202</v>
      </c>
      <c r="AH38" s="131">
        <v>0.5278831122138079</v>
      </c>
      <c r="AI38" s="131">
        <v>0.56031711888032454</v>
      </c>
      <c r="AJ38" s="131" t="s">
        <v>108</v>
      </c>
      <c r="AK38" s="131">
        <v>0.603065051340688</v>
      </c>
      <c r="AL38" s="131"/>
      <c r="AM38" s="107"/>
      <c r="AN38" s="171" t="s">
        <v>211</v>
      </c>
      <c r="AO38" s="171"/>
      <c r="AP38" s="171"/>
      <c r="AQ38" s="171"/>
      <c r="AR38" s="171"/>
      <c r="AS38" s="171"/>
      <c r="AT38" s="171"/>
      <c r="AU38" s="171"/>
      <c r="AV38" s="171"/>
      <c r="AW38" s="171"/>
      <c r="AX38" s="171"/>
    </row>
    <row r="39" spans="3:50">
      <c r="C39" s="19" t="s">
        <v>334</v>
      </c>
      <c r="D39" s="19" t="s">
        <v>857</v>
      </c>
      <c r="E39" s="19" t="s">
        <v>315</v>
      </c>
      <c r="F39" s="19" t="s">
        <v>32</v>
      </c>
      <c r="G39" s="177" t="s">
        <v>621</v>
      </c>
      <c r="H39" s="19">
        <v>2012</v>
      </c>
      <c r="I39" s="142">
        <v>3.1536000000000002E-2</v>
      </c>
      <c r="J39" s="19">
        <v>0.95</v>
      </c>
      <c r="K39" s="19">
        <v>20</v>
      </c>
      <c r="L39" s="283">
        <v>4.8007518796992503</v>
      </c>
      <c r="M39" s="283">
        <v>3.1015037593984962</v>
      </c>
      <c r="N39" s="283">
        <v>1.8796992481203008</v>
      </c>
      <c r="O39" s="283">
        <v>1.1888261880332254</v>
      </c>
      <c r="P39" s="283">
        <v>0.75187969924812037</v>
      </c>
      <c r="Q39" s="283"/>
      <c r="R39" s="128"/>
      <c r="S39" s="19"/>
      <c r="T39" s="107"/>
      <c r="U39" s="19" t="str">
        <f t="shared" si="0"/>
        <v>ENGASFC-05</v>
      </c>
      <c r="V39" s="322" t="s">
        <v>621</v>
      </c>
      <c r="W39" s="79">
        <v>0.39003759398496241</v>
      </c>
      <c r="X39" s="79">
        <v>0.15507518796992481</v>
      </c>
      <c r="Y39" s="79">
        <v>9.3984962406015032E-2</v>
      </c>
      <c r="Z39" s="79">
        <v>5.9441309401661264E-2</v>
      </c>
      <c r="AA39" s="79">
        <v>3.7593984962406013E-2</v>
      </c>
      <c r="AB39" s="19"/>
      <c r="AC39" s="285">
        <v>0.96</v>
      </c>
      <c r="AD39" s="107"/>
      <c r="AE39" s="19" t="str">
        <f t="shared" si="1"/>
        <v>ENGASFC-05</v>
      </c>
      <c r="AF39" s="295" t="s">
        <v>603</v>
      </c>
      <c r="AG39" s="131">
        <v>0.57267713757734928</v>
      </c>
      <c r="AH39" s="131">
        <v>0.59923029196863176</v>
      </c>
      <c r="AI39" s="131">
        <v>0.62067906555802776</v>
      </c>
      <c r="AJ39" s="131" t="s">
        <v>108</v>
      </c>
      <c r="AK39" s="131">
        <v>0.6541722590814244</v>
      </c>
      <c r="AL39" s="131"/>
      <c r="AM39" s="107"/>
      <c r="AN39" s="171" t="s">
        <v>211</v>
      </c>
      <c r="AO39" s="171"/>
      <c r="AP39" s="171"/>
      <c r="AQ39" s="171"/>
      <c r="AR39" s="171"/>
      <c r="AS39" s="171"/>
      <c r="AT39" s="171"/>
      <c r="AU39" s="171"/>
      <c r="AV39" s="171"/>
      <c r="AW39" s="171"/>
      <c r="AX39" s="171"/>
    </row>
    <row r="40" spans="3:50">
      <c r="C40" s="19" t="s">
        <v>335</v>
      </c>
      <c r="D40" s="19" t="s">
        <v>852</v>
      </c>
      <c r="E40" s="19" t="s">
        <v>336</v>
      </c>
      <c r="F40" s="19" t="s">
        <v>32</v>
      </c>
      <c r="G40" s="177" t="s">
        <v>621</v>
      </c>
      <c r="H40" s="19">
        <v>2012</v>
      </c>
      <c r="I40" s="142">
        <v>3.1536000000000002E-2</v>
      </c>
      <c r="J40" s="19">
        <v>0.95</v>
      </c>
      <c r="K40" s="19">
        <v>20</v>
      </c>
      <c r="L40" s="283">
        <v>2.6610399122145219</v>
      </c>
      <c r="M40" s="283">
        <v>2.2020760063717368</v>
      </c>
      <c r="N40" s="283">
        <v>1.2871683341884632</v>
      </c>
      <c r="O40" s="283" t="s">
        <v>108</v>
      </c>
      <c r="P40" s="283">
        <v>0.64273204976901865</v>
      </c>
      <c r="Q40" s="283" t="s">
        <v>108</v>
      </c>
      <c r="R40" s="128"/>
      <c r="S40" s="19"/>
      <c r="T40" s="107"/>
      <c r="U40" s="19" t="str">
        <f t="shared" si="0"/>
        <v>EHYNSFC-05</v>
      </c>
      <c r="V40" s="322" t="s">
        <v>621</v>
      </c>
      <c r="W40" s="79">
        <v>0.13639999999999999</v>
      </c>
      <c r="X40" s="79" t="s">
        <v>108</v>
      </c>
      <c r="Y40" s="79">
        <v>5.7891834965999957E-2</v>
      </c>
      <c r="Z40" s="79" t="s">
        <v>108</v>
      </c>
      <c r="AA40" s="79">
        <v>2.8396946564885495E-2</v>
      </c>
      <c r="AB40" s="19"/>
      <c r="AC40" s="285">
        <v>0.62</v>
      </c>
      <c r="AD40" s="107"/>
      <c r="AE40" s="19" t="str">
        <f t="shared" si="1"/>
        <v>EHYNSFC-05</v>
      </c>
      <c r="AF40" s="295" t="s">
        <v>603</v>
      </c>
      <c r="AG40" s="131">
        <v>0.61208695477957431</v>
      </c>
      <c r="AH40" s="131">
        <v>0.6</v>
      </c>
      <c r="AI40" s="131">
        <v>0.64</v>
      </c>
      <c r="AJ40" s="131" t="s">
        <v>108</v>
      </c>
      <c r="AK40" s="131">
        <v>0.68</v>
      </c>
      <c r="AL40" s="131"/>
      <c r="AM40" s="107"/>
      <c r="AN40" s="171" t="s">
        <v>211</v>
      </c>
      <c r="AO40" s="171"/>
      <c r="AP40" s="171"/>
      <c r="AQ40" s="171"/>
      <c r="AR40" s="171"/>
      <c r="AS40" s="171"/>
      <c r="AT40" s="171"/>
      <c r="AU40" s="171"/>
      <c r="AV40" s="171"/>
      <c r="AW40" s="171"/>
      <c r="AX40" s="171"/>
    </row>
    <row r="41" spans="3:50">
      <c r="C41" s="19" t="s">
        <v>337</v>
      </c>
      <c r="D41" s="19" t="s">
        <v>338</v>
      </c>
      <c r="E41" s="19" t="s">
        <v>339</v>
      </c>
      <c r="F41" s="19" t="s">
        <v>32</v>
      </c>
      <c r="G41" s="177" t="s">
        <v>621</v>
      </c>
      <c r="H41" s="19">
        <v>2055</v>
      </c>
      <c r="I41" s="142">
        <v>3.1536000000000002E-2</v>
      </c>
      <c r="J41" s="19">
        <v>0.85</v>
      </c>
      <c r="K41" s="19">
        <v>40</v>
      </c>
      <c r="L41" s="283">
        <v>11.78</v>
      </c>
      <c r="M41" s="283">
        <v>10.664</v>
      </c>
      <c r="N41" s="283">
        <v>9.548</v>
      </c>
      <c r="O41" s="283" t="s">
        <v>108</v>
      </c>
      <c r="P41" s="283">
        <v>6.944</v>
      </c>
      <c r="Q41" s="283" t="s">
        <v>108</v>
      </c>
      <c r="R41" s="128"/>
      <c r="S41" s="19"/>
      <c r="T41" s="107"/>
      <c r="U41" s="19" t="str">
        <f t="shared" si="0"/>
        <v>ENUCFUS-05</v>
      </c>
      <c r="V41" s="322" t="s">
        <v>621</v>
      </c>
      <c r="W41" s="79">
        <v>0.10416</v>
      </c>
      <c r="X41" s="79" t="s">
        <v>108</v>
      </c>
      <c r="Y41" s="79" t="s">
        <v>108</v>
      </c>
      <c r="Z41" s="79" t="s">
        <v>108</v>
      </c>
      <c r="AA41" s="79">
        <v>9.2999999999999999E-2</v>
      </c>
      <c r="AB41" s="19"/>
      <c r="AC41" s="285">
        <v>0.55800000000000005</v>
      </c>
      <c r="AD41" s="107"/>
      <c r="AE41" s="19" t="str">
        <f t="shared" si="1"/>
        <v>ENUCFUS-05</v>
      </c>
      <c r="AF41" s="295" t="s">
        <v>603</v>
      </c>
      <c r="AG41" s="131">
        <v>0.35</v>
      </c>
      <c r="AH41" s="131">
        <v>0.35</v>
      </c>
      <c r="AI41" s="131">
        <v>0.35</v>
      </c>
      <c r="AJ41" s="131" t="s">
        <v>108</v>
      </c>
      <c r="AK41" s="131">
        <v>0.35</v>
      </c>
      <c r="AL41" s="131"/>
      <c r="AM41" s="107"/>
      <c r="AN41" s="19" t="str">
        <f>$C41</f>
        <v>ENUCFUS-05</v>
      </c>
      <c r="AO41" s="19"/>
      <c r="AP41" s="19"/>
      <c r="AQ41" s="19"/>
      <c r="AR41" s="19"/>
      <c r="AS41" s="19"/>
      <c r="AT41" s="19"/>
      <c r="AU41" s="19"/>
      <c r="AV41" s="19"/>
      <c r="AW41" s="19"/>
      <c r="AX41" s="141">
        <v>0.9</v>
      </c>
    </row>
    <row r="42" spans="3:50">
      <c r="C42" s="19" t="s">
        <v>340</v>
      </c>
      <c r="D42" s="19" t="s">
        <v>341</v>
      </c>
      <c r="E42" s="19" t="s">
        <v>342</v>
      </c>
      <c r="F42" s="19" t="s">
        <v>32</v>
      </c>
      <c r="G42" s="177" t="s">
        <v>621</v>
      </c>
      <c r="H42" s="19">
        <v>2012</v>
      </c>
      <c r="I42" s="142">
        <v>3.1536000000000002E-2</v>
      </c>
      <c r="J42" s="131">
        <v>0.95</v>
      </c>
      <c r="K42" s="19">
        <v>50</v>
      </c>
      <c r="L42" s="283">
        <v>4.6470134803487841</v>
      </c>
      <c r="M42" s="283">
        <v>4.6470134803487841</v>
      </c>
      <c r="N42" s="283">
        <v>3.9964315930999539</v>
      </c>
      <c r="O42" s="283" t="s">
        <v>108</v>
      </c>
      <c r="P42" s="283">
        <v>3.4369311700659604</v>
      </c>
      <c r="Q42" s="283" t="s">
        <v>108</v>
      </c>
      <c r="R42" s="128"/>
      <c r="S42" s="19"/>
      <c r="T42" s="107"/>
      <c r="U42" s="19" t="str">
        <f t="shared" si="0"/>
        <v>EURALWR-05</v>
      </c>
      <c r="V42" s="322" t="s">
        <v>621</v>
      </c>
      <c r="W42" s="79">
        <v>7.376511999999999E-2</v>
      </c>
      <c r="X42" s="79">
        <v>7.376511999999999E-2</v>
      </c>
      <c r="Y42" s="79">
        <v>7.376511999999999E-2</v>
      </c>
      <c r="Z42" s="79" t="s">
        <v>108</v>
      </c>
      <c r="AA42" s="79">
        <v>7.376511999999999E-2</v>
      </c>
      <c r="AB42" s="19"/>
      <c r="AC42" s="285">
        <v>1.1427288888888887</v>
      </c>
      <c r="AD42" s="107"/>
      <c r="AE42" s="19" t="str">
        <f t="shared" si="1"/>
        <v>EURALWR-05</v>
      </c>
      <c r="AF42" s="295" t="s">
        <v>603</v>
      </c>
      <c r="AG42" s="131">
        <v>0.35</v>
      </c>
      <c r="AH42" s="131">
        <v>0.37</v>
      </c>
      <c r="AI42" s="131">
        <v>0.38</v>
      </c>
      <c r="AJ42" s="131" t="s">
        <v>108</v>
      </c>
      <c r="AK42" s="131">
        <v>0.38</v>
      </c>
      <c r="AL42" s="131"/>
      <c r="AM42" s="107"/>
      <c r="AN42" s="19" t="str">
        <f>$C42</f>
        <v>EURALWR-05</v>
      </c>
      <c r="AO42" s="19"/>
      <c r="AP42" s="19"/>
      <c r="AQ42" s="19"/>
      <c r="AR42" s="19"/>
      <c r="AS42" s="19"/>
      <c r="AT42" s="19"/>
      <c r="AU42" s="19"/>
      <c r="AV42" s="19"/>
      <c r="AW42" s="19"/>
      <c r="AX42" s="141">
        <v>0.91</v>
      </c>
    </row>
    <row r="43" spans="3:50">
      <c r="C43" s="19" t="s">
        <v>343</v>
      </c>
      <c r="D43" s="19" t="s">
        <v>344</v>
      </c>
      <c r="E43" s="19" t="s">
        <v>342</v>
      </c>
      <c r="F43" s="19" t="s">
        <v>32</v>
      </c>
      <c r="G43" s="177" t="s">
        <v>621</v>
      </c>
      <c r="H43" s="19">
        <v>2012</v>
      </c>
      <c r="I43" s="142">
        <v>3.1536000000000002E-2</v>
      </c>
      <c r="J43" s="131">
        <v>0.95</v>
      </c>
      <c r="K43" s="19">
        <v>50</v>
      </c>
      <c r="L43" s="283">
        <v>4.9723044239731982</v>
      </c>
      <c r="M43" s="283">
        <v>4.9723044239731982</v>
      </c>
      <c r="N43" s="283">
        <v>4.2761818046169511</v>
      </c>
      <c r="O43" s="283" t="s">
        <v>108</v>
      </c>
      <c r="P43" s="283">
        <v>3.6775163519705778</v>
      </c>
      <c r="Q43" s="283" t="s">
        <v>108</v>
      </c>
      <c r="R43" s="128"/>
      <c r="S43" s="19"/>
      <c r="T43" s="107"/>
      <c r="U43" s="19" t="str">
        <f t="shared" si="0"/>
        <v>EURALWR-10</v>
      </c>
      <c r="V43" s="322" t="s">
        <v>621</v>
      </c>
      <c r="W43" s="79">
        <v>8.8857711683043003E-2</v>
      </c>
      <c r="X43" s="79">
        <v>8.3485791077681989E-2</v>
      </c>
      <c r="Y43" s="79">
        <v>7.9519097960893792E-2</v>
      </c>
      <c r="Z43" s="79" t="s">
        <v>108</v>
      </c>
      <c r="AA43" s="79">
        <v>7.376511999999999E-2</v>
      </c>
      <c r="AB43" s="19"/>
      <c r="AC43" s="285">
        <v>1.3712746666666664</v>
      </c>
      <c r="AD43" s="107"/>
      <c r="AE43" s="19" t="str">
        <f t="shared" si="1"/>
        <v>EURALWR-10</v>
      </c>
      <c r="AF43" s="295" t="s">
        <v>603</v>
      </c>
      <c r="AG43" s="131">
        <v>0.42</v>
      </c>
      <c r="AH43" s="131">
        <v>0.43</v>
      </c>
      <c r="AI43" s="131">
        <v>0.44</v>
      </c>
      <c r="AJ43" s="131" t="s">
        <v>108</v>
      </c>
      <c r="AK43" s="131">
        <v>0.44</v>
      </c>
      <c r="AL43" s="131"/>
      <c r="AM43" s="107"/>
      <c r="AN43" s="19" t="str">
        <f>$C43</f>
        <v>EURALWR-10</v>
      </c>
      <c r="AO43" s="19"/>
      <c r="AP43" s="19"/>
      <c r="AQ43" s="19"/>
      <c r="AR43" s="19"/>
      <c r="AS43" s="19"/>
      <c r="AT43" s="19"/>
      <c r="AU43" s="19"/>
      <c r="AV43" s="19"/>
      <c r="AW43" s="19"/>
      <c r="AX43" s="141">
        <v>0.91</v>
      </c>
    </row>
    <row r="44" spans="3:50">
      <c r="C44" s="19" t="s">
        <v>345</v>
      </c>
      <c r="D44" s="19" t="s">
        <v>346</v>
      </c>
      <c r="E44" s="19" t="s">
        <v>342</v>
      </c>
      <c r="F44" s="19" t="s">
        <v>32</v>
      </c>
      <c r="G44" s="177" t="s">
        <v>621</v>
      </c>
      <c r="H44" s="19">
        <v>2012</v>
      </c>
      <c r="I44" s="142">
        <v>3.1536000000000002E-2</v>
      </c>
      <c r="J44" s="131">
        <v>0.95</v>
      </c>
      <c r="K44" s="19">
        <v>50</v>
      </c>
      <c r="L44" s="283">
        <v>5.9667653087678403</v>
      </c>
      <c r="M44" s="283">
        <v>5.3700887778910547</v>
      </c>
      <c r="N44" s="283">
        <v>4.0275665834182917</v>
      </c>
      <c r="O44" s="283" t="s">
        <v>108</v>
      </c>
      <c r="P44" s="283">
        <v>3.4637072617397311</v>
      </c>
      <c r="Q44" s="283" t="s">
        <v>108</v>
      </c>
      <c r="R44" s="128"/>
      <c r="S44" s="19"/>
      <c r="T44" s="107"/>
      <c r="U44" s="19" t="str">
        <f t="shared" si="0"/>
        <v>EURAPBR-05</v>
      </c>
      <c r="V44" s="322" t="s">
        <v>621</v>
      </c>
      <c r="W44" s="79">
        <v>5.5799999999999995E-2</v>
      </c>
      <c r="X44" s="79">
        <v>5.0220000000000001E-2</v>
      </c>
      <c r="Y44" s="79">
        <v>4.7709000000000001E-2</v>
      </c>
      <c r="Z44" s="79" t="s">
        <v>108</v>
      </c>
      <c r="AA44" s="79">
        <v>4.5880000000000004E-2</v>
      </c>
      <c r="AB44" s="19"/>
      <c r="AC44" s="285">
        <v>1.3712746666666664</v>
      </c>
      <c r="AD44" s="107"/>
      <c r="AE44" s="19" t="str">
        <f>$C44</f>
        <v>EURAPBR-05</v>
      </c>
      <c r="AF44" s="295" t="s">
        <v>603</v>
      </c>
      <c r="AG44" s="131">
        <v>0.43746167670820868</v>
      </c>
      <c r="AH44" s="131">
        <v>0.4622781749914765</v>
      </c>
      <c r="AI44" s="131">
        <v>0.47295537895703221</v>
      </c>
      <c r="AJ44" s="131" t="s">
        <v>108</v>
      </c>
      <c r="AK44" s="131">
        <v>0.48</v>
      </c>
      <c r="AL44" s="131"/>
      <c r="AM44" s="107"/>
      <c r="AN44" s="19" t="str">
        <f>$C44</f>
        <v>EURAPBR-05</v>
      </c>
      <c r="AO44" s="19"/>
      <c r="AP44" s="19"/>
      <c r="AQ44" s="19"/>
      <c r="AR44" s="19"/>
      <c r="AS44" s="19"/>
      <c r="AT44" s="19"/>
      <c r="AU44" s="19"/>
      <c r="AV44" s="19"/>
      <c r="AW44" s="19"/>
      <c r="AX44" s="141">
        <v>0.91</v>
      </c>
    </row>
    <row r="45" spans="3:50">
      <c r="C45" s="19" t="s">
        <v>350</v>
      </c>
      <c r="D45" s="19" t="s">
        <v>351</v>
      </c>
      <c r="E45" s="19" t="s">
        <v>352</v>
      </c>
      <c r="F45" s="19" t="s">
        <v>32</v>
      </c>
      <c r="G45" s="177" t="s">
        <v>621</v>
      </c>
      <c r="H45" s="19">
        <v>2012</v>
      </c>
      <c r="I45" s="142">
        <v>3.1536000000000002E-2</v>
      </c>
      <c r="J45" s="19">
        <v>0.95</v>
      </c>
      <c r="K45" s="19">
        <v>90</v>
      </c>
      <c r="L45" s="283">
        <v>2.48</v>
      </c>
      <c r="M45" s="283" t="s">
        <v>108</v>
      </c>
      <c r="N45" s="283" t="s">
        <v>108</v>
      </c>
      <c r="O45" s="283" t="s">
        <v>108</v>
      </c>
      <c r="P45" s="283" t="s">
        <v>108</v>
      </c>
      <c r="Q45" s="283" t="s">
        <v>108</v>
      </c>
      <c r="R45" s="179">
        <v>1</v>
      </c>
      <c r="S45" s="141"/>
      <c r="T45" s="107"/>
      <c r="U45" s="19" t="s">
        <v>350</v>
      </c>
      <c r="V45" s="322" t="s">
        <v>621</v>
      </c>
      <c r="W45" s="79">
        <v>2.4799999999999999E-2</v>
      </c>
      <c r="X45" s="79" t="s">
        <v>108</v>
      </c>
      <c r="Y45" s="79" t="s">
        <v>108</v>
      </c>
      <c r="Z45" s="79" t="s">
        <v>108</v>
      </c>
      <c r="AA45" s="79" t="s">
        <v>108</v>
      </c>
      <c r="AB45" s="19"/>
      <c r="AC45" s="285">
        <v>1.24</v>
      </c>
      <c r="AD45" s="107"/>
      <c r="AE45" s="108" t="s">
        <v>104</v>
      </c>
      <c r="AG45" s="23" t="s">
        <v>108</v>
      </c>
      <c r="AH45" s="23" t="s">
        <v>108</v>
      </c>
      <c r="AI45" s="23" t="s">
        <v>108</v>
      </c>
      <c r="AJ45" s="23" t="s">
        <v>108</v>
      </c>
      <c r="AK45" s="23" t="s">
        <v>108</v>
      </c>
      <c r="AL45" s="23"/>
      <c r="AM45" s="107"/>
      <c r="AN45" s="171" t="s">
        <v>211</v>
      </c>
      <c r="AO45" s="171"/>
      <c r="AP45" s="171"/>
      <c r="AQ45" s="171"/>
      <c r="AR45" s="171"/>
      <c r="AS45" s="171"/>
      <c r="AT45" s="171"/>
      <c r="AU45" s="171"/>
      <c r="AV45" s="171"/>
      <c r="AW45" s="171"/>
      <c r="AX45" s="171"/>
    </row>
    <row r="46" spans="3:50">
      <c r="C46" s="19" t="s">
        <v>353</v>
      </c>
      <c r="D46" s="19" t="s">
        <v>351</v>
      </c>
      <c r="E46" s="19" t="s">
        <v>352</v>
      </c>
      <c r="F46" s="19" t="s">
        <v>32</v>
      </c>
      <c r="G46" s="177" t="s">
        <v>621</v>
      </c>
      <c r="H46" s="19">
        <v>2012</v>
      </c>
      <c r="I46" s="142">
        <v>3.1536000000000002E-2</v>
      </c>
      <c r="J46" s="19">
        <v>0.95</v>
      </c>
      <c r="K46" s="19">
        <v>90</v>
      </c>
      <c r="L46" s="283">
        <v>2.2320000000000002</v>
      </c>
      <c r="M46" s="283" t="s">
        <v>108</v>
      </c>
      <c r="N46" s="283" t="s">
        <v>108</v>
      </c>
      <c r="O46" s="283" t="s">
        <v>108</v>
      </c>
      <c r="P46" s="283" t="s">
        <v>108</v>
      </c>
      <c r="Q46" s="283" t="s">
        <v>108</v>
      </c>
      <c r="R46" s="179">
        <v>1</v>
      </c>
      <c r="S46" s="141"/>
      <c r="T46" s="107"/>
      <c r="U46" s="19" t="s">
        <v>353</v>
      </c>
      <c r="V46" s="322" t="s">
        <v>621</v>
      </c>
      <c r="W46" s="79">
        <v>2.232E-2</v>
      </c>
      <c r="X46" s="79" t="s">
        <v>108</v>
      </c>
      <c r="Y46" s="79" t="s">
        <v>108</v>
      </c>
      <c r="Z46" s="79" t="s">
        <v>108</v>
      </c>
      <c r="AA46" s="79" t="s">
        <v>108</v>
      </c>
      <c r="AB46" s="19"/>
      <c r="AC46" s="285">
        <v>1.24</v>
      </c>
      <c r="AD46" s="107"/>
      <c r="AE46" s="108" t="s">
        <v>104</v>
      </c>
      <c r="AG46" s="23" t="s">
        <v>108</v>
      </c>
      <c r="AH46" s="23" t="s">
        <v>108</v>
      </c>
      <c r="AI46" s="23" t="s">
        <v>108</v>
      </c>
      <c r="AJ46" s="23" t="s">
        <v>108</v>
      </c>
      <c r="AK46" s="23" t="s">
        <v>108</v>
      </c>
      <c r="AL46" s="23"/>
      <c r="AM46" s="107"/>
      <c r="AN46" s="171" t="s">
        <v>211</v>
      </c>
      <c r="AO46" s="171"/>
      <c r="AP46" s="171"/>
      <c r="AQ46" s="171"/>
      <c r="AR46" s="171"/>
      <c r="AS46" s="171"/>
      <c r="AT46" s="171"/>
      <c r="AU46" s="171"/>
      <c r="AV46" s="171"/>
      <c r="AW46" s="171"/>
      <c r="AX46" s="171"/>
    </row>
    <row r="47" spans="3:50">
      <c r="C47" s="19" t="s">
        <v>354</v>
      </c>
      <c r="D47" s="19" t="s">
        <v>355</v>
      </c>
      <c r="E47" s="19" t="s">
        <v>356</v>
      </c>
      <c r="F47" s="19" t="s">
        <v>32</v>
      </c>
      <c r="G47" s="177" t="s">
        <v>621</v>
      </c>
      <c r="H47" s="19">
        <v>2012</v>
      </c>
      <c r="I47" s="142">
        <v>3.1536000000000002E-2</v>
      </c>
      <c r="J47" s="19">
        <v>0.95</v>
      </c>
      <c r="K47" s="19">
        <v>90</v>
      </c>
      <c r="L47" s="283">
        <v>2.0459999999999998</v>
      </c>
      <c r="M47" s="283">
        <v>1.798</v>
      </c>
      <c r="N47" s="283" t="s">
        <v>108</v>
      </c>
      <c r="O47" s="283" t="s">
        <v>108</v>
      </c>
      <c r="P47" s="283" t="s">
        <v>108</v>
      </c>
      <c r="Q47" s="283" t="s">
        <v>108</v>
      </c>
      <c r="R47" s="179">
        <v>1</v>
      </c>
      <c r="S47" s="141">
        <v>0.6</v>
      </c>
      <c r="T47" s="107"/>
      <c r="U47" s="19" t="s">
        <v>354</v>
      </c>
      <c r="V47" s="322" t="s">
        <v>621</v>
      </c>
      <c r="W47" s="79">
        <v>2.4799999999999999E-2</v>
      </c>
      <c r="X47" s="79"/>
      <c r="Y47" s="79" t="s">
        <v>108</v>
      </c>
      <c r="Z47" s="79" t="s">
        <v>108</v>
      </c>
      <c r="AA47" s="79" t="s">
        <v>108</v>
      </c>
      <c r="AB47" s="19"/>
      <c r="AC47" s="285">
        <v>0.248</v>
      </c>
      <c r="AD47" s="107"/>
      <c r="AE47" s="108" t="s">
        <v>104</v>
      </c>
      <c r="AG47" s="23" t="s">
        <v>108</v>
      </c>
      <c r="AH47" s="23" t="s">
        <v>108</v>
      </c>
      <c r="AI47" s="23" t="s">
        <v>108</v>
      </c>
      <c r="AJ47" s="23" t="s">
        <v>108</v>
      </c>
      <c r="AK47" s="23" t="s">
        <v>108</v>
      </c>
      <c r="AL47" s="23"/>
      <c r="AM47" s="107"/>
      <c r="AN47" s="171" t="s">
        <v>211</v>
      </c>
      <c r="AO47" s="171"/>
      <c r="AP47" s="171"/>
      <c r="AQ47" s="171"/>
      <c r="AR47" s="171"/>
      <c r="AS47" s="171"/>
      <c r="AT47" s="171"/>
      <c r="AU47" s="171"/>
      <c r="AV47" s="171"/>
      <c r="AW47" s="171"/>
      <c r="AX47" s="171"/>
    </row>
    <row r="48" spans="3:50">
      <c r="C48" s="19" t="s">
        <v>357</v>
      </c>
      <c r="D48" s="19" t="s">
        <v>358</v>
      </c>
      <c r="E48" s="19" t="s">
        <v>359</v>
      </c>
      <c r="F48" s="19" t="s">
        <v>32</v>
      </c>
      <c r="G48" s="177" t="s">
        <v>621</v>
      </c>
      <c r="H48" s="19">
        <v>2012</v>
      </c>
      <c r="I48" s="142">
        <v>3.1536000000000002E-2</v>
      </c>
      <c r="J48" s="19">
        <v>0.95</v>
      </c>
      <c r="K48" s="19">
        <v>90</v>
      </c>
      <c r="L48" s="283">
        <v>2.294</v>
      </c>
      <c r="M48" s="283">
        <v>2.17</v>
      </c>
      <c r="N48" s="283" t="s">
        <v>108</v>
      </c>
      <c r="O48" s="283" t="s">
        <v>108</v>
      </c>
      <c r="P48" s="283" t="s">
        <v>108</v>
      </c>
      <c r="Q48" s="283" t="s">
        <v>108</v>
      </c>
      <c r="R48" s="179">
        <v>1</v>
      </c>
      <c r="S48" s="141">
        <v>0.6</v>
      </c>
      <c r="T48" s="107"/>
      <c r="U48" s="19" t="s">
        <v>357</v>
      </c>
      <c r="V48" s="322" t="s">
        <v>621</v>
      </c>
      <c r="W48" s="79">
        <v>3.1E-2</v>
      </c>
      <c r="X48" s="79"/>
      <c r="Y48" s="79" t="s">
        <v>108</v>
      </c>
      <c r="Z48" s="79" t="s">
        <v>108</v>
      </c>
      <c r="AA48" s="79" t="s">
        <v>108</v>
      </c>
      <c r="AB48" s="19"/>
      <c r="AC48" s="285">
        <v>0.62</v>
      </c>
      <c r="AD48" s="107"/>
      <c r="AE48" s="108" t="s">
        <v>104</v>
      </c>
      <c r="AG48" s="23" t="s">
        <v>108</v>
      </c>
      <c r="AH48" s="23" t="s">
        <v>108</v>
      </c>
      <c r="AI48" s="23" t="s">
        <v>108</v>
      </c>
      <c r="AJ48" s="23" t="s">
        <v>108</v>
      </c>
      <c r="AK48" s="23" t="s">
        <v>108</v>
      </c>
      <c r="AL48" s="23"/>
      <c r="AM48" s="107"/>
      <c r="AN48" s="171" t="s">
        <v>211</v>
      </c>
      <c r="AO48" s="171"/>
      <c r="AP48" s="171"/>
      <c r="AQ48" s="171"/>
      <c r="AR48" s="171"/>
      <c r="AS48" s="171"/>
      <c r="AT48" s="171"/>
      <c r="AU48" s="171"/>
      <c r="AV48" s="171"/>
      <c r="AW48" s="171"/>
      <c r="AX48" s="171"/>
    </row>
    <row r="49" spans="3:50">
      <c r="C49" s="19" t="s">
        <v>363</v>
      </c>
      <c r="D49" s="19" t="s">
        <v>206</v>
      </c>
      <c r="E49" s="19" t="s">
        <v>365</v>
      </c>
      <c r="F49" s="19" t="s">
        <v>32</v>
      </c>
      <c r="G49" s="177" t="s">
        <v>792</v>
      </c>
      <c r="H49" s="19">
        <v>2020</v>
      </c>
      <c r="I49" s="142">
        <v>3.1536000000000002E-2</v>
      </c>
      <c r="J49" s="155"/>
      <c r="K49" s="19">
        <v>25</v>
      </c>
      <c r="L49" s="286">
        <v>1.4633176013226288</v>
      </c>
      <c r="M49" s="286">
        <v>0.71848270482607868</v>
      </c>
      <c r="N49" s="286">
        <v>0.59560983928068212</v>
      </c>
      <c r="O49" s="286">
        <v>0.54063487017316414</v>
      </c>
      <c r="P49" s="286">
        <v>0.48930751533230149</v>
      </c>
      <c r="Q49" s="286">
        <v>0.38807999422551337</v>
      </c>
      <c r="R49" s="287"/>
      <c r="S49" s="173">
        <v>0.1</v>
      </c>
      <c r="T49" s="174"/>
      <c r="U49" s="171" t="s">
        <v>363</v>
      </c>
      <c r="V49" s="324" t="s">
        <v>792</v>
      </c>
      <c r="W49" s="176">
        <v>1.0699999999999999E-2</v>
      </c>
      <c r="X49" s="176">
        <v>1.3329142857142855E-2</v>
      </c>
      <c r="Y49" s="176">
        <v>1.0802758620689657E-2</v>
      </c>
      <c r="Z49" s="176">
        <v>9.9881525261900396E-3</v>
      </c>
      <c r="AA49" s="176">
        <v>9.235199999999999E-3</v>
      </c>
      <c r="AB49" s="176"/>
      <c r="AC49" s="175">
        <v>0</v>
      </c>
      <c r="AD49" s="107"/>
      <c r="AE49" s="108" t="s">
        <v>104</v>
      </c>
      <c r="AG49" s="23" t="s">
        <v>108</v>
      </c>
      <c r="AH49" s="23" t="s">
        <v>108</v>
      </c>
      <c r="AI49" s="23" t="s">
        <v>108</v>
      </c>
      <c r="AJ49" s="23" t="s">
        <v>108</v>
      </c>
      <c r="AK49" s="23" t="s">
        <v>108</v>
      </c>
      <c r="AL49" s="23"/>
      <c r="AM49" s="107"/>
      <c r="AN49" s="19" t="str">
        <f t="shared" ref="AN49:AN54" si="2">$C49</f>
        <v>ESOPV105</v>
      </c>
      <c r="AO49" s="19" t="str">
        <f>$E49</f>
        <v>ELCSOL</v>
      </c>
      <c r="AP49" s="19" t="str">
        <f t="shared" ref="AP49:AP54" si="3">F49</f>
        <v>ELCC</v>
      </c>
      <c r="AQ49" s="141"/>
      <c r="AR49" s="131">
        <f>1500/8760</f>
        <v>0.17123287671232876</v>
      </c>
      <c r="AS49" s="131">
        <f>1630/8760</f>
        <v>0.1860730593607306</v>
      </c>
      <c r="AT49" s="131">
        <f>AS49*1.08</f>
        <v>0.20095890410958905</v>
      </c>
      <c r="AU49" s="131">
        <f t="shared" ref="AU49:AU54" si="4">AT49*1.05</f>
        <v>0.21100684931506852</v>
      </c>
      <c r="AV49" s="141">
        <v>1</v>
      </c>
      <c r="AW49" s="141">
        <v>35</v>
      </c>
      <c r="AX49" s="19"/>
    </row>
    <row r="50" spans="3:50">
      <c r="C50" s="19" t="s">
        <v>366</v>
      </c>
      <c r="D50" s="19" t="s">
        <v>208</v>
      </c>
      <c r="E50" s="19" t="s">
        <v>365</v>
      </c>
      <c r="F50" s="19" t="s">
        <v>252</v>
      </c>
      <c r="G50" s="177" t="s">
        <v>792</v>
      </c>
      <c r="H50" s="19">
        <v>2020</v>
      </c>
      <c r="I50" s="142">
        <v>3.1536000000000002E-2</v>
      </c>
      <c r="J50" s="155"/>
      <c r="K50" s="19">
        <v>25</v>
      </c>
      <c r="L50" s="286">
        <v>1.3711737600000002</v>
      </c>
      <c r="M50" s="286">
        <v>0.80370688944083057</v>
      </c>
      <c r="N50" s="286">
        <v>0.63169424673768337</v>
      </c>
      <c r="O50" s="286">
        <v>0.55865093168201541</v>
      </c>
      <c r="P50" s="286">
        <v>0.49405367403762707</v>
      </c>
      <c r="Q50" s="286">
        <v>0.39925799133221218</v>
      </c>
      <c r="R50" s="287"/>
      <c r="S50" s="173">
        <v>0.1</v>
      </c>
      <c r="T50" s="174"/>
      <c r="U50" s="171" t="s">
        <v>366</v>
      </c>
      <c r="V50" s="324" t="s">
        <v>792</v>
      </c>
      <c r="W50" s="176">
        <v>1.3420000000000001E-2</v>
      </c>
      <c r="X50" s="176">
        <v>1.1440000000000002E-2</v>
      </c>
      <c r="Y50" s="176">
        <v>9.2399999999999999E-3</v>
      </c>
      <c r="Z50" s="176">
        <v>8.4949632135754433E-3</v>
      </c>
      <c r="AA50" s="176">
        <v>7.810000000000001E-3</v>
      </c>
      <c r="AB50" s="176"/>
      <c r="AC50" s="175">
        <v>0</v>
      </c>
      <c r="AD50" s="107"/>
      <c r="AE50" s="108" t="s">
        <v>104</v>
      </c>
      <c r="AG50" s="23" t="s">
        <v>108</v>
      </c>
      <c r="AH50" s="23" t="s">
        <v>108</v>
      </c>
      <c r="AI50" s="23" t="s">
        <v>108</v>
      </c>
      <c r="AJ50" s="23" t="s">
        <v>108</v>
      </c>
      <c r="AK50" s="23" t="s">
        <v>108</v>
      </c>
      <c r="AL50" s="23"/>
      <c r="AM50" s="107"/>
      <c r="AN50" s="19" t="str">
        <f t="shared" si="2"/>
        <v>ESOPVD105</v>
      </c>
      <c r="AO50" s="19" t="str">
        <f>$E50</f>
        <v>ELCSOL</v>
      </c>
      <c r="AP50" s="19" t="str">
        <f t="shared" si="3"/>
        <v>ELCDP</v>
      </c>
      <c r="AQ50" s="141"/>
      <c r="AR50" s="131">
        <f>1200/8760</f>
        <v>0.13698630136986301</v>
      </c>
      <c r="AS50" s="131">
        <f>1350/8760</f>
        <v>0.1541095890410959</v>
      </c>
      <c r="AT50" s="131">
        <f>AS50*1.05</f>
        <v>0.16181506849315069</v>
      </c>
      <c r="AU50" s="131">
        <f t="shared" si="4"/>
        <v>0.16990582191780823</v>
      </c>
      <c r="AV50" s="141">
        <v>1</v>
      </c>
      <c r="AW50" s="141">
        <v>35</v>
      </c>
      <c r="AX50" s="19"/>
    </row>
    <row r="51" spans="3:50">
      <c r="C51" s="19" t="s">
        <v>450</v>
      </c>
      <c r="D51" s="19" t="s">
        <v>207</v>
      </c>
      <c r="E51" s="19" t="s">
        <v>365</v>
      </c>
      <c r="F51" s="19" t="s">
        <v>32</v>
      </c>
      <c r="G51" s="177" t="s">
        <v>792</v>
      </c>
      <c r="H51" s="19">
        <v>2015</v>
      </c>
      <c r="I51" s="142">
        <v>3.1536000000000002E-2</v>
      </c>
      <c r="J51" s="155"/>
      <c r="K51" s="19">
        <v>25</v>
      </c>
      <c r="L51" s="286">
        <v>1.255706972187381</v>
      </c>
      <c r="M51" s="286">
        <v>0.61654677086552678</v>
      </c>
      <c r="N51" s="286">
        <v>0.510294280466428</v>
      </c>
      <c r="O51" s="286">
        <v>0.45902351413730347</v>
      </c>
      <c r="P51" s="286">
        <v>0.41290407240772753</v>
      </c>
      <c r="Q51" s="286">
        <v>0.3294975084731816</v>
      </c>
      <c r="R51" s="287"/>
      <c r="S51" s="173">
        <v>0.1</v>
      </c>
      <c r="T51" s="174"/>
      <c r="U51" s="171" t="s">
        <v>450</v>
      </c>
      <c r="V51" s="324" t="s">
        <v>792</v>
      </c>
      <c r="W51" s="176">
        <v>1.2800000000000001E-2</v>
      </c>
      <c r="X51" s="176">
        <v>1.09E-2</v>
      </c>
      <c r="Y51" s="176">
        <v>8.8000000000000005E-3</v>
      </c>
      <c r="Z51" s="176">
        <v>8.0696964007328058E-3</v>
      </c>
      <c r="AA51" s="176">
        <v>7.4000000000000003E-3</v>
      </c>
      <c r="AB51" s="176"/>
      <c r="AC51" s="175">
        <v>0</v>
      </c>
      <c r="AD51" s="107"/>
      <c r="AE51" s="108" t="s">
        <v>104</v>
      </c>
      <c r="AG51" s="23"/>
      <c r="AH51" s="23"/>
      <c r="AI51" s="23"/>
      <c r="AJ51" s="23"/>
      <c r="AK51" s="23"/>
      <c r="AL51" s="23"/>
      <c r="AM51" s="107"/>
      <c r="AN51" s="19" t="str">
        <f t="shared" si="2"/>
        <v>ESOPV205</v>
      </c>
      <c r="AO51" s="19" t="str">
        <f>$E51</f>
        <v>ELCSOL</v>
      </c>
      <c r="AP51" s="19" t="str">
        <f t="shared" si="3"/>
        <v>ELCC</v>
      </c>
      <c r="AQ51" s="141"/>
      <c r="AR51" s="131">
        <f>1150/8760</f>
        <v>0.13127853881278539</v>
      </c>
      <c r="AS51" s="131">
        <f>1350/8760</f>
        <v>0.1541095890410959</v>
      </c>
      <c r="AT51" s="131">
        <f>1450/8760</f>
        <v>0.16552511415525115</v>
      </c>
      <c r="AU51" s="131">
        <f t="shared" si="4"/>
        <v>0.1738013698630137</v>
      </c>
      <c r="AV51" s="141">
        <v>1</v>
      </c>
      <c r="AW51" s="141">
        <v>35</v>
      </c>
      <c r="AX51" s="19"/>
    </row>
    <row r="52" spans="3:50">
      <c r="C52" s="19" t="s">
        <v>449</v>
      </c>
      <c r="D52" s="19" t="s">
        <v>209</v>
      </c>
      <c r="E52" s="19" t="s">
        <v>365</v>
      </c>
      <c r="F52" s="19" t="s">
        <v>252</v>
      </c>
      <c r="G52" s="177" t="s">
        <v>621</v>
      </c>
      <c r="H52" s="19">
        <v>2012</v>
      </c>
      <c r="I52" s="142">
        <v>3.1536000000000002E-2</v>
      </c>
      <c r="J52" s="156"/>
      <c r="K52" s="19">
        <v>25</v>
      </c>
      <c r="L52" s="286">
        <v>1.24</v>
      </c>
      <c r="M52" s="286">
        <v>0.8584615384615385</v>
      </c>
      <c r="N52" s="286">
        <v>0.7630769230769231</v>
      </c>
      <c r="O52" s="286">
        <v>0.7153846153846154</v>
      </c>
      <c r="P52" s="286">
        <v>0.6104615384615385</v>
      </c>
      <c r="Q52" s="286">
        <v>0.52461538461538448</v>
      </c>
      <c r="R52" s="287"/>
      <c r="S52" s="173">
        <v>0.1</v>
      </c>
      <c r="T52" s="174"/>
      <c r="U52" s="171" t="s">
        <v>449</v>
      </c>
      <c r="V52" s="324" t="s">
        <v>621</v>
      </c>
      <c r="W52" s="176">
        <v>7.4400000000000008E-2</v>
      </c>
      <c r="X52" s="176">
        <v>1.716923076923077E-2</v>
      </c>
      <c r="Y52" s="176">
        <v>1.526153846153846E-2</v>
      </c>
      <c r="Z52" s="176">
        <v>1.4307692307692306E-2</v>
      </c>
      <c r="AA52" s="176">
        <v>1.2209230769230767E-2</v>
      </c>
      <c r="AB52" s="176">
        <v>1.0492307692307693E-2</v>
      </c>
      <c r="AC52" s="175">
        <v>0</v>
      </c>
      <c r="AD52" s="107"/>
      <c r="AE52" s="108" t="s">
        <v>104</v>
      </c>
      <c r="AG52" s="23"/>
      <c r="AH52" s="23"/>
      <c r="AI52" s="23"/>
      <c r="AJ52" s="23"/>
      <c r="AK52" s="23"/>
      <c r="AL52" s="23"/>
      <c r="AM52" s="107"/>
      <c r="AN52" s="19" t="str">
        <f t="shared" si="2"/>
        <v>ESOPVD205</v>
      </c>
      <c r="AO52" s="19" t="str">
        <f>$E52</f>
        <v>ELCSOL</v>
      </c>
      <c r="AP52" s="19" t="str">
        <f t="shared" si="3"/>
        <v>ELCDP</v>
      </c>
      <c r="AQ52" s="141"/>
      <c r="AR52" s="19">
        <f>1050/8760</f>
        <v>0.11986301369863013</v>
      </c>
      <c r="AS52" s="131">
        <f>1100/8760</f>
        <v>0.12557077625570776</v>
      </c>
      <c r="AT52" s="131">
        <f>AS52*1.08</f>
        <v>0.13561643835616438</v>
      </c>
      <c r="AU52" s="131">
        <f t="shared" si="4"/>
        <v>0.14239726027397262</v>
      </c>
      <c r="AV52" s="141">
        <v>1</v>
      </c>
      <c r="AW52" s="141">
        <v>35</v>
      </c>
      <c r="AX52" s="19"/>
    </row>
    <row r="53" spans="3:50">
      <c r="C53" s="19" t="s">
        <v>631</v>
      </c>
      <c r="D53" s="19" t="s">
        <v>382</v>
      </c>
      <c r="E53" s="19" t="s">
        <v>365</v>
      </c>
      <c r="F53" s="19" t="s">
        <v>619</v>
      </c>
      <c r="G53" s="177" t="s">
        <v>792</v>
      </c>
      <c r="H53" s="19">
        <v>2015</v>
      </c>
      <c r="I53" s="142">
        <v>3.1536000000000002E-2</v>
      </c>
      <c r="J53" s="156"/>
      <c r="K53" s="72">
        <v>25</v>
      </c>
      <c r="L53" s="286">
        <v>1.58</v>
      </c>
      <c r="M53" s="286">
        <v>1.1284318489085394</v>
      </c>
      <c r="N53" s="286">
        <v>0.86945763413437305</v>
      </c>
      <c r="O53" s="286">
        <v>0.71470454483025936</v>
      </c>
      <c r="P53" s="286">
        <v>0.58749565976216922</v>
      </c>
      <c r="Q53" s="286"/>
      <c r="R53" s="287"/>
      <c r="S53" s="173">
        <v>0.1</v>
      </c>
      <c r="T53" s="174"/>
      <c r="U53" s="171" t="s">
        <v>52</v>
      </c>
      <c r="V53" s="415" t="s">
        <v>792</v>
      </c>
      <c r="W53" s="176">
        <v>1.575E-2</v>
      </c>
      <c r="X53" s="176">
        <v>1.3440000000000001E-2</v>
      </c>
      <c r="Y53" s="176">
        <v>1.0815E-2</v>
      </c>
      <c r="Z53" s="176">
        <v>9.939568652612649E-3</v>
      </c>
      <c r="AA53" s="176">
        <v>9.1350000000000008E-3</v>
      </c>
      <c r="AB53" s="176"/>
      <c r="AC53" s="175">
        <v>0</v>
      </c>
      <c r="AD53" s="107"/>
      <c r="AE53" s="108" t="s">
        <v>104</v>
      </c>
      <c r="AG53" s="23"/>
      <c r="AH53" s="23"/>
      <c r="AI53" s="23"/>
      <c r="AJ53" s="23"/>
      <c r="AK53" s="23"/>
      <c r="AL53" s="23"/>
      <c r="AM53" s="107"/>
      <c r="AN53" s="19" t="str">
        <f t="shared" si="2"/>
        <v>EDSOLRES05</v>
      </c>
      <c r="AO53" s="19" t="s">
        <v>252</v>
      </c>
      <c r="AP53" s="19" t="str">
        <f t="shared" si="3"/>
        <v>RESELC</v>
      </c>
      <c r="AQ53" s="141">
        <v>1</v>
      </c>
      <c r="AR53" s="19">
        <f>1050/8760</f>
        <v>0.11986301369863013</v>
      </c>
      <c r="AS53" s="131">
        <f>1100/8760</f>
        <v>0.12557077625570776</v>
      </c>
      <c r="AT53" s="131">
        <f>AS53*1.077</f>
        <v>0.13523972602739726</v>
      </c>
      <c r="AU53" s="131">
        <f t="shared" si="4"/>
        <v>0.14200171232876713</v>
      </c>
      <c r="AV53" s="141">
        <v>1</v>
      </c>
      <c r="AW53" s="141">
        <v>35</v>
      </c>
      <c r="AX53" s="19"/>
    </row>
    <row r="54" spans="3:50">
      <c r="C54" s="19" t="s">
        <v>632</v>
      </c>
      <c r="D54" s="19" t="s">
        <v>208</v>
      </c>
      <c r="E54" s="19" t="s">
        <v>365</v>
      </c>
      <c r="F54" s="19" t="s">
        <v>154</v>
      </c>
      <c r="G54" s="177" t="s">
        <v>792</v>
      </c>
      <c r="H54" s="19">
        <v>2015</v>
      </c>
      <c r="I54" s="142">
        <v>3.1536000000000002E-2</v>
      </c>
      <c r="J54" s="156"/>
      <c r="K54" s="72">
        <v>25</v>
      </c>
      <c r="L54" s="286">
        <v>1.3442880000000001</v>
      </c>
      <c r="M54" s="286">
        <v>0.80370688944083057</v>
      </c>
      <c r="N54" s="286">
        <v>0.63169424673768337</v>
      </c>
      <c r="O54" s="286">
        <v>0.55865093168201541</v>
      </c>
      <c r="P54" s="286">
        <v>0.49405367403762707</v>
      </c>
      <c r="Q54" s="286"/>
      <c r="R54" s="287"/>
      <c r="S54" s="173">
        <v>0.1</v>
      </c>
      <c r="T54" s="174"/>
      <c r="U54" s="171" t="s">
        <v>81</v>
      </c>
      <c r="V54" s="415" t="s">
        <v>792</v>
      </c>
      <c r="W54" s="176">
        <v>1.342E-2</v>
      </c>
      <c r="X54" s="176">
        <v>1.1440000000000001E-2</v>
      </c>
      <c r="Y54" s="176">
        <v>9.2399999999999999E-3</v>
      </c>
      <c r="Z54" s="176">
        <v>8.4949632135754415E-3</v>
      </c>
      <c r="AA54" s="176">
        <v>7.8100000000000001E-3</v>
      </c>
      <c r="AB54" s="176"/>
      <c r="AC54" s="175">
        <v>0</v>
      </c>
      <c r="AD54" s="107"/>
      <c r="AE54" s="108" t="s">
        <v>104</v>
      </c>
      <c r="AG54" s="23"/>
      <c r="AH54" s="23"/>
      <c r="AI54" s="23"/>
      <c r="AJ54" s="23"/>
      <c r="AK54" s="23"/>
      <c r="AL54" s="23"/>
      <c r="AM54" s="107"/>
      <c r="AN54" s="19" t="str">
        <f t="shared" si="2"/>
        <v>EDSOLCOM05</v>
      </c>
      <c r="AO54" s="19" t="s">
        <v>252</v>
      </c>
      <c r="AP54" s="19" t="str">
        <f t="shared" si="3"/>
        <v>COMELC</v>
      </c>
      <c r="AQ54" s="141">
        <v>1</v>
      </c>
      <c r="AR54" s="19">
        <f>1050/8760</f>
        <v>0.11986301369863013</v>
      </c>
      <c r="AS54" s="131">
        <f>1100/8760</f>
        <v>0.12557077625570776</v>
      </c>
      <c r="AT54" s="131">
        <f>AS54*1.077</f>
        <v>0.13523972602739726</v>
      </c>
      <c r="AU54" s="131">
        <f t="shared" si="4"/>
        <v>0.14200171232876713</v>
      </c>
      <c r="AV54" s="141">
        <v>1</v>
      </c>
      <c r="AW54" s="141">
        <v>35</v>
      </c>
      <c r="AX54" s="19"/>
    </row>
    <row r="55" spans="3:50">
      <c r="C55" s="19" t="s">
        <v>369</v>
      </c>
      <c r="D55" s="19" t="s">
        <v>383</v>
      </c>
      <c r="E55" s="19" t="s">
        <v>365</v>
      </c>
      <c r="F55" s="19" t="s">
        <v>32</v>
      </c>
      <c r="G55" s="177" t="s">
        <v>621</v>
      </c>
      <c r="H55" s="19">
        <v>2012</v>
      </c>
      <c r="I55" s="142">
        <v>3.1536000000000002E-2</v>
      </c>
      <c r="J55" s="19">
        <v>0.9</v>
      </c>
      <c r="K55" s="19">
        <v>30</v>
      </c>
      <c r="L55" s="286">
        <v>4.7692307692307692</v>
      </c>
      <c r="M55" s="286">
        <v>3.8153846153846152</v>
      </c>
      <c r="N55" s="286">
        <v>2.8615384615384616</v>
      </c>
      <c r="O55" s="286">
        <v>2.6707692307692303</v>
      </c>
      <c r="P55" s="286">
        <v>2.48</v>
      </c>
      <c r="Q55" s="286">
        <v>1.86</v>
      </c>
      <c r="R55" s="172">
        <v>1</v>
      </c>
      <c r="S55" s="173">
        <v>0.1</v>
      </c>
      <c r="T55" s="174"/>
      <c r="U55" s="171" t="s">
        <v>369</v>
      </c>
      <c r="V55" s="324" t="s">
        <v>621</v>
      </c>
      <c r="W55" s="176">
        <v>5.707712691784584E-2</v>
      </c>
      <c r="X55" s="176" t="s">
        <v>108</v>
      </c>
      <c r="Y55" s="176" t="s">
        <v>108</v>
      </c>
      <c r="Z55" s="176" t="s">
        <v>108</v>
      </c>
      <c r="AA55" s="176">
        <v>3.4720000000000001E-2</v>
      </c>
      <c r="AB55" s="171">
        <v>2.4799999999999999E-2</v>
      </c>
      <c r="AC55" s="175">
        <v>0</v>
      </c>
      <c r="AD55" s="107"/>
      <c r="AE55" s="108" t="s">
        <v>104</v>
      </c>
      <c r="AG55" s="23" t="s">
        <v>108</v>
      </c>
      <c r="AH55" s="23" t="s">
        <v>108</v>
      </c>
      <c r="AI55" s="23" t="s">
        <v>108</v>
      </c>
      <c r="AJ55" s="23" t="s">
        <v>108</v>
      </c>
      <c r="AK55" s="23" t="s">
        <v>108</v>
      </c>
      <c r="AL55" s="23"/>
      <c r="AM55" s="107"/>
      <c r="AN55" s="171" t="s">
        <v>211</v>
      </c>
      <c r="AO55" s="171"/>
      <c r="AP55" s="171"/>
      <c r="AQ55" s="171"/>
      <c r="AR55" s="171"/>
      <c r="AS55" s="171"/>
      <c r="AT55" s="171"/>
      <c r="AU55" s="171"/>
      <c r="AV55" s="173"/>
      <c r="AW55" s="171"/>
      <c r="AX55" s="171"/>
    </row>
    <row r="56" spans="3:50">
      <c r="C56" s="21" t="s">
        <v>371</v>
      </c>
      <c r="D56" s="21" t="s">
        <v>372</v>
      </c>
      <c r="E56" s="21" t="s">
        <v>373</v>
      </c>
      <c r="F56" s="21" t="s">
        <v>32</v>
      </c>
      <c r="G56" s="290" t="s">
        <v>621</v>
      </c>
      <c r="H56" s="21">
        <v>2012</v>
      </c>
      <c r="I56" s="291">
        <v>3.1536000000000002E-2</v>
      </c>
      <c r="J56" s="155"/>
      <c r="K56" s="21">
        <v>20</v>
      </c>
      <c r="L56" s="405">
        <v>1.0251264020707507</v>
      </c>
      <c r="M56" s="405">
        <v>0.94311628990509055</v>
      </c>
      <c r="N56" s="405">
        <v>0.8676669867126835</v>
      </c>
      <c r="O56" s="405">
        <v>0.83223693732288928</v>
      </c>
      <c r="P56" s="405">
        <v>0.79825362777566888</v>
      </c>
      <c r="Q56" s="21" t="s">
        <v>108</v>
      </c>
      <c r="R56" s="287"/>
      <c r="S56" s="262">
        <v>0.1</v>
      </c>
      <c r="T56" s="107"/>
      <c r="U56" s="21" t="str">
        <f t="shared" ref="U56:U66" si="5">$C56</f>
        <v>EWINDON1-05</v>
      </c>
      <c r="V56" s="290" t="s">
        <v>621</v>
      </c>
      <c r="W56" s="311">
        <v>3.8726305553792861E-2</v>
      </c>
      <c r="X56" s="311">
        <v>2.240889484037964E-2</v>
      </c>
      <c r="Y56" s="311">
        <v>1.8898167982053498E-2</v>
      </c>
      <c r="Z56" s="311">
        <v>1.7302554768772887E-2</v>
      </c>
      <c r="AA56" s="311">
        <v>1.541059698172908E-2</v>
      </c>
      <c r="AB56" s="311"/>
      <c r="AC56" s="292">
        <v>0</v>
      </c>
      <c r="AD56" s="107"/>
      <c r="AE56" s="108" t="s">
        <v>104</v>
      </c>
      <c r="AG56" s="23" t="s">
        <v>108</v>
      </c>
      <c r="AH56" s="23" t="s">
        <v>108</v>
      </c>
      <c r="AI56" s="23" t="s">
        <v>108</v>
      </c>
      <c r="AJ56" s="23" t="s">
        <v>108</v>
      </c>
      <c r="AK56" s="23" t="s">
        <v>108</v>
      </c>
      <c r="AL56" s="23"/>
      <c r="AM56" s="107"/>
      <c r="AN56" s="19" t="str">
        <f t="shared" ref="AN56:AN66" si="6">$C56</f>
        <v>EWINDON1-05</v>
      </c>
      <c r="AO56" s="19"/>
      <c r="AP56" s="19" t="str">
        <f t="shared" ref="AP56:AP66" si="7">F56</f>
        <v>ELCC</v>
      </c>
      <c r="AQ56" s="19"/>
      <c r="AR56" s="131">
        <v>0.32477037151607729</v>
      </c>
      <c r="AS56" s="131">
        <v>0.34062203926956924</v>
      </c>
      <c r="AT56" s="131">
        <v>0.34991173124964831</v>
      </c>
      <c r="AU56" s="19"/>
      <c r="AV56" s="141">
        <v>1</v>
      </c>
      <c r="AW56" s="141">
        <v>25</v>
      </c>
      <c r="AX56" s="19"/>
    </row>
    <row r="57" spans="3:50">
      <c r="C57" s="21" t="s">
        <v>374</v>
      </c>
      <c r="D57" s="21" t="s">
        <v>375</v>
      </c>
      <c r="E57" s="21" t="s">
        <v>373</v>
      </c>
      <c r="F57" s="21" t="s">
        <v>32</v>
      </c>
      <c r="G57" s="290" t="s">
        <v>621</v>
      </c>
      <c r="H57" s="21">
        <v>2012</v>
      </c>
      <c r="I57" s="291">
        <v>3.1536000000000002E-2</v>
      </c>
      <c r="J57" s="155"/>
      <c r="K57" s="21">
        <v>20</v>
      </c>
      <c r="L57" s="405">
        <v>1.0251264020707507</v>
      </c>
      <c r="M57" s="405">
        <v>0.94311628990509055</v>
      </c>
      <c r="N57" s="405">
        <v>0.8676669867126835</v>
      </c>
      <c r="O57" s="405">
        <v>0.83223693732288928</v>
      </c>
      <c r="P57" s="405">
        <v>0.79825362777566888</v>
      </c>
      <c r="Q57" s="21" t="s">
        <v>108</v>
      </c>
      <c r="R57" s="287"/>
      <c r="S57" s="262">
        <v>0.1</v>
      </c>
      <c r="T57" s="107"/>
      <c r="U57" s="21" t="str">
        <f t="shared" si="5"/>
        <v>EWINDON2-05</v>
      </c>
      <c r="V57" s="290" t="s">
        <v>621</v>
      </c>
      <c r="W57" s="311">
        <v>3.8726305553792861E-2</v>
      </c>
      <c r="X57" s="311">
        <v>2.240889484037964E-2</v>
      </c>
      <c r="Y57" s="311">
        <v>1.8898167982053498E-2</v>
      </c>
      <c r="Z57" s="311">
        <v>1.7302554768772887E-2</v>
      </c>
      <c r="AA57" s="311">
        <v>1.541059698172908E-2</v>
      </c>
      <c r="AB57" s="311"/>
      <c r="AC57" s="292">
        <v>0</v>
      </c>
      <c r="AD57" s="107"/>
      <c r="AE57" s="108" t="s">
        <v>104</v>
      </c>
      <c r="AG57" s="23" t="s">
        <v>108</v>
      </c>
      <c r="AH57" s="23" t="s">
        <v>108</v>
      </c>
      <c r="AI57" s="23" t="s">
        <v>108</v>
      </c>
      <c r="AJ57" s="23" t="s">
        <v>108</v>
      </c>
      <c r="AK57" s="23" t="s">
        <v>108</v>
      </c>
      <c r="AL57" s="23"/>
      <c r="AM57" s="107"/>
      <c r="AN57" s="19" t="str">
        <f t="shared" si="6"/>
        <v>EWINDON2-05</v>
      </c>
      <c r="AO57" s="19"/>
      <c r="AP57" s="19" t="str">
        <f t="shared" si="7"/>
        <v>ELCC</v>
      </c>
      <c r="AQ57" s="19"/>
      <c r="AR57" s="131">
        <v>0.29434024060729724</v>
      </c>
      <c r="AS57" s="131">
        <v>0.30870664872146469</v>
      </c>
      <c r="AT57" s="131">
        <v>0.31712592095932274</v>
      </c>
      <c r="AU57" s="19"/>
      <c r="AV57" s="141">
        <v>1</v>
      </c>
      <c r="AW57" s="141">
        <v>25</v>
      </c>
      <c r="AX57" s="19"/>
    </row>
    <row r="58" spans="3:50">
      <c r="C58" s="21" t="s">
        <v>376</v>
      </c>
      <c r="D58" s="21" t="s">
        <v>377</v>
      </c>
      <c r="E58" s="21" t="s">
        <v>373</v>
      </c>
      <c r="F58" s="21" t="s">
        <v>32</v>
      </c>
      <c r="G58" s="290" t="s">
        <v>621</v>
      </c>
      <c r="H58" s="21">
        <v>2012</v>
      </c>
      <c r="I58" s="291">
        <v>3.1536000000000002E-2</v>
      </c>
      <c r="J58" s="155"/>
      <c r="K58" s="21">
        <v>20</v>
      </c>
      <c r="L58" s="405">
        <v>1.0251264020707507</v>
      </c>
      <c r="M58" s="405">
        <v>0.94311628990509055</v>
      </c>
      <c r="N58" s="405">
        <v>0.8676669867126835</v>
      </c>
      <c r="O58" s="405">
        <v>0.83223693732288928</v>
      </c>
      <c r="P58" s="405">
        <v>0.79825362777566888</v>
      </c>
      <c r="Q58" s="21" t="s">
        <v>108</v>
      </c>
      <c r="R58" s="287"/>
      <c r="S58" s="262">
        <v>0.1</v>
      </c>
      <c r="T58" s="107"/>
      <c r="U58" s="21" t="str">
        <f t="shared" si="5"/>
        <v>EWINDON3-05</v>
      </c>
      <c r="V58" s="290" t="s">
        <v>621</v>
      </c>
      <c r="W58" s="311">
        <v>3.8726305553792861E-2</v>
      </c>
      <c r="X58" s="311">
        <v>2.240889484037964E-2</v>
      </c>
      <c r="Y58" s="311">
        <v>1.8898167982053498E-2</v>
      </c>
      <c r="Z58" s="311">
        <v>1.7302554768772887E-2</v>
      </c>
      <c r="AA58" s="311">
        <v>1.541059698172908E-2</v>
      </c>
      <c r="AB58" s="311"/>
      <c r="AC58" s="292">
        <v>0</v>
      </c>
      <c r="AD58" s="107"/>
      <c r="AE58" s="108" t="s">
        <v>104</v>
      </c>
      <c r="AG58" s="23" t="s">
        <v>108</v>
      </c>
      <c r="AH58" s="23" t="s">
        <v>108</v>
      </c>
      <c r="AI58" s="23" t="s">
        <v>108</v>
      </c>
      <c r="AJ58" s="23" t="s">
        <v>108</v>
      </c>
      <c r="AK58" s="23" t="s">
        <v>108</v>
      </c>
      <c r="AL58" s="23"/>
      <c r="AM58" s="107"/>
      <c r="AN58" s="19" t="str">
        <f t="shared" si="6"/>
        <v>EWINDON3-05</v>
      </c>
      <c r="AO58" s="19"/>
      <c r="AP58" s="19" t="str">
        <f t="shared" si="7"/>
        <v>ELCC</v>
      </c>
      <c r="AQ58" s="19"/>
      <c r="AR58" s="131">
        <v>0.27583000165761035</v>
      </c>
      <c r="AS58" s="131">
        <v>0.28929294632928931</v>
      </c>
      <c r="AT58" s="131">
        <v>0.29718275395645172</v>
      </c>
      <c r="AU58" s="19"/>
      <c r="AV58" s="141">
        <v>1</v>
      </c>
      <c r="AW58" s="141">
        <v>25</v>
      </c>
      <c r="AX58" s="19"/>
    </row>
    <row r="59" spans="3:50">
      <c r="C59" s="21" t="s">
        <v>378</v>
      </c>
      <c r="D59" s="21" t="s">
        <v>379</v>
      </c>
      <c r="E59" s="21" t="s">
        <v>373</v>
      </c>
      <c r="F59" s="21" t="s">
        <v>32</v>
      </c>
      <c r="G59" s="290" t="s">
        <v>621</v>
      </c>
      <c r="H59" s="21">
        <v>2020</v>
      </c>
      <c r="I59" s="291">
        <v>3.1536000000000002E-2</v>
      </c>
      <c r="J59" s="155"/>
      <c r="K59" s="21">
        <v>20</v>
      </c>
      <c r="L59" s="405">
        <v>1.0251264020707507</v>
      </c>
      <c r="M59" s="405">
        <v>0.94311628990509055</v>
      </c>
      <c r="N59" s="405">
        <v>0.8676669867126835</v>
      </c>
      <c r="O59" s="405">
        <v>0.83223693732288928</v>
      </c>
      <c r="P59" s="405">
        <v>0.79825362777566888</v>
      </c>
      <c r="Q59" s="21" t="s">
        <v>108</v>
      </c>
      <c r="R59" s="287"/>
      <c r="S59" s="262">
        <v>0.1</v>
      </c>
      <c r="T59" s="107"/>
      <c r="U59" s="21" t="str">
        <f t="shared" si="5"/>
        <v>EWINDON4-05</v>
      </c>
      <c r="V59" s="290" t="s">
        <v>621</v>
      </c>
      <c r="W59" s="311">
        <v>3.8726305553792861E-2</v>
      </c>
      <c r="X59" s="311">
        <v>2.240889484037964E-2</v>
      </c>
      <c r="Y59" s="311">
        <v>1.8898167982053498E-2</v>
      </c>
      <c r="Z59" s="311">
        <v>1.7302554768772887E-2</v>
      </c>
      <c r="AA59" s="311">
        <v>1.541059698172908E-2</v>
      </c>
      <c r="AB59" s="311"/>
      <c r="AC59" s="292">
        <v>0</v>
      </c>
      <c r="AD59" s="107"/>
      <c r="AE59" s="108" t="s">
        <v>104</v>
      </c>
      <c r="AG59" s="23" t="s">
        <v>108</v>
      </c>
      <c r="AH59" s="23" t="s">
        <v>108</v>
      </c>
      <c r="AI59" s="23" t="s">
        <v>108</v>
      </c>
      <c r="AJ59" s="23" t="s">
        <v>108</v>
      </c>
      <c r="AK59" s="23" t="s">
        <v>108</v>
      </c>
      <c r="AL59" s="23"/>
      <c r="AM59" s="107"/>
      <c r="AN59" s="19" t="str">
        <f t="shared" si="6"/>
        <v>EWINDON4-05</v>
      </c>
      <c r="AO59" s="19"/>
      <c r="AP59" s="19" t="str">
        <f t="shared" si="7"/>
        <v>ELCC</v>
      </c>
      <c r="AQ59" s="19"/>
      <c r="AR59" s="131">
        <v>0.26430236547972752</v>
      </c>
      <c r="AS59" s="131">
        <v>0.2772026595074395</v>
      </c>
      <c r="AT59" s="131">
        <v>0.28476273203946051</v>
      </c>
      <c r="AU59" s="19"/>
      <c r="AV59" s="141">
        <v>1</v>
      </c>
      <c r="AW59" s="141">
        <v>25</v>
      </c>
      <c r="AX59" s="19"/>
    </row>
    <row r="60" spans="3:50">
      <c r="C60" s="21" t="s">
        <v>384</v>
      </c>
      <c r="D60" s="21" t="s">
        <v>392</v>
      </c>
      <c r="E60" s="21" t="s">
        <v>882</v>
      </c>
      <c r="F60" s="21" t="s">
        <v>32</v>
      </c>
      <c r="G60" s="290" t="s">
        <v>621</v>
      </c>
      <c r="H60" s="21">
        <v>2012</v>
      </c>
      <c r="I60" s="291">
        <v>3.1536000000000002E-2</v>
      </c>
      <c r="J60" s="155"/>
      <c r="K60" s="21">
        <v>20</v>
      </c>
      <c r="L60" s="405">
        <v>1.5603038425745994</v>
      </c>
      <c r="M60" s="405">
        <v>1.4406386117252981</v>
      </c>
      <c r="N60" s="405">
        <v>1.3096820191095255</v>
      </c>
      <c r="O60" s="405">
        <v>1.261414058533771</v>
      </c>
      <c r="P60" s="405">
        <v>1.2149249999999998</v>
      </c>
      <c r="Q60" s="21" t="s">
        <v>108</v>
      </c>
      <c r="R60" s="287"/>
      <c r="S60" s="262">
        <v>0.1</v>
      </c>
      <c r="T60" s="107"/>
      <c r="U60" s="21" t="str">
        <f t="shared" si="5"/>
        <v>EWINNOF1-05</v>
      </c>
      <c r="V60" s="290" t="s">
        <v>621</v>
      </c>
      <c r="W60" s="311">
        <v>4.9599999999999998E-2</v>
      </c>
      <c r="X60" s="311">
        <v>3.5656524521743914E-2</v>
      </c>
      <c r="Y60" s="311">
        <v>2.9173755156212188E-2</v>
      </c>
      <c r="Z60" s="311">
        <v>2.7474152109222577E-2</v>
      </c>
      <c r="AA60" s="311">
        <v>2.3454599999999999E-2</v>
      </c>
      <c r="AB60" s="311"/>
      <c r="AC60" s="292">
        <v>0</v>
      </c>
      <c r="AD60" s="107"/>
      <c r="AE60" s="108" t="s">
        <v>104</v>
      </c>
      <c r="AG60" s="23" t="s">
        <v>108</v>
      </c>
      <c r="AH60" s="23" t="s">
        <v>108</v>
      </c>
      <c r="AI60" s="23" t="s">
        <v>108</v>
      </c>
      <c r="AJ60" s="23" t="s">
        <v>108</v>
      </c>
      <c r="AK60" s="23" t="s">
        <v>108</v>
      </c>
      <c r="AL60" s="23"/>
      <c r="AM60" s="107"/>
      <c r="AN60" s="19" t="str">
        <f t="shared" si="6"/>
        <v>EWINNOF1-05</v>
      </c>
      <c r="AO60" s="19"/>
      <c r="AP60" s="19" t="str">
        <f t="shared" si="7"/>
        <v>ELCC</v>
      </c>
      <c r="AQ60" s="19"/>
      <c r="AR60" s="131">
        <v>0.33397922638232175</v>
      </c>
      <c r="AS60" s="131">
        <v>0.34611593549762953</v>
      </c>
      <c r="AT60" s="131">
        <v>0.36512975318325352</v>
      </c>
      <c r="AU60" s="19"/>
      <c r="AV60" s="141">
        <v>1</v>
      </c>
      <c r="AW60" s="141">
        <v>25</v>
      </c>
      <c r="AX60" s="19"/>
    </row>
    <row r="61" spans="3:50">
      <c r="C61" s="21" t="s">
        <v>393</v>
      </c>
      <c r="D61" s="21" t="s">
        <v>394</v>
      </c>
      <c r="E61" s="21" t="s">
        <v>882</v>
      </c>
      <c r="F61" s="21" t="s">
        <v>32</v>
      </c>
      <c r="G61" s="290" t="s">
        <v>621</v>
      </c>
      <c r="H61" s="21">
        <v>2012</v>
      </c>
      <c r="I61" s="291">
        <v>3.1536000000000002E-2</v>
      </c>
      <c r="J61" s="155"/>
      <c r="K61" s="21">
        <v>20</v>
      </c>
      <c r="L61" s="405">
        <v>1.5603038425745994</v>
      </c>
      <c r="M61" s="405">
        <v>1.4406386117252981</v>
      </c>
      <c r="N61" s="405">
        <v>1.3096820191095255</v>
      </c>
      <c r="O61" s="405">
        <v>1.261414058533771</v>
      </c>
      <c r="P61" s="405">
        <v>1.2149249999999998</v>
      </c>
      <c r="Q61" s="21" t="s">
        <v>108</v>
      </c>
      <c r="R61" s="287"/>
      <c r="S61" s="262">
        <v>0.1</v>
      </c>
      <c r="T61" s="107"/>
      <c r="U61" s="21" t="str">
        <f t="shared" si="5"/>
        <v>EWINNOF2-05</v>
      </c>
      <c r="V61" s="290" t="s">
        <v>621</v>
      </c>
      <c r="W61" s="311">
        <v>4.9599999999999998E-2</v>
      </c>
      <c r="X61" s="311">
        <v>3.5656524521743914E-2</v>
      </c>
      <c r="Y61" s="311">
        <v>2.9173755156212188E-2</v>
      </c>
      <c r="Z61" s="311">
        <v>2.7474152109222577E-2</v>
      </c>
      <c r="AA61" s="311">
        <v>2.3454599999999999E-2</v>
      </c>
      <c r="AB61" s="311"/>
      <c r="AC61" s="292">
        <v>0</v>
      </c>
      <c r="AD61" s="107"/>
      <c r="AE61" s="108" t="s">
        <v>104</v>
      </c>
      <c r="AG61" s="23" t="s">
        <v>108</v>
      </c>
      <c r="AH61" s="23" t="s">
        <v>108</v>
      </c>
      <c r="AI61" s="23" t="s">
        <v>108</v>
      </c>
      <c r="AJ61" s="23" t="s">
        <v>108</v>
      </c>
      <c r="AK61" s="23" t="s">
        <v>108</v>
      </c>
      <c r="AL61" s="23"/>
      <c r="AM61" s="107"/>
      <c r="AN61" s="19" t="str">
        <f t="shared" si="6"/>
        <v>EWINNOF2-05</v>
      </c>
      <c r="AO61" s="19"/>
      <c r="AP61" s="19" t="str">
        <f t="shared" si="7"/>
        <v>ELCC</v>
      </c>
      <c r="AQ61" s="19"/>
      <c r="AR61" s="131">
        <v>0.29941307909472009</v>
      </c>
      <c r="AS61" s="131">
        <v>0.31029366435043709</v>
      </c>
      <c r="AT61" s="131">
        <v>0.32733959190786333</v>
      </c>
      <c r="AU61" s="19"/>
      <c r="AV61" s="141">
        <v>1</v>
      </c>
      <c r="AW61" s="141">
        <v>25</v>
      </c>
      <c r="AX61" s="19"/>
    </row>
    <row r="62" spans="3:50">
      <c r="C62" s="21" t="s">
        <v>395</v>
      </c>
      <c r="D62" s="21" t="s">
        <v>396</v>
      </c>
      <c r="E62" s="21" t="s">
        <v>882</v>
      </c>
      <c r="F62" s="21" t="s">
        <v>32</v>
      </c>
      <c r="G62" s="290" t="s">
        <v>621</v>
      </c>
      <c r="H62" s="21">
        <v>2012</v>
      </c>
      <c r="I62" s="291">
        <v>3.1536000000000002E-2</v>
      </c>
      <c r="J62" s="155"/>
      <c r="K62" s="21">
        <v>20</v>
      </c>
      <c r="L62" s="405">
        <v>1.7835560736350347</v>
      </c>
      <c r="M62" s="405">
        <v>1.736</v>
      </c>
      <c r="N62" s="405">
        <v>1.6864000000000001</v>
      </c>
      <c r="O62" s="405">
        <v>1.6492</v>
      </c>
      <c r="P62" s="405">
        <v>1.6120000000000001</v>
      </c>
      <c r="Q62" s="21" t="s">
        <v>108</v>
      </c>
      <c r="R62" s="287"/>
      <c r="S62" s="262">
        <v>0.1</v>
      </c>
      <c r="T62" s="107"/>
      <c r="U62" s="21" t="str">
        <f t="shared" si="5"/>
        <v>EWINOFF1-05</v>
      </c>
      <c r="V62" s="290" t="s">
        <v>621</v>
      </c>
      <c r="W62" s="311">
        <v>0.12510229730856279</v>
      </c>
      <c r="X62" s="311">
        <v>6.0760000000000008E-2</v>
      </c>
      <c r="Y62" s="311">
        <v>5.5651200000000005E-2</v>
      </c>
      <c r="Z62" s="311">
        <v>4.9475999999999999E-2</v>
      </c>
      <c r="AA62" s="311">
        <v>4.5135999999999996E-2</v>
      </c>
      <c r="AB62" s="311"/>
      <c r="AC62" s="292">
        <v>0</v>
      </c>
      <c r="AD62" s="107"/>
      <c r="AE62" s="108" t="s">
        <v>104</v>
      </c>
      <c r="AG62" s="23" t="s">
        <v>108</v>
      </c>
      <c r="AH62" s="23" t="s">
        <v>108</v>
      </c>
      <c r="AI62" s="23" t="s">
        <v>108</v>
      </c>
      <c r="AJ62" s="23" t="s">
        <v>108</v>
      </c>
      <c r="AK62" s="23" t="s">
        <v>108</v>
      </c>
      <c r="AL62" s="23"/>
      <c r="AM62" s="107"/>
      <c r="AN62" s="19" t="str">
        <f t="shared" si="6"/>
        <v>EWINOFF1-05</v>
      </c>
      <c r="AO62" s="19"/>
      <c r="AP62" s="19" t="str">
        <f t="shared" si="7"/>
        <v>ELCC</v>
      </c>
      <c r="AQ62" s="19"/>
      <c r="AR62" s="131">
        <v>0.41892204464230626</v>
      </c>
      <c r="AS62" s="131">
        <v>0.43535655943866713</v>
      </c>
      <c r="AT62" s="131">
        <v>0.44543425757382143</v>
      </c>
      <c r="AU62" s="19"/>
      <c r="AV62" s="141">
        <v>1</v>
      </c>
      <c r="AW62" s="141">
        <v>25</v>
      </c>
      <c r="AX62" s="19"/>
    </row>
    <row r="63" spans="3:50">
      <c r="C63" s="21" t="s">
        <v>397</v>
      </c>
      <c r="D63" s="21" t="s">
        <v>398</v>
      </c>
      <c r="E63" s="21" t="s">
        <v>882</v>
      </c>
      <c r="F63" s="21" t="s">
        <v>32</v>
      </c>
      <c r="G63" s="290" t="s">
        <v>621</v>
      </c>
      <c r="H63" s="21">
        <v>2010</v>
      </c>
      <c r="I63" s="291">
        <v>3.1536000000000002E-2</v>
      </c>
      <c r="J63" s="155"/>
      <c r="K63" s="21">
        <v>20</v>
      </c>
      <c r="L63" s="405">
        <v>1.7835560736350347</v>
      </c>
      <c r="M63" s="405">
        <v>1.736</v>
      </c>
      <c r="N63" s="405">
        <v>1.6864000000000001</v>
      </c>
      <c r="O63" s="405">
        <v>1.6492</v>
      </c>
      <c r="P63" s="405">
        <v>1.6120000000000001</v>
      </c>
      <c r="Q63" s="21" t="s">
        <v>108</v>
      </c>
      <c r="R63" s="287"/>
      <c r="S63" s="262">
        <v>0.1</v>
      </c>
      <c r="T63" s="107"/>
      <c r="U63" s="21" t="str">
        <f t="shared" si="5"/>
        <v>EWINOFF2-05</v>
      </c>
      <c r="V63" s="290" t="s">
        <v>621</v>
      </c>
      <c r="W63" s="311">
        <v>0.12510229730856279</v>
      </c>
      <c r="X63" s="311">
        <v>6.0760000000000008E-2</v>
      </c>
      <c r="Y63" s="311">
        <v>5.5651200000000005E-2</v>
      </c>
      <c r="Z63" s="311">
        <v>4.9475999999999999E-2</v>
      </c>
      <c r="AA63" s="311">
        <v>4.5135999999999996E-2</v>
      </c>
      <c r="AB63" s="311"/>
      <c r="AC63" s="292">
        <v>0</v>
      </c>
      <c r="AD63" s="107"/>
      <c r="AE63" s="108" t="s">
        <v>104</v>
      </c>
      <c r="AG63" s="23" t="s">
        <v>108</v>
      </c>
      <c r="AH63" s="23" t="s">
        <v>108</v>
      </c>
      <c r="AI63" s="23" t="s">
        <v>108</v>
      </c>
      <c r="AJ63" s="23" t="s">
        <v>108</v>
      </c>
      <c r="AK63" s="23" t="s">
        <v>108</v>
      </c>
      <c r="AL63" s="23"/>
      <c r="AM63" s="107"/>
      <c r="AN63" s="19" t="str">
        <f t="shared" si="6"/>
        <v>EWINOFF2-05</v>
      </c>
      <c r="AO63" s="19"/>
      <c r="AP63" s="19" t="str">
        <f t="shared" si="7"/>
        <v>ELCC</v>
      </c>
      <c r="AQ63" s="19"/>
      <c r="AR63" s="131">
        <v>0.40289711332520789</v>
      </c>
      <c r="AS63" s="131">
        <v>0.41870296230125753</v>
      </c>
      <c r="AT63" s="131">
        <v>0.42839516050267551</v>
      </c>
      <c r="AU63" s="19"/>
      <c r="AV63" s="141">
        <v>1</v>
      </c>
      <c r="AW63" s="141">
        <v>25</v>
      </c>
      <c r="AX63" s="19"/>
    </row>
    <row r="64" spans="3:50">
      <c r="C64" s="21" t="s">
        <v>399</v>
      </c>
      <c r="D64" s="21" t="s">
        <v>400</v>
      </c>
      <c r="E64" s="21" t="s">
        <v>882</v>
      </c>
      <c r="F64" s="21" t="s">
        <v>32</v>
      </c>
      <c r="G64" s="290" t="s">
        <v>621</v>
      </c>
      <c r="H64" s="21">
        <v>2020</v>
      </c>
      <c r="I64" s="291">
        <v>3.1536000000000002E-2</v>
      </c>
      <c r="J64" s="155"/>
      <c r="K64" s="21">
        <v>20</v>
      </c>
      <c r="L64" s="405">
        <v>1.7835560736350347</v>
      </c>
      <c r="M64" s="405">
        <v>1.736</v>
      </c>
      <c r="N64" s="405">
        <v>1.6864000000000001</v>
      </c>
      <c r="O64" s="405">
        <v>1.6492</v>
      </c>
      <c r="P64" s="405">
        <v>1.6120000000000001</v>
      </c>
      <c r="Q64" s="21" t="s">
        <v>108</v>
      </c>
      <c r="R64" s="287"/>
      <c r="S64" s="262">
        <v>0.1</v>
      </c>
      <c r="T64" s="107"/>
      <c r="U64" s="21" t="str">
        <f t="shared" si="5"/>
        <v>EWINOFF3-05</v>
      </c>
      <c r="V64" s="290" t="s">
        <v>621</v>
      </c>
      <c r="W64" s="311">
        <v>0.12510229730856279</v>
      </c>
      <c r="X64" s="311">
        <v>6.0760000000000008E-2</v>
      </c>
      <c r="Y64" s="311">
        <v>5.5651200000000005E-2</v>
      </c>
      <c r="Z64" s="311">
        <v>4.9475999999999999E-2</v>
      </c>
      <c r="AA64" s="311">
        <v>4.5135999999999996E-2</v>
      </c>
      <c r="AB64" s="311"/>
      <c r="AC64" s="292">
        <v>0</v>
      </c>
      <c r="AD64" s="107"/>
      <c r="AE64" s="108" t="s">
        <v>104</v>
      </c>
      <c r="AG64" s="23" t="s">
        <v>108</v>
      </c>
      <c r="AH64" s="23" t="s">
        <v>108</v>
      </c>
      <c r="AI64" s="23" t="s">
        <v>108</v>
      </c>
      <c r="AJ64" s="23" t="s">
        <v>108</v>
      </c>
      <c r="AK64" s="23" t="s">
        <v>108</v>
      </c>
      <c r="AL64" s="23"/>
      <c r="AM64" s="107"/>
      <c r="AN64" s="19" t="str">
        <f t="shared" si="6"/>
        <v>EWINOFF3-05</v>
      </c>
      <c r="AO64" s="19"/>
      <c r="AP64" s="19" t="str">
        <f t="shared" si="7"/>
        <v>ELCC</v>
      </c>
      <c r="AQ64" s="19"/>
      <c r="AR64" s="131">
        <v>0.37924191255105205</v>
      </c>
      <c r="AS64" s="131">
        <v>0.39411975653880915</v>
      </c>
      <c r="AT64" s="131">
        <v>0.40324289905128152</v>
      </c>
      <c r="AU64" s="19"/>
      <c r="AV64" s="141">
        <v>1</v>
      </c>
      <c r="AW64" s="141">
        <v>25</v>
      </c>
      <c r="AX64" s="19"/>
    </row>
    <row r="65" spans="3:63">
      <c r="C65" s="21" t="s">
        <v>380</v>
      </c>
      <c r="D65" s="21" t="s">
        <v>381</v>
      </c>
      <c r="E65" s="21" t="s">
        <v>373</v>
      </c>
      <c r="F65" s="21" t="s">
        <v>251</v>
      </c>
      <c r="G65" s="290" t="s">
        <v>621</v>
      </c>
      <c r="H65" s="21">
        <v>2030</v>
      </c>
      <c r="I65" s="291">
        <v>3.1536000000000002E-2</v>
      </c>
      <c r="J65" s="155"/>
      <c r="K65" s="21">
        <v>20</v>
      </c>
      <c r="L65" s="405">
        <v>1.1047049999999998</v>
      </c>
      <c r="M65" s="405">
        <v>1.0520999999999998</v>
      </c>
      <c r="N65" s="405">
        <v>0.99949499999999991</v>
      </c>
      <c r="O65" s="405" t="s">
        <v>108</v>
      </c>
      <c r="P65" s="405">
        <v>0.95189999999999997</v>
      </c>
      <c r="Q65" s="21" t="s">
        <v>108</v>
      </c>
      <c r="R65" s="287"/>
      <c r="S65" s="262">
        <v>0.1</v>
      </c>
      <c r="T65" s="107"/>
      <c r="U65" s="21" t="str">
        <f t="shared" si="5"/>
        <v>EWINDON5-D5</v>
      </c>
      <c r="V65" s="290" t="s">
        <v>621</v>
      </c>
      <c r="W65" s="311">
        <v>5.4560000000000004E-2</v>
      </c>
      <c r="X65" s="311">
        <v>4.7119999999999995E-2</v>
      </c>
      <c r="Y65" s="311">
        <v>4.3400000000000001E-2</v>
      </c>
      <c r="Z65" s="311" t="s">
        <v>108</v>
      </c>
      <c r="AA65" s="311" t="s">
        <v>108</v>
      </c>
      <c r="AB65" s="311"/>
      <c r="AC65" s="292">
        <v>0</v>
      </c>
      <c r="AD65" s="107"/>
      <c r="AE65" s="108" t="s">
        <v>104</v>
      </c>
      <c r="AG65" s="23" t="s">
        <v>108</v>
      </c>
      <c r="AH65" s="23" t="s">
        <v>108</v>
      </c>
      <c r="AI65" s="23" t="s">
        <v>108</v>
      </c>
      <c r="AJ65" s="23" t="s">
        <v>108</v>
      </c>
      <c r="AK65" s="23" t="s">
        <v>108</v>
      </c>
      <c r="AL65" s="23"/>
      <c r="AM65" s="107"/>
      <c r="AN65" s="19" t="str">
        <f t="shared" si="6"/>
        <v>EWINDON5-D5</v>
      </c>
      <c r="AO65" s="19"/>
      <c r="AP65" s="19" t="str">
        <f t="shared" si="7"/>
        <v>ELCMP</v>
      </c>
      <c r="AQ65" s="19"/>
      <c r="AR65" s="131">
        <v>0.22024985811573181</v>
      </c>
      <c r="AS65" s="131">
        <v>0.23100000000000001</v>
      </c>
      <c r="AT65" s="131">
        <v>0.23729999999999996</v>
      </c>
      <c r="AU65" s="19"/>
      <c r="AV65" s="141">
        <v>1</v>
      </c>
      <c r="AW65" s="141">
        <v>25</v>
      </c>
      <c r="AX65" s="19"/>
    </row>
    <row r="66" spans="3:63">
      <c r="C66" s="21" t="s">
        <v>165</v>
      </c>
      <c r="D66" s="21" t="s">
        <v>166</v>
      </c>
      <c r="E66" s="21" t="s">
        <v>373</v>
      </c>
      <c r="F66" s="21" t="s">
        <v>32</v>
      </c>
      <c r="G66" s="290" t="s">
        <v>621</v>
      </c>
      <c r="H66" s="21">
        <v>2025</v>
      </c>
      <c r="I66" s="291">
        <v>3.1536000000000002E-2</v>
      </c>
      <c r="J66" s="155"/>
      <c r="K66" s="21">
        <v>20</v>
      </c>
      <c r="L66" s="405">
        <v>1.38</v>
      </c>
      <c r="M66" s="405">
        <v>1.38</v>
      </c>
      <c r="N66" s="405">
        <v>1.38</v>
      </c>
      <c r="O66" s="405">
        <v>1.38</v>
      </c>
      <c r="P66" s="405">
        <v>1.38</v>
      </c>
      <c r="Q66" s="21"/>
      <c r="R66" s="287"/>
      <c r="S66" s="293">
        <v>7.0000000000000007E-2</v>
      </c>
      <c r="T66" s="107"/>
      <c r="U66" s="21" t="str">
        <f t="shared" si="5"/>
        <v>EWINNOF3-05</v>
      </c>
      <c r="V66" s="290" t="s">
        <v>621</v>
      </c>
      <c r="W66" s="311"/>
      <c r="X66" s="311">
        <v>4.8300000000000003E-2</v>
      </c>
      <c r="Y66" s="311">
        <v>4.4160000000000005E-2</v>
      </c>
      <c r="Z66" s="311">
        <v>4.2779999999999999E-2</v>
      </c>
      <c r="AA66" s="311">
        <v>4.1399999999999999E-2</v>
      </c>
      <c r="AB66" s="311"/>
      <c r="AC66" s="292">
        <v>0</v>
      </c>
      <c r="AD66" s="107"/>
      <c r="AE66" s="108" t="s">
        <v>104</v>
      </c>
      <c r="AG66" s="23"/>
      <c r="AH66" s="23"/>
      <c r="AI66" s="23"/>
      <c r="AJ66" s="23"/>
      <c r="AK66" s="23"/>
      <c r="AL66" s="23"/>
      <c r="AM66" s="107"/>
      <c r="AN66" s="19" t="str">
        <f t="shared" si="6"/>
        <v>EWINNOF3-05</v>
      </c>
      <c r="AO66" s="19"/>
      <c r="AP66" s="19" t="str">
        <f t="shared" si="7"/>
        <v>ELCC</v>
      </c>
      <c r="AQ66" s="19"/>
      <c r="AR66" s="131">
        <v>0.34187185830366329</v>
      </c>
      <c r="AS66" s="131">
        <v>0.35363500000000003</v>
      </c>
      <c r="AT66" s="131">
        <v>0.36513640000000003</v>
      </c>
      <c r="AU66" s="19"/>
      <c r="AV66" s="141">
        <v>1</v>
      </c>
      <c r="AW66" s="141">
        <v>25</v>
      </c>
      <c r="AX66" s="19"/>
    </row>
    <row r="67" spans="3:63">
      <c r="C67" s="19" t="s">
        <v>348</v>
      </c>
      <c r="D67" s="19" t="s">
        <v>349</v>
      </c>
      <c r="E67" s="19" t="s">
        <v>347</v>
      </c>
      <c r="F67" s="19" t="s">
        <v>32</v>
      </c>
      <c r="G67" s="177" t="s">
        <v>621</v>
      </c>
      <c r="H67" s="19">
        <v>2012</v>
      </c>
      <c r="I67" s="142">
        <v>3.1536000000000002E-2</v>
      </c>
      <c r="J67" s="19">
        <v>0.95</v>
      </c>
      <c r="K67" s="19">
        <v>30</v>
      </c>
      <c r="L67" s="294">
        <v>4.2178205128205128</v>
      </c>
      <c r="M67" s="294" t="s">
        <v>108</v>
      </c>
      <c r="N67" s="294" t="s">
        <v>108</v>
      </c>
      <c r="O67" s="294" t="s">
        <v>108</v>
      </c>
      <c r="P67" s="294">
        <v>2.8903846153846153</v>
      </c>
      <c r="Q67" s="19" t="s">
        <v>108</v>
      </c>
      <c r="R67" s="179">
        <v>5</v>
      </c>
      <c r="S67" s="141"/>
      <c r="T67" s="295"/>
      <c r="U67" s="19" t="s">
        <v>348</v>
      </c>
      <c r="V67" s="322" t="s">
        <v>621</v>
      </c>
      <c r="W67" s="79">
        <v>0.124</v>
      </c>
      <c r="X67" s="79" t="s">
        <v>108</v>
      </c>
      <c r="Y67" s="79" t="s">
        <v>108</v>
      </c>
      <c r="Z67" s="79" t="s">
        <v>108</v>
      </c>
      <c r="AA67" s="79" t="s">
        <v>108</v>
      </c>
      <c r="AB67" s="19"/>
      <c r="AC67" s="285">
        <v>0</v>
      </c>
      <c r="AD67" s="107"/>
      <c r="AE67" s="108" t="s">
        <v>104</v>
      </c>
      <c r="AG67" s="23" t="s">
        <v>108</v>
      </c>
      <c r="AH67" s="23" t="s">
        <v>108</v>
      </c>
      <c r="AI67" s="23" t="s">
        <v>108</v>
      </c>
      <c r="AJ67" s="23" t="s">
        <v>108</v>
      </c>
      <c r="AK67" s="23" t="s">
        <v>108</v>
      </c>
      <c r="AL67" s="23"/>
      <c r="AM67" s="107"/>
    </row>
    <row r="68" spans="3:63">
      <c r="C68" s="19" t="s">
        <v>360</v>
      </c>
      <c r="D68" s="19" t="s">
        <v>361</v>
      </c>
      <c r="E68" s="19" t="s">
        <v>362</v>
      </c>
      <c r="F68" s="19" t="s">
        <v>32</v>
      </c>
      <c r="G68" s="177" t="s">
        <v>621</v>
      </c>
      <c r="H68" s="19">
        <v>2010</v>
      </c>
      <c r="I68" s="142">
        <v>3.1536000000000002E-2</v>
      </c>
      <c r="J68" s="19">
        <v>0.35</v>
      </c>
      <c r="K68" s="19">
        <v>30</v>
      </c>
      <c r="L68" s="294">
        <v>6.0119999999999996</v>
      </c>
      <c r="M68" s="294" t="s">
        <v>108</v>
      </c>
      <c r="N68" s="294">
        <v>4.3086000000000002</v>
      </c>
      <c r="O68" s="294" t="s">
        <v>108</v>
      </c>
      <c r="P68" s="294">
        <v>3.0849074999999995</v>
      </c>
      <c r="Q68" s="19" t="s">
        <v>108</v>
      </c>
      <c r="R68" s="179">
        <v>1</v>
      </c>
      <c r="S68" s="141">
        <v>0.35</v>
      </c>
      <c r="T68" s="295"/>
      <c r="U68" s="19" t="s">
        <v>360</v>
      </c>
      <c r="V68" s="322" t="s">
        <v>621</v>
      </c>
      <c r="W68" s="79">
        <v>7.4400000000000008E-2</v>
      </c>
      <c r="X68" s="79" t="s">
        <v>108</v>
      </c>
      <c r="Y68" s="79">
        <v>7.4400000000000008E-2</v>
      </c>
      <c r="Z68" s="79" t="s">
        <v>108</v>
      </c>
      <c r="AA68" s="79">
        <v>7.4400000000000008E-2</v>
      </c>
      <c r="AB68" s="19"/>
      <c r="AC68" s="285">
        <v>0</v>
      </c>
      <c r="AD68" s="107"/>
      <c r="AE68" s="108" t="s">
        <v>104</v>
      </c>
      <c r="AG68" s="23" t="s">
        <v>108</v>
      </c>
      <c r="AH68" s="23" t="s">
        <v>108</v>
      </c>
      <c r="AI68" s="23" t="s">
        <v>108</v>
      </c>
      <c r="AJ68" s="23" t="s">
        <v>108</v>
      </c>
      <c r="AK68" s="23" t="s">
        <v>108</v>
      </c>
      <c r="AL68" s="23"/>
      <c r="AM68" s="107"/>
      <c r="AP68" s="97" t="s">
        <v>401</v>
      </c>
      <c r="BE68" s="97" t="s">
        <v>516</v>
      </c>
      <c r="BJ68" s="315" t="s">
        <v>776</v>
      </c>
    </row>
    <row r="69" spans="3:63" ht="24.75" thickBot="1">
      <c r="C69" s="296" t="s">
        <v>104</v>
      </c>
      <c r="D69" s="103"/>
      <c r="E69" s="103"/>
      <c r="F69" s="103"/>
      <c r="G69" s="110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9"/>
      <c r="S69" s="103"/>
      <c r="T69" s="110"/>
      <c r="U69" s="103" t="s">
        <v>104</v>
      </c>
      <c r="V69" s="110"/>
      <c r="W69" s="103"/>
      <c r="X69" s="103"/>
      <c r="Y69" s="103"/>
      <c r="Z69" s="103"/>
      <c r="AA69" s="103"/>
      <c r="AB69" s="103"/>
      <c r="AC69" s="110"/>
      <c r="AD69" s="110"/>
      <c r="AE69" s="296" t="s">
        <v>104</v>
      </c>
      <c r="AF69" s="103"/>
      <c r="AG69" s="103"/>
      <c r="AH69" s="103"/>
      <c r="AI69" s="103"/>
      <c r="AJ69" s="103"/>
      <c r="AK69" s="103"/>
      <c r="AL69" s="103"/>
      <c r="AM69" s="110"/>
      <c r="AN69" s="101" t="s">
        <v>555</v>
      </c>
      <c r="AO69" s="105" t="s">
        <v>48</v>
      </c>
      <c r="AP69" s="105" t="s">
        <v>560</v>
      </c>
      <c r="AQ69" s="17">
        <v>2015</v>
      </c>
      <c r="AR69" s="17">
        <v>2020</v>
      </c>
      <c r="AS69" s="17">
        <v>2030</v>
      </c>
      <c r="AT69" s="17">
        <v>2050</v>
      </c>
      <c r="AU69" s="101">
        <v>2080</v>
      </c>
      <c r="AV69" s="100" t="s">
        <v>216</v>
      </c>
      <c r="AW69" s="102" t="s">
        <v>402</v>
      </c>
      <c r="AX69" s="100" t="s">
        <v>768</v>
      </c>
      <c r="AY69" s="100" t="s">
        <v>769</v>
      </c>
      <c r="AZ69" s="100" t="s">
        <v>770</v>
      </c>
      <c r="BA69" s="100" t="s">
        <v>771</v>
      </c>
      <c r="BB69" s="100" t="s">
        <v>772</v>
      </c>
      <c r="BD69" s="100" t="s">
        <v>555</v>
      </c>
      <c r="BE69" s="105" t="s">
        <v>557</v>
      </c>
      <c r="BF69" s="100" t="s">
        <v>889</v>
      </c>
      <c r="BG69" s="100" t="s">
        <v>890</v>
      </c>
      <c r="BH69" s="100" t="s">
        <v>891</v>
      </c>
      <c r="BJ69" s="100" t="s">
        <v>216</v>
      </c>
      <c r="BK69" s="100" t="s">
        <v>779</v>
      </c>
    </row>
    <row r="70" spans="3:63">
      <c r="C70" s="19" t="s">
        <v>79</v>
      </c>
      <c r="D70" s="19" t="s">
        <v>626</v>
      </c>
      <c r="E70" s="19" t="s">
        <v>342</v>
      </c>
      <c r="F70" s="19" t="s">
        <v>32</v>
      </c>
      <c r="G70" s="177" t="s">
        <v>621</v>
      </c>
      <c r="H70" s="19">
        <v>2070</v>
      </c>
      <c r="I70" s="142">
        <v>3.1536000000000002E-2</v>
      </c>
      <c r="J70" s="131">
        <v>0.9</v>
      </c>
      <c r="K70" s="19">
        <v>50</v>
      </c>
      <c r="L70" s="294">
        <v>6.2599039316473855</v>
      </c>
      <c r="M70" s="294">
        <v>5.7331135384826464</v>
      </c>
      <c r="N70" s="294">
        <v>4.8600218787855693</v>
      </c>
      <c r="O70" s="294" t="s">
        <v>108</v>
      </c>
      <c r="P70" s="294">
        <v>4.0500182323213076</v>
      </c>
      <c r="Q70" s="294" t="s">
        <v>108</v>
      </c>
      <c r="R70" s="128"/>
      <c r="S70" s="19"/>
      <c r="T70" s="107"/>
      <c r="U70" s="19" t="str">
        <f t="shared" ref="U70:U127" si="8">$C70</f>
        <v>DHP1NUCPBR-0</v>
      </c>
      <c r="V70" s="322" t="s">
        <v>621</v>
      </c>
      <c r="W70" s="79">
        <v>6.9750000000000006E-2</v>
      </c>
      <c r="X70" s="79">
        <v>6.2774999999999997E-2</v>
      </c>
      <c r="Y70" s="79">
        <v>5.4865349999999993E-2</v>
      </c>
      <c r="Z70" s="79" t="s">
        <v>108</v>
      </c>
      <c r="AA70" s="79">
        <v>5.2761999999999996E-2</v>
      </c>
      <c r="AB70" s="79" t="s">
        <v>108</v>
      </c>
      <c r="AC70" s="313">
        <v>1.5084021333333333</v>
      </c>
      <c r="AD70" s="107"/>
      <c r="AE70" s="19" t="str">
        <f t="shared" ref="AE70:AE127" si="9">$C70</f>
        <v>DHP1NUCPBR-0</v>
      </c>
      <c r="AF70" s="19" t="s">
        <v>603</v>
      </c>
      <c r="AG70" s="131" t="s">
        <v>108</v>
      </c>
      <c r="AH70" s="131" t="s">
        <v>108</v>
      </c>
      <c r="AI70" s="131">
        <v>0.47295537895703221</v>
      </c>
      <c r="AJ70" s="131" t="s">
        <v>108</v>
      </c>
      <c r="AK70" s="131">
        <v>0.48</v>
      </c>
      <c r="AL70" s="19" t="s">
        <v>108</v>
      </c>
      <c r="AM70" s="107"/>
      <c r="AN70" s="19" t="str">
        <f t="shared" ref="AN70:AN133" si="10">$C70</f>
        <v>DHP1NUCPBR-0</v>
      </c>
      <c r="AO70" s="19" t="s">
        <v>582</v>
      </c>
      <c r="AP70" s="141" t="s">
        <v>506</v>
      </c>
      <c r="AQ70" s="131">
        <v>1</v>
      </c>
      <c r="AR70" s="131"/>
      <c r="AS70" s="131">
        <v>1</v>
      </c>
      <c r="AT70" s="131">
        <v>1</v>
      </c>
      <c r="AU70" s="19"/>
      <c r="AV70" s="141">
        <f>IF(BJ70&gt;=1,-MOD(1/BJ70,1),BJ70)</f>
        <v>0.6</v>
      </c>
      <c r="AW70" s="297"/>
      <c r="AX70" s="316"/>
      <c r="AY70" s="34"/>
      <c r="AZ70" s="34"/>
      <c r="BA70" s="34"/>
      <c r="BB70" s="34"/>
      <c r="BD70" s="128" t="str">
        <f t="shared" ref="BD70:BD117" si="11">IF(MOD(AV70,1),$AN70,"*")</f>
        <v>DHP1NUCPBR-0</v>
      </c>
      <c r="BE70" s="19"/>
      <c r="BF70" s="34"/>
      <c r="BG70" s="34"/>
      <c r="BH70" s="34"/>
      <c r="BJ70" s="170">
        <f>1/(1/0.6)</f>
        <v>0.6</v>
      </c>
      <c r="BK70" s="24">
        <f t="shared" ref="BK70:BK117" si="12">SUMIF($C$152:$C$199,$C70,$R$152:$R$199)</f>
        <v>0</v>
      </c>
    </row>
    <row r="71" spans="3:63">
      <c r="C71" s="19" t="s">
        <v>456</v>
      </c>
      <c r="D71" s="19" t="s">
        <v>457</v>
      </c>
      <c r="E71" s="19" t="s">
        <v>342</v>
      </c>
      <c r="F71" s="19" t="s">
        <v>32</v>
      </c>
      <c r="G71" s="177" t="s">
        <v>621</v>
      </c>
      <c r="H71" s="19">
        <v>2070</v>
      </c>
      <c r="I71" s="142">
        <v>3.1536000000000002E-2</v>
      </c>
      <c r="J71" s="131">
        <v>0.95</v>
      </c>
      <c r="K71" s="19">
        <v>45</v>
      </c>
      <c r="L71" s="294" t="s">
        <v>108</v>
      </c>
      <c r="M71" s="294">
        <v>5.0220000000000002</v>
      </c>
      <c r="N71" s="294" t="s">
        <v>108</v>
      </c>
      <c r="O71" s="294" t="s">
        <v>108</v>
      </c>
      <c r="P71" s="294" t="s">
        <v>108</v>
      </c>
      <c r="Q71" s="294" t="s">
        <v>108</v>
      </c>
      <c r="R71" s="128"/>
      <c r="S71" s="19"/>
      <c r="T71" s="107"/>
      <c r="U71" s="19" t="str">
        <f t="shared" si="8"/>
        <v>DHP1NUCSMR</v>
      </c>
      <c r="V71" s="322" t="s">
        <v>621</v>
      </c>
      <c r="W71" s="79" t="s">
        <v>108</v>
      </c>
      <c r="X71" s="79">
        <v>0.12827586206896552</v>
      </c>
      <c r="Y71" s="79" t="s">
        <v>108</v>
      </c>
      <c r="Z71" s="79" t="s">
        <v>108</v>
      </c>
      <c r="AA71" s="79" t="s">
        <v>108</v>
      </c>
      <c r="AB71" s="79" t="s">
        <v>108</v>
      </c>
      <c r="AC71" s="313">
        <v>1.8931987664704233</v>
      </c>
      <c r="AD71" s="107"/>
      <c r="AE71" s="19" t="str">
        <f t="shared" si="9"/>
        <v>DHP1NUCSMR</v>
      </c>
      <c r="AF71" s="19" t="s">
        <v>603</v>
      </c>
      <c r="AG71" s="131" t="s">
        <v>108</v>
      </c>
      <c r="AH71" s="131">
        <v>0.28999999999999998</v>
      </c>
      <c r="AI71" s="131">
        <v>0.28999999999999998</v>
      </c>
      <c r="AJ71" s="131" t="s">
        <v>108</v>
      </c>
      <c r="AK71" s="131" t="s">
        <v>108</v>
      </c>
      <c r="AL71" s="19" t="s">
        <v>108</v>
      </c>
      <c r="AM71" s="107"/>
      <c r="AN71" s="19" t="str">
        <f t="shared" si="10"/>
        <v>DHP1NUCSMR</v>
      </c>
      <c r="AO71" s="19" t="s">
        <v>404</v>
      </c>
      <c r="AP71" s="141" t="s">
        <v>247</v>
      </c>
      <c r="AQ71" s="131"/>
      <c r="AR71" s="131">
        <v>2.1724137931034484</v>
      </c>
      <c r="AS71" s="131"/>
      <c r="AT71" s="131"/>
      <c r="AU71" s="19"/>
      <c r="AV71" s="141"/>
      <c r="AW71" s="317">
        <v>0.63</v>
      </c>
      <c r="AX71" s="316"/>
      <c r="AY71" s="318" t="str">
        <f>IF($AV71&lt;0,1/AW71/(1+AS71*ABS($AV71)),"")</f>
        <v/>
      </c>
      <c r="AZ71" s="34"/>
      <c r="BA71" s="34"/>
      <c r="BB71" s="34"/>
      <c r="BD71" s="128" t="str">
        <f t="shared" si="11"/>
        <v>*</v>
      </c>
      <c r="BE71" s="19"/>
      <c r="BF71" s="318"/>
      <c r="BG71" s="318"/>
      <c r="BH71" s="318"/>
      <c r="BJ71" s="170"/>
      <c r="BK71" s="24">
        <f t="shared" si="12"/>
        <v>0</v>
      </c>
    </row>
    <row r="72" spans="3:63">
      <c r="C72" s="19" t="s">
        <v>49</v>
      </c>
      <c r="D72" s="19" t="s">
        <v>403</v>
      </c>
      <c r="E72" s="19" t="s">
        <v>307</v>
      </c>
      <c r="F72" s="19" t="s">
        <v>32</v>
      </c>
      <c r="G72" s="177" t="s">
        <v>621</v>
      </c>
      <c r="H72" s="19">
        <v>2012</v>
      </c>
      <c r="I72" s="142">
        <v>3.1536000000000002E-2</v>
      </c>
      <c r="J72" s="131">
        <v>0.95</v>
      </c>
      <c r="K72" s="19">
        <v>30</v>
      </c>
      <c r="L72" s="294">
        <v>1.6884583520152003</v>
      </c>
      <c r="M72" s="294">
        <v>1.6543167335103892</v>
      </c>
      <c r="N72" s="294">
        <v>1.604982298731054</v>
      </c>
      <c r="O72" s="294" t="s">
        <v>108</v>
      </c>
      <c r="P72" s="294">
        <v>1.5029651156587758</v>
      </c>
      <c r="Q72" s="294" t="s">
        <v>108</v>
      </c>
      <c r="R72" s="128"/>
      <c r="S72" s="19"/>
      <c r="T72" s="107"/>
      <c r="U72" s="19" t="str">
        <f t="shared" si="8"/>
        <v>DHP1OILSTB-0</v>
      </c>
      <c r="V72" s="322" t="s">
        <v>621</v>
      </c>
      <c r="W72" s="79">
        <v>6.7175224757594021E-2</v>
      </c>
      <c r="X72" s="79">
        <v>6.5816902300950969E-2</v>
      </c>
      <c r="Y72" s="79">
        <v>6.3854134465644127E-2</v>
      </c>
      <c r="Z72" s="79" t="s">
        <v>108</v>
      </c>
      <c r="AA72" s="79">
        <v>5.9795386321908332E-2</v>
      </c>
      <c r="AB72" s="79" t="s">
        <v>108</v>
      </c>
      <c r="AC72" s="313">
        <v>0.35522457686968673</v>
      </c>
      <c r="AD72" s="107"/>
      <c r="AE72" s="19" t="str">
        <f t="shared" si="9"/>
        <v>DHP1OILSTB-0</v>
      </c>
      <c r="AF72" s="19" t="s">
        <v>603</v>
      </c>
      <c r="AG72" s="131">
        <v>0.28189879156170089</v>
      </c>
      <c r="AH72" s="131" t="s">
        <v>108</v>
      </c>
      <c r="AI72" s="131">
        <v>0.2994769597398268</v>
      </c>
      <c r="AJ72" s="131" t="s">
        <v>108</v>
      </c>
      <c r="AK72" s="131">
        <v>0.324181701488097</v>
      </c>
      <c r="AL72" s="19" t="s">
        <v>108</v>
      </c>
      <c r="AM72" s="107"/>
      <c r="AN72" s="19" t="str">
        <f t="shared" si="10"/>
        <v>DHP1OILSTB-0</v>
      </c>
      <c r="AO72" s="19" t="s">
        <v>404</v>
      </c>
      <c r="AP72" s="141" t="s">
        <v>247</v>
      </c>
      <c r="AQ72" s="131">
        <v>2.1833338276686254</v>
      </c>
      <c r="AR72" s="131"/>
      <c r="AS72" s="131">
        <v>2.0259523062929063</v>
      </c>
      <c r="AT72" s="131">
        <v>1.8336142782391822</v>
      </c>
      <c r="AU72" s="19"/>
      <c r="AV72" s="141">
        <f t="shared" ref="AV72:AV117" si="13">IF(BJ72&gt;=1,MOD(1/BJ72,1),BJ72)</f>
        <v>0</v>
      </c>
      <c r="AW72" s="297">
        <v>0.6</v>
      </c>
      <c r="AX72" s="245" t="str">
        <f t="shared" ref="AX72:AX84" si="14">IF(MOD($AV72,1),1/((1-AW72)/AS72/ABS(AV72)+1),T(0))</f>
        <v/>
      </c>
      <c r="AY72" s="245" t="str">
        <f>IF(MOD($AV72,1),1/AW72,T(0))</f>
        <v/>
      </c>
      <c r="AZ72" s="319">
        <f>AQ72*AG72/(1+AQ72*MAX(0,$AV72))*(1+$BK72*MIN(0,$AV72))</f>
        <v>0.61547916759556842</v>
      </c>
      <c r="BA72" s="319">
        <f>AS72*AI72/(1+AS72*MAX(0,$AV72))*(1+$BK72*MIN(0,$AV72))</f>
        <v>0.60672603726648999</v>
      </c>
      <c r="BB72" s="319">
        <f>AT72*AK72/(1+AT72*MAX(0,$AV72))*(1+$BK72*MIN(0,$AV72))</f>
        <v>0.59442419659244705</v>
      </c>
      <c r="BD72" s="128" t="str">
        <f t="shared" si="11"/>
        <v>*</v>
      </c>
      <c r="BE72" s="19"/>
      <c r="BF72" s="245" t="str">
        <f>IF(MOD($AV72,1),AQ72/(1+AQ72*MAX(0,$AV72))*(1+$BK72*MIN(0,$AV72)),T(0))</f>
        <v/>
      </c>
      <c r="BG72" s="245" t="str">
        <f>IF(MOD($AV72,1),AS72/(1+AS72*MAX(0,$AV72))*(1+$BK72*MIN(0,$AV72)),T(0))</f>
        <v/>
      </c>
      <c r="BH72" s="245" t="str">
        <f>IF(MOD($AV72,1),AT72/(1+AT72*MAX(0,$AV72))*(1+$BK72*MIN(0,$AV72)),T(0))</f>
        <v/>
      </c>
      <c r="BJ72" s="320">
        <v>1</v>
      </c>
      <c r="BK72" s="24">
        <f t="shared" si="12"/>
        <v>0</v>
      </c>
    </row>
    <row r="73" spans="3:63">
      <c r="C73" s="19" t="s">
        <v>50</v>
      </c>
      <c r="D73" s="19" t="s">
        <v>405</v>
      </c>
      <c r="E73" s="19" t="s">
        <v>267</v>
      </c>
      <c r="F73" s="19" t="s">
        <v>32</v>
      </c>
      <c r="G73" s="177" t="s">
        <v>621</v>
      </c>
      <c r="H73" s="19">
        <v>2012</v>
      </c>
      <c r="I73" s="142">
        <v>3.1536000000000002E-2</v>
      </c>
      <c r="J73" s="131">
        <v>0.95</v>
      </c>
      <c r="K73" s="19">
        <v>30</v>
      </c>
      <c r="L73" s="294">
        <v>1.8173879573935237</v>
      </c>
      <c r="M73" s="294">
        <v>1.7806393066243102</v>
      </c>
      <c r="N73" s="294">
        <v>1.7275377257971798</v>
      </c>
      <c r="O73" s="294" t="s">
        <v>108</v>
      </c>
      <c r="P73" s="294">
        <v>1.6177305755399727</v>
      </c>
      <c r="Q73" s="294" t="s">
        <v>108</v>
      </c>
      <c r="R73" s="128"/>
      <c r="S73" s="19"/>
      <c r="T73" s="107"/>
      <c r="U73" s="19" t="str">
        <f t="shared" si="8"/>
        <v>DHP1BIOBFB-0</v>
      </c>
      <c r="V73" s="322" t="s">
        <v>621</v>
      </c>
      <c r="W73" s="79">
        <v>0.11223126411939452</v>
      </c>
      <c r="X73" s="79">
        <v>0.1099618821122495</v>
      </c>
      <c r="Y73" s="79">
        <v>0.10668263866908591</v>
      </c>
      <c r="Z73" s="79" t="s">
        <v>108</v>
      </c>
      <c r="AA73" s="79">
        <v>9.9901590499057766E-2</v>
      </c>
      <c r="AB73" s="79" t="s">
        <v>108</v>
      </c>
      <c r="AC73" s="313">
        <v>1.1521225717879253</v>
      </c>
      <c r="AD73" s="107"/>
      <c r="AE73" s="19" t="str">
        <f t="shared" si="9"/>
        <v>DHP1BIOBFB-0</v>
      </c>
      <c r="AF73" s="19" t="s">
        <v>603</v>
      </c>
      <c r="AG73" s="131">
        <v>0.27087292844202399</v>
      </c>
      <c r="AH73" s="131" t="s">
        <v>108</v>
      </c>
      <c r="AI73" s="131">
        <v>0.28776356449149848</v>
      </c>
      <c r="AJ73" s="131" t="s">
        <v>108</v>
      </c>
      <c r="AK73" s="131">
        <v>0.31150203355937028</v>
      </c>
      <c r="AL73" s="19" t="s">
        <v>108</v>
      </c>
      <c r="AM73" s="107"/>
      <c r="AN73" s="19" t="str">
        <f t="shared" si="10"/>
        <v>DHP1BIOBFB-0</v>
      </c>
      <c r="AO73" s="19" t="s">
        <v>404</v>
      </c>
      <c r="AP73" s="141" t="s">
        <v>247</v>
      </c>
      <c r="AQ73" s="131">
        <v>2.1833338276686254</v>
      </c>
      <c r="AR73" s="131"/>
      <c r="AS73" s="131">
        <v>2.0259523062929063</v>
      </c>
      <c r="AT73" s="131">
        <v>1.8336142782391822</v>
      </c>
      <c r="AU73" s="19"/>
      <c r="AV73" s="141">
        <f t="shared" si="13"/>
        <v>0</v>
      </c>
      <c r="AW73" s="297">
        <v>0.6</v>
      </c>
      <c r="AX73" s="245" t="str">
        <f t="shared" si="14"/>
        <v/>
      </c>
      <c r="AY73" s="245" t="str">
        <f t="shared" ref="AY73:AY117" si="15">IF(MOD($AV73,1),1/AW73,T(0))</f>
        <v/>
      </c>
      <c r="AZ73" s="319">
        <f t="shared" ref="AZ73:AZ117" si="16">AQ73*AG73/(1+AQ73*MAX(0,$AV73))*(1+$BK73*MIN(0,$AV73))</f>
        <v>0.5914060276671339</v>
      </c>
      <c r="BA73" s="319">
        <f t="shared" ref="BA73:BA117" si="17">AS73*AI73/(1+AS73*MAX(0,$AV73))*(1+$BK73*MIN(0,$AV73))</f>
        <v>0.58299525714861888</v>
      </c>
      <c r="BB73" s="319">
        <f t="shared" ref="BB73:BB117" si="18">AT73*AK73/(1+AT73*MAX(0,$AV73))*(1+$BK73*MIN(0,$AV73))</f>
        <v>0.57117457643500225</v>
      </c>
      <c r="BD73" s="128" t="str">
        <f t="shared" si="11"/>
        <v>*</v>
      </c>
      <c r="BE73" s="19"/>
      <c r="BF73" s="245" t="str">
        <f>IF(MOD($AV73,1),AQ73/(1+AQ73*MAX(0,$AV73))*(1+$BK73*MIN(0,$AV73)),T(0))</f>
        <v/>
      </c>
      <c r="BG73" s="245" t="str">
        <f>IF(MOD($AV73,1),AS73/(1+AS73*MAX(0,$AV73))*(1+$BK73*MIN(0,$AV73)),T(0))</f>
        <v/>
      </c>
      <c r="BH73" s="245" t="str">
        <f>IF(MOD($AV73,1),AT73/(1+AT73*MAX(0,$AV73))*(1+$BK73*MIN(0,$AV73)),T(0))</f>
        <v/>
      </c>
      <c r="BJ73" s="320">
        <v>1</v>
      </c>
      <c r="BK73" s="24">
        <f t="shared" si="12"/>
        <v>0</v>
      </c>
    </row>
    <row r="74" spans="3:63">
      <c r="C74" s="19" t="s">
        <v>51</v>
      </c>
      <c r="D74" s="19" t="s">
        <v>406</v>
      </c>
      <c r="E74" s="19" t="s">
        <v>286</v>
      </c>
      <c r="F74" s="19" t="s">
        <v>32</v>
      </c>
      <c r="G74" s="177" t="s">
        <v>621</v>
      </c>
      <c r="H74" s="19">
        <v>2012</v>
      </c>
      <c r="I74" s="142">
        <v>3.1536000000000002E-2</v>
      </c>
      <c r="J74" s="131">
        <v>0.95</v>
      </c>
      <c r="K74" s="19">
        <v>30</v>
      </c>
      <c r="L74" s="294">
        <v>1.2277695078346165</v>
      </c>
      <c r="M74" s="294">
        <v>1.2144758609150108</v>
      </c>
      <c r="N74" s="294">
        <v>1.1949079234454798</v>
      </c>
      <c r="O74" s="294" t="s">
        <v>108</v>
      </c>
      <c r="P74" s="294">
        <v>1.1530407967843108</v>
      </c>
      <c r="Q74" s="294" t="s">
        <v>108</v>
      </c>
      <c r="R74" s="128"/>
      <c r="S74" s="19"/>
      <c r="T74" s="107"/>
      <c r="U74" s="19" t="str">
        <f t="shared" si="8"/>
        <v>DHP1COACFB-0</v>
      </c>
      <c r="V74" s="322" t="s">
        <v>621</v>
      </c>
      <c r="W74" s="79">
        <v>4.3925178000233274E-2</v>
      </c>
      <c r="X74" s="79">
        <v>4.3449579116656367E-2</v>
      </c>
      <c r="Y74" s="79">
        <v>4.2749508679198987E-2</v>
      </c>
      <c r="Z74" s="79" t="s">
        <v>108</v>
      </c>
      <c r="AA74" s="79">
        <v>4.1251653439094864E-2</v>
      </c>
      <c r="AB74" s="79" t="s">
        <v>108</v>
      </c>
      <c r="AC74" s="313">
        <v>1.3552870321115216</v>
      </c>
      <c r="AD74" s="107"/>
      <c r="AE74" s="19" t="str">
        <f t="shared" si="9"/>
        <v>DHP1COACFB-0</v>
      </c>
      <c r="AF74" s="19" t="s">
        <v>603</v>
      </c>
      <c r="AG74" s="131">
        <v>0.38218607271438432</v>
      </c>
      <c r="AH74" s="131" t="s">
        <v>108</v>
      </c>
      <c r="AI74" s="131">
        <v>0.39703838502577177</v>
      </c>
      <c r="AJ74" s="131" t="s">
        <v>108</v>
      </c>
      <c r="AK74" s="131">
        <v>0.41772023519579621</v>
      </c>
      <c r="AL74" s="19" t="s">
        <v>108</v>
      </c>
      <c r="AM74" s="107"/>
      <c r="AN74" s="19" t="str">
        <f t="shared" si="10"/>
        <v>DHP1COACFB-0</v>
      </c>
      <c r="AO74" s="19" t="s">
        <v>404</v>
      </c>
      <c r="AP74" s="141" t="s">
        <v>506</v>
      </c>
      <c r="AQ74" s="131">
        <v>1.8240596159893023</v>
      </c>
      <c r="AR74" s="131"/>
      <c r="AS74" s="131">
        <v>1.7191116449475392</v>
      </c>
      <c r="AT74" s="131">
        <v>1.5886078109323329</v>
      </c>
      <c r="AU74" s="19"/>
      <c r="AV74" s="141">
        <f t="shared" si="13"/>
        <v>0.125</v>
      </c>
      <c r="AW74" s="297">
        <v>0.6</v>
      </c>
      <c r="AX74" s="245">
        <f t="shared" si="14"/>
        <v>0.34947603734777055</v>
      </c>
      <c r="AY74" s="245">
        <f t="shared" si="15"/>
        <v>1.6666666666666667</v>
      </c>
      <c r="AZ74" s="319">
        <f t="shared" si="16"/>
        <v>0.56769214217489827</v>
      </c>
      <c r="BA74" s="319">
        <f t="shared" si="17"/>
        <v>0.56182362020199073</v>
      </c>
      <c r="BB74" s="319">
        <f t="shared" si="18"/>
        <v>0.55365170126987151</v>
      </c>
      <c r="BD74" s="128" t="str">
        <f t="shared" si="11"/>
        <v>DHP1COACFB-0</v>
      </c>
      <c r="BE74" s="19" t="s">
        <v>773</v>
      </c>
      <c r="BF74" s="245">
        <f>IF(MOD($AV74,1),1/(AQ74/(1+AQ74*MAX(0,$AV74))*(1+$BK74*MIN(0,$AV74))),T(0))</f>
        <v>0.67322769564888207</v>
      </c>
      <c r="BG74" s="245">
        <f>IF(MOD($AV74,1),1/(AS74/(1+AS74*MAX(0,$AV74))*(1+$BK74*MIN(0,$AV74))),T(0))</f>
        <v>0.70669578627368101</v>
      </c>
      <c r="BH74" s="245">
        <f>IF(MOD($AV74,1),1/(AT74/(1+AT74*MAX(0,$AV74))*(1+$BK74*MIN(0,$AV74))),T(0))</f>
        <v>0.75448198612539441</v>
      </c>
      <c r="BJ74" s="320">
        <v>8</v>
      </c>
      <c r="BK74" s="24">
        <f t="shared" si="12"/>
        <v>0</v>
      </c>
    </row>
    <row r="75" spans="3:63">
      <c r="C75" s="19" t="s">
        <v>52</v>
      </c>
      <c r="D75" s="19" t="s">
        <v>846</v>
      </c>
      <c r="E75" s="19" t="s">
        <v>315</v>
      </c>
      <c r="F75" s="19" t="s">
        <v>32</v>
      </c>
      <c r="G75" s="177" t="s">
        <v>792</v>
      </c>
      <c r="H75" s="19">
        <v>2025</v>
      </c>
      <c r="I75" s="142">
        <v>3.1536000000000002E-2</v>
      </c>
      <c r="J75" s="131">
        <v>0.95</v>
      </c>
      <c r="K75" s="19">
        <v>20</v>
      </c>
      <c r="L75" s="294">
        <v>5.0494240377136093</v>
      </c>
      <c r="M75" s="294">
        <v>2.3061294919462116</v>
      </c>
      <c r="N75" s="294">
        <v>1.7411011265922485</v>
      </c>
      <c r="O75" s="294">
        <v>1.154159924725771</v>
      </c>
      <c r="P75" s="294">
        <v>0.76508199983202962</v>
      </c>
      <c r="Q75" s="294"/>
      <c r="R75" s="128"/>
      <c r="S75" s="19"/>
      <c r="T75" s="107"/>
      <c r="U75" s="19" t="s">
        <v>52</v>
      </c>
      <c r="V75" s="322" t="s">
        <v>792</v>
      </c>
      <c r="W75" s="79">
        <v>0.25247120188568045</v>
      </c>
      <c r="X75" s="79">
        <v>0.1153064745973106</v>
      </c>
      <c r="Y75" s="79">
        <v>8.7055056329612426E-2</v>
      </c>
      <c r="Z75" s="79">
        <v>5.7707996236288549E-2</v>
      </c>
      <c r="AA75" s="79">
        <v>3.8254099991601481E-2</v>
      </c>
      <c r="AB75" s="79"/>
      <c r="AC75" s="313"/>
      <c r="AD75" s="107"/>
      <c r="AE75" s="19" t="s">
        <v>52</v>
      </c>
      <c r="AF75" s="19" t="s">
        <v>603</v>
      </c>
      <c r="AG75" s="131">
        <v>0.56000000000000005</v>
      </c>
      <c r="AH75" s="131">
        <v>0.57999999999999996</v>
      </c>
      <c r="AI75" s="131">
        <v>0.6</v>
      </c>
      <c r="AJ75" s="131">
        <v>0.60497933849016694</v>
      </c>
      <c r="AK75" s="131">
        <v>0.61</v>
      </c>
      <c r="AL75" s="19"/>
      <c r="AM75" s="107"/>
      <c r="AN75" s="19" t="s">
        <v>52</v>
      </c>
      <c r="AO75" s="19" t="s">
        <v>404</v>
      </c>
      <c r="AP75" s="141" t="s">
        <v>247</v>
      </c>
      <c r="AQ75" s="131">
        <v>0.6</v>
      </c>
      <c r="AR75" s="131">
        <v>0.6</v>
      </c>
      <c r="AS75" s="131">
        <v>0.62</v>
      </c>
      <c r="AT75" s="131">
        <v>0.62</v>
      </c>
      <c r="AU75" s="19"/>
      <c r="AV75" s="141">
        <v>0.1</v>
      </c>
      <c r="AW75" s="297">
        <v>0.6</v>
      </c>
      <c r="AX75" s="245">
        <f t="shared" si="14"/>
        <v>0.13419913419913418</v>
      </c>
      <c r="AY75" s="245">
        <f t="shared" si="15"/>
        <v>1.6666666666666667</v>
      </c>
      <c r="AZ75" s="319">
        <f t="shared" si="16"/>
        <v>0.31698113207547168</v>
      </c>
      <c r="BA75" s="319">
        <f t="shared" si="17"/>
        <v>0.35028248587570621</v>
      </c>
      <c r="BB75" s="319">
        <f t="shared" si="18"/>
        <v>0.35612052730696797</v>
      </c>
      <c r="BD75" s="128" t="str">
        <f t="shared" si="11"/>
        <v>DHP1GASFCM-0</v>
      </c>
      <c r="BE75" s="19" t="s">
        <v>774</v>
      </c>
      <c r="BF75" s="245">
        <f t="shared" ref="BF75:BF110" si="19">IF(MOD($AV75,1),1/(AQ75/(1+AQ75*MAX(0,$AV75))*(1+$BK75*MIN(0,$AV75))),T(0))</f>
        <v>1.7666666666666666</v>
      </c>
      <c r="BG75" s="245">
        <f t="shared" ref="BG75:BG110" si="20">IF(MOD($AV75,1),1/(AS75/(1+AS75*MAX(0,$AV75))*(1+$BK75*MIN(0,$AV75))),T(0))</f>
        <v>1.7129032258064516</v>
      </c>
      <c r="BH75" s="245">
        <f t="shared" ref="BH75:BH110" si="21">IF(MOD($AV75,1),1/(AT75/(1+AT75*MAX(0,$AV75))*(1+$BK75*MIN(0,$AV75))),T(0))</f>
        <v>1.7129032258064516</v>
      </c>
      <c r="BJ75" s="320">
        <v>1</v>
      </c>
      <c r="BK75" s="24">
        <f t="shared" si="12"/>
        <v>0</v>
      </c>
    </row>
    <row r="76" spans="3:63">
      <c r="C76" s="19" t="s">
        <v>53</v>
      </c>
      <c r="D76" s="19" t="s">
        <v>197</v>
      </c>
      <c r="E76" s="19" t="s">
        <v>315</v>
      </c>
      <c r="F76" s="19" t="s">
        <v>32</v>
      </c>
      <c r="G76" s="177" t="s">
        <v>621</v>
      </c>
      <c r="H76" s="19">
        <v>2020</v>
      </c>
      <c r="I76" s="142">
        <v>3.1536000000000002E-2</v>
      </c>
      <c r="J76" s="131">
        <v>0.95</v>
      </c>
      <c r="K76" s="19">
        <v>30</v>
      </c>
      <c r="L76" s="294">
        <v>1.2824164560761973</v>
      </c>
      <c r="M76" s="294">
        <v>1.3193456556136975</v>
      </c>
      <c r="N76" s="294">
        <v>1.370654888623726</v>
      </c>
      <c r="O76" s="294" t="s">
        <v>108</v>
      </c>
      <c r="P76" s="294">
        <v>1.2126851901845179</v>
      </c>
      <c r="Q76" s="294">
        <v>0.92209791720097456</v>
      </c>
      <c r="R76" s="128"/>
      <c r="S76" s="19"/>
      <c r="T76" s="107"/>
      <c r="U76" s="19" t="str">
        <f t="shared" si="8"/>
        <v>DHP1GASCCT+0</v>
      </c>
      <c r="V76" s="322" t="s">
        <v>621</v>
      </c>
      <c r="W76" s="79">
        <v>1.8499459459459463E-2</v>
      </c>
      <c r="X76" s="294">
        <v>3.5982154244009933E-2</v>
      </c>
      <c r="Y76" s="294">
        <v>3.7510667166057901E-2</v>
      </c>
      <c r="Z76" s="294" t="s">
        <v>108</v>
      </c>
      <c r="AA76" s="294">
        <v>3.5085452562940218E-2</v>
      </c>
      <c r="AB76" s="79" t="s">
        <v>108</v>
      </c>
      <c r="AC76" s="313">
        <v>0.73046564464927688</v>
      </c>
      <c r="AD76" s="107"/>
      <c r="AE76" s="19" t="str">
        <f t="shared" si="9"/>
        <v>DHP1GASCCT+0</v>
      </c>
      <c r="AF76" s="19" t="s">
        <v>603</v>
      </c>
      <c r="AG76" s="131">
        <v>0.50271739130434778</v>
      </c>
      <c r="AH76" s="131" t="s">
        <v>108</v>
      </c>
      <c r="AI76" s="131">
        <v>0.56330556527555609</v>
      </c>
      <c r="AJ76" s="131" t="s">
        <v>108</v>
      </c>
      <c r="AK76" s="131">
        <v>0.57255109811132332</v>
      </c>
      <c r="AL76" s="19" t="s">
        <v>108</v>
      </c>
      <c r="AM76" s="107"/>
      <c r="AN76" s="19" t="str">
        <f t="shared" si="10"/>
        <v>DHP1GASCCT+0</v>
      </c>
      <c r="AO76" s="19" t="s">
        <v>404</v>
      </c>
      <c r="AP76" s="141" t="s">
        <v>506</v>
      </c>
      <c r="AQ76" s="131">
        <v>0.63636363636363646</v>
      </c>
      <c r="AR76" s="131"/>
      <c r="AS76" s="131">
        <v>0.80138230383488629</v>
      </c>
      <c r="AT76" s="131">
        <v>0.88461538461538447</v>
      </c>
      <c r="AU76" s="19"/>
      <c r="AV76" s="141">
        <f t="shared" si="13"/>
        <v>0.15217391304347816</v>
      </c>
      <c r="AW76" s="297">
        <v>0.6</v>
      </c>
      <c r="AX76" s="245">
        <f t="shared" si="14"/>
        <v>0.23364230726012411</v>
      </c>
      <c r="AY76" s="245">
        <f t="shared" si="15"/>
        <v>1.6666666666666667</v>
      </c>
      <c r="AZ76" s="319">
        <f t="shared" si="16"/>
        <v>0.29166666666666669</v>
      </c>
      <c r="BA76" s="319">
        <f t="shared" si="17"/>
        <v>0.40235600559643553</v>
      </c>
      <c r="BB76" s="319">
        <f t="shared" si="18"/>
        <v>0.44639577140882825</v>
      </c>
      <c r="BD76" s="128" t="str">
        <f t="shared" si="11"/>
        <v>DHP1GASCCT+0</v>
      </c>
      <c r="BE76" s="19" t="s">
        <v>774</v>
      </c>
      <c r="BF76" s="245">
        <f t="shared" si="19"/>
        <v>1.7236024844720492</v>
      </c>
      <c r="BG76" s="245">
        <f t="shared" si="20"/>
        <v>1.4000177888249381</v>
      </c>
      <c r="BH76" s="245">
        <f t="shared" si="21"/>
        <v>1.2826086956521741</v>
      </c>
      <c r="BJ76" s="320">
        <v>6.5714285714285756</v>
      </c>
      <c r="BK76" s="24">
        <f t="shared" si="12"/>
        <v>0</v>
      </c>
    </row>
    <row r="77" spans="3:63">
      <c r="C77" s="19" t="s">
        <v>54</v>
      </c>
      <c r="D77" s="19" t="s">
        <v>408</v>
      </c>
      <c r="E77" s="19" t="s">
        <v>315</v>
      </c>
      <c r="F77" s="19" t="s">
        <v>32</v>
      </c>
      <c r="G77" s="177" t="s">
        <v>621</v>
      </c>
      <c r="H77" s="19">
        <v>2012</v>
      </c>
      <c r="I77" s="142">
        <v>3.1536000000000002E-2</v>
      </c>
      <c r="J77" s="131">
        <v>0.95</v>
      </c>
      <c r="K77" s="19">
        <v>30</v>
      </c>
      <c r="L77" s="294">
        <v>0.7319875395459623</v>
      </c>
      <c r="M77" s="294">
        <v>0.71688301031104062</v>
      </c>
      <c r="N77" s="294">
        <v>0.70271725624399373</v>
      </c>
      <c r="O77" s="294" t="s">
        <v>108</v>
      </c>
      <c r="P77" s="294">
        <v>0.68126934538904094</v>
      </c>
      <c r="Q77" s="294">
        <v>0.68126934538904094</v>
      </c>
      <c r="R77" s="128"/>
      <c r="S77" s="19"/>
      <c r="T77" s="107"/>
      <c r="U77" s="19" t="str">
        <f t="shared" si="8"/>
        <v>DHP1GASCCT-0</v>
      </c>
      <c r="V77" s="322" t="s">
        <v>621</v>
      </c>
      <c r="W77" s="79">
        <v>2.0332987209610069E-2</v>
      </c>
      <c r="X77" s="79">
        <v>2.0539906475203987E-2</v>
      </c>
      <c r="Y77" s="79">
        <v>2.0247785349403222E-2</v>
      </c>
      <c r="Z77" s="79" t="s">
        <v>108</v>
      </c>
      <c r="AA77" s="79">
        <v>1.9629794697650339E-2</v>
      </c>
      <c r="AB77" s="79" t="s">
        <v>108</v>
      </c>
      <c r="AC77" s="313">
        <v>0.27570513819993475</v>
      </c>
      <c r="AD77" s="107"/>
      <c r="AE77" s="19" t="str">
        <f t="shared" si="9"/>
        <v>DHP1GASCCT-0</v>
      </c>
      <c r="AF77" s="19" t="s">
        <v>603</v>
      </c>
      <c r="AG77" s="131">
        <v>0.50760938598052452</v>
      </c>
      <c r="AH77" s="131" t="s">
        <v>108</v>
      </c>
      <c r="AI77" s="131">
        <v>0.52457740293855637</v>
      </c>
      <c r="AJ77" s="131" t="s">
        <v>108</v>
      </c>
      <c r="AK77" s="131">
        <v>0.54757508736966953</v>
      </c>
      <c r="AL77" s="19" t="s">
        <v>108</v>
      </c>
      <c r="AM77" s="107"/>
      <c r="AN77" s="19" t="str">
        <f t="shared" si="10"/>
        <v>DHP1GASCCT-0</v>
      </c>
      <c r="AO77" s="19" t="s">
        <v>404</v>
      </c>
      <c r="AP77" s="141" t="s">
        <v>506</v>
      </c>
      <c r="AQ77" s="131">
        <v>0.9418772516098044</v>
      </c>
      <c r="AR77" s="131"/>
      <c r="AS77" s="131">
        <v>0.88713275710003847</v>
      </c>
      <c r="AT77" s="131">
        <v>0.81905743983729873</v>
      </c>
      <c r="AU77" s="19"/>
      <c r="AV77" s="141">
        <f t="shared" si="13"/>
        <v>9.0909090909090912E-2</v>
      </c>
      <c r="AW77" s="297">
        <v>0.6</v>
      </c>
      <c r="AX77" s="245">
        <f t="shared" si="14"/>
        <v>0.16779089874539591</v>
      </c>
      <c r="AY77" s="245">
        <f t="shared" si="15"/>
        <v>1.6666666666666667</v>
      </c>
      <c r="AZ77" s="319">
        <f t="shared" si="16"/>
        <v>0.44039667768620649</v>
      </c>
      <c r="BA77" s="319">
        <f t="shared" si="17"/>
        <v>0.43063940482504465</v>
      </c>
      <c r="BB77" s="319">
        <f t="shared" si="18"/>
        <v>0.41741483752738806</v>
      </c>
      <c r="BD77" s="128" t="str">
        <f t="shared" si="11"/>
        <v>DHP1GASCCT-0</v>
      </c>
      <c r="BE77" s="19" t="s">
        <v>774</v>
      </c>
      <c r="BF77" s="245">
        <f t="shared" si="19"/>
        <v>1.1526185634447697</v>
      </c>
      <c r="BG77" s="245">
        <f t="shared" si="20"/>
        <v>1.21813609498108</v>
      </c>
      <c r="BH77" s="245">
        <f t="shared" si="21"/>
        <v>1.3118246840799981</v>
      </c>
      <c r="BJ77" s="320">
        <v>11</v>
      </c>
      <c r="BK77" s="24">
        <f t="shared" si="12"/>
        <v>0</v>
      </c>
    </row>
    <row r="78" spans="3:63">
      <c r="C78" s="19" t="s">
        <v>55</v>
      </c>
      <c r="D78" s="19" t="s">
        <v>409</v>
      </c>
      <c r="E78" s="19" t="s">
        <v>315</v>
      </c>
      <c r="F78" s="19" t="s">
        <v>32</v>
      </c>
      <c r="G78" s="177" t="s">
        <v>621</v>
      </c>
      <c r="H78" s="19">
        <v>2012</v>
      </c>
      <c r="I78" s="142">
        <v>3.1536000000000002E-2</v>
      </c>
      <c r="J78" s="131">
        <v>0.95</v>
      </c>
      <c r="K78" s="19">
        <v>30</v>
      </c>
      <c r="L78" s="294">
        <v>1.0270323094348344</v>
      </c>
      <c r="M78" s="294">
        <v>1.0127992313769969</v>
      </c>
      <c r="N78" s="294">
        <v>0.99207873186298257</v>
      </c>
      <c r="O78" s="294" t="s">
        <v>108</v>
      </c>
      <c r="P78" s="294">
        <v>0.94861361443008463</v>
      </c>
      <c r="Q78" s="294" t="s">
        <v>108</v>
      </c>
      <c r="R78" s="128"/>
      <c r="S78" s="19"/>
      <c r="T78" s="107"/>
      <c r="U78" s="19" t="str">
        <f t="shared" si="8"/>
        <v>DHP1GASWGT-0</v>
      </c>
      <c r="V78" s="322" t="s">
        <v>621</v>
      </c>
      <c r="W78" s="79">
        <v>3.2809335883574042E-2</v>
      </c>
      <c r="X78" s="79">
        <v>3.2354649274042066E-2</v>
      </c>
      <c r="Y78" s="79">
        <v>3.1692717003766344E-2</v>
      </c>
      <c r="Z78" s="79" t="s">
        <v>108</v>
      </c>
      <c r="AA78" s="79">
        <v>3.0304190446252582E-2</v>
      </c>
      <c r="AB78" s="79" t="s">
        <v>108</v>
      </c>
      <c r="AC78" s="313">
        <v>0.38795227970712087</v>
      </c>
      <c r="AD78" s="107"/>
      <c r="AE78" s="19" t="str">
        <f t="shared" si="9"/>
        <v>DHP1GASWGT-0</v>
      </c>
      <c r="AF78" s="19" t="s">
        <v>603</v>
      </c>
      <c r="AG78" s="131">
        <v>0.36448862307855562</v>
      </c>
      <c r="AH78" s="131" t="s">
        <v>108</v>
      </c>
      <c r="AI78" s="131">
        <v>0.381514541579837</v>
      </c>
      <c r="AJ78" s="131" t="s">
        <v>108</v>
      </c>
      <c r="AK78" s="131">
        <v>0.4050420483941029</v>
      </c>
      <c r="AL78" s="19" t="s">
        <v>108</v>
      </c>
      <c r="AM78" s="107"/>
      <c r="AN78" s="19" t="str">
        <f t="shared" si="10"/>
        <v>DHP1GASWGT-0</v>
      </c>
      <c r="AO78" s="19" t="s">
        <v>404</v>
      </c>
      <c r="AP78" s="141" t="s">
        <v>247</v>
      </c>
      <c r="AQ78" s="131">
        <v>1.4128158774147073</v>
      </c>
      <c r="AR78" s="131"/>
      <c r="AS78" s="131">
        <v>1.3306991356500584</v>
      </c>
      <c r="AT78" s="131">
        <v>1.2285861597559484</v>
      </c>
      <c r="AU78" s="19"/>
      <c r="AV78" s="141">
        <f t="shared" si="13"/>
        <v>0</v>
      </c>
      <c r="AW78" s="297">
        <v>0.6</v>
      </c>
      <c r="AX78" s="245" t="str">
        <f t="shared" si="14"/>
        <v/>
      </c>
      <c r="AY78" s="245" t="str">
        <f t="shared" si="15"/>
        <v/>
      </c>
      <c r="AZ78" s="319">
        <f t="shared" si="16"/>
        <v>0.51495531382240811</v>
      </c>
      <c r="BA78" s="319">
        <f t="shared" si="17"/>
        <v>0.50768107071821733</v>
      </c>
      <c r="BB78" s="319">
        <f t="shared" si="18"/>
        <v>0.4976290547761939</v>
      </c>
      <c r="BD78" s="128" t="str">
        <f t="shared" si="11"/>
        <v>*</v>
      </c>
      <c r="BE78" s="19"/>
      <c r="BF78" s="245" t="str">
        <f t="shared" si="19"/>
        <v/>
      </c>
      <c r="BG78" s="245" t="str">
        <f t="shared" si="20"/>
        <v/>
      </c>
      <c r="BH78" s="245" t="str">
        <f t="shared" si="21"/>
        <v/>
      </c>
      <c r="BJ78" s="320">
        <v>1</v>
      </c>
      <c r="BK78" s="24">
        <f t="shared" si="12"/>
        <v>0</v>
      </c>
    </row>
    <row r="79" spans="3:63">
      <c r="C79" s="19" t="s">
        <v>56</v>
      </c>
      <c r="D79" s="19" t="s">
        <v>410</v>
      </c>
      <c r="E79" s="19" t="s">
        <v>583</v>
      </c>
      <c r="F79" s="19" t="s">
        <v>32</v>
      </c>
      <c r="G79" s="177" t="s">
        <v>621</v>
      </c>
      <c r="H79" s="19">
        <v>2012</v>
      </c>
      <c r="I79" s="142">
        <v>3.1536000000000002E-2</v>
      </c>
      <c r="J79" s="131">
        <v>0.95</v>
      </c>
      <c r="K79" s="19">
        <v>25</v>
      </c>
      <c r="L79" s="294">
        <v>2.1772774638547197</v>
      </c>
      <c r="M79" s="294">
        <v>1.7653601058281509</v>
      </c>
      <c r="N79" s="294">
        <v>1.6947457015950249</v>
      </c>
      <c r="O79" s="294" t="s">
        <v>108</v>
      </c>
      <c r="P79" s="294">
        <v>1.5863802820639499</v>
      </c>
      <c r="Q79" s="294" t="s">
        <v>108</v>
      </c>
      <c r="R79" s="128" t="s">
        <v>108</v>
      </c>
      <c r="S79" s="19" t="s">
        <v>108</v>
      </c>
      <c r="T79" s="107"/>
      <c r="U79" s="19" t="s">
        <v>56</v>
      </c>
      <c r="V79" s="322" t="s">
        <v>621</v>
      </c>
      <c r="W79" s="79">
        <v>5.0295109415044024E-2</v>
      </c>
      <c r="X79" s="79">
        <v>4.0779818444630286E-2</v>
      </c>
      <c r="Y79" s="79">
        <v>3.9148625706845075E-2</v>
      </c>
      <c r="Z79" s="79" t="s">
        <v>108</v>
      </c>
      <c r="AA79" s="79">
        <v>3.664538451567724E-2</v>
      </c>
      <c r="AB79" s="79" t="s">
        <v>108</v>
      </c>
      <c r="AC79" s="313">
        <v>2.5972222222222223</v>
      </c>
      <c r="AD79" s="107"/>
      <c r="AE79" s="19" t="s">
        <v>56</v>
      </c>
      <c r="AF79" s="19" t="s">
        <v>603</v>
      </c>
      <c r="AG79" s="131">
        <v>0.4</v>
      </c>
      <c r="AH79" s="131">
        <v>0.45</v>
      </c>
      <c r="AI79" s="131">
        <v>0.45</v>
      </c>
      <c r="AJ79" s="131" t="s">
        <v>108</v>
      </c>
      <c r="AK79" s="131">
        <v>0.46091000805642923</v>
      </c>
      <c r="AL79" s="19" t="s">
        <v>108</v>
      </c>
      <c r="AM79" s="107"/>
      <c r="AN79" s="19" t="s">
        <v>56</v>
      </c>
      <c r="AO79" s="19" t="s">
        <v>404</v>
      </c>
      <c r="AP79" s="141" t="s">
        <v>247</v>
      </c>
      <c r="AQ79" s="131">
        <v>1.575</v>
      </c>
      <c r="AR79" s="131">
        <v>1.3333333333333335</v>
      </c>
      <c r="AS79" s="131">
        <v>1.3333333333333335</v>
      </c>
      <c r="AT79" s="131">
        <v>1.2781019757580281</v>
      </c>
      <c r="AU79" s="19" t="s">
        <v>108</v>
      </c>
      <c r="AV79" s="141">
        <v>0</v>
      </c>
      <c r="AW79" s="297">
        <v>0.6</v>
      </c>
      <c r="AX79" s="245" t="str">
        <f t="shared" si="14"/>
        <v/>
      </c>
      <c r="AY79" s="245" t="str">
        <f t="shared" si="15"/>
        <v/>
      </c>
      <c r="AZ79" s="319">
        <f t="shared" si="16"/>
        <v>0.63</v>
      </c>
      <c r="BA79" s="319">
        <f t="shared" si="17"/>
        <v>0.60000000000000009</v>
      </c>
      <c r="BB79" s="319">
        <f t="shared" si="18"/>
        <v>0.58908999194357081</v>
      </c>
      <c r="BD79" s="128" t="str">
        <f t="shared" si="11"/>
        <v>*</v>
      </c>
      <c r="BE79" s="19"/>
      <c r="BF79" s="245" t="str">
        <f t="shared" si="19"/>
        <v/>
      </c>
      <c r="BG79" s="245" t="str">
        <f t="shared" si="20"/>
        <v/>
      </c>
      <c r="BH79" s="245" t="str">
        <f t="shared" si="21"/>
        <v/>
      </c>
      <c r="BJ79" s="320">
        <v>1</v>
      </c>
      <c r="BK79" s="24">
        <f t="shared" si="12"/>
        <v>0</v>
      </c>
    </row>
    <row r="80" spans="3:63">
      <c r="C80" s="19" t="s">
        <v>57</v>
      </c>
      <c r="D80" s="19" t="s">
        <v>411</v>
      </c>
      <c r="E80" s="19" t="s">
        <v>315</v>
      </c>
      <c r="F80" s="19" t="s">
        <v>32</v>
      </c>
      <c r="G80" s="177" t="s">
        <v>621</v>
      </c>
      <c r="H80" s="19">
        <v>2012</v>
      </c>
      <c r="I80" s="142">
        <v>3.1536000000000002E-2</v>
      </c>
      <c r="J80" s="131">
        <v>0.95</v>
      </c>
      <c r="K80" s="19">
        <v>30</v>
      </c>
      <c r="L80" s="294">
        <v>0.91112451928179672</v>
      </c>
      <c r="M80" s="294">
        <v>0.90133017964885531</v>
      </c>
      <c r="N80" s="294">
        <v>0.88701832117706858</v>
      </c>
      <c r="O80" s="294" t="s">
        <v>108</v>
      </c>
      <c r="P80" s="294">
        <v>0.85678039390628224</v>
      </c>
      <c r="Q80" s="294" t="s">
        <v>108</v>
      </c>
      <c r="R80" s="128"/>
      <c r="S80" s="19"/>
      <c r="T80" s="107"/>
      <c r="U80" s="19" t="str">
        <f t="shared" si="8"/>
        <v>DHP1GASICE-0</v>
      </c>
      <c r="V80" s="322" t="s">
        <v>621</v>
      </c>
      <c r="W80" s="79">
        <v>3.1912536946430016E-2</v>
      </c>
      <c r="X80" s="79">
        <v>3.1569485893815925E-2</v>
      </c>
      <c r="Y80" s="79">
        <v>3.1068206757334117E-2</v>
      </c>
      <c r="Z80" s="79" t="s">
        <v>108</v>
      </c>
      <c r="AA80" s="79">
        <v>3.0009110057825826E-2</v>
      </c>
      <c r="AB80" s="79" t="s">
        <v>108</v>
      </c>
      <c r="AC80" s="313">
        <v>0.94815342125386082</v>
      </c>
      <c r="AD80" s="107"/>
      <c r="AE80" s="19" t="str">
        <f t="shared" si="9"/>
        <v>DHP1GASICE-0</v>
      </c>
      <c r="AF80" s="19" t="s">
        <v>603</v>
      </c>
      <c r="AG80" s="131">
        <v>0.42751114822853731</v>
      </c>
      <c r="AH80" s="131" t="s">
        <v>108</v>
      </c>
      <c r="AI80" s="131">
        <v>0.44280226270488682</v>
      </c>
      <c r="AJ80" s="131" t="s">
        <v>108</v>
      </c>
      <c r="AK80" s="131">
        <v>0.46360212251245692</v>
      </c>
      <c r="AL80" s="19" t="s">
        <v>108</v>
      </c>
      <c r="AM80" s="107"/>
      <c r="AN80" s="19" t="str">
        <f t="shared" si="10"/>
        <v>DHP1GASICE-0</v>
      </c>
      <c r="AO80" s="19" t="s">
        <v>404</v>
      </c>
      <c r="AP80" s="141" t="s">
        <v>247</v>
      </c>
      <c r="AQ80" s="131">
        <v>1.0754668045751181</v>
      </c>
      <c r="AR80" s="131"/>
      <c r="AS80" s="131">
        <v>1.0205548656556021</v>
      </c>
      <c r="AT80" s="131">
        <v>0.95167535142724713</v>
      </c>
      <c r="AU80" s="19"/>
      <c r="AV80" s="141">
        <f t="shared" si="13"/>
        <v>0</v>
      </c>
      <c r="AW80" s="297">
        <v>0.6</v>
      </c>
      <c r="AX80" s="245" t="str">
        <f t="shared" si="14"/>
        <v/>
      </c>
      <c r="AY80" s="245" t="str">
        <f t="shared" si="15"/>
        <v/>
      </c>
      <c r="AZ80" s="319">
        <f t="shared" si="16"/>
        <v>0.45977404850558468</v>
      </c>
      <c r="BA80" s="319">
        <f t="shared" si="17"/>
        <v>0.45190400372678236</v>
      </c>
      <c r="BB80" s="319">
        <f t="shared" si="18"/>
        <v>0.44119871286446011</v>
      </c>
      <c r="BD80" s="128" t="str">
        <f t="shared" si="11"/>
        <v>*</v>
      </c>
      <c r="BE80" s="19"/>
      <c r="BF80" s="245" t="str">
        <f t="shared" si="19"/>
        <v/>
      </c>
      <c r="BG80" s="245" t="str">
        <f t="shared" si="20"/>
        <v/>
      </c>
      <c r="BH80" s="245" t="str">
        <f t="shared" si="21"/>
        <v/>
      </c>
      <c r="BJ80" s="320">
        <v>1</v>
      </c>
      <c r="BK80" s="24">
        <f t="shared" si="12"/>
        <v>0</v>
      </c>
    </row>
    <row r="81" spans="3:63">
      <c r="C81" s="19" t="s">
        <v>58</v>
      </c>
      <c r="D81" s="19" t="s">
        <v>412</v>
      </c>
      <c r="E81" s="19" t="s">
        <v>286</v>
      </c>
      <c r="F81" s="19" t="s">
        <v>32</v>
      </c>
      <c r="G81" s="177" t="s">
        <v>621</v>
      </c>
      <c r="H81" s="19">
        <v>2012</v>
      </c>
      <c r="I81" s="142">
        <v>3.1536000000000002E-2</v>
      </c>
      <c r="J81" s="131">
        <v>0.95</v>
      </c>
      <c r="K81" s="19">
        <v>30</v>
      </c>
      <c r="L81" s="294">
        <v>1.6490092573923447</v>
      </c>
      <c r="M81" s="294">
        <v>1.5555543177315001</v>
      </c>
      <c r="N81" s="294">
        <v>1.4489112086386764</v>
      </c>
      <c r="O81" s="294" t="s">
        <v>108</v>
      </c>
      <c r="P81" s="294">
        <v>1.4046884175182115</v>
      </c>
      <c r="Q81" s="294" t="s">
        <v>108</v>
      </c>
      <c r="R81" s="128"/>
      <c r="S81" s="19"/>
      <c r="T81" s="107"/>
      <c r="U81" s="19" t="str">
        <f t="shared" si="8"/>
        <v>DHP1COAIGC-0</v>
      </c>
      <c r="V81" s="322" t="s">
        <v>621</v>
      </c>
      <c r="W81" s="79">
        <v>4.5347754578289483E-2</v>
      </c>
      <c r="X81" s="79">
        <v>4.2461325208418887E-2</v>
      </c>
      <c r="Y81" s="79">
        <v>4.1052484244762488E-2</v>
      </c>
      <c r="Z81" s="79" t="s">
        <v>108</v>
      </c>
      <c r="AA81" s="79">
        <v>3.9019122708839206E-2</v>
      </c>
      <c r="AB81" s="79" t="s">
        <v>108</v>
      </c>
      <c r="AC81" s="313">
        <v>1.425255449601067</v>
      </c>
      <c r="AD81" s="107"/>
      <c r="AE81" s="19" t="str">
        <f t="shared" si="9"/>
        <v>DHP1COAIGC-0</v>
      </c>
      <c r="AF81" s="19" t="s">
        <v>603</v>
      </c>
      <c r="AG81" s="131">
        <v>0.48637423503253618</v>
      </c>
      <c r="AH81" s="131" t="s">
        <v>108</v>
      </c>
      <c r="AI81" s="131">
        <v>0.50403162596118734</v>
      </c>
      <c r="AJ81" s="131" t="s">
        <v>108</v>
      </c>
      <c r="AK81" s="131">
        <v>0.5281211672075462</v>
      </c>
      <c r="AL81" s="19" t="s">
        <v>108</v>
      </c>
      <c r="AM81" s="107"/>
      <c r="AN81" s="19" t="str">
        <f t="shared" si="10"/>
        <v>DHP1COAIGC-0</v>
      </c>
      <c r="AO81" s="19" t="s">
        <v>404</v>
      </c>
      <c r="AP81" s="141" t="s">
        <v>506</v>
      </c>
      <c r="AQ81" s="131">
        <v>0.9418772516098044</v>
      </c>
      <c r="AR81" s="131"/>
      <c r="AS81" s="131">
        <v>0.88713275710003847</v>
      </c>
      <c r="AT81" s="131">
        <v>0.81905743983729873</v>
      </c>
      <c r="AU81" s="19"/>
      <c r="AV81" s="141">
        <f t="shared" si="13"/>
        <v>9.0909090909090912E-2</v>
      </c>
      <c r="AW81" s="297">
        <v>0.6</v>
      </c>
      <c r="AX81" s="245">
        <f t="shared" si="14"/>
        <v>0.16779089874539591</v>
      </c>
      <c r="AY81" s="245">
        <f t="shared" si="15"/>
        <v>1.6666666666666667</v>
      </c>
      <c r="AZ81" s="319">
        <f t="shared" si="16"/>
        <v>0.42197327932923057</v>
      </c>
      <c r="BA81" s="319">
        <f t="shared" si="17"/>
        <v>0.41377283543101634</v>
      </c>
      <c r="BB81" s="319">
        <f t="shared" si="18"/>
        <v>0.40258517286395273</v>
      </c>
      <c r="BD81" s="128" t="str">
        <f t="shared" si="11"/>
        <v>DHP1COAIGC-0</v>
      </c>
      <c r="BE81" s="19" t="s">
        <v>773</v>
      </c>
      <c r="BF81" s="245">
        <f t="shared" si="19"/>
        <v>1.1526185634447697</v>
      </c>
      <c r="BG81" s="245">
        <f t="shared" si="20"/>
        <v>1.21813609498108</v>
      </c>
      <c r="BH81" s="245">
        <f t="shared" si="21"/>
        <v>1.3118246840799981</v>
      </c>
      <c r="BJ81" s="320">
        <v>11</v>
      </c>
      <c r="BK81" s="24">
        <f t="shared" si="12"/>
        <v>0</v>
      </c>
    </row>
    <row r="82" spans="3:63">
      <c r="C82" s="19" t="s">
        <v>59</v>
      </c>
      <c r="D82" s="19" t="s">
        <v>413</v>
      </c>
      <c r="E82" s="19" t="s">
        <v>286</v>
      </c>
      <c r="F82" s="19" t="s">
        <v>32</v>
      </c>
      <c r="G82" s="177" t="s">
        <v>621</v>
      </c>
      <c r="H82" s="19">
        <v>2012</v>
      </c>
      <c r="I82" s="142">
        <v>3.1536000000000002E-2</v>
      </c>
      <c r="J82" s="131">
        <v>0.95</v>
      </c>
      <c r="K82" s="19">
        <v>30</v>
      </c>
      <c r="L82" s="294">
        <v>1.6176419022985977</v>
      </c>
      <c r="M82" s="294">
        <v>1.529128797727809</v>
      </c>
      <c r="N82" s="294">
        <v>1.4393175489627541</v>
      </c>
      <c r="O82" s="294" t="s">
        <v>108</v>
      </c>
      <c r="P82" s="294">
        <v>1.3889461681796209</v>
      </c>
      <c r="Q82" s="294" t="s">
        <v>108</v>
      </c>
      <c r="R82" s="128"/>
      <c r="S82" s="19"/>
      <c r="T82" s="107"/>
      <c r="U82" s="19" t="str">
        <f t="shared" si="8"/>
        <v>DHP1COAPFB-0</v>
      </c>
      <c r="V82" s="322" t="s">
        <v>621</v>
      </c>
      <c r="W82" s="79">
        <v>5.2489855236827657E-2</v>
      </c>
      <c r="X82" s="79">
        <v>5.0499006591628239E-2</v>
      </c>
      <c r="Y82" s="79">
        <v>4.8751078271319088E-2</v>
      </c>
      <c r="Z82" s="79" t="s">
        <v>108</v>
      </c>
      <c r="AA82" s="79">
        <v>4.6148856555645462E-2</v>
      </c>
      <c r="AB82" s="79" t="s">
        <v>108</v>
      </c>
      <c r="AC82" s="313">
        <v>1.9345665980682174</v>
      </c>
      <c r="AD82" s="107"/>
      <c r="AE82" s="19" t="str">
        <f t="shared" si="9"/>
        <v>DHP1COAPFB-0</v>
      </c>
      <c r="AF82" s="19" t="s">
        <v>603</v>
      </c>
      <c r="AG82" s="131">
        <v>0.42017067258299107</v>
      </c>
      <c r="AH82" s="131" t="s">
        <v>108</v>
      </c>
      <c r="AI82" s="131">
        <v>0.43692020838442119</v>
      </c>
      <c r="AJ82" s="131" t="s">
        <v>108</v>
      </c>
      <c r="AK82" s="131">
        <v>0.46004799919711276</v>
      </c>
      <c r="AL82" s="19" t="s">
        <v>108</v>
      </c>
      <c r="AM82" s="107"/>
      <c r="AN82" s="19" t="str">
        <f t="shared" si="10"/>
        <v>DHP1COAPFB-0</v>
      </c>
      <c r="AO82" s="19" t="s">
        <v>404</v>
      </c>
      <c r="AP82" s="141" t="s">
        <v>506</v>
      </c>
      <c r="AQ82" s="131">
        <v>1.3186281522537251</v>
      </c>
      <c r="AR82" s="131"/>
      <c r="AS82" s="131">
        <v>1.2419858599400535</v>
      </c>
      <c r="AT82" s="131">
        <v>1.1466804157722175</v>
      </c>
      <c r="AU82" s="19"/>
      <c r="AV82" s="141">
        <f t="shared" si="13"/>
        <v>9.0909090909090912E-2</v>
      </c>
      <c r="AW82" s="297">
        <v>0.6</v>
      </c>
      <c r="AX82" s="245">
        <f t="shared" si="14"/>
        <v>0.22013274949137315</v>
      </c>
      <c r="AY82" s="245">
        <f t="shared" si="15"/>
        <v>1.6666666666666667</v>
      </c>
      <c r="AZ82" s="319">
        <f t="shared" si="16"/>
        <v>0.49474158798254231</v>
      </c>
      <c r="BA82" s="319">
        <f t="shared" si="17"/>
        <v>0.48759539476545921</v>
      </c>
      <c r="BB82" s="319">
        <f t="shared" si="18"/>
        <v>0.47772791761318711</v>
      </c>
      <c r="BD82" s="128" t="str">
        <f t="shared" si="11"/>
        <v>DHP1COAPFB-0</v>
      </c>
      <c r="BE82" s="19" t="s">
        <v>773</v>
      </c>
      <c r="BF82" s="245">
        <f t="shared" si="19"/>
        <v>0.84927299986314764</v>
      </c>
      <c r="BG82" s="245">
        <f t="shared" si="20"/>
        <v>0.89607123667479771</v>
      </c>
      <c r="BH82" s="245">
        <f t="shared" si="21"/>
        <v>0.96299165745973925</v>
      </c>
      <c r="BJ82" s="320">
        <v>11</v>
      </c>
      <c r="BK82" s="24">
        <f t="shared" si="12"/>
        <v>0</v>
      </c>
    </row>
    <row r="83" spans="3:63">
      <c r="C83" s="19" t="s">
        <v>60</v>
      </c>
      <c r="D83" s="19" t="s">
        <v>414</v>
      </c>
      <c r="E83" s="19" t="s">
        <v>286</v>
      </c>
      <c r="F83" s="19" t="s">
        <v>32</v>
      </c>
      <c r="G83" s="177" t="s">
        <v>621</v>
      </c>
      <c r="H83" s="19">
        <v>2012</v>
      </c>
      <c r="I83" s="142">
        <v>3.1536000000000002E-2</v>
      </c>
      <c r="J83" s="131">
        <v>0.95</v>
      </c>
      <c r="K83" s="19">
        <v>30</v>
      </c>
      <c r="L83" s="294">
        <v>1.1690113642285633</v>
      </c>
      <c r="M83" s="294">
        <v>1.162889965483787</v>
      </c>
      <c r="N83" s="294">
        <v>1.1493598129283915</v>
      </c>
      <c r="O83" s="294" t="s">
        <v>108</v>
      </c>
      <c r="P83" s="294">
        <v>1.1230774439939077</v>
      </c>
      <c r="Q83" s="294">
        <v>1.0830062140731995</v>
      </c>
      <c r="R83" s="128"/>
      <c r="S83" s="19"/>
      <c r="T83" s="107"/>
      <c r="U83" s="19" t="str">
        <f t="shared" si="8"/>
        <v>DHP1COAPFS-0</v>
      </c>
      <c r="V83" s="322" t="s">
        <v>621</v>
      </c>
      <c r="W83" s="79">
        <v>3.7832654855100532E-2</v>
      </c>
      <c r="X83" s="79">
        <v>3.7420827227564027E-2</v>
      </c>
      <c r="Y83" s="79">
        <v>3.6814899962980818E-2</v>
      </c>
      <c r="Z83" s="79" t="s">
        <v>108</v>
      </c>
      <c r="AA83" s="79">
        <v>3.5518647405222967E-2</v>
      </c>
      <c r="AB83" s="79" t="s">
        <v>108</v>
      </c>
      <c r="AC83" s="313">
        <v>1.329257867886346</v>
      </c>
      <c r="AD83" s="107"/>
      <c r="AE83" s="19" t="str">
        <f t="shared" si="9"/>
        <v>DHP1COAPFS-0</v>
      </c>
      <c r="AF83" s="19" t="s">
        <v>603</v>
      </c>
      <c r="AG83" s="131">
        <v>0.38782524279934633</v>
      </c>
      <c r="AH83" s="131" t="s">
        <v>108</v>
      </c>
      <c r="AI83" s="131">
        <v>0.40295310185313099</v>
      </c>
      <c r="AJ83" s="131" t="s">
        <v>108</v>
      </c>
      <c r="AK83" s="131">
        <v>0.42401865095983415</v>
      </c>
      <c r="AL83" s="19" t="s">
        <v>108</v>
      </c>
      <c r="AM83" s="107"/>
      <c r="AN83" s="19" t="str">
        <f t="shared" si="10"/>
        <v>DHP1COAPFS-0</v>
      </c>
      <c r="AO83" s="19" t="s">
        <v>404</v>
      </c>
      <c r="AP83" s="141" t="s">
        <v>506</v>
      </c>
      <c r="AQ83" s="131">
        <v>1.7729454147949255</v>
      </c>
      <c r="AR83" s="131"/>
      <c r="AS83" s="131">
        <v>1.6698969545412483</v>
      </c>
      <c r="AT83" s="131">
        <v>1.5417551808702088</v>
      </c>
      <c r="AU83" s="19"/>
      <c r="AV83" s="141">
        <f t="shared" si="13"/>
        <v>0.125</v>
      </c>
      <c r="AW83" s="297">
        <v>0.6</v>
      </c>
      <c r="AX83" s="245">
        <f t="shared" si="14"/>
        <v>0.34290190739745435</v>
      </c>
      <c r="AY83" s="245">
        <f t="shared" si="15"/>
        <v>1.6666666666666667</v>
      </c>
      <c r="AZ83" s="319">
        <f t="shared" si="16"/>
        <v>0.56285425265705991</v>
      </c>
      <c r="BA83" s="319">
        <f t="shared" si="17"/>
        <v>0.55668858584184633</v>
      </c>
      <c r="BB83" s="319">
        <f t="shared" si="18"/>
        <v>0.54810289261125278</v>
      </c>
      <c r="BD83" s="128" t="str">
        <f t="shared" si="11"/>
        <v>DHP1COAPFS-0</v>
      </c>
      <c r="BE83" s="19" t="s">
        <v>773</v>
      </c>
      <c r="BF83" s="245">
        <f t="shared" si="19"/>
        <v>0.68903315728457937</v>
      </c>
      <c r="BG83" s="245">
        <f t="shared" si="20"/>
        <v>0.72383934591324439</v>
      </c>
      <c r="BH83" s="245">
        <f t="shared" si="21"/>
        <v>0.77361140887204449</v>
      </c>
      <c r="BJ83" s="320">
        <v>8</v>
      </c>
      <c r="BK83" s="24">
        <f t="shared" si="12"/>
        <v>0</v>
      </c>
    </row>
    <row r="84" spans="3:63">
      <c r="C84" s="19" t="s">
        <v>61</v>
      </c>
      <c r="D84" s="19" t="s">
        <v>415</v>
      </c>
      <c r="E84" s="19" t="s">
        <v>286</v>
      </c>
      <c r="F84" s="19" t="s">
        <v>32</v>
      </c>
      <c r="G84" s="177" t="s">
        <v>621</v>
      </c>
      <c r="H84" s="19">
        <v>2025</v>
      </c>
      <c r="I84" s="142">
        <v>3.1536000000000002E-2</v>
      </c>
      <c r="J84" s="131">
        <v>0.95</v>
      </c>
      <c r="K84" s="19">
        <v>35</v>
      </c>
      <c r="L84" s="294">
        <v>3.1703703703703701</v>
      </c>
      <c r="M84" s="294">
        <v>3.1178599212701585</v>
      </c>
      <c r="N84" s="294">
        <v>3.0035087719298246</v>
      </c>
      <c r="O84" s="294">
        <v>2.8569713199598077</v>
      </c>
      <c r="P84" s="294">
        <v>2.7174603174603176</v>
      </c>
      <c r="Q84" s="294">
        <v>2.3427040943522481</v>
      </c>
      <c r="R84" s="128"/>
      <c r="S84" s="19"/>
      <c r="T84" s="107"/>
      <c r="U84" s="19" t="str">
        <f t="shared" si="8"/>
        <v>DHP1COAPFU+0</v>
      </c>
      <c r="V84" s="322" t="s">
        <v>621</v>
      </c>
      <c r="W84" s="79">
        <v>7.346787631920014E-2</v>
      </c>
      <c r="X84" s="79">
        <v>5.8489031187567452E-2</v>
      </c>
      <c r="Y84" s="79">
        <v>5.6343877746108072E-2</v>
      </c>
      <c r="Z84" s="79">
        <v>5.3594930129843968E-2</v>
      </c>
      <c r="AA84" s="79">
        <v>5.0977794151240631E-2</v>
      </c>
      <c r="AB84" s="79" t="s">
        <v>108</v>
      </c>
      <c r="AC84" s="313">
        <v>1.0693400167084377</v>
      </c>
      <c r="AD84" s="107"/>
      <c r="AE84" s="19" t="str">
        <f t="shared" si="9"/>
        <v>DHP1COAPFU+0</v>
      </c>
      <c r="AF84" s="19" t="s">
        <v>603</v>
      </c>
      <c r="AG84" s="131">
        <v>0.263671875</v>
      </c>
      <c r="AH84" s="131">
        <v>0.34318411571360835</v>
      </c>
      <c r="AI84" s="131">
        <v>0.35625000000000001</v>
      </c>
      <c r="AJ84" s="131">
        <v>0.37452248558625811</v>
      </c>
      <c r="AK84" s="131">
        <v>0.39374999999999999</v>
      </c>
      <c r="AL84" s="19" t="s">
        <v>108</v>
      </c>
      <c r="AM84" s="107"/>
      <c r="AN84" s="19" t="str">
        <f t="shared" si="10"/>
        <v>DHP1COAPFU+0</v>
      </c>
      <c r="AO84" s="19" t="s">
        <v>404</v>
      </c>
      <c r="AP84" s="141" t="s">
        <v>506</v>
      </c>
      <c r="AQ84" s="131">
        <v>3</v>
      </c>
      <c r="AR84" s="131">
        <v>2.8823067684915684</v>
      </c>
      <c r="AS84" s="131">
        <v>2.7692307692307692</v>
      </c>
      <c r="AT84" s="131">
        <v>2.4</v>
      </c>
      <c r="AU84" s="19"/>
      <c r="AV84" s="141">
        <f>IF(BJ84&gt;=1,MOD(1/BJ84,1)*IF(BK84&gt;0,-1),BJ84)</f>
        <v>-0.16666666666666666</v>
      </c>
      <c r="AW84" s="297">
        <v>0.6</v>
      </c>
      <c r="AX84" s="245">
        <f t="shared" si="14"/>
        <v>0.5357142857142857</v>
      </c>
      <c r="AY84" s="245">
        <f t="shared" si="15"/>
        <v>1.6666666666666667</v>
      </c>
      <c r="AZ84" s="319">
        <f t="shared" si="16"/>
        <v>0.73828125</v>
      </c>
      <c r="BA84" s="319">
        <f t="shared" si="17"/>
        <v>0.92076923076923078</v>
      </c>
      <c r="BB84" s="319">
        <f t="shared" si="18"/>
        <v>0.88200000000000001</v>
      </c>
      <c r="BD84" s="128" t="str">
        <f t="shared" si="11"/>
        <v>DHP1COAPFU+0</v>
      </c>
      <c r="BE84" s="19" t="s">
        <v>773</v>
      </c>
      <c r="BF84" s="245">
        <f t="shared" si="19"/>
        <v>0.35714285714285715</v>
      </c>
      <c r="BG84" s="245">
        <f t="shared" si="20"/>
        <v>0.38690476190476186</v>
      </c>
      <c r="BH84" s="245">
        <f t="shared" si="21"/>
        <v>0.44642857142857145</v>
      </c>
      <c r="BJ84" s="320">
        <v>6</v>
      </c>
      <c r="BK84" s="24">
        <f t="shared" si="12"/>
        <v>0.4</v>
      </c>
    </row>
    <row r="85" spans="3:63">
      <c r="C85" s="19" t="s">
        <v>62</v>
      </c>
      <c r="D85" s="19" t="s">
        <v>416</v>
      </c>
      <c r="E85" s="19" t="s">
        <v>417</v>
      </c>
      <c r="F85" s="19" t="s">
        <v>32</v>
      </c>
      <c r="G85" s="177" t="s">
        <v>621</v>
      </c>
      <c r="H85" s="19">
        <v>2012</v>
      </c>
      <c r="I85" s="142">
        <v>3.1536000000000002E-2</v>
      </c>
      <c r="J85" s="131">
        <v>0.95</v>
      </c>
      <c r="K85" s="19">
        <v>30</v>
      </c>
      <c r="L85" s="294">
        <v>2.4975514378249355</v>
      </c>
      <c r="M85" s="294">
        <v>2.447097357166796</v>
      </c>
      <c r="N85" s="294">
        <v>2.3740744585704925</v>
      </c>
      <c r="O85" s="294" t="s">
        <v>108</v>
      </c>
      <c r="P85" s="294">
        <v>2.2231716175493221</v>
      </c>
      <c r="Q85" s="294" t="s">
        <v>108</v>
      </c>
      <c r="R85" s="128"/>
      <c r="S85" s="19"/>
      <c r="T85" s="107"/>
      <c r="U85" s="19" t="str">
        <f t="shared" si="8"/>
        <v>DHP1REFBFB-0</v>
      </c>
      <c r="V85" s="322" t="s">
        <v>621</v>
      </c>
      <c r="W85" s="79">
        <v>0.14059590917420889</v>
      </c>
      <c r="X85" s="79">
        <v>0.13775567243904172</v>
      </c>
      <c r="Y85" s="79">
        <v>0.13364495797558937</v>
      </c>
      <c r="Z85" s="79" t="s">
        <v>108</v>
      </c>
      <c r="AA85" s="79">
        <v>0.12515010905715448</v>
      </c>
      <c r="AB85" s="79" t="s">
        <v>108</v>
      </c>
      <c r="AC85" s="313">
        <v>2.7222720458274985</v>
      </c>
      <c r="AD85" s="107"/>
      <c r="AE85" s="19" t="str">
        <f t="shared" si="9"/>
        <v>DHP1REFBFB-0</v>
      </c>
      <c r="AF85" s="19" t="s">
        <v>603</v>
      </c>
      <c r="AG85" s="131">
        <v>0.24264741685250416</v>
      </c>
      <c r="AH85" s="131" t="s">
        <v>108</v>
      </c>
      <c r="AI85" s="131">
        <v>0.25777801417713847</v>
      </c>
      <c r="AJ85" s="131" t="s">
        <v>108</v>
      </c>
      <c r="AK85" s="131">
        <v>0.27904288635348451</v>
      </c>
      <c r="AL85" s="19" t="s">
        <v>108</v>
      </c>
      <c r="AM85" s="107"/>
      <c r="AN85" s="19" t="str">
        <f t="shared" si="10"/>
        <v>DHP1REFBFB-0</v>
      </c>
      <c r="AO85" s="19" t="s">
        <v>404</v>
      </c>
      <c r="AP85" s="141" t="s">
        <v>247</v>
      </c>
      <c r="AQ85" s="131">
        <v>2.5154027902514127</v>
      </c>
      <c r="AR85" s="131"/>
      <c r="AS85" s="131">
        <v>2.3416040404723475</v>
      </c>
      <c r="AT85" s="131">
        <v>2.1292023015737587</v>
      </c>
      <c r="AU85" s="19"/>
      <c r="AV85" s="141">
        <f t="shared" si="13"/>
        <v>0</v>
      </c>
      <c r="AW85" s="297">
        <v>0.6</v>
      </c>
      <c r="AX85" s="245" t="str">
        <f t="shared" ref="AX85:AX117" si="22">IF(MOD($AV85,1),1/((1-AW85)/AS85/ABS(AV85)+1),T(0))</f>
        <v/>
      </c>
      <c r="AY85" s="245" t="str">
        <f t="shared" si="15"/>
        <v/>
      </c>
      <c r="AZ85" s="319">
        <f t="shared" si="16"/>
        <v>0.61035598939808655</v>
      </c>
      <c r="BA85" s="319">
        <f t="shared" si="17"/>
        <v>0.60361403954212556</v>
      </c>
      <c r="BB85" s="319">
        <f t="shared" si="18"/>
        <v>0.59413875586162401</v>
      </c>
      <c r="BD85" s="128" t="str">
        <f t="shared" si="11"/>
        <v>*</v>
      </c>
      <c r="BE85" s="19"/>
      <c r="BF85" s="245" t="str">
        <f t="shared" si="19"/>
        <v/>
      </c>
      <c r="BG85" s="245" t="str">
        <f t="shared" si="20"/>
        <v/>
      </c>
      <c r="BH85" s="245" t="str">
        <f t="shared" si="21"/>
        <v/>
      </c>
      <c r="BJ85" s="320">
        <v>1</v>
      </c>
      <c r="BK85" s="24">
        <f t="shared" si="12"/>
        <v>0</v>
      </c>
    </row>
    <row r="86" spans="3:63">
      <c r="C86" s="19" t="s">
        <v>63</v>
      </c>
      <c r="D86" s="19" t="s">
        <v>418</v>
      </c>
      <c r="E86" s="19" t="s">
        <v>583</v>
      </c>
      <c r="F86" s="19" t="s">
        <v>32</v>
      </c>
      <c r="G86" s="177" t="s">
        <v>621</v>
      </c>
      <c r="H86" s="19">
        <v>2012</v>
      </c>
      <c r="I86" s="142">
        <v>3.1536000000000002E-2</v>
      </c>
      <c r="J86" s="131">
        <v>0.95</v>
      </c>
      <c r="K86" s="19">
        <v>20</v>
      </c>
      <c r="L86" s="294">
        <v>2.9431335560118295</v>
      </c>
      <c r="M86" s="294">
        <v>2.5570353695839079</v>
      </c>
      <c r="N86" s="294">
        <v>1.796103738478148</v>
      </c>
      <c r="O86" s="294" t="s">
        <v>108</v>
      </c>
      <c r="P86" s="294">
        <v>1.6699199216251446</v>
      </c>
      <c r="Q86" s="294" t="s">
        <v>108</v>
      </c>
      <c r="R86" s="128"/>
      <c r="S86" s="19"/>
      <c r="T86" s="107"/>
      <c r="U86" s="19" t="str">
        <f t="shared" si="8"/>
        <v>DHP1BIOFCS-0</v>
      </c>
      <c r="V86" s="322" t="s">
        <v>621</v>
      </c>
      <c r="W86" s="79">
        <v>0.13395528717995797</v>
      </c>
      <c r="X86" s="79">
        <v>0.10164027022166125</v>
      </c>
      <c r="Y86" s="79">
        <v>7.6044714733953855E-2</v>
      </c>
      <c r="Z86" s="79" t="s">
        <v>108</v>
      </c>
      <c r="AA86" s="79">
        <v>6.60741112729578E-2</v>
      </c>
      <c r="AB86" s="79" t="s">
        <v>108</v>
      </c>
      <c r="AC86" s="313">
        <v>1.2573530875323058</v>
      </c>
      <c r="AD86" s="107"/>
      <c r="AE86" s="19" t="str">
        <f t="shared" si="9"/>
        <v>DHP1BIOFCS-0</v>
      </c>
      <c r="AF86" s="19" t="s">
        <v>603</v>
      </c>
      <c r="AG86" s="131">
        <v>0.55469765859395759</v>
      </c>
      <c r="AH86" s="131" t="s">
        <v>108</v>
      </c>
      <c r="AI86" s="131">
        <v>0.60985677713896169</v>
      </c>
      <c r="AJ86" s="131" t="s">
        <v>108</v>
      </c>
      <c r="AK86" s="131">
        <v>0.65399593319150662</v>
      </c>
      <c r="AL86" s="19" t="s">
        <v>108</v>
      </c>
      <c r="AM86" s="107"/>
      <c r="AN86" s="19" t="str">
        <f t="shared" si="10"/>
        <v>DHP1BIOFCS-0</v>
      </c>
      <c r="AO86" s="19" t="s">
        <v>404</v>
      </c>
      <c r="AP86" s="141" t="s">
        <v>506</v>
      </c>
      <c r="AQ86" s="131">
        <v>0.57803348069694671</v>
      </c>
      <c r="AR86" s="131"/>
      <c r="AS86" s="131">
        <v>0.46062824123938584</v>
      </c>
      <c r="AT86" s="131">
        <v>0.38094344410366254</v>
      </c>
      <c r="AU86" s="19"/>
      <c r="AV86" s="141">
        <f t="shared" si="13"/>
        <v>6.6666666666666666E-2</v>
      </c>
      <c r="AW86" s="297">
        <v>0.6</v>
      </c>
      <c r="AX86" s="245">
        <f t="shared" si="22"/>
        <v>7.1297747531596151E-2</v>
      </c>
      <c r="AY86" s="245">
        <f t="shared" si="15"/>
        <v>1.6666666666666667</v>
      </c>
      <c r="AZ86" s="319">
        <f t="shared" si="16"/>
        <v>0.30873648339068188</v>
      </c>
      <c r="BA86" s="319">
        <f t="shared" si="17"/>
        <v>0.27254770984544469</v>
      </c>
      <c r="BB86" s="319">
        <f t="shared" si="18"/>
        <v>0.24296506660188155</v>
      </c>
      <c r="BD86" s="128" t="str">
        <f t="shared" si="11"/>
        <v>DHP1BIOFCS-0</v>
      </c>
      <c r="BE86" s="19"/>
      <c r="BF86" s="318"/>
      <c r="BG86" s="318"/>
      <c r="BH86" s="318"/>
      <c r="BJ86" s="320">
        <v>15</v>
      </c>
      <c r="BK86" s="24">
        <f t="shared" si="12"/>
        <v>0</v>
      </c>
    </row>
    <row r="87" spans="3:63">
      <c r="C87" s="19" t="s">
        <v>80</v>
      </c>
      <c r="D87" s="19" t="s">
        <v>405</v>
      </c>
      <c r="E87" s="19" t="s">
        <v>267</v>
      </c>
      <c r="F87" s="19" t="s">
        <v>251</v>
      </c>
      <c r="G87" s="177" t="s">
        <v>621</v>
      </c>
      <c r="H87" s="19">
        <v>2012</v>
      </c>
      <c r="I87" s="142">
        <v>3.1536000000000002E-2</v>
      </c>
      <c r="J87" s="131">
        <v>0.95</v>
      </c>
      <c r="K87" s="19">
        <v>30</v>
      </c>
      <c r="L87" s="294">
        <v>1.8173879573935237</v>
      </c>
      <c r="M87" s="294">
        <v>1.7806393066243102</v>
      </c>
      <c r="N87" s="294">
        <v>1.7275377257971798</v>
      </c>
      <c r="O87" s="294" t="s">
        <v>108</v>
      </c>
      <c r="P87" s="294">
        <v>1.6177305755399727</v>
      </c>
      <c r="Q87" s="294" t="s">
        <v>108</v>
      </c>
      <c r="R87" s="128"/>
      <c r="S87" s="19"/>
      <c r="T87" s="107"/>
      <c r="U87" s="19" t="str">
        <f t="shared" si="8"/>
        <v>DHP2BIOBFB-0</v>
      </c>
      <c r="V87" s="322" t="s">
        <v>621</v>
      </c>
      <c r="W87" s="79">
        <v>0.11223126411939452</v>
      </c>
      <c r="X87" s="79">
        <v>0.1099618821122495</v>
      </c>
      <c r="Y87" s="79">
        <v>0.10668263866908591</v>
      </c>
      <c r="Z87" s="79" t="s">
        <v>108</v>
      </c>
      <c r="AA87" s="79">
        <v>9.9901590499057766E-2</v>
      </c>
      <c r="AB87" s="79" t="s">
        <v>108</v>
      </c>
      <c r="AC87" s="313">
        <v>1.1521225717879253</v>
      </c>
      <c r="AD87" s="107"/>
      <c r="AE87" s="19" t="str">
        <f t="shared" si="9"/>
        <v>DHP2BIOBFB-0</v>
      </c>
      <c r="AF87" s="19" t="s">
        <v>603</v>
      </c>
      <c r="AG87" s="131">
        <v>0.27087292844202399</v>
      </c>
      <c r="AH87" s="131" t="s">
        <v>108</v>
      </c>
      <c r="AI87" s="131">
        <v>0.28776356449149848</v>
      </c>
      <c r="AJ87" s="131" t="s">
        <v>108</v>
      </c>
      <c r="AK87" s="131">
        <v>0.31150203355937028</v>
      </c>
      <c r="AL87" s="19" t="s">
        <v>108</v>
      </c>
      <c r="AM87" s="107"/>
      <c r="AN87" s="19" t="str">
        <f t="shared" si="10"/>
        <v>DHP2BIOBFB-0</v>
      </c>
      <c r="AO87" s="19" t="s">
        <v>419</v>
      </c>
      <c r="AP87" s="141" t="s">
        <v>247</v>
      </c>
      <c r="AQ87" s="131">
        <v>2.1833338276686254</v>
      </c>
      <c r="AR87" s="131"/>
      <c r="AS87" s="131">
        <v>2.0259523062929063</v>
      </c>
      <c r="AT87" s="131">
        <v>1.8336142782391822</v>
      </c>
      <c r="AU87" s="19"/>
      <c r="AV87" s="141">
        <f t="shared" si="13"/>
        <v>0</v>
      </c>
      <c r="AW87" s="297">
        <v>0.6</v>
      </c>
      <c r="AX87" s="245" t="str">
        <f t="shared" si="22"/>
        <v/>
      </c>
      <c r="AY87" s="245" t="str">
        <f t="shared" si="15"/>
        <v/>
      </c>
      <c r="AZ87" s="319">
        <f t="shared" si="16"/>
        <v>0.5914060276671339</v>
      </c>
      <c r="BA87" s="319">
        <f t="shared" si="17"/>
        <v>0.58299525714861888</v>
      </c>
      <c r="BB87" s="319">
        <f t="shared" si="18"/>
        <v>0.57117457643500225</v>
      </c>
      <c r="BD87" s="128" t="str">
        <f t="shared" si="11"/>
        <v>*</v>
      </c>
      <c r="BE87" s="19"/>
      <c r="BF87" s="245" t="str">
        <f t="shared" si="19"/>
        <v/>
      </c>
      <c r="BG87" s="245" t="str">
        <f t="shared" si="20"/>
        <v/>
      </c>
      <c r="BH87" s="245" t="str">
        <f t="shared" si="21"/>
        <v/>
      </c>
      <c r="BJ87" s="320">
        <v>1</v>
      </c>
      <c r="BK87" s="24">
        <f t="shared" si="12"/>
        <v>0</v>
      </c>
    </row>
    <row r="88" spans="3:63">
      <c r="C88" s="19" t="s">
        <v>81</v>
      </c>
      <c r="D88" s="19" t="s">
        <v>847</v>
      </c>
      <c r="E88" s="19" t="s">
        <v>315</v>
      </c>
      <c r="F88" s="19" t="s">
        <v>251</v>
      </c>
      <c r="G88" s="177" t="s">
        <v>792</v>
      </c>
      <c r="H88" s="19">
        <v>2025</v>
      </c>
      <c r="I88" s="142">
        <v>3.1536000000000002E-2</v>
      </c>
      <c r="J88" s="131">
        <v>0.95</v>
      </c>
      <c r="K88" s="19">
        <v>20</v>
      </c>
      <c r="L88" s="294">
        <v>6.2902237510181527</v>
      </c>
      <c r="M88" s="294">
        <v>2.8728168588772096</v>
      </c>
      <c r="N88" s="294">
        <v>2.1184476820976244</v>
      </c>
      <c r="O88" s="294">
        <v>1.3952655281552178</v>
      </c>
      <c r="P88" s="294">
        <v>0.91895868399762815</v>
      </c>
      <c r="Q88" s="294"/>
      <c r="R88" s="128"/>
      <c r="S88" s="19"/>
      <c r="T88" s="107"/>
      <c r="U88" s="19" t="s">
        <v>81</v>
      </c>
      <c r="V88" s="322" t="s">
        <v>792</v>
      </c>
      <c r="W88" s="79">
        <v>0.31451118755090762</v>
      </c>
      <c r="X88" s="79">
        <v>0.14364084294386051</v>
      </c>
      <c r="Y88" s="79">
        <v>0.10592238410488122</v>
      </c>
      <c r="Z88" s="79">
        <v>6.976327640776088E-2</v>
      </c>
      <c r="AA88" s="79">
        <v>4.5947934199881406E-2</v>
      </c>
      <c r="AB88" s="79"/>
      <c r="AC88" s="313"/>
      <c r="AD88" s="107"/>
      <c r="AE88" s="19" t="s">
        <v>81</v>
      </c>
      <c r="AF88" s="19" t="s">
        <v>603</v>
      </c>
      <c r="AG88" s="131">
        <v>0.56000000000000005</v>
      </c>
      <c r="AH88" s="131">
        <v>0.57999999999999996</v>
      </c>
      <c r="AI88" s="131">
        <v>0.6</v>
      </c>
      <c r="AJ88" s="131">
        <v>0.60497933849016694</v>
      </c>
      <c r="AK88" s="131">
        <v>0.61</v>
      </c>
      <c r="AL88" s="19"/>
      <c r="AM88" s="107"/>
      <c r="AN88" s="19" t="s">
        <v>81</v>
      </c>
      <c r="AO88" s="19" t="s">
        <v>419</v>
      </c>
      <c r="AP88" s="418" t="s">
        <v>506</v>
      </c>
      <c r="AQ88" s="131">
        <v>0.6</v>
      </c>
      <c r="AR88" s="131">
        <v>0.6</v>
      </c>
      <c r="AS88" s="131">
        <v>0.62</v>
      </c>
      <c r="AT88" s="131">
        <v>0.62</v>
      </c>
      <c r="AU88" s="19"/>
      <c r="AV88" s="141">
        <v>0.1</v>
      </c>
      <c r="AW88" s="297">
        <v>0.6</v>
      </c>
      <c r="AX88" s="245">
        <f t="shared" si="22"/>
        <v>0.13419913419913418</v>
      </c>
      <c r="AY88" s="245">
        <f t="shared" si="15"/>
        <v>1.6666666666666667</v>
      </c>
      <c r="AZ88" s="319">
        <f t="shared" si="16"/>
        <v>0.31698113207547168</v>
      </c>
      <c r="BA88" s="319">
        <f t="shared" si="17"/>
        <v>0.35028248587570621</v>
      </c>
      <c r="BB88" s="319">
        <f t="shared" si="18"/>
        <v>0.35612052730696797</v>
      </c>
      <c r="BD88" s="128" t="str">
        <f t="shared" si="11"/>
        <v>DHP2GASFCM-0</v>
      </c>
      <c r="BE88" s="19" t="s">
        <v>774</v>
      </c>
      <c r="BF88" s="245">
        <f t="shared" si="19"/>
        <v>1.7666666666666666</v>
      </c>
      <c r="BG88" s="245">
        <f t="shared" si="20"/>
        <v>1.7129032258064516</v>
      </c>
      <c r="BH88" s="245">
        <f t="shared" si="21"/>
        <v>1.7129032258064516</v>
      </c>
      <c r="BJ88" s="320">
        <v>1</v>
      </c>
      <c r="BK88" s="24">
        <f t="shared" si="12"/>
        <v>0</v>
      </c>
    </row>
    <row r="89" spans="3:63">
      <c r="C89" s="19" t="s">
        <v>82</v>
      </c>
      <c r="D89" s="19" t="s">
        <v>421</v>
      </c>
      <c r="E89" s="19" t="s">
        <v>315</v>
      </c>
      <c r="F89" s="19" t="s">
        <v>251</v>
      </c>
      <c r="G89" s="177" t="s">
        <v>621</v>
      </c>
      <c r="H89" s="19">
        <v>2012</v>
      </c>
      <c r="I89" s="142">
        <v>3.1536000000000002E-2</v>
      </c>
      <c r="J89" s="131">
        <v>0.95</v>
      </c>
      <c r="K89" s="19">
        <v>30</v>
      </c>
      <c r="L89" s="294">
        <v>1.1159905961818557</v>
      </c>
      <c r="M89" s="294">
        <v>1.1026778674679785</v>
      </c>
      <c r="N89" s="294">
        <v>1.0832972115251702</v>
      </c>
      <c r="O89" s="294" t="s">
        <v>108</v>
      </c>
      <c r="P89" s="294">
        <v>1.0426426662082959</v>
      </c>
      <c r="Q89" s="294" t="s">
        <v>108</v>
      </c>
      <c r="R89" s="128"/>
      <c r="S89" s="19"/>
      <c r="T89" s="107"/>
      <c r="U89" s="19" t="str">
        <f t="shared" si="8"/>
        <v>DHP2GASCCT-0</v>
      </c>
      <c r="V89" s="322" t="s">
        <v>621</v>
      </c>
      <c r="W89" s="79">
        <v>2.4962048190489132E-2</v>
      </c>
      <c r="X89" s="79">
        <v>2.4664274197733579E-2</v>
      </c>
      <c r="Y89" s="79">
        <v>2.4230775143832206E-2</v>
      </c>
      <c r="Z89" s="79" t="s">
        <v>108</v>
      </c>
      <c r="AA89" s="79">
        <v>2.3321429919209123E-2</v>
      </c>
      <c r="AB89" s="79" t="s">
        <v>108</v>
      </c>
      <c r="AC89" s="313">
        <v>0.45938381099257886</v>
      </c>
      <c r="AD89" s="107"/>
      <c r="AE89" s="19" t="str">
        <f t="shared" si="9"/>
        <v>DHP2GASCCT-0</v>
      </c>
      <c r="AF89" s="19" t="s">
        <v>603</v>
      </c>
      <c r="AG89" s="131">
        <v>0.43620428049940713</v>
      </c>
      <c r="AH89" s="131" t="s">
        <v>108</v>
      </c>
      <c r="AI89" s="131">
        <v>0.45432732724206054</v>
      </c>
      <c r="AJ89" s="131" t="s">
        <v>108</v>
      </c>
      <c r="AK89" s="131">
        <v>0.47907858480950161</v>
      </c>
      <c r="AL89" s="19" t="s">
        <v>108</v>
      </c>
      <c r="AM89" s="107"/>
      <c r="AN89" s="19" t="str">
        <f t="shared" si="10"/>
        <v>DHP2GASCCT-0</v>
      </c>
      <c r="AO89" s="19" t="s">
        <v>419</v>
      </c>
      <c r="AP89" s="141" t="s">
        <v>247</v>
      </c>
      <c r="AQ89" s="131">
        <v>1.0162359820000524</v>
      </c>
      <c r="AR89" s="131"/>
      <c r="AS89" s="131">
        <v>0.95716955371319945</v>
      </c>
      <c r="AT89" s="131">
        <v>0.88371986929813806</v>
      </c>
      <c r="AU89" s="19"/>
      <c r="AV89" s="141">
        <f t="shared" si="13"/>
        <v>0</v>
      </c>
      <c r="AW89" s="297">
        <v>0.6</v>
      </c>
      <c r="AX89" s="245" t="str">
        <f t="shared" si="22"/>
        <v/>
      </c>
      <c r="AY89" s="245" t="str">
        <f t="shared" si="15"/>
        <v/>
      </c>
      <c r="AZ89" s="319">
        <f t="shared" si="16"/>
        <v>0.44328648534594128</v>
      </c>
      <c r="BA89" s="319">
        <f t="shared" si="17"/>
        <v>0.43486828505599379</v>
      </c>
      <c r="BB89" s="319">
        <f t="shared" si="18"/>
        <v>0.42337126435138972</v>
      </c>
      <c r="BD89" s="128" t="str">
        <f t="shared" si="11"/>
        <v>*</v>
      </c>
      <c r="BE89" s="19"/>
      <c r="BF89" s="245" t="str">
        <f t="shared" si="19"/>
        <v/>
      </c>
      <c r="BG89" s="245" t="str">
        <f t="shared" si="20"/>
        <v/>
      </c>
      <c r="BH89" s="245" t="str">
        <f t="shared" si="21"/>
        <v/>
      </c>
      <c r="BJ89" s="320">
        <v>1</v>
      </c>
      <c r="BK89" s="24">
        <f t="shared" si="12"/>
        <v>0</v>
      </c>
    </row>
    <row r="90" spans="3:63">
      <c r="C90" s="19" t="s">
        <v>83</v>
      </c>
      <c r="D90" s="19" t="s">
        <v>422</v>
      </c>
      <c r="E90" s="19" t="s">
        <v>315</v>
      </c>
      <c r="F90" s="19" t="s">
        <v>251</v>
      </c>
      <c r="G90" s="177" t="s">
        <v>621</v>
      </c>
      <c r="H90" s="19">
        <v>2012</v>
      </c>
      <c r="I90" s="142">
        <v>3.1536000000000002E-2</v>
      </c>
      <c r="J90" s="131">
        <v>0.95</v>
      </c>
      <c r="K90" s="19">
        <v>30</v>
      </c>
      <c r="L90" s="294">
        <v>1.1221905053059731</v>
      </c>
      <c r="M90" s="294">
        <v>1.1066552231927849</v>
      </c>
      <c r="N90" s="294">
        <v>1.0839983544678042</v>
      </c>
      <c r="O90" s="294" t="s">
        <v>108</v>
      </c>
      <c r="P90" s="294">
        <v>1.0365060393311478</v>
      </c>
      <c r="Q90" s="294" t="s">
        <v>108</v>
      </c>
      <c r="R90" s="128"/>
      <c r="S90" s="19"/>
      <c r="T90" s="107"/>
      <c r="U90" s="19" t="str">
        <f t="shared" si="8"/>
        <v>DHP2GASWGT-0</v>
      </c>
      <c r="V90" s="322" t="s">
        <v>621</v>
      </c>
      <c r="W90" s="79">
        <v>4.1444308215779754E-2</v>
      </c>
      <c r="X90" s="79">
        <v>4.0870565150699645E-2</v>
      </c>
      <c r="Y90" s="79">
        <v>4.0033810387401635E-2</v>
      </c>
      <c r="Z90" s="79" t="s">
        <v>108</v>
      </c>
      <c r="AA90" s="79">
        <v>3.8279842467429021E-2</v>
      </c>
      <c r="AB90" s="79" t="s">
        <v>108</v>
      </c>
      <c r="AC90" s="313">
        <v>0.39248833713138864</v>
      </c>
      <c r="AD90" s="107"/>
      <c r="AE90" s="19" t="str">
        <f t="shared" si="9"/>
        <v>DHP2GASWGT-0</v>
      </c>
      <c r="AF90" s="19" t="s">
        <v>603</v>
      </c>
      <c r="AG90" s="131">
        <v>0.32682877415488415</v>
      </c>
      <c r="AH90" s="131" t="s">
        <v>108</v>
      </c>
      <c r="AI90" s="131">
        <v>0.34209553344529814</v>
      </c>
      <c r="AJ90" s="131" t="s">
        <v>108</v>
      </c>
      <c r="AK90" s="131">
        <v>0.36319212116888794</v>
      </c>
      <c r="AL90" s="19" t="s">
        <v>108</v>
      </c>
      <c r="AM90" s="107"/>
      <c r="AN90" s="19" t="str">
        <f t="shared" si="10"/>
        <v>DHP2GASWGT-0</v>
      </c>
      <c r="AO90" s="19" t="s">
        <v>419</v>
      </c>
      <c r="AP90" s="141" t="s">
        <v>247</v>
      </c>
      <c r="AQ90" s="131">
        <v>1.6444462016465184</v>
      </c>
      <c r="AR90" s="131"/>
      <c r="AS90" s="131">
        <v>1.5544462526724634</v>
      </c>
      <c r="AT90" s="131">
        <v>1.4425304310925191</v>
      </c>
      <c r="AU90" s="19"/>
      <c r="AV90" s="141">
        <f t="shared" si="13"/>
        <v>0</v>
      </c>
      <c r="AW90" s="297">
        <v>0.6</v>
      </c>
      <c r="AX90" s="245" t="str">
        <f t="shared" si="22"/>
        <v/>
      </c>
      <c r="AY90" s="245" t="str">
        <f t="shared" si="15"/>
        <v/>
      </c>
      <c r="AZ90" s="319">
        <f t="shared" si="16"/>
        <v>0.5374523362477871</v>
      </c>
      <c r="BA90" s="319">
        <f t="shared" si="17"/>
        <v>0.53176912002003107</v>
      </c>
      <c r="BB90" s="319">
        <f t="shared" si="18"/>
        <v>0.52391568711916237</v>
      </c>
      <c r="BD90" s="128" t="str">
        <f t="shared" si="11"/>
        <v>*</v>
      </c>
      <c r="BE90" s="19"/>
      <c r="BF90" s="245" t="str">
        <f t="shared" si="19"/>
        <v/>
      </c>
      <c r="BG90" s="245" t="str">
        <f t="shared" si="20"/>
        <v/>
      </c>
      <c r="BH90" s="245" t="str">
        <f t="shared" si="21"/>
        <v/>
      </c>
      <c r="BJ90" s="320">
        <v>1</v>
      </c>
      <c r="BK90" s="24">
        <f t="shared" si="12"/>
        <v>0</v>
      </c>
    </row>
    <row r="91" spans="3:63">
      <c r="C91" s="19" t="s">
        <v>84</v>
      </c>
      <c r="D91" s="19" t="s">
        <v>423</v>
      </c>
      <c r="E91" s="19" t="s">
        <v>274</v>
      </c>
      <c r="F91" s="19" t="s">
        <v>251</v>
      </c>
      <c r="G91" s="177" t="s">
        <v>621</v>
      </c>
      <c r="H91" s="19">
        <v>2012</v>
      </c>
      <c r="I91" s="142">
        <v>3.1536000000000002E-2</v>
      </c>
      <c r="J91" s="131">
        <v>0.95</v>
      </c>
      <c r="K91" s="19">
        <v>30</v>
      </c>
      <c r="L91" s="294">
        <v>1.0224525464815413</v>
      </c>
      <c r="M91" s="294">
        <v>1.011463931534617</v>
      </c>
      <c r="N91" s="294">
        <v>0.99540087229589136</v>
      </c>
      <c r="O91" s="294" t="s">
        <v>108</v>
      </c>
      <c r="P91" s="294">
        <v>0.96146824828670585</v>
      </c>
      <c r="Q91" s="294" t="s">
        <v>108</v>
      </c>
      <c r="R91" s="128"/>
      <c r="S91" s="19"/>
      <c r="T91" s="107"/>
      <c r="U91" s="19" t="str">
        <f t="shared" si="8"/>
        <v>DHP2BGSICE-0</v>
      </c>
      <c r="V91" s="322" t="s">
        <v>621</v>
      </c>
      <c r="W91" s="79">
        <v>3.9165263436380389E-2</v>
      </c>
      <c r="X91" s="79">
        <v>3.8744342191009903E-2</v>
      </c>
      <c r="Y91" s="79">
        <v>3.8129043271912119E-2</v>
      </c>
      <c r="Z91" s="79" t="s">
        <v>108</v>
      </c>
      <c r="AA91" s="79">
        <v>3.6829246853016508E-2</v>
      </c>
      <c r="AB91" s="79" t="s">
        <v>108</v>
      </c>
      <c r="AC91" s="313">
        <v>0.49923654860519245</v>
      </c>
      <c r="AD91" s="107"/>
      <c r="AE91" s="19" t="str">
        <f t="shared" si="9"/>
        <v>DHP2BGSICE-0</v>
      </c>
      <c r="AF91" s="19" t="s">
        <v>603</v>
      </c>
      <c r="AG91" s="131">
        <v>0.4089756998438035</v>
      </c>
      <c r="AH91" s="131" t="s">
        <v>108</v>
      </c>
      <c r="AI91" s="131">
        <v>0.4236038429232763</v>
      </c>
      <c r="AJ91" s="131" t="s">
        <v>108</v>
      </c>
      <c r="AK91" s="131">
        <v>0.4435018906273015</v>
      </c>
      <c r="AL91" s="19" t="s">
        <v>108</v>
      </c>
      <c r="AM91" s="107"/>
      <c r="AN91" s="19" t="str">
        <f t="shared" si="10"/>
        <v>DHP2BGSICE-0</v>
      </c>
      <c r="AO91" s="19" t="s">
        <v>419</v>
      </c>
      <c r="AP91" s="141" t="s">
        <v>247</v>
      </c>
      <c r="AQ91" s="131">
        <v>1.1078959733966043</v>
      </c>
      <c r="AR91" s="131"/>
      <c r="AS91" s="131">
        <v>1.052126035431471</v>
      </c>
      <c r="AT91" s="131">
        <v>0.98217027879329755</v>
      </c>
      <c r="AU91" s="19"/>
      <c r="AV91" s="141">
        <f t="shared" si="13"/>
        <v>0</v>
      </c>
      <c r="AW91" s="297">
        <v>0.6</v>
      </c>
      <c r="AX91" s="245" t="str">
        <f t="shared" si="22"/>
        <v/>
      </c>
      <c r="AY91" s="245" t="str">
        <f t="shared" si="15"/>
        <v/>
      </c>
      <c r="AZ91" s="319">
        <f t="shared" si="16"/>
        <v>0.45310253107400816</v>
      </c>
      <c r="BA91" s="319">
        <f t="shared" si="17"/>
        <v>0.44568463184840229</v>
      </c>
      <c r="BB91" s="319">
        <f t="shared" si="18"/>
        <v>0.43559437556277125</v>
      </c>
      <c r="BD91" s="128" t="str">
        <f t="shared" si="11"/>
        <v>*</v>
      </c>
      <c r="BE91" s="19"/>
      <c r="BF91" s="245" t="str">
        <f t="shared" si="19"/>
        <v/>
      </c>
      <c r="BG91" s="245" t="str">
        <f t="shared" si="20"/>
        <v/>
      </c>
      <c r="BH91" s="245" t="str">
        <f t="shared" si="21"/>
        <v/>
      </c>
      <c r="BJ91" s="320">
        <v>1</v>
      </c>
      <c r="BK91" s="24">
        <f t="shared" si="12"/>
        <v>0</v>
      </c>
    </row>
    <row r="92" spans="3:63">
      <c r="C92" s="19" t="s">
        <v>85</v>
      </c>
      <c r="D92" s="19" t="s">
        <v>424</v>
      </c>
      <c r="E92" s="19" t="s">
        <v>584</v>
      </c>
      <c r="F92" s="19" t="s">
        <v>251</v>
      </c>
      <c r="G92" s="177" t="s">
        <v>621</v>
      </c>
      <c r="H92" s="19">
        <v>2012</v>
      </c>
      <c r="I92" s="142">
        <v>3.1536000000000002E-2</v>
      </c>
      <c r="J92" s="131">
        <v>0.95</v>
      </c>
      <c r="K92" s="19">
        <v>25</v>
      </c>
      <c r="L92" s="294">
        <v>3.1005523982714096</v>
      </c>
      <c r="M92" s="294">
        <v>2.5139614040038456</v>
      </c>
      <c r="N92" s="294">
        <v>2.4134029478436916</v>
      </c>
      <c r="O92" s="294" t="s">
        <v>108</v>
      </c>
      <c r="P92" s="294">
        <v>2.2590851509645056</v>
      </c>
      <c r="Q92" s="294" t="s">
        <v>108</v>
      </c>
      <c r="R92" s="128" t="s">
        <v>108</v>
      </c>
      <c r="S92" s="19" t="s">
        <v>108</v>
      </c>
      <c r="T92" s="107"/>
      <c r="U92" s="19" t="s">
        <v>85</v>
      </c>
      <c r="V92" s="322" t="s">
        <v>621</v>
      </c>
      <c r="W92" s="79">
        <v>6.9000000000000006E-2</v>
      </c>
      <c r="X92" s="79">
        <v>5.7000000000000002E-2</v>
      </c>
      <c r="Y92" s="79">
        <v>5.7000000000000002E-2</v>
      </c>
      <c r="Z92" s="79" t="s">
        <v>108</v>
      </c>
      <c r="AA92" s="79">
        <v>5.3355306340380222E-2</v>
      </c>
      <c r="AB92" s="79" t="s">
        <v>108</v>
      </c>
      <c r="AC92" s="313">
        <v>3.3055555555555554</v>
      </c>
      <c r="AD92" s="107"/>
      <c r="AE92" s="19" t="s">
        <v>85</v>
      </c>
      <c r="AF92" s="19" t="s">
        <v>603</v>
      </c>
      <c r="AG92" s="131">
        <v>0.35</v>
      </c>
      <c r="AH92" s="131">
        <v>0.37</v>
      </c>
      <c r="AI92" s="131">
        <v>0.37</v>
      </c>
      <c r="AJ92" s="131" t="s">
        <v>108</v>
      </c>
      <c r="AK92" s="131">
        <v>0.38120244047252716</v>
      </c>
      <c r="AL92" s="19" t="s">
        <v>108</v>
      </c>
      <c r="AM92" s="107"/>
      <c r="AN92" s="19" t="s">
        <v>85</v>
      </c>
      <c r="AO92" s="19" t="s">
        <v>419</v>
      </c>
      <c r="AP92" s="141" t="s">
        <v>247</v>
      </c>
      <c r="AQ92" s="131">
        <v>1.9428571428571431</v>
      </c>
      <c r="AR92" s="131">
        <v>1.8378378378378379</v>
      </c>
      <c r="AS92" s="131">
        <v>1.8378378378378379</v>
      </c>
      <c r="AT92" s="131">
        <v>1.7544419671040181</v>
      </c>
      <c r="AU92" s="19" t="s">
        <v>108</v>
      </c>
      <c r="AV92" s="141">
        <v>0</v>
      </c>
      <c r="AW92" s="297">
        <v>0.6</v>
      </c>
      <c r="AX92" s="245" t="str">
        <f t="shared" si="22"/>
        <v/>
      </c>
      <c r="AY92" s="245" t="str">
        <f t="shared" si="15"/>
        <v/>
      </c>
      <c r="AZ92" s="319">
        <f t="shared" si="16"/>
        <v>0.68</v>
      </c>
      <c r="BA92" s="319">
        <f t="shared" si="17"/>
        <v>0.68</v>
      </c>
      <c r="BB92" s="319">
        <f t="shared" si="18"/>
        <v>0.66879755952747288</v>
      </c>
      <c r="BD92" s="128" t="str">
        <f t="shared" si="11"/>
        <v>*</v>
      </c>
      <c r="BE92" s="19"/>
      <c r="BF92" s="245" t="str">
        <f t="shared" si="19"/>
        <v/>
      </c>
      <c r="BG92" s="245" t="str">
        <f t="shared" si="20"/>
        <v/>
      </c>
      <c r="BH92" s="245" t="str">
        <f t="shared" si="21"/>
        <v/>
      </c>
      <c r="BJ92" s="320">
        <v>1</v>
      </c>
      <c r="BK92" s="24">
        <f t="shared" si="12"/>
        <v>0</v>
      </c>
    </row>
    <row r="93" spans="3:63">
      <c r="C93" s="19" t="s">
        <v>86</v>
      </c>
      <c r="D93" s="19" t="s">
        <v>425</v>
      </c>
      <c r="E93" s="19" t="s">
        <v>315</v>
      </c>
      <c r="F93" s="19" t="s">
        <v>251</v>
      </c>
      <c r="G93" s="177" t="s">
        <v>621</v>
      </c>
      <c r="H93" s="19">
        <v>2012</v>
      </c>
      <c r="I93" s="142">
        <v>3.1536000000000002E-2</v>
      </c>
      <c r="J93" s="131">
        <v>0.95</v>
      </c>
      <c r="K93" s="19">
        <v>30</v>
      </c>
      <c r="L93" s="294">
        <v>0.92304743779583587</v>
      </c>
      <c r="M93" s="294">
        <v>0.89870936314351357</v>
      </c>
      <c r="N93" s="294">
        <v>0.87497774045015286</v>
      </c>
      <c r="O93" s="294" t="s">
        <v>108</v>
      </c>
      <c r="P93" s="294">
        <v>0.84515026941868665</v>
      </c>
      <c r="Q93" s="294" t="s">
        <v>108</v>
      </c>
      <c r="R93" s="128"/>
      <c r="S93" s="19"/>
      <c r="T93" s="107"/>
      <c r="U93" s="19" t="str">
        <f t="shared" si="8"/>
        <v>DHP2GASICE-0</v>
      </c>
      <c r="V93" s="322" t="s">
        <v>621</v>
      </c>
      <c r="W93" s="79">
        <v>3.4007010866162382E-2</v>
      </c>
      <c r="X93" s="79">
        <v>3.1719153993300483E-2</v>
      </c>
      <c r="Y93" s="79">
        <v>3.1215422091735192E-2</v>
      </c>
      <c r="Z93" s="79" t="s">
        <v>108</v>
      </c>
      <c r="AA93" s="79">
        <v>3.0151306908990993E-2</v>
      </c>
      <c r="AB93" s="79" t="s">
        <v>108</v>
      </c>
      <c r="AC93" s="313">
        <v>0.7357170189971256</v>
      </c>
      <c r="AD93" s="107"/>
      <c r="AE93" s="19" t="str">
        <f t="shared" si="9"/>
        <v>DHP2GASICE-0</v>
      </c>
      <c r="AF93" s="19" t="s">
        <v>603</v>
      </c>
      <c r="AG93" s="131">
        <v>0.41615071212176497</v>
      </c>
      <c r="AH93" s="131" t="s">
        <v>108</v>
      </c>
      <c r="AI93" s="131">
        <v>0.43103548929035129</v>
      </c>
      <c r="AJ93" s="131" t="s">
        <v>108</v>
      </c>
      <c r="AK93" s="131">
        <v>0.45128262555058746</v>
      </c>
      <c r="AL93" s="19" t="s">
        <v>108</v>
      </c>
      <c r="AM93" s="107"/>
      <c r="AN93" s="19" t="str">
        <f t="shared" si="10"/>
        <v>DHP2GASICE-0</v>
      </c>
      <c r="AO93" s="19" t="s">
        <v>419</v>
      </c>
      <c r="AP93" s="141" t="s">
        <v>247</v>
      </c>
      <c r="AQ93" s="131">
        <v>1.1078959733966043</v>
      </c>
      <c r="AR93" s="131"/>
      <c r="AS93" s="131">
        <v>1.052126035431471</v>
      </c>
      <c r="AT93" s="131">
        <v>0.98217027879329755</v>
      </c>
      <c r="AU93" s="19"/>
      <c r="AV93" s="141">
        <f t="shared" si="13"/>
        <v>0</v>
      </c>
      <c r="AW93" s="297">
        <v>0.6</v>
      </c>
      <c r="AX93" s="245" t="str">
        <f t="shared" si="22"/>
        <v/>
      </c>
      <c r="AY93" s="245" t="str">
        <f t="shared" si="15"/>
        <v/>
      </c>
      <c r="AZ93" s="319">
        <f t="shared" si="16"/>
        <v>0.46105169828583287</v>
      </c>
      <c r="BA93" s="319">
        <f t="shared" si="17"/>
        <v>0.4535036604773216</v>
      </c>
      <c r="BB93" s="319">
        <f t="shared" si="18"/>
        <v>0.44323638215159178</v>
      </c>
      <c r="BD93" s="128" t="str">
        <f t="shared" si="11"/>
        <v>*</v>
      </c>
      <c r="BE93" s="19"/>
      <c r="BF93" s="245" t="str">
        <f t="shared" si="19"/>
        <v/>
      </c>
      <c r="BG93" s="245" t="str">
        <f t="shared" si="20"/>
        <v/>
      </c>
      <c r="BH93" s="245" t="str">
        <f t="shared" si="21"/>
        <v/>
      </c>
      <c r="BJ93" s="320">
        <v>1</v>
      </c>
      <c r="BK93" s="24">
        <f t="shared" si="12"/>
        <v>0</v>
      </c>
    </row>
    <row r="94" spans="3:63">
      <c r="C94" s="19" t="s">
        <v>87</v>
      </c>
      <c r="D94" s="19" t="s">
        <v>431</v>
      </c>
      <c r="E94" s="19" t="s">
        <v>267</v>
      </c>
      <c r="F94" s="19" t="s">
        <v>251</v>
      </c>
      <c r="G94" s="177" t="s">
        <v>621</v>
      </c>
      <c r="H94" s="19">
        <v>2012</v>
      </c>
      <c r="I94" s="142">
        <v>3.1536000000000002E-2</v>
      </c>
      <c r="J94" s="131">
        <v>0.95</v>
      </c>
      <c r="K94" s="19">
        <v>30</v>
      </c>
      <c r="L94" s="294">
        <v>2.0749563197342971</v>
      </c>
      <c r="M94" s="294">
        <v>1.9289413216911386</v>
      </c>
      <c r="N94" s="294">
        <v>1.7804913846975543</v>
      </c>
      <c r="O94" s="294" t="s">
        <v>108</v>
      </c>
      <c r="P94" s="294">
        <v>1.7162629855874032</v>
      </c>
      <c r="Q94" s="294" t="s">
        <v>108</v>
      </c>
      <c r="R94" s="128"/>
      <c r="S94" s="19"/>
      <c r="T94" s="107"/>
      <c r="U94" s="19" t="str">
        <f t="shared" si="8"/>
        <v>DHP2BIOIGC-0</v>
      </c>
      <c r="V94" s="322" t="s">
        <v>621</v>
      </c>
      <c r="W94" s="79">
        <v>6.1807209524000338E-2</v>
      </c>
      <c r="X94" s="79">
        <v>5.978845273115066E-2</v>
      </c>
      <c r="Y94" s="79">
        <v>5.7919599261245722E-2</v>
      </c>
      <c r="Z94" s="79" t="s">
        <v>108</v>
      </c>
      <c r="AA94" s="79">
        <v>5.5003127007981829E-2</v>
      </c>
      <c r="AB94" s="79" t="s">
        <v>108</v>
      </c>
      <c r="AC94" s="313">
        <v>1.6207953702735434</v>
      </c>
      <c r="AD94" s="107"/>
      <c r="AE94" s="19" t="str">
        <f t="shared" si="9"/>
        <v>DHP2BIOIGC-0</v>
      </c>
      <c r="AF94" s="19" t="s">
        <v>603</v>
      </c>
      <c r="AG94" s="131">
        <v>0.43759412019704869</v>
      </c>
      <c r="AH94" s="131" t="s">
        <v>108</v>
      </c>
      <c r="AI94" s="131">
        <v>0.45556903193650294</v>
      </c>
      <c r="AJ94" s="131" t="s">
        <v>108</v>
      </c>
      <c r="AK94" s="131">
        <v>0.48009175896321415</v>
      </c>
      <c r="AL94" s="19" t="s">
        <v>108</v>
      </c>
      <c r="AM94" s="107"/>
      <c r="AN94" s="19" t="str">
        <f t="shared" si="10"/>
        <v>DHP2BIOIGC-0</v>
      </c>
      <c r="AO94" s="19" t="s">
        <v>419</v>
      </c>
      <c r="AP94" s="141" t="s">
        <v>247</v>
      </c>
      <c r="AQ94" s="131">
        <v>0.9418772516098044</v>
      </c>
      <c r="AR94" s="131"/>
      <c r="AS94" s="131">
        <v>0.88713275710003847</v>
      </c>
      <c r="AT94" s="131">
        <v>0.81905743983729873</v>
      </c>
      <c r="AU94" s="19"/>
      <c r="AV94" s="141">
        <f t="shared" si="13"/>
        <v>0</v>
      </c>
      <c r="AW94" s="297">
        <v>0.6</v>
      </c>
      <c r="AX94" s="245" t="str">
        <f t="shared" si="22"/>
        <v/>
      </c>
      <c r="AY94" s="245" t="str">
        <f t="shared" si="15"/>
        <v/>
      </c>
      <c r="AZ94" s="319">
        <f t="shared" si="16"/>
        <v>0.4121599472518066</v>
      </c>
      <c r="BA94" s="319">
        <f t="shared" si="17"/>
        <v>0.40415021135122531</v>
      </c>
      <c r="BB94" s="319">
        <f t="shared" si="18"/>
        <v>0.39322272698339572</v>
      </c>
      <c r="BD94" s="128" t="str">
        <f t="shared" si="11"/>
        <v>*</v>
      </c>
      <c r="BE94" s="19"/>
      <c r="BF94" s="245" t="str">
        <f t="shared" si="19"/>
        <v/>
      </c>
      <c r="BG94" s="245" t="str">
        <f t="shared" si="20"/>
        <v/>
      </c>
      <c r="BH94" s="245" t="str">
        <f t="shared" si="21"/>
        <v/>
      </c>
      <c r="BJ94" s="320">
        <v>1</v>
      </c>
      <c r="BK94" s="24">
        <f t="shared" si="12"/>
        <v>0</v>
      </c>
    </row>
    <row r="95" spans="3:63">
      <c r="C95" s="19" t="s">
        <v>64</v>
      </c>
      <c r="D95" s="19" t="s">
        <v>435</v>
      </c>
      <c r="E95" s="19" t="s">
        <v>307</v>
      </c>
      <c r="F95" s="19" t="s">
        <v>32</v>
      </c>
      <c r="G95" s="177" t="s">
        <v>621</v>
      </c>
      <c r="H95" s="19">
        <v>2012</v>
      </c>
      <c r="I95" s="142">
        <v>3.1536000000000002E-2</v>
      </c>
      <c r="J95" s="131">
        <v>0.95</v>
      </c>
      <c r="K95" s="19">
        <v>30</v>
      </c>
      <c r="L95" s="294">
        <v>1.6884583520152003</v>
      </c>
      <c r="M95" s="294">
        <v>1.6543167335103892</v>
      </c>
      <c r="N95" s="294">
        <v>1.604982298731054</v>
      </c>
      <c r="O95" s="294" t="s">
        <v>108</v>
      </c>
      <c r="P95" s="294">
        <v>1.5029651156587758</v>
      </c>
      <c r="Q95" s="294" t="s">
        <v>108</v>
      </c>
      <c r="R95" s="128"/>
      <c r="S95" s="19"/>
      <c r="T95" s="107"/>
      <c r="U95" s="19" t="str">
        <f t="shared" si="8"/>
        <v>DHP3OILSTB-0</v>
      </c>
      <c r="V95" s="322" t="s">
        <v>621</v>
      </c>
      <c r="W95" s="79">
        <v>6.7175224757594021E-2</v>
      </c>
      <c r="X95" s="79">
        <v>6.5816902300950969E-2</v>
      </c>
      <c r="Y95" s="79">
        <v>6.3854134465644127E-2</v>
      </c>
      <c r="Z95" s="79" t="s">
        <v>108</v>
      </c>
      <c r="AA95" s="79">
        <v>5.9795386321908332E-2</v>
      </c>
      <c r="AB95" s="79" t="s">
        <v>108</v>
      </c>
      <c r="AC95" s="313">
        <v>0.35522457686968673</v>
      </c>
      <c r="AD95" s="107"/>
      <c r="AE95" s="19" t="str">
        <f t="shared" si="9"/>
        <v>DHP3OILSTB-0</v>
      </c>
      <c r="AF95" s="19" t="s">
        <v>603</v>
      </c>
      <c r="AG95" s="131">
        <v>0.28189879156170089</v>
      </c>
      <c r="AH95" s="131" t="s">
        <v>108</v>
      </c>
      <c r="AI95" s="131">
        <v>0.2994769597398268</v>
      </c>
      <c r="AJ95" s="131" t="s">
        <v>108</v>
      </c>
      <c r="AK95" s="131">
        <v>0.324181701488097</v>
      </c>
      <c r="AL95" s="19" t="s">
        <v>108</v>
      </c>
      <c r="AM95" s="107"/>
      <c r="AN95" s="19" t="str">
        <f t="shared" si="10"/>
        <v>DHP3OILSTB-0</v>
      </c>
      <c r="AO95" s="19" t="s">
        <v>436</v>
      </c>
      <c r="AP95" s="141" t="s">
        <v>247</v>
      </c>
      <c r="AQ95" s="131">
        <v>2.1833338276686254</v>
      </c>
      <c r="AR95" s="131"/>
      <c r="AS95" s="131">
        <v>2.0259523062929063</v>
      </c>
      <c r="AT95" s="131">
        <v>1.8336142782391822</v>
      </c>
      <c r="AU95" s="19"/>
      <c r="AV95" s="141">
        <f t="shared" si="13"/>
        <v>0</v>
      </c>
      <c r="AW95" s="297">
        <v>0.6</v>
      </c>
      <c r="AX95" s="245" t="str">
        <f t="shared" si="22"/>
        <v/>
      </c>
      <c r="AY95" s="245" t="str">
        <f t="shared" si="15"/>
        <v/>
      </c>
      <c r="AZ95" s="319">
        <f t="shared" si="16"/>
        <v>0.61547916759556842</v>
      </c>
      <c r="BA95" s="319">
        <f t="shared" si="17"/>
        <v>0.60672603726648999</v>
      </c>
      <c r="BB95" s="319">
        <f t="shared" si="18"/>
        <v>0.59442419659244705</v>
      </c>
      <c r="BD95" s="128" t="str">
        <f t="shared" si="11"/>
        <v>*</v>
      </c>
      <c r="BE95" s="19"/>
      <c r="BF95" s="245" t="str">
        <f t="shared" si="19"/>
        <v/>
      </c>
      <c r="BG95" s="245" t="str">
        <f t="shared" si="20"/>
        <v/>
      </c>
      <c r="BH95" s="245" t="str">
        <f t="shared" si="21"/>
        <v/>
      </c>
      <c r="BJ95" s="320">
        <v>1</v>
      </c>
      <c r="BK95" s="24">
        <f t="shared" si="12"/>
        <v>0</v>
      </c>
    </row>
    <row r="96" spans="3:63">
      <c r="C96" s="19" t="s">
        <v>65</v>
      </c>
      <c r="D96" s="19" t="s">
        <v>437</v>
      </c>
      <c r="E96" s="19" t="s">
        <v>267</v>
      </c>
      <c r="F96" s="19" t="s">
        <v>32</v>
      </c>
      <c r="G96" s="177" t="s">
        <v>621</v>
      </c>
      <c r="H96" s="19">
        <v>2025</v>
      </c>
      <c r="I96" s="142">
        <v>3.1536000000000002E-2</v>
      </c>
      <c r="J96" s="131">
        <v>0.95</v>
      </c>
      <c r="K96" s="19">
        <v>35</v>
      </c>
      <c r="L96" s="294">
        <v>2.690233457777778</v>
      </c>
      <c r="M96" s="294">
        <v>3.1178599212701585</v>
      </c>
      <c r="N96" s="294">
        <v>3.0035087719298246</v>
      </c>
      <c r="O96" s="294">
        <v>2.8569713199598077</v>
      </c>
      <c r="P96" s="294">
        <v>2.7174603174603176</v>
      </c>
      <c r="Q96" s="294">
        <v>2.3427040943522481</v>
      </c>
      <c r="R96" s="128"/>
      <c r="S96" s="19"/>
      <c r="T96" s="107"/>
      <c r="U96" s="19" t="str">
        <f t="shared" si="8"/>
        <v>DHP3BIOCFB+0</v>
      </c>
      <c r="V96" s="322" t="s">
        <v>621</v>
      </c>
      <c r="W96" s="79">
        <v>7.3467876319200126E-2</v>
      </c>
      <c r="X96" s="79">
        <v>5.8489031187567452E-2</v>
      </c>
      <c r="Y96" s="79">
        <v>5.6343877746108072E-2</v>
      </c>
      <c r="Z96" s="79">
        <v>5.3594930129843968E-2</v>
      </c>
      <c r="AA96" s="79">
        <v>5.0977794151240631E-2</v>
      </c>
      <c r="AB96" s="79" t="s">
        <v>108</v>
      </c>
      <c r="AC96" s="313">
        <v>1.0693400167084377</v>
      </c>
      <c r="AD96" s="107"/>
      <c r="AE96" s="19" t="str">
        <f t="shared" si="9"/>
        <v>DHP3BIOCFB+0</v>
      </c>
      <c r="AF96" s="19" t="s">
        <v>603</v>
      </c>
      <c r="AG96" s="131">
        <v>0.263671875</v>
      </c>
      <c r="AH96" s="131">
        <v>0.34318411571360835</v>
      </c>
      <c r="AI96" s="131">
        <v>0.35625000000000001</v>
      </c>
      <c r="AJ96" s="131">
        <v>0.37452248558625811</v>
      </c>
      <c r="AK96" s="131">
        <v>0.39374999999999999</v>
      </c>
      <c r="AL96" s="19" t="s">
        <v>108</v>
      </c>
      <c r="AM96" s="107"/>
      <c r="AN96" s="19" t="str">
        <f t="shared" si="10"/>
        <v>DHP3BIOCFB+0</v>
      </c>
      <c r="AO96" s="19" t="s">
        <v>436</v>
      </c>
      <c r="AP96" s="141" t="s">
        <v>506</v>
      </c>
      <c r="AQ96" s="131">
        <v>3</v>
      </c>
      <c r="AR96" s="131">
        <v>2.8823067684915684</v>
      </c>
      <c r="AS96" s="131">
        <v>2.7692307692307692</v>
      </c>
      <c r="AT96" s="131">
        <v>2.4</v>
      </c>
      <c r="AU96" s="19"/>
      <c r="AV96" s="141">
        <f>IF(BJ96&gt;=1,MOD(1/BJ96,1)*IF(BK96&gt;0,-1),BJ96)</f>
        <v>-0.16666666666666666</v>
      </c>
      <c r="AW96" s="297">
        <v>0.6</v>
      </c>
      <c r="AX96" s="245">
        <f t="shared" si="22"/>
        <v>0.5357142857142857</v>
      </c>
      <c r="AY96" s="245">
        <f t="shared" si="15"/>
        <v>1.6666666666666667</v>
      </c>
      <c r="AZ96" s="319">
        <f t="shared" si="16"/>
        <v>0.73828125</v>
      </c>
      <c r="BA96" s="319">
        <f t="shared" si="17"/>
        <v>0.92076923076923078</v>
      </c>
      <c r="BB96" s="319">
        <f t="shared" si="18"/>
        <v>0.88200000000000001</v>
      </c>
      <c r="BD96" s="128" t="str">
        <f t="shared" si="11"/>
        <v>DHP3BIOCFB+0</v>
      </c>
      <c r="BE96" s="19" t="s">
        <v>775</v>
      </c>
      <c r="BF96" s="245">
        <f t="shared" si="19"/>
        <v>0.35714285714285715</v>
      </c>
      <c r="BG96" s="245">
        <f t="shared" si="20"/>
        <v>0.38690476190476186</v>
      </c>
      <c r="BH96" s="245">
        <f t="shared" si="21"/>
        <v>0.44642857142857145</v>
      </c>
      <c r="BJ96" s="320">
        <v>6</v>
      </c>
      <c r="BK96" s="24">
        <f t="shared" si="12"/>
        <v>0.4</v>
      </c>
    </row>
    <row r="97" spans="3:63">
      <c r="C97" s="19" t="s">
        <v>66</v>
      </c>
      <c r="D97" s="19" t="s">
        <v>405</v>
      </c>
      <c r="E97" s="19" t="s">
        <v>267</v>
      </c>
      <c r="F97" s="19" t="s">
        <v>32</v>
      </c>
      <c r="G97" s="177" t="s">
        <v>621</v>
      </c>
      <c r="H97" s="19">
        <v>2012</v>
      </c>
      <c r="I97" s="142">
        <v>3.1536000000000002E-2</v>
      </c>
      <c r="J97" s="131">
        <v>0.95</v>
      </c>
      <c r="K97" s="19">
        <v>30</v>
      </c>
      <c r="L97" s="294">
        <v>1.8173879573935237</v>
      </c>
      <c r="M97" s="294">
        <v>1.7806393066243102</v>
      </c>
      <c r="N97" s="294">
        <v>1.7275377257971798</v>
      </c>
      <c r="O97" s="294" t="s">
        <v>108</v>
      </c>
      <c r="P97" s="294">
        <v>1.6177305755399727</v>
      </c>
      <c r="Q97" s="294" t="s">
        <v>108</v>
      </c>
      <c r="R97" s="128"/>
      <c r="S97" s="19"/>
      <c r="T97" s="107"/>
      <c r="U97" s="19" t="str">
        <f t="shared" si="8"/>
        <v>DHP3BIOBFB-0</v>
      </c>
      <c r="V97" s="322" t="s">
        <v>621</v>
      </c>
      <c r="W97" s="79">
        <v>0.11223126411939452</v>
      </c>
      <c r="X97" s="79">
        <v>0.1099618821122495</v>
      </c>
      <c r="Y97" s="79">
        <v>0.10668263866908591</v>
      </c>
      <c r="Z97" s="79" t="s">
        <v>108</v>
      </c>
      <c r="AA97" s="79">
        <v>9.9901590499057766E-2</v>
      </c>
      <c r="AB97" s="79" t="s">
        <v>108</v>
      </c>
      <c r="AC97" s="313">
        <v>1.1521225717879253</v>
      </c>
      <c r="AD97" s="107"/>
      <c r="AE97" s="19" t="str">
        <f t="shared" si="9"/>
        <v>DHP3BIOBFB-0</v>
      </c>
      <c r="AF97" s="19" t="s">
        <v>603</v>
      </c>
      <c r="AG97" s="131">
        <v>0.27087292844202399</v>
      </c>
      <c r="AH97" s="131" t="s">
        <v>108</v>
      </c>
      <c r="AI97" s="131">
        <v>0.28776356449149848</v>
      </c>
      <c r="AJ97" s="131" t="s">
        <v>108</v>
      </c>
      <c r="AK97" s="131">
        <v>0.31150203355937028</v>
      </c>
      <c r="AL97" s="19" t="s">
        <v>108</v>
      </c>
      <c r="AM97" s="107"/>
      <c r="AN97" s="19" t="str">
        <f t="shared" si="10"/>
        <v>DHP3BIOBFB-0</v>
      </c>
      <c r="AO97" s="19" t="s">
        <v>436</v>
      </c>
      <c r="AP97" s="141" t="s">
        <v>247</v>
      </c>
      <c r="AQ97" s="131">
        <v>2.1833338276686254</v>
      </c>
      <c r="AR97" s="131"/>
      <c r="AS97" s="131">
        <v>2.0259523062929063</v>
      </c>
      <c r="AT97" s="131">
        <v>1.8336142782391822</v>
      </c>
      <c r="AU97" s="19"/>
      <c r="AV97" s="141">
        <f t="shared" si="13"/>
        <v>0</v>
      </c>
      <c r="AW97" s="297">
        <v>0.6</v>
      </c>
      <c r="AX97" s="245" t="str">
        <f t="shared" si="22"/>
        <v/>
      </c>
      <c r="AY97" s="245" t="str">
        <f t="shared" si="15"/>
        <v/>
      </c>
      <c r="AZ97" s="319">
        <f t="shared" si="16"/>
        <v>0.5914060276671339</v>
      </c>
      <c r="BA97" s="319">
        <f t="shared" si="17"/>
        <v>0.58299525714861888</v>
      </c>
      <c r="BB97" s="319">
        <f t="shared" si="18"/>
        <v>0.57117457643500225</v>
      </c>
      <c r="BD97" s="128" t="str">
        <f t="shared" si="11"/>
        <v>*</v>
      </c>
      <c r="BE97" s="19"/>
      <c r="BF97" s="245" t="str">
        <f t="shared" si="19"/>
        <v/>
      </c>
      <c r="BG97" s="245" t="str">
        <f t="shared" si="20"/>
        <v/>
      </c>
      <c r="BH97" s="245" t="str">
        <f t="shared" si="21"/>
        <v/>
      </c>
      <c r="BJ97" s="320">
        <v>1</v>
      </c>
      <c r="BK97" s="24">
        <f t="shared" si="12"/>
        <v>0</v>
      </c>
    </row>
    <row r="98" spans="3:63">
      <c r="C98" s="19" t="s">
        <v>67</v>
      </c>
      <c r="D98" s="19" t="s">
        <v>406</v>
      </c>
      <c r="E98" s="19" t="s">
        <v>267</v>
      </c>
      <c r="F98" s="19" t="s">
        <v>32</v>
      </c>
      <c r="G98" s="177" t="s">
        <v>621</v>
      </c>
      <c r="H98" s="19">
        <v>2012</v>
      </c>
      <c r="I98" s="142">
        <v>3.1536000000000002E-2</v>
      </c>
      <c r="J98" s="131">
        <v>0.95</v>
      </c>
      <c r="K98" s="19">
        <v>30</v>
      </c>
      <c r="L98" s="294">
        <v>1.2493587719017898</v>
      </c>
      <c r="M98" s="294">
        <v>1.2358313677077675</v>
      </c>
      <c r="N98" s="294">
        <v>1.2159193449953762</v>
      </c>
      <c r="O98" s="294" t="s">
        <v>108</v>
      </c>
      <c r="P98" s="294">
        <v>1.1733160211510605</v>
      </c>
      <c r="Q98" s="294">
        <v>1.1733160211510605</v>
      </c>
      <c r="R98" s="128"/>
      <c r="S98" s="19"/>
      <c r="T98" s="107"/>
      <c r="U98" s="19" t="str">
        <f t="shared" si="8"/>
        <v>DHP3BIOCFB-0</v>
      </c>
      <c r="V98" s="322" t="s">
        <v>621</v>
      </c>
      <c r="W98" s="79">
        <v>5.2173900539594642E-2</v>
      </c>
      <c r="X98" s="79">
        <v>5.1608988796986492E-2</v>
      </c>
      <c r="Y98" s="79">
        <v>5.0777451919107097E-2</v>
      </c>
      <c r="Z98" s="79" t="s">
        <v>108</v>
      </c>
      <c r="AA98" s="79">
        <v>4.8998313987793786E-2</v>
      </c>
      <c r="AB98" s="79" t="s">
        <v>108</v>
      </c>
      <c r="AC98" s="313">
        <v>0.83968870467779366</v>
      </c>
      <c r="AD98" s="107"/>
      <c r="AE98" s="19" t="str">
        <f t="shared" si="9"/>
        <v>DHP3BIOCFB-0</v>
      </c>
      <c r="AF98" s="19" t="s">
        <v>603</v>
      </c>
      <c r="AG98" s="131">
        <v>0.37672627167560746</v>
      </c>
      <c r="AH98" s="131" t="s">
        <v>108</v>
      </c>
      <c r="AI98" s="131">
        <v>0.3913664080968321</v>
      </c>
      <c r="AJ98" s="131" t="s">
        <v>108</v>
      </c>
      <c r="AK98" s="131">
        <v>0.41175280326442765</v>
      </c>
      <c r="AL98" s="19" t="s">
        <v>108</v>
      </c>
      <c r="AM98" s="107"/>
      <c r="AN98" s="19" t="str">
        <f t="shared" si="10"/>
        <v>DHP3BIOCFB-0</v>
      </c>
      <c r="AO98" s="19" t="s">
        <v>436</v>
      </c>
      <c r="AP98" s="141" t="s">
        <v>506</v>
      </c>
      <c r="AQ98" s="131">
        <v>1.8240596159893023</v>
      </c>
      <c r="AR98" s="131"/>
      <c r="AS98" s="131">
        <v>1.7191116449475392</v>
      </c>
      <c r="AT98" s="131">
        <v>1.5886078109323329</v>
      </c>
      <c r="AU98" s="19"/>
      <c r="AV98" s="141">
        <f t="shared" si="13"/>
        <v>0.125</v>
      </c>
      <c r="AW98" s="297">
        <v>0.6</v>
      </c>
      <c r="AX98" s="245">
        <f t="shared" si="22"/>
        <v>0.34947603734777055</v>
      </c>
      <c r="AY98" s="245">
        <f t="shared" si="15"/>
        <v>1.6666666666666667</v>
      </c>
      <c r="AZ98" s="319">
        <f t="shared" si="16"/>
        <v>0.55958225442954268</v>
      </c>
      <c r="BA98" s="319">
        <f t="shared" si="17"/>
        <v>0.55379756848481931</v>
      </c>
      <c r="BB98" s="319">
        <f t="shared" si="18"/>
        <v>0.54574239125173052</v>
      </c>
      <c r="BD98" s="128" t="str">
        <f t="shared" si="11"/>
        <v>DHP3BIOCFB-0</v>
      </c>
      <c r="BE98" s="19" t="s">
        <v>775</v>
      </c>
      <c r="BF98" s="245">
        <f t="shared" si="19"/>
        <v>0.67322769564888207</v>
      </c>
      <c r="BG98" s="245">
        <f t="shared" si="20"/>
        <v>0.70669578627368101</v>
      </c>
      <c r="BH98" s="245">
        <f t="shared" si="21"/>
        <v>0.75448198612539441</v>
      </c>
      <c r="BJ98" s="320">
        <v>8</v>
      </c>
      <c r="BK98" s="24">
        <f t="shared" si="12"/>
        <v>0</v>
      </c>
    </row>
    <row r="99" spans="3:63">
      <c r="C99" s="19" t="s">
        <v>68</v>
      </c>
      <c r="D99" s="19" t="s">
        <v>410</v>
      </c>
      <c r="E99" s="19" t="s">
        <v>585</v>
      </c>
      <c r="F99" s="19" t="s">
        <v>32</v>
      </c>
      <c r="G99" s="177" t="s">
        <v>621</v>
      </c>
      <c r="H99" s="19">
        <v>2012</v>
      </c>
      <c r="I99" s="142">
        <v>3.1536000000000002E-2</v>
      </c>
      <c r="J99" s="131">
        <v>0.95</v>
      </c>
      <c r="K99" s="19">
        <v>25</v>
      </c>
      <c r="L99" s="294">
        <v>2.1772774638547197</v>
      </c>
      <c r="M99" s="294">
        <v>1.7653601058281509</v>
      </c>
      <c r="N99" s="294">
        <v>1.6947457015950249</v>
      </c>
      <c r="O99" s="294" t="s">
        <v>108</v>
      </c>
      <c r="P99" s="294">
        <v>1.5863802820639499</v>
      </c>
      <c r="Q99" s="294" t="s">
        <v>108</v>
      </c>
      <c r="R99" s="128" t="s">
        <v>108</v>
      </c>
      <c r="S99" s="19" t="s">
        <v>108</v>
      </c>
      <c r="T99" s="107"/>
      <c r="U99" s="19" t="s">
        <v>68</v>
      </c>
      <c r="V99" s="322" t="s">
        <v>621</v>
      </c>
      <c r="W99" s="79">
        <v>5.0295109415044024E-2</v>
      </c>
      <c r="X99" s="79">
        <v>4.0779818444630286E-2</v>
      </c>
      <c r="Y99" s="79">
        <v>3.9148625706845075E-2</v>
      </c>
      <c r="Z99" s="79" t="s">
        <v>108</v>
      </c>
      <c r="AA99" s="79">
        <v>3.664538451567724E-2</v>
      </c>
      <c r="AB99" s="79" t="s">
        <v>108</v>
      </c>
      <c r="AC99" s="313">
        <v>2.5972222222222223</v>
      </c>
      <c r="AD99" s="107"/>
      <c r="AE99" s="19" t="s">
        <v>68</v>
      </c>
      <c r="AF99" s="19" t="s">
        <v>603</v>
      </c>
      <c r="AG99" s="131">
        <v>0.4</v>
      </c>
      <c r="AH99" s="131">
        <v>0.45</v>
      </c>
      <c r="AI99" s="131">
        <v>0.45</v>
      </c>
      <c r="AJ99" s="131" t="s">
        <v>108</v>
      </c>
      <c r="AK99" s="131">
        <v>0.46091000805642923</v>
      </c>
      <c r="AL99" s="19" t="s">
        <v>108</v>
      </c>
      <c r="AM99" s="107"/>
      <c r="AN99" s="19" t="s">
        <v>68</v>
      </c>
      <c r="AO99" s="19" t="s">
        <v>436</v>
      </c>
      <c r="AP99" s="141" t="s">
        <v>247</v>
      </c>
      <c r="AQ99" s="131">
        <v>1.575</v>
      </c>
      <c r="AR99" s="131">
        <v>1.3333333333333335</v>
      </c>
      <c r="AS99" s="131">
        <v>1.3333333333333335</v>
      </c>
      <c r="AT99" s="131">
        <v>1.2781019757580281</v>
      </c>
      <c r="AU99" s="19" t="s">
        <v>108</v>
      </c>
      <c r="AV99" s="141">
        <v>0</v>
      </c>
      <c r="AW99" s="297">
        <v>0.6</v>
      </c>
      <c r="AX99" s="245" t="str">
        <f t="shared" si="22"/>
        <v/>
      </c>
      <c r="AY99" s="245" t="str">
        <f t="shared" si="15"/>
        <v/>
      </c>
      <c r="AZ99" s="319">
        <f t="shared" si="16"/>
        <v>0.63</v>
      </c>
      <c r="BA99" s="319">
        <f t="shared" si="17"/>
        <v>0.60000000000000009</v>
      </c>
      <c r="BB99" s="319">
        <f t="shared" si="18"/>
        <v>0.58908999194357081</v>
      </c>
      <c r="BD99" s="128" t="str">
        <f t="shared" si="11"/>
        <v>*</v>
      </c>
      <c r="BE99" s="19"/>
      <c r="BF99" s="245" t="str">
        <f t="shared" si="19"/>
        <v/>
      </c>
      <c r="BG99" s="245" t="str">
        <f t="shared" si="20"/>
        <v/>
      </c>
      <c r="BH99" s="245" t="str">
        <f t="shared" si="21"/>
        <v/>
      </c>
      <c r="BJ99" s="320">
        <v>1</v>
      </c>
      <c r="BK99" s="24">
        <f t="shared" si="12"/>
        <v>0</v>
      </c>
    </row>
    <row r="100" spans="3:63">
      <c r="C100" s="19" t="s">
        <v>69</v>
      </c>
      <c r="D100" s="19" t="s">
        <v>438</v>
      </c>
      <c r="E100" s="19" t="s">
        <v>267</v>
      </c>
      <c r="F100" s="19" t="s">
        <v>32</v>
      </c>
      <c r="G100" s="177" t="s">
        <v>621</v>
      </c>
      <c r="H100" s="19">
        <v>2012</v>
      </c>
      <c r="I100" s="142">
        <v>3.1536000000000002E-2</v>
      </c>
      <c r="J100" s="131">
        <v>0.95</v>
      </c>
      <c r="K100" s="19">
        <v>30</v>
      </c>
      <c r="L100" s="294">
        <v>1.6388387690945716</v>
      </c>
      <c r="M100" s="294">
        <v>1.5586164325301839</v>
      </c>
      <c r="N100" s="294">
        <v>1.4888077462796476</v>
      </c>
      <c r="O100" s="294" t="s">
        <v>108</v>
      </c>
      <c r="P100" s="294">
        <v>1.4433672571801719</v>
      </c>
      <c r="Q100" s="294" t="s">
        <v>108</v>
      </c>
      <c r="R100" s="128"/>
      <c r="S100" s="19"/>
      <c r="T100" s="107"/>
      <c r="U100" s="19" t="str">
        <f t="shared" si="8"/>
        <v>DHP3BIOIGC-0</v>
      </c>
      <c r="V100" s="322" t="s">
        <v>621</v>
      </c>
      <c r="W100" s="79">
        <v>4.879916930306416E-2</v>
      </c>
      <c r="X100" s="79">
        <v>4.873193497058198E-2</v>
      </c>
      <c r="Y100" s="79">
        <v>4.7641847880948739E-2</v>
      </c>
      <c r="Z100" s="79" t="s">
        <v>108</v>
      </c>
      <c r="AA100" s="79">
        <v>4.5802854294517449E-2</v>
      </c>
      <c r="AB100" s="79" t="s">
        <v>108</v>
      </c>
      <c r="AC100" s="313">
        <v>1.2505890399211956</v>
      </c>
      <c r="AD100" s="107"/>
      <c r="AE100" s="19" t="str">
        <f t="shared" si="9"/>
        <v>DHP3BIOIGC-0</v>
      </c>
      <c r="AF100" s="19" t="s">
        <v>603</v>
      </c>
      <c r="AG100" s="131">
        <v>0.48071872067169275</v>
      </c>
      <c r="AH100" s="131" t="s">
        <v>108</v>
      </c>
      <c r="AI100" s="131">
        <v>0.49817079310117357</v>
      </c>
      <c r="AJ100" s="131" t="s">
        <v>108</v>
      </c>
      <c r="AK100" s="131">
        <v>0.52198022340280736</v>
      </c>
      <c r="AL100" s="19" t="s">
        <v>108</v>
      </c>
      <c r="AM100" s="107"/>
      <c r="AN100" s="19" t="str">
        <f t="shared" si="10"/>
        <v>DHP3BIOIGC-0</v>
      </c>
      <c r="AO100" s="19" t="s">
        <v>436</v>
      </c>
      <c r="AP100" s="141" t="s">
        <v>506</v>
      </c>
      <c r="AQ100" s="131">
        <v>0.9418772516098044</v>
      </c>
      <c r="AR100" s="131"/>
      <c r="AS100" s="131">
        <v>0.88713275710003847</v>
      </c>
      <c r="AT100" s="131">
        <v>0.81905743983729873</v>
      </c>
      <c r="AU100" s="19"/>
      <c r="AV100" s="141">
        <f t="shared" si="13"/>
        <v>9.0909090909090912E-2</v>
      </c>
      <c r="AW100" s="297">
        <v>0.6</v>
      </c>
      <c r="AX100" s="245">
        <f t="shared" si="22"/>
        <v>0.16779089874539591</v>
      </c>
      <c r="AY100" s="245">
        <f t="shared" si="15"/>
        <v>1.6666666666666667</v>
      </c>
      <c r="AZ100" s="319">
        <f t="shared" si="16"/>
        <v>0.41706661329051858</v>
      </c>
      <c r="BA100" s="319">
        <f t="shared" si="17"/>
        <v>0.40896152339112085</v>
      </c>
      <c r="BB100" s="319">
        <f t="shared" si="18"/>
        <v>0.39790394992367428</v>
      </c>
      <c r="BD100" s="128" t="str">
        <f t="shared" si="11"/>
        <v>DHP3BIOIGC-0</v>
      </c>
      <c r="BE100" s="19" t="s">
        <v>775</v>
      </c>
      <c r="BF100" s="245">
        <f t="shared" si="19"/>
        <v>1.1526185634447697</v>
      </c>
      <c r="BG100" s="245">
        <f t="shared" si="20"/>
        <v>1.21813609498108</v>
      </c>
      <c r="BH100" s="245">
        <f t="shared" si="21"/>
        <v>1.3118246840799981</v>
      </c>
      <c r="BJ100" s="320">
        <v>11</v>
      </c>
      <c r="BK100" s="24">
        <f t="shared" si="12"/>
        <v>0</v>
      </c>
    </row>
    <row r="101" spans="3:63">
      <c r="C101" s="19" t="s">
        <v>70</v>
      </c>
      <c r="D101" s="19" t="s">
        <v>439</v>
      </c>
      <c r="E101" s="19" t="s">
        <v>267</v>
      </c>
      <c r="F101" s="19" t="s">
        <v>32</v>
      </c>
      <c r="G101" s="177" t="s">
        <v>621</v>
      </c>
      <c r="H101" s="19">
        <v>2012</v>
      </c>
      <c r="I101" s="142">
        <v>3.1536000000000002E-2</v>
      </c>
      <c r="J101" s="131">
        <v>0.95</v>
      </c>
      <c r="K101" s="19">
        <v>30</v>
      </c>
      <c r="L101" s="294">
        <v>1.7933941395741275</v>
      </c>
      <c r="M101" s="294">
        <v>1.6806386224380743</v>
      </c>
      <c r="N101" s="294">
        <v>1.5571911416822586</v>
      </c>
      <c r="O101" s="294" t="s">
        <v>108</v>
      </c>
      <c r="P101" s="294">
        <v>1.5026945728004824</v>
      </c>
      <c r="Q101" s="294" t="s">
        <v>108</v>
      </c>
      <c r="R101" s="128"/>
      <c r="S101" s="19"/>
      <c r="T101" s="107"/>
      <c r="U101" s="19" t="str">
        <f t="shared" si="8"/>
        <v>DHP3BIOPFB-0</v>
      </c>
      <c r="V101" s="322" t="s">
        <v>621</v>
      </c>
      <c r="W101" s="79">
        <v>6.1191926022214342E-2</v>
      </c>
      <c r="X101" s="79">
        <v>6.0987163307309619E-2</v>
      </c>
      <c r="Y101" s="79">
        <v>5.9539661299615784E-2</v>
      </c>
      <c r="Z101" s="79" t="s">
        <v>108</v>
      </c>
      <c r="AA101" s="79">
        <v>5.7013999968018293E-2</v>
      </c>
      <c r="AB101" s="79" t="s">
        <v>108</v>
      </c>
      <c r="AC101" s="313">
        <v>1.908322477551788</v>
      </c>
      <c r="AD101" s="107"/>
      <c r="AE101" s="19" t="str">
        <f t="shared" si="9"/>
        <v>DHP3BIOPFB-0</v>
      </c>
      <c r="AF101" s="19" t="s">
        <v>603</v>
      </c>
      <c r="AG101" s="131">
        <v>0.41528496708784007</v>
      </c>
      <c r="AH101" s="131" t="s">
        <v>108</v>
      </c>
      <c r="AI101" s="131">
        <v>0.43183974084506743</v>
      </c>
      <c r="AJ101" s="131" t="s">
        <v>108</v>
      </c>
      <c r="AK101" s="131">
        <v>0.45469860385761146</v>
      </c>
      <c r="AL101" s="19" t="s">
        <v>108</v>
      </c>
      <c r="AM101" s="107"/>
      <c r="AN101" s="19" t="str">
        <f t="shared" si="10"/>
        <v>DHP3BIOPFB-0</v>
      </c>
      <c r="AO101" s="19" t="s">
        <v>436</v>
      </c>
      <c r="AP101" s="141" t="s">
        <v>506</v>
      </c>
      <c r="AQ101" s="131">
        <v>1.3186281522537251</v>
      </c>
      <c r="AR101" s="131"/>
      <c r="AS101" s="131">
        <v>1.2419858599400535</v>
      </c>
      <c r="AT101" s="131">
        <v>1.1466804157722175</v>
      </c>
      <c r="AU101" s="19"/>
      <c r="AV101" s="141">
        <f t="shared" si="13"/>
        <v>9.0909090909090912E-2</v>
      </c>
      <c r="AW101" s="297">
        <v>0.6</v>
      </c>
      <c r="AX101" s="245">
        <f t="shared" si="22"/>
        <v>0.22013274949137315</v>
      </c>
      <c r="AY101" s="245">
        <f t="shared" si="15"/>
        <v>1.6666666666666667</v>
      </c>
      <c r="AZ101" s="319">
        <f t="shared" si="16"/>
        <v>0.48898877881995467</v>
      </c>
      <c r="BA101" s="319">
        <f t="shared" si="17"/>
        <v>0.4819256808728376</v>
      </c>
      <c r="BB101" s="319">
        <f t="shared" si="18"/>
        <v>0.47217294182698721</v>
      </c>
      <c r="BD101" s="128" t="str">
        <f t="shared" si="11"/>
        <v>DHP3BIOPFB-0</v>
      </c>
      <c r="BE101" s="19" t="s">
        <v>775</v>
      </c>
      <c r="BF101" s="245">
        <f t="shared" si="19"/>
        <v>0.84927299986314764</v>
      </c>
      <c r="BG101" s="245">
        <f t="shared" si="20"/>
        <v>0.89607123667479771</v>
      </c>
      <c r="BH101" s="245">
        <f t="shared" si="21"/>
        <v>0.96299165745973925</v>
      </c>
      <c r="BJ101" s="320">
        <v>11</v>
      </c>
      <c r="BK101" s="24">
        <f t="shared" si="12"/>
        <v>0</v>
      </c>
    </row>
    <row r="102" spans="3:63">
      <c r="C102" s="19" t="s">
        <v>71</v>
      </c>
      <c r="D102" s="19" t="s">
        <v>416</v>
      </c>
      <c r="E102" s="19" t="s">
        <v>417</v>
      </c>
      <c r="F102" s="19" t="s">
        <v>32</v>
      </c>
      <c r="G102" s="177" t="s">
        <v>621</v>
      </c>
      <c r="H102" s="19">
        <v>2012</v>
      </c>
      <c r="I102" s="142">
        <v>3.1536000000000002E-2</v>
      </c>
      <c r="J102" s="131">
        <v>0.95</v>
      </c>
      <c r="K102" s="19">
        <v>30</v>
      </c>
      <c r="L102" s="294">
        <v>2.4975514378249355</v>
      </c>
      <c r="M102" s="294">
        <v>2.447097357166796</v>
      </c>
      <c r="N102" s="294">
        <v>2.3740744585704925</v>
      </c>
      <c r="O102" s="294" t="s">
        <v>108</v>
      </c>
      <c r="P102" s="294">
        <v>2.2231716175493221</v>
      </c>
      <c r="Q102" s="294" t="s">
        <v>108</v>
      </c>
      <c r="R102" s="128"/>
      <c r="S102" s="19"/>
      <c r="T102" s="107"/>
      <c r="U102" s="19" t="str">
        <f t="shared" si="8"/>
        <v>DHP3REFBFB-0</v>
      </c>
      <c r="V102" s="322" t="s">
        <v>621</v>
      </c>
      <c r="W102" s="79">
        <v>0.14059590917420889</v>
      </c>
      <c r="X102" s="79">
        <v>0.13775567243904172</v>
      </c>
      <c r="Y102" s="79">
        <v>0.13364495797558937</v>
      </c>
      <c r="Z102" s="79" t="s">
        <v>108</v>
      </c>
      <c r="AA102" s="79">
        <v>0.12515010905715448</v>
      </c>
      <c r="AB102" s="79" t="s">
        <v>108</v>
      </c>
      <c r="AC102" s="313">
        <v>2.7222720458274985</v>
      </c>
      <c r="AD102" s="107"/>
      <c r="AE102" s="19" t="str">
        <f t="shared" si="9"/>
        <v>DHP3REFBFB-0</v>
      </c>
      <c r="AF102" s="19" t="s">
        <v>603</v>
      </c>
      <c r="AG102" s="131">
        <v>0.24264741685250416</v>
      </c>
      <c r="AH102" s="131" t="s">
        <v>108</v>
      </c>
      <c r="AI102" s="131">
        <v>0.25777801417713847</v>
      </c>
      <c r="AJ102" s="131" t="s">
        <v>108</v>
      </c>
      <c r="AK102" s="131">
        <v>0.27904288635348451</v>
      </c>
      <c r="AL102" s="19" t="s">
        <v>108</v>
      </c>
      <c r="AM102" s="107"/>
      <c r="AN102" s="19" t="str">
        <f t="shared" si="10"/>
        <v>DHP3REFBFB-0</v>
      </c>
      <c r="AO102" s="19" t="s">
        <v>436</v>
      </c>
      <c r="AP102" s="141" t="s">
        <v>247</v>
      </c>
      <c r="AQ102" s="131">
        <v>2.5154027902514127</v>
      </c>
      <c r="AR102" s="131"/>
      <c r="AS102" s="131">
        <v>2.3416040404723475</v>
      </c>
      <c r="AT102" s="131">
        <v>2.1292023015737587</v>
      </c>
      <c r="AU102" s="19"/>
      <c r="AV102" s="141">
        <f t="shared" si="13"/>
        <v>0</v>
      </c>
      <c r="AW102" s="297">
        <v>0.6</v>
      </c>
      <c r="AX102" s="245" t="str">
        <f t="shared" si="22"/>
        <v/>
      </c>
      <c r="AY102" s="245" t="str">
        <f t="shared" si="15"/>
        <v/>
      </c>
      <c r="AZ102" s="319">
        <f t="shared" si="16"/>
        <v>0.61035598939808655</v>
      </c>
      <c r="BA102" s="319">
        <f t="shared" si="17"/>
        <v>0.60361403954212556</v>
      </c>
      <c r="BB102" s="319">
        <f t="shared" si="18"/>
        <v>0.59413875586162401</v>
      </c>
      <c r="BD102" s="128" t="str">
        <f t="shared" si="11"/>
        <v>*</v>
      </c>
      <c r="BE102" s="19"/>
      <c r="BF102" s="245" t="str">
        <f t="shared" si="19"/>
        <v/>
      </c>
      <c r="BG102" s="245" t="str">
        <f t="shared" si="20"/>
        <v/>
      </c>
      <c r="BH102" s="245" t="str">
        <f t="shared" si="21"/>
        <v/>
      </c>
      <c r="BJ102" s="320">
        <v>1</v>
      </c>
      <c r="BK102" s="24">
        <f t="shared" si="12"/>
        <v>0</v>
      </c>
    </row>
    <row r="103" spans="3:63">
      <c r="C103" s="19" t="s">
        <v>72</v>
      </c>
      <c r="D103" s="19" t="s">
        <v>418</v>
      </c>
      <c r="E103" s="19" t="s">
        <v>585</v>
      </c>
      <c r="F103" s="19" t="s">
        <v>32</v>
      </c>
      <c r="G103" s="177" t="s">
        <v>621</v>
      </c>
      <c r="H103" s="19">
        <v>2012</v>
      </c>
      <c r="I103" s="142">
        <v>3.1536000000000002E-2</v>
      </c>
      <c r="J103" s="131">
        <v>0.95</v>
      </c>
      <c r="K103" s="19">
        <v>20</v>
      </c>
      <c r="L103" s="294">
        <v>2.9431335560118295</v>
      </c>
      <c r="M103" s="294">
        <v>2.5570353695839079</v>
      </c>
      <c r="N103" s="294">
        <v>1.796103738478148</v>
      </c>
      <c r="O103" s="294" t="s">
        <v>108</v>
      </c>
      <c r="P103" s="294">
        <v>1.6699199216251446</v>
      </c>
      <c r="Q103" s="294" t="s">
        <v>108</v>
      </c>
      <c r="R103" s="128"/>
      <c r="S103" s="19"/>
      <c r="T103" s="107"/>
      <c r="U103" s="19" t="str">
        <f t="shared" si="8"/>
        <v>DHP3BIOFCS-0</v>
      </c>
      <c r="V103" s="322" t="s">
        <v>621</v>
      </c>
      <c r="W103" s="79">
        <v>0.13395528717995797</v>
      </c>
      <c r="X103" s="79">
        <v>0.10164027022166125</v>
      </c>
      <c r="Y103" s="79">
        <v>7.6044714733953855E-2</v>
      </c>
      <c r="Z103" s="79" t="s">
        <v>108</v>
      </c>
      <c r="AA103" s="79">
        <v>6.60741112729578E-2</v>
      </c>
      <c r="AB103" s="79" t="s">
        <v>108</v>
      </c>
      <c r="AC103" s="313">
        <v>1.2573530875323058</v>
      </c>
      <c r="AD103" s="107"/>
      <c r="AE103" s="19" t="str">
        <f t="shared" si="9"/>
        <v>DHP3BIOFCS-0</v>
      </c>
      <c r="AF103" s="19" t="s">
        <v>603</v>
      </c>
      <c r="AG103" s="131">
        <v>0.55469765859395759</v>
      </c>
      <c r="AH103" s="131" t="s">
        <v>108</v>
      </c>
      <c r="AI103" s="131">
        <v>0.60985677713896169</v>
      </c>
      <c r="AJ103" s="131" t="s">
        <v>108</v>
      </c>
      <c r="AK103" s="131">
        <v>0.65399593319150662</v>
      </c>
      <c r="AL103" s="19" t="s">
        <v>108</v>
      </c>
      <c r="AM103" s="107"/>
      <c r="AN103" s="19" t="str">
        <f t="shared" si="10"/>
        <v>DHP3BIOFCS-0</v>
      </c>
      <c r="AO103" s="19" t="s">
        <v>436</v>
      </c>
      <c r="AP103" s="141" t="s">
        <v>506</v>
      </c>
      <c r="AQ103" s="131">
        <v>0.57803348069694671</v>
      </c>
      <c r="AR103" s="131"/>
      <c r="AS103" s="131">
        <v>0.46062824123938584</v>
      </c>
      <c r="AT103" s="131">
        <v>0.38094344410366254</v>
      </c>
      <c r="AU103" s="19"/>
      <c r="AV103" s="141">
        <f t="shared" si="13"/>
        <v>6.6666666666666666E-2</v>
      </c>
      <c r="AW103" s="297">
        <v>0.6</v>
      </c>
      <c r="AX103" s="245">
        <f t="shared" si="22"/>
        <v>7.1297747531596151E-2</v>
      </c>
      <c r="AY103" s="245">
        <f t="shared" si="15"/>
        <v>1.6666666666666667</v>
      </c>
      <c r="AZ103" s="319">
        <f t="shared" si="16"/>
        <v>0.30873648339068188</v>
      </c>
      <c r="BA103" s="319">
        <f t="shared" si="17"/>
        <v>0.27254770984544469</v>
      </c>
      <c r="BB103" s="319">
        <f t="shared" si="18"/>
        <v>0.24296506660188155</v>
      </c>
      <c r="BD103" s="128" t="str">
        <f t="shared" si="11"/>
        <v>DHP3BIOFCS-0</v>
      </c>
      <c r="BE103" s="19"/>
      <c r="BF103" s="318"/>
      <c r="BG103" s="318"/>
      <c r="BH103" s="318"/>
      <c r="BJ103" s="320">
        <v>15</v>
      </c>
      <c r="BK103" s="24">
        <f t="shared" si="12"/>
        <v>0</v>
      </c>
    </row>
    <row r="104" spans="3:63">
      <c r="C104" s="19" t="s">
        <v>88</v>
      </c>
      <c r="D104" s="19" t="s">
        <v>440</v>
      </c>
      <c r="E104" s="19" t="s">
        <v>307</v>
      </c>
      <c r="F104" s="19" t="s">
        <v>251</v>
      </c>
      <c r="G104" s="177" t="s">
        <v>621</v>
      </c>
      <c r="H104" s="19">
        <v>2012</v>
      </c>
      <c r="I104" s="142">
        <v>3.1536000000000002E-2</v>
      </c>
      <c r="J104" s="131">
        <v>0.95</v>
      </c>
      <c r="K104" s="19">
        <v>30</v>
      </c>
      <c r="L104" s="294">
        <v>1.0677240460333532</v>
      </c>
      <c r="M104" s="294">
        <v>1.0562681917074335</v>
      </c>
      <c r="N104" s="294">
        <v>1.0394745951293749</v>
      </c>
      <c r="O104" s="294" t="s">
        <v>108</v>
      </c>
      <c r="P104" s="294">
        <v>1.0040395241089226</v>
      </c>
      <c r="Q104" s="294" t="s">
        <v>108</v>
      </c>
      <c r="R104" s="128"/>
      <c r="S104" s="19"/>
      <c r="T104" s="107"/>
      <c r="U104" s="19" t="str">
        <f t="shared" si="8"/>
        <v>DHP4OILICE-0</v>
      </c>
      <c r="V104" s="322" t="s">
        <v>621</v>
      </c>
      <c r="W104" s="79">
        <v>2.6186401750747473E-2</v>
      </c>
      <c r="X104" s="79">
        <v>2.5905441885798238E-2</v>
      </c>
      <c r="Y104" s="79">
        <v>2.5493571544892488E-2</v>
      </c>
      <c r="Z104" s="79" t="s">
        <v>108</v>
      </c>
      <c r="AA104" s="79">
        <v>2.4624510845870973E-2</v>
      </c>
      <c r="AB104" s="79" t="s">
        <v>108</v>
      </c>
      <c r="AC104" s="313">
        <v>1.5658874259009639</v>
      </c>
      <c r="AD104" s="107"/>
      <c r="AE104" s="19" t="str">
        <f t="shared" si="9"/>
        <v>DHP4OILICE-0</v>
      </c>
      <c r="AF104" s="19" t="s">
        <v>603</v>
      </c>
      <c r="AG104" s="131">
        <v>0.35444560653129625</v>
      </c>
      <c r="AH104" s="131" t="s">
        <v>108</v>
      </c>
      <c r="AI104" s="131">
        <v>0.36712333053350604</v>
      </c>
      <c r="AJ104" s="131" t="s">
        <v>108</v>
      </c>
      <c r="AK104" s="131">
        <v>0.38436830521032778</v>
      </c>
      <c r="AL104" s="19" t="s">
        <v>108</v>
      </c>
      <c r="AM104" s="107"/>
      <c r="AN104" s="19" t="str">
        <f t="shared" si="10"/>
        <v>DHP4OILICE-0</v>
      </c>
      <c r="AO104" s="19" t="s">
        <v>441</v>
      </c>
      <c r="AP104" s="141" t="s">
        <v>247</v>
      </c>
      <c r="AQ104" s="131">
        <v>1.4321876616114673</v>
      </c>
      <c r="AR104" s="131"/>
      <c r="AS104" s="131">
        <v>1.3678377331901594</v>
      </c>
      <c r="AT104" s="131">
        <v>1.2871195524538059</v>
      </c>
      <c r="AU104" s="19"/>
      <c r="AV104" s="141">
        <f t="shared" si="13"/>
        <v>0</v>
      </c>
      <c r="AW104" s="297">
        <v>0.6</v>
      </c>
      <c r="AX104" s="245" t="str">
        <f t="shared" si="22"/>
        <v/>
      </c>
      <c r="AY104" s="245" t="str">
        <f t="shared" si="15"/>
        <v/>
      </c>
      <c r="AZ104" s="319">
        <f t="shared" si="16"/>
        <v>0.50763262438651535</v>
      </c>
      <c r="BA104" s="319">
        <f t="shared" si="17"/>
        <v>0.5021651442381726</v>
      </c>
      <c r="BB104" s="319">
        <f t="shared" si="18"/>
        <v>0.49472796097974497</v>
      </c>
      <c r="BD104" s="128" t="str">
        <f t="shared" si="11"/>
        <v>*</v>
      </c>
      <c r="BE104" s="19"/>
      <c r="BF104" s="245" t="str">
        <f t="shared" si="19"/>
        <v/>
      </c>
      <c r="BG104" s="245" t="str">
        <f t="shared" si="20"/>
        <v/>
      </c>
      <c r="BH104" s="245" t="str">
        <f t="shared" si="21"/>
        <v/>
      </c>
      <c r="BJ104" s="320">
        <v>1</v>
      </c>
      <c r="BK104" s="24">
        <f t="shared" si="12"/>
        <v>0</v>
      </c>
    </row>
    <row r="105" spans="3:63">
      <c r="C105" s="19" t="s">
        <v>89</v>
      </c>
      <c r="D105" s="19" t="s">
        <v>442</v>
      </c>
      <c r="E105" s="19" t="s">
        <v>261</v>
      </c>
      <c r="F105" s="19" t="s">
        <v>251</v>
      </c>
      <c r="G105" s="177" t="s">
        <v>621</v>
      </c>
      <c r="H105" s="19">
        <v>2012</v>
      </c>
      <c r="I105" s="142">
        <v>3.1536000000000002E-2</v>
      </c>
      <c r="J105" s="131">
        <v>0.95</v>
      </c>
      <c r="K105" s="19">
        <v>30</v>
      </c>
      <c r="L105" s="294">
        <v>2.8331351137192056</v>
      </c>
      <c r="M105" s="294">
        <v>2.7611543868061976</v>
      </c>
      <c r="N105" s="294">
        <v>2.6577673457447717</v>
      </c>
      <c r="O105" s="294" t="s">
        <v>108</v>
      </c>
      <c r="P105" s="294">
        <v>2.4471291387089611</v>
      </c>
      <c r="Q105" s="294" t="s">
        <v>108</v>
      </c>
      <c r="R105" s="128"/>
      <c r="S105" s="19"/>
      <c r="T105" s="107"/>
      <c r="U105" s="19" t="str">
        <f t="shared" si="8"/>
        <v>DHP4BIOBFB-0</v>
      </c>
      <c r="V105" s="322" t="s">
        <v>621</v>
      </c>
      <c r="W105" s="79">
        <v>0.14762267865602732</v>
      </c>
      <c r="X105" s="79">
        <v>0.14387206765726102</v>
      </c>
      <c r="Y105" s="79">
        <v>0.1384850065651507</v>
      </c>
      <c r="Z105" s="79" t="s">
        <v>108</v>
      </c>
      <c r="AA105" s="79">
        <v>0.12750954118781857</v>
      </c>
      <c r="AB105" s="79" t="s">
        <v>108</v>
      </c>
      <c r="AC105" s="313">
        <v>0.8437356653158008</v>
      </c>
      <c r="AD105" s="107"/>
      <c r="AE105" s="19" t="str">
        <f t="shared" si="9"/>
        <v>DHP4BIOBFB-0</v>
      </c>
      <c r="AF105" s="19" t="s">
        <v>603</v>
      </c>
      <c r="AG105" s="131">
        <v>0.21663287866520975</v>
      </c>
      <c r="AH105" s="131" t="s">
        <v>108</v>
      </c>
      <c r="AI105" s="131">
        <v>0.2339575575341053</v>
      </c>
      <c r="AJ105" s="131" t="s">
        <v>108</v>
      </c>
      <c r="AK105" s="131">
        <v>0.25881887520614466</v>
      </c>
      <c r="AL105" s="19" t="s">
        <v>108</v>
      </c>
      <c r="AM105" s="107"/>
      <c r="AN105" s="19" t="str">
        <f t="shared" si="10"/>
        <v>DHP4BIOBFB-0</v>
      </c>
      <c r="AO105" s="19" t="s">
        <v>441</v>
      </c>
      <c r="AP105" s="141" t="s">
        <v>247</v>
      </c>
      <c r="AQ105" s="131">
        <v>2.9024332834063094</v>
      </c>
      <c r="AR105" s="131"/>
      <c r="AS105" s="131">
        <v>2.6608772025592842</v>
      </c>
      <c r="AT105" s="131">
        <v>2.3707387104298014</v>
      </c>
      <c r="AU105" s="19"/>
      <c r="AV105" s="141">
        <f t="shared" si="13"/>
        <v>0</v>
      </c>
      <c r="AW105" s="297">
        <v>0.6</v>
      </c>
      <c r="AX105" s="245" t="str">
        <f t="shared" si="22"/>
        <v/>
      </c>
      <c r="AY105" s="245" t="str">
        <f t="shared" si="15"/>
        <v/>
      </c>
      <c r="AZ105" s="319">
        <f t="shared" si="16"/>
        <v>0.62876247731802537</v>
      </c>
      <c r="BA105" s="319">
        <f t="shared" si="17"/>
        <v>0.6225323312089529</v>
      </c>
      <c r="BB105" s="319">
        <f t="shared" si="18"/>
        <v>0.61359192644110705</v>
      </c>
      <c r="BD105" s="128" t="str">
        <f t="shared" si="11"/>
        <v>*</v>
      </c>
      <c r="BE105" s="19"/>
      <c r="BF105" s="245" t="str">
        <f t="shared" si="19"/>
        <v/>
      </c>
      <c r="BG105" s="245" t="str">
        <f t="shared" si="20"/>
        <v/>
      </c>
      <c r="BH105" s="245" t="str">
        <f t="shared" si="21"/>
        <v/>
      </c>
      <c r="BJ105" s="320">
        <v>1</v>
      </c>
      <c r="BK105" s="24">
        <f t="shared" si="12"/>
        <v>0</v>
      </c>
    </row>
    <row r="106" spans="3:63">
      <c r="C106" s="19" t="s">
        <v>90</v>
      </c>
      <c r="D106" s="19" t="s">
        <v>424</v>
      </c>
      <c r="E106" s="19" t="s">
        <v>261</v>
      </c>
      <c r="F106" s="19" t="s">
        <v>251</v>
      </c>
      <c r="G106" s="177" t="s">
        <v>621</v>
      </c>
      <c r="H106" s="19">
        <v>2012</v>
      </c>
      <c r="I106" s="142">
        <v>3.1536000000000002E-2</v>
      </c>
      <c r="J106" s="131">
        <v>0.95</v>
      </c>
      <c r="K106" s="19">
        <v>25</v>
      </c>
      <c r="L106" s="294">
        <v>3.1005523982714096</v>
      </c>
      <c r="M106" s="294">
        <v>2.5139614040038456</v>
      </c>
      <c r="N106" s="294">
        <v>2.4134029478436916</v>
      </c>
      <c r="O106" s="294" t="s">
        <v>108</v>
      </c>
      <c r="P106" s="294">
        <v>0</v>
      </c>
      <c r="Q106" s="294" t="s">
        <v>108</v>
      </c>
      <c r="R106" s="128" t="s">
        <v>108</v>
      </c>
      <c r="S106" s="19" t="s">
        <v>108</v>
      </c>
      <c r="T106" s="107"/>
      <c r="U106" s="19" t="s">
        <v>90</v>
      </c>
      <c r="V106" s="322" t="s">
        <v>621</v>
      </c>
      <c r="W106" s="79">
        <v>6.9000000000000006E-2</v>
      </c>
      <c r="X106" s="79">
        <v>5.7000000000000002E-2</v>
      </c>
      <c r="Y106" s="79">
        <v>5.7000000000000002E-2</v>
      </c>
      <c r="Z106" s="79" t="s">
        <v>108</v>
      </c>
      <c r="AA106" s="79">
        <v>5.3355306340380222E-2</v>
      </c>
      <c r="AB106" s="79" t="s">
        <v>108</v>
      </c>
      <c r="AC106" s="313">
        <v>3.3055555555555554</v>
      </c>
      <c r="AD106" s="107"/>
      <c r="AE106" s="19" t="s">
        <v>90</v>
      </c>
      <c r="AF106" s="19" t="s">
        <v>603</v>
      </c>
      <c r="AG106" s="131">
        <v>0.35</v>
      </c>
      <c r="AH106" s="131">
        <v>0.37</v>
      </c>
      <c r="AI106" s="131">
        <v>0.37</v>
      </c>
      <c r="AJ106" s="131" t="s">
        <v>108</v>
      </c>
      <c r="AK106" s="131">
        <v>0.38120244047252716</v>
      </c>
      <c r="AL106" s="19" t="s">
        <v>108</v>
      </c>
      <c r="AM106" s="107"/>
      <c r="AN106" s="19" t="s">
        <v>90</v>
      </c>
      <c r="AO106" s="19" t="s">
        <v>441</v>
      </c>
      <c r="AP106" s="141" t="s">
        <v>247</v>
      </c>
      <c r="AQ106" s="131">
        <v>1.9428571428571431</v>
      </c>
      <c r="AR106" s="131">
        <v>1.8378378378378379</v>
      </c>
      <c r="AS106" s="131">
        <v>1.8378378378378379</v>
      </c>
      <c r="AT106" s="131">
        <v>1.7544419671040181</v>
      </c>
      <c r="AU106" s="19" t="s">
        <v>108</v>
      </c>
      <c r="AV106" s="141">
        <v>0</v>
      </c>
      <c r="AW106" s="297">
        <v>0.6</v>
      </c>
      <c r="AX106" s="245" t="str">
        <f t="shared" si="22"/>
        <v/>
      </c>
      <c r="AY106" s="245" t="str">
        <f t="shared" si="15"/>
        <v/>
      </c>
      <c r="AZ106" s="319">
        <f t="shared" si="16"/>
        <v>0.68</v>
      </c>
      <c r="BA106" s="319">
        <f t="shared" si="17"/>
        <v>0.68</v>
      </c>
      <c r="BB106" s="319">
        <f t="shared" si="18"/>
        <v>0.66879755952747288</v>
      </c>
      <c r="BD106" s="128" t="str">
        <f t="shared" si="11"/>
        <v>*</v>
      </c>
      <c r="BE106" s="19"/>
      <c r="BF106" s="245" t="str">
        <f t="shared" si="19"/>
        <v/>
      </c>
      <c r="BG106" s="245" t="str">
        <f t="shared" si="20"/>
        <v/>
      </c>
      <c r="BH106" s="245" t="str">
        <f t="shared" si="21"/>
        <v/>
      </c>
      <c r="BJ106" s="320">
        <v>1</v>
      </c>
      <c r="BK106" s="24">
        <f t="shared" si="12"/>
        <v>0</v>
      </c>
    </row>
    <row r="107" spans="3:63">
      <c r="C107" s="19" t="s">
        <v>73</v>
      </c>
      <c r="D107" s="19" t="s">
        <v>148</v>
      </c>
      <c r="E107" s="19" t="s">
        <v>286</v>
      </c>
      <c r="F107" s="19" t="s">
        <v>32</v>
      </c>
      <c r="G107" s="177" t="s">
        <v>621</v>
      </c>
      <c r="H107" s="19">
        <v>2025</v>
      </c>
      <c r="I107" s="142">
        <v>3.1536000000000002E-2</v>
      </c>
      <c r="J107" s="131">
        <v>0.95</v>
      </c>
      <c r="K107" s="19">
        <v>35</v>
      </c>
      <c r="L107" s="294">
        <v>3.5284629864579093</v>
      </c>
      <c r="M107" s="294">
        <v>3.4328171423940339</v>
      </c>
      <c r="N107" s="294">
        <v>3.2532948644103121</v>
      </c>
      <c r="O107" s="294">
        <v>3.0753962654152391</v>
      </c>
      <c r="P107" s="294">
        <v>2.9067564839880431</v>
      </c>
      <c r="Q107" s="294">
        <v>2.7614186597886414</v>
      </c>
      <c r="R107" s="128"/>
      <c r="S107" s="19"/>
      <c r="T107" s="107"/>
      <c r="U107" s="19" t="str">
        <f t="shared" si="8"/>
        <v>DHP1COAPFB+0</v>
      </c>
      <c r="V107" s="322" t="s">
        <v>621</v>
      </c>
      <c r="W107" s="79">
        <v>6.384735075376885E-2</v>
      </c>
      <c r="X107" s="79">
        <v>6.5417800681138019E-2</v>
      </c>
      <c r="Y107" s="79">
        <v>6.1996717613843379E-2</v>
      </c>
      <c r="Z107" s="79">
        <v>5.8606576336933634E-2</v>
      </c>
      <c r="AA107" s="79">
        <v>5.5392876582270538E-2</v>
      </c>
      <c r="AB107" s="79" t="s">
        <v>108</v>
      </c>
      <c r="AC107" s="313">
        <v>0.35751428571428562</v>
      </c>
      <c r="AD107" s="107"/>
      <c r="AE107" s="19" t="str">
        <f t="shared" si="9"/>
        <v>DHP1COAPFB+0</v>
      </c>
      <c r="AF107" s="19" t="s">
        <v>603</v>
      </c>
      <c r="AG107" s="131">
        <v>0.31509153884215729</v>
      </c>
      <c r="AH107" s="131">
        <v>0.31712337699844434</v>
      </c>
      <c r="AI107" s="131">
        <v>0.33643410852713185</v>
      </c>
      <c r="AJ107" s="131">
        <v>0.35628324185582172</v>
      </c>
      <c r="AK107" s="131">
        <v>0.37736434108527134</v>
      </c>
      <c r="AL107" s="19" t="s">
        <v>108</v>
      </c>
      <c r="AM107" s="107"/>
      <c r="AN107" s="19" t="str">
        <f t="shared" si="10"/>
        <v>DHP1COAPFB+0</v>
      </c>
      <c r="AO107" s="19" t="s">
        <v>404</v>
      </c>
      <c r="AP107" s="141" t="s">
        <v>506</v>
      </c>
      <c r="AQ107" s="131">
        <v>3.4761904761904758</v>
      </c>
      <c r="AR107" s="131">
        <v>3.2516784432678296</v>
      </c>
      <c r="AS107" s="131">
        <v>3.0416666666666665</v>
      </c>
      <c r="AT107" s="131">
        <v>2.5704225352112671</v>
      </c>
      <c r="AU107" s="19"/>
      <c r="AV107" s="141">
        <f>IF(BJ107&gt;=1,MOD(1/BJ107,1)*IF(BK107&gt;0,-1),BJ107)</f>
        <v>-0.16666666666666666</v>
      </c>
      <c r="AW107" s="297">
        <v>0.6</v>
      </c>
      <c r="AX107" s="245">
        <f t="shared" si="22"/>
        <v>0.55895865237366005</v>
      </c>
      <c r="AY107" s="245">
        <f t="shared" si="15"/>
        <v>1.6666666666666667</v>
      </c>
      <c r="AZ107" s="319">
        <f t="shared" si="16"/>
        <v>1.0131693409674605</v>
      </c>
      <c r="BA107" s="319">
        <f t="shared" si="17"/>
        <v>0.94657138242894079</v>
      </c>
      <c r="BB107" s="319">
        <f t="shared" si="18"/>
        <v>0.89723687083742765</v>
      </c>
      <c r="BD107" s="128" t="str">
        <f t="shared" si="11"/>
        <v>DHP1COAPFB+0</v>
      </c>
      <c r="BE107" s="19" t="s">
        <v>773</v>
      </c>
      <c r="BF107" s="245">
        <f t="shared" si="19"/>
        <v>0.31099592743428361</v>
      </c>
      <c r="BG107" s="245">
        <f t="shared" si="20"/>
        <v>0.35542391706775267</v>
      </c>
      <c r="BH107" s="245">
        <f t="shared" si="21"/>
        <v>0.42058496853017407</v>
      </c>
      <c r="BJ107" s="320">
        <v>6</v>
      </c>
      <c r="BK107" s="24">
        <f t="shared" si="12"/>
        <v>0.45</v>
      </c>
    </row>
    <row r="108" spans="3:63">
      <c r="C108" s="19" t="s">
        <v>74</v>
      </c>
      <c r="D108" s="19" t="s">
        <v>320</v>
      </c>
      <c r="E108" s="19" t="s">
        <v>267</v>
      </c>
      <c r="F108" s="19" t="s">
        <v>32</v>
      </c>
      <c r="G108" s="177" t="s">
        <v>621</v>
      </c>
      <c r="H108" s="19">
        <v>2025</v>
      </c>
      <c r="I108" s="142">
        <v>3.1536000000000002E-2</v>
      </c>
      <c r="J108" s="131">
        <v>0.95</v>
      </c>
      <c r="K108" s="19">
        <v>35</v>
      </c>
      <c r="L108" s="294">
        <v>3.6662670495333822</v>
      </c>
      <c r="M108" s="294">
        <v>3.5668857586251237</v>
      </c>
      <c r="N108" s="294">
        <v>3.3621527320605664</v>
      </c>
      <c r="O108" s="294">
        <v>3.1748415986419043</v>
      </c>
      <c r="P108" s="294">
        <v>2.9974820988378914</v>
      </c>
      <c r="Q108" s="294">
        <v>2.7614186597886414</v>
      </c>
      <c r="R108" s="128"/>
      <c r="S108" s="19"/>
      <c r="T108" s="107"/>
      <c r="U108" s="19" t="str">
        <f t="shared" si="8"/>
        <v>DHP3BIOPFB+0</v>
      </c>
      <c r="V108" s="322" t="s">
        <v>621</v>
      </c>
      <c r="W108" s="283">
        <v>6.384735075376885E-2</v>
      </c>
      <c r="X108" s="79">
        <v>6.9049718023552337E-2</v>
      </c>
      <c r="Y108" s="79">
        <v>6.5086384541338374E-2</v>
      </c>
      <c r="Z108" s="79">
        <v>6.1460313559402582E-2</v>
      </c>
      <c r="AA108" s="79">
        <v>5.8026891723378902E-2</v>
      </c>
      <c r="AB108" s="79" t="s">
        <v>108</v>
      </c>
      <c r="AC108" s="313">
        <v>0.35751428571428562</v>
      </c>
      <c r="AD108" s="107"/>
      <c r="AE108" s="19" t="str">
        <f t="shared" si="9"/>
        <v>DHP3BIOPFB+0</v>
      </c>
      <c r="AF108" s="19" t="s">
        <v>603</v>
      </c>
      <c r="AG108" s="131">
        <v>0.30196272472373414</v>
      </c>
      <c r="AH108" s="131">
        <v>0.31712337699844434</v>
      </c>
      <c r="AI108" s="131">
        <v>0.33643410852713185</v>
      </c>
      <c r="AJ108" s="131">
        <v>0.35628324185582172</v>
      </c>
      <c r="AK108" s="131">
        <v>0.37736434108527134</v>
      </c>
      <c r="AL108" s="19" t="s">
        <v>108</v>
      </c>
      <c r="AM108" s="107"/>
      <c r="AN108" s="19" t="str">
        <f t="shared" si="10"/>
        <v>DHP3BIOPFB+0</v>
      </c>
      <c r="AO108" s="19" t="s">
        <v>436</v>
      </c>
      <c r="AP108" s="141" t="s">
        <v>506</v>
      </c>
      <c r="AQ108" s="131">
        <v>3.4761904761904758</v>
      </c>
      <c r="AR108" s="131">
        <v>3.2516784432678296</v>
      </c>
      <c r="AS108" s="131">
        <v>3.0416666666666665</v>
      </c>
      <c r="AT108" s="131">
        <v>2.5704225352112671</v>
      </c>
      <c r="AU108" s="19"/>
      <c r="AV108" s="141">
        <f>IF(BJ108&gt;=1,MOD(1/BJ108,1)*IF(BK108&gt;0,-1),BJ108)</f>
        <v>-0.16666666666666666</v>
      </c>
      <c r="AW108" s="297">
        <v>0.6</v>
      </c>
      <c r="AX108" s="245">
        <f t="shared" si="22"/>
        <v>0.55895865237366005</v>
      </c>
      <c r="AY108" s="245">
        <f t="shared" si="15"/>
        <v>1.6666666666666667</v>
      </c>
      <c r="AZ108" s="319">
        <f t="shared" si="16"/>
        <v>0.97095395176048316</v>
      </c>
      <c r="BA108" s="319">
        <f t="shared" si="17"/>
        <v>0.94657138242894079</v>
      </c>
      <c r="BB108" s="319">
        <f t="shared" si="18"/>
        <v>0.89723687083742765</v>
      </c>
      <c r="BD108" s="128" t="str">
        <f t="shared" si="11"/>
        <v>DHP3BIOPFB+0</v>
      </c>
      <c r="BE108" s="19" t="s">
        <v>775</v>
      </c>
      <c r="BF108" s="245">
        <f t="shared" si="19"/>
        <v>0.31099592743428361</v>
      </c>
      <c r="BG108" s="245">
        <f t="shared" si="20"/>
        <v>0.35542391706775267</v>
      </c>
      <c r="BH108" s="245">
        <f t="shared" si="21"/>
        <v>0.42058496853017407</v>
      </c>
      <c r="BJ108" s="320">
        <v>6</v>
      </c>
      <c r="BK108" s="24">
        <f t="shared" si="12"/>
        <v>0.45</v>
      </c>
    </row>
    <row r="109" spans="3:63">
      <c r="C109" s="19" t="s">
        <v>200</v>
      </c>
      <c r="D109" s="19" t="s">
        <v>202</v>
      </c>
      <c r="E109" s="19" t="s">
        <v>286</v>
      </c>
      <c r="F109" s="19" t="s">
        <v>32</v>
      </c>
      <c r="G109" s="177" t="s">
        <v>621</v>
      </c>
      <c r="H109" s="19">
        <v>2070</v>
      </c>
      <c r="I109" s="142">
        <v>3.1536000000000002E-2</v>
      </c>
      <c r="J109" s="131">
        <v>0.95</v>
      </c>
      <c r="K109" s="19">
        <v>35</v>
      </c>
      <c r="L109" s="294" t="s">
        <v>108</v>
      </c>
      <c r="M109" s="294">
        <v>2.6793927551666039</v>
      </c>
      <c r="N109" s="294">
        <v>2.5520763642704387</v>
      </c>
      <c r="O109" s="294">
        <v>2.4989520862082393</v>
      </c>
      <c r="P109" s="294">
        <v>2.4469775119997172</v>
      </c>
      <c r="Q109" s="294" t="s">
        <v>108</v>
      </c>
      <c r="R109" s="128"/>
      <c r="S109" s="19"/>
      <c r="T109" s="107"/>
      <c r="U109" s="19" t="str">
        <f t="shared" si="8"/>
        <v>DHP1COACLC+0</v>
      </c>
      <c r="V109" s="322" t="s">
        <v>621</v>
      </c>
      <c r="W109" s="283" t="s">
        <v>108</v>
      </c>
      <c r="X109" s="79">
        <v>6.0756266621020863E-2</v>
      </c>
      <c r="Y109" s="79">
        <v>5.7869318234824878E-2</v>
      </c>
      <c r="Z109" s="79">
        <v>5.6664704691038688E-2</v>
      </c>
      <c r="AA109" s="79">
        <v>5.5486161126629199E-2</v>
      </c>
      <c r="AB109" s="79" t="s">
        <v>108</v>
      </c>
      <c r="AC109" s="313">
        <v>0.88300749725359762</v>
      </c>
      <c r="AD109" s="107"/>
      <c r="AE109" s="19" t="str">
        <f t="shared" si="9"/>
        <v>DHP1COACLC+0</v>
      </c>
      <c r="AF109" s="19" t="s">
        <v>603</v>
      </c>
      <c r="AG109" s="131">
        <v>0.38927479466214998</v>
      </c>
      <c r="AH109" s="131">
        <v>0.39792442270833095</v>
      </c>
      <c r="AI109" s="131">
        <v>0.41328940338379339</v>
      </c>
      <c r="AJ109" s="131">
        <v>0.42115692301348767</v>
      </c>
      <c r="AK109" s="131">
        <v>0.429166518254675</v>
      </c>
      <c r="AL109" s="19" t="s">
        <v>108</v>
      </c>
      <c r="AM109" s="107"/>
      <c r="AN109" s="19" t="str">
        <f t="shared" si="10"/>
        <v>DHP1COACLC+0</v>
      </c>
      <c r="AO109" s="19" t="s">
        <v>404</v>
      </c>
      <c r="AP109" s="141" t="s">
        <v>506</v>
      </c>
      <c r="AQ109" s="131">
        <v>1.9183673469387759</v>
      </c>
      <c r="AR109" s="131">
        <v>1.8595560719186142</v>
      </c>
      <c r="AS109" s="131">
        <v>1.8025477707006372</v>
      </c>
      <c r="AT109" s="131">
        <v>1.735562310030395</v>
      </c>
      <c r="AU109" s="19"/>
      <c r="AV109" s="141">
        <f t="shared" si="13"/>
        <v>0.1754229741763135</v>
      </c>
      <c r="AW109" s="297">
        <v>0.6</v>
      </c>
      <c r="AX109" s="245">
        <f t="shared" si="22"/>
        <v>0.44150325399879958</v>
      </c>
      <c r="AY109" s="245">
        <f t="shared" si="15"/>
        <v>1.6666666666666667</v>
      </c>
      <c r="AZ109" s="319">
        <f t="shared" si="16"/>
        <v>0.55874125874125879</v>
      </c>
      <c r="BA109" s="319">
        <f t="shared" si="17"/>
        <v>0.56599999999999995</v>
      </c>
      <c r="BB109" s="319">
        <f t="shared" si="18"/>
        <v>0.57099999999999995</v>
      </c>
      <c r="BD109" s="128" t="str">
        <f t="shared" si="11"/>
        <v>DHP1COACLC+0</v>
      </c>
      <c r="BE109" s="19" t="s">
        <v>773</v>
      </c>
      <c r="BF109" s="245">
        <f t="shared" si="19"/>
        <v>0.69669956992099435</v>
      </c>
      <c r="BG109" s="245">
        <f t="shared" si="20"/>
        <v>0.73019329219751483</v>
      </c>
      <c r="BH109" s="245">
        <f t="shared" si="21"/>
        <v>0.75160511077876546</v>
      </c>
      <c r="BJ109" s="320">
        <v>5.7005076142131959</v>
      </c>
      <c r="BK109" s="24">
        <f t="shared" si="12"/>
        <v>0</v>
      </c>
    </row>
    <row r="110" spans="3:63">
      <c r="C110" s="19" t="s">
        <v>201</v>
      </c>
      <c r="D110" s="19" t="s">
        <v>202</v>
      </c>
      <c r="E110" s="19" t="s">
        <v>286</v>
      </c>
      <c r="F110" s="19" t="s">
        <v>32</v>
      </c>
      <c r="G110" s="177" t="s">
        <v>621</v>
      </c>
      <c r="H110" s="19">
        <v>2070</v>
      </c>
      <c r="I110" s="142">
        <v>3.1536000000000002E-2</v>
      </c>
      <c r="J110" s="131">
        <v>0.95</v>
      </c>
      <c r="K110" s="19">
        <v>35</v>
      </c>
      <c r="L110" s="294" t="s">
        <v>108</v>
      </c>
      <c r="M110" s="294">
        <v>2.6793927551666039</v>
      </c>
      <c r="N110" s="294">
        <v>2.5520763642704387</v>
      </c>
      <c r="O110" s="294">
        <v>2.4989520862082393</v>
      </c>
      <c r="P110" s="294">
        <v>2.4469775119997172</v>
      </c>
      <c r="Q110" s="294" t="s">
        <v>108</v>
      </c>
      <c r="R110" s="128"/>
      <c r="S110" s="19"/>
      <c r="T110" s="107"/>
      <c r="U110" s="19" t="str">
        <f t="shared" si="8"/>
        <v>DHP3COACLC+0</v>
      </c>
      <c r="V110" s="322" t="s">
        <v>621</v>
      </c>
      <c r="W110" s="283" t="s">
        <v>108</v>
      </c>
      <c r="X110" s="79">
        <v>6.0756266621020863E-2</v>
      </c>
      <c r="Y110" s="79">
        <v>5.7869318234824878E-2</v>
      </c>
      <c r="Z110" s="79">
        <v>5.6664704691038688E-2</v>
      </c>
      <c r="AA110" s="79">
        <v>5.5486161126629199E-2</v>
      </c>
      <c r="AB110" s="79" t="s">
        <v>108</v>
      </c>
      <c r="AC110" s="313">
        <v>0.88300749725359762</v>
      </c>
      <c r="AD110" s="107"/>
      <c r="AE110" s="19" t="str">
        <f t="shared" si="9"/>
        <v>DHP3COACLC+0</v>
      </c>
      <c r="AF110" s="19" t="s">
        <v>603</v>
      </c>
      <c r="AG110" s="131">
        <v>0.38927479466214998</v>
      </c>
      <c r="AH110" s="131">
        <v>0.39792442270833095</v>
      </c>
      <c r="AI110" s="131">
        <v>0.41328940338379339</v>
      </c>
      <c r="AJ110" s="131">
        <v>0.42115692301348767</v>
      </c>
      <c r="AK110" s="131">
        <v>0.429166518254675</v>
      </c>
      <c r="AL110" s="19" t="s">
        <v>108</v>
      </c>
      <c r="AM110" s="107"/>
      <c r="AN110" s="19" t="str">
        <f t="shared" si="10"/>
        <v>DHP3COACLC+0</v>
      </c>
      <c r="AO110" s="19" t="s">
        <v>436</v>
      </c>
      <c r="AP110" s="141" t="s">
        <v>506</v>
      </c>
      <c r="AQ110" s="131">
        <v>1.9183673469387759</v>
      </c>
      <c r="AR110" s="131">
        <v>1.8595560719186142</v>
      </c>
      <c r="AS110" s="131">
        <v>1.8025477707006372</v>
      </c>
      <c r="AT110" s="131">
        <v>1.735562310030395</v>
      </c>
      <c r="AU110" s="19"/>
      <c r="AV110" s="141">
        <f t="shared" si="13"/>
        <v>0.1754229741763135</v>
      </c>
      <c r="AW110" s="297">
        <v>0.6</v>
      </c>
      <c r="AX110" s="245">
        <f t="shared" si="22"/>
        <v>0.44150325399879958</v>
      </c>
      <c r="AY110" s="245">
        <f t="shared" si="15"/>
        <v>1.6666666666666667</v>
      </c>
      <c r="AZ110" s="319">
        <f t="shared" si="16"/>
        <v>0.55874125874125879</v>
      </c>
      <c r="BA110" s="319">
        <f t="shared" si="17"/>
        <v>0.56599999999999995</v>
      </c>
      <c r="BB110" s="319">
        <f t="shared" si="18"/>
        <v>0.57099999999999995</v>
      </c>
      <c r="BD110" s="128" t="str">
        <f t="shared" si="11"/>
        <v>DHP3COACLC+0</v>
      </c>
      <c r="BE110" s="19" t="s">
        <v>773</v>
      </c>
      <c r="BF110" s="245">
        <f t="shared" si="19"/>
        <v>0.69669956992099435</v>
      </c>
      <c r="BG110" s="245">
        <f t="shared" si="20"/>
        <v>0.73019329219751483</v>
      </c>
      <c r="BH110" s="245">
        <f t="shared" si="21"/>
        <v>0.75160511077876546</v>
      </c>
      <c r="BJ110" s="320">
        <v>5.7005076142131959</v>
      </c>
      <c r="BK110" s="24">
        <f t="shared" si="12"/>
        <v>0</v>
      </c>
    </row>
    <row r="111" spans="3:63">
      <c r="C111" s="19" t="s">
        <v>75</v>
      </c>
      <c r="D111" s="19" t="s">
        <v>127</v>
      </c>
      <c r="E111" s="19" t="s">
        <v>583</v>
      </c>
      <c r="F111" s="19" t="s">
        <v>32</v>
      </c>
      <c r="G111" s="177" t="s">
        <v>621</v>
      </c>
      <c r="H111" s="19">
        <v>2070</v>
      </c>
      <c r="I111" s="142">
        <v>3.1536000000000002E-2</v>
      </c>
      <c r="J111" s="131">
        <v>0.95</v>
      </c>
      <c r="K111" s="19">
        <v>20</v>
      </c>
      <c r="L111" s="294" t="s">
        <v>108</v>
      </c>
      <c r="M111" s="294" t="s">
        <v>108</v>
      </c>
      <c r="N111" s="294">
        <v>5.0727272727272732</v>
      </c>
      <c r="O111" s="294">
        <v>2.3477317361322552</v>
      </c>
      <c r="P111" s="294">
        <v>1.9129268292682928</v>
      </c>
      <c r="Q111" s="294">
        <v>1.7465853658536588</v>
      </c>
      <c r="R111" s="128"/>
      <c r="S111" s="19"/>
      <c r="T111" s="107"/>
      <c r="U111" s="19" t="str">
        <f t="shared" si="8"/>
        <v>DHP1BIOFCS+0</v>
      </c>
      <c r="V111" s="322" t="s">
        <v>621</v>
      </c>
      <c r="W111" s="79" t="s">
        <v>108</v>
      </c>
      <c r="X111" s="79" t="s">
        <v>108</v>
      </c>
      <c r="Y111" s="79">
        <v>0.10145454545454546</v>
      </c>
      <c r="Z111" s="79">
        <v>7.5462805804251062E-2</v>
      </c>
      <c r="AA111" s="79">
        <v>6.5815166867972327E-2</v>
      </c>
      <c r="AB111" s="79">
        <v>4.9902439024390254E-2</v>
      </c>
      <c r="AC111" s="313">
        <v>1.6909090909090907</v>
      </c>
      <c r="AD111" s="107"/>
      <c r="AE111" s="19" t="str">
        <f t="shared" si="9"/>
        <v>DHP1BIOFCS+0</v>
      </c>
      <c r="AF111" s="19" t="s">
        <v>603</v>
      </c>
      <c r="AG111" s="131">
        <v>0.41333333333333333</v>
      </c>
      <c r="AH111" s="131" t="s">
        <v>108</v>
      </c>
      <c r="AI111" s="131">
        <v>0.51333333333333331</v>
      </c>
      <c r="AJ111" s="131" t="s">
        <v>108</v>
      </c>
      <c r="AK111" s="131">
        <v>0.57399999999999995</v>
      </c>
      <c r="AL111" s="19" t="s">
        <v>108</v>
      </c>
      <c r="AM111" s="107"/>
      <c r="AN111" s="19" t="str">
        <f t="shared" si="10"/>
        <v>DHP1BIOFCS+0</v>
      </c>
      <c r="AO111" s="19" t="s">
        <v>404</v>
      </c>
      <c r="AP111" s="141" t="s">
        <v>506</v>
      </c>
      <c r="AQ111" s="131">
        <f>(AG111-0.4)/0.4</f>
        <v>3.333333333333327E-2</v>
      </c>
      <c r="AR111" s="131"/>
      <c r="AS111" s="131">
        <f>(AI111-0.5)/0.5</f>
        <v>2.6666666666666616E-2</v>
      </c>
      <c r="AT111" s="131">
        <f>(AK111-0.56)/0.56</f>
        <v>2.4999999999999821E-2</v>
      </c>
      <c r="AU111" s="19"/>
      <c r="AV111" s="141">
        <f t="shared" si="13"/>
        <v>6.6666666666666666E-2</v>
      </c>
      <c r="AW111" s="297">
        <v>0.6</v>
      </c>
      <c r="AX111" s="245">
        <f t="shared" si="22"/>
        <v>4.4247787610619382E-3</v>
      </c>
      <c r="AY111" s="245">
        <f t="shared" si="15"/>
        <v>1.6666666666666667</v>
      </c>
      <c r="AZ111" s="319">
        <f t="shared" si="16"/>
        <v>1.3747228381374698E-2</v>
      </c>
      <c r="BA111" s="319">
        <f t="shared" si="17"/>
        <v>1.3664596273291897E-2</v>
      </c>
      <c r="BB111" s="319">
        <f t="shared" si="18"/>
        <v>1.4326123128119695E-2</v>
      </c>
      <c r="BD111" s="128" t="str">
        <f t="shared" si="11"/>
        <v>DHP1BIOFCS+0</v>
      </c>
      <c r="BE111" s="19"/>
      <c r="BF111" s="318"/>
      <c r="BG111" s="318"/>
      <c r="BH111" s="318"/>
      <c r="BJ111" s="170">
        <v>15</v>
      </c>
      <c r="BK111" s="24">
        <f t="shared" si="12"/>
        <v>0</v>
      </c>
    </row>
    <row r="112" spans="3:63">
      <c r="C112" s="19" t="s">
        <v>76</v>
      </c>
      <c r="D112" s="19" t="s">
        <v>128</v>
      </c>
      <c r="E112" s="19" t="s">
        <v>585</v>
      </c>
      <c r="F112" s="19" t="s">
        <v>32</v>
      </c>
      <c r="G112" s="177" t="s">
        <v>621</v>
      </c>
      <c r="H112" s="19">
        <v>2070</v>
      </c>
      <c r="I112" s="142">
        <v>3.1536000000000002E-2</v>
      </c>
      <c r="J112" s="131">
        <v>0.95</v>
      </c>
      <c r="K112" s="19">
        <v>20</v>
      </c>
      <c r="L112" s="294" t="s">
        <v>108</v>
      </c>
      <c r="M112" s="294" t="s">
        <v>108</v>
      </c>
      <c r="N112" s="294">
        <v>5.0727272727272732</v>
      </c>
      <c r="O112" s="294">
        <v>2.3477317361322552</v>
      </c>
      <c r="P112" s="294">
        <v>1.9129268292682928</v>
      </c>
      <c r="Q112" s="294">
        <v>1.7465853658536588</v>
      </c>
      <c r="R112" s="128"/>
      <c r="S112" s="19"/>
      <c r="T112" s="107"/>
      <c r="U112" s="19" t="str">
        <f t="shared" si="8"/>
        <v>DHP3BIOFCS+0</v>
      </c>
      <c r="V112" s="322" t="s">
        <v>621</v>
      </c>
      <c r="W112" s="79" t="s">
        <v>108</v>
      </c>
      <c r="X112" s="79" t="s">
        <v>108</v>
      </c>
      <c r="Y112" s="79">
        <v>0.10145454545454546</v>
      </c>
      <c r="Z112" s="79">
        <v>7.5462805804251062E-2</v>
      </c>
      <c r="AA112" s="79">
        <v>6.5815166867972327E-2</v>
      </c>
      <c r="AB112" s="79">
        <v>4.9902439024390254E-2</v>
      </c>
      <c r="AC112" s="313">
        <v>1.6909090909090907</v>
      </c>
      <c r="AD112" s="107"/>
      <c r="AE112" s="19" t="str">
        <f t="shared" si="9"/>
        <v>DHP3BIOFCS+0</v>
      </c>
      <c r="AF112" s="19" t="s">
        <v>603</v>
      </c>
      <c r="AG112" s="131">
        <v>0.41333333333333333</v>
      </c>
      <c r="AH112" s="131" t="s">
        <v>108</v>
      </c>
      <c r="AI112" s="131">
        <v>0.51333333333333331</v>
      </c>
      <c r="AJ112" s="131" t="s">
        <v>108</v>
      </c>
      <c r="AK112" s="131">
        <v>0.57399999999999995</v>
      </c>
      <c r="AL112" s="19" t="s">
        <v>108</v>
      </c>
      <c r="AM112" s="107"/>
      <c r="AN112" s="19" t="str">
        <f t="shared" si="10"/>
        <v>DHP3BIOFCS+0</v>
      </c>
      <c r="AO112" s="19" t="s">
        <v>436</v>
      </c>
      <c r="AP112" s="141" t="s">
        <v>506</v>
      </c>
      <c r="AQ112" s="131">
        <f>(AG112-0.4)/0.4</f>
        <v>3.333333333333327E-2</v>
      </c>
      <c r="AR112" s="131"/>
      <c r="AS112" s="131">
        <f>(AI112-0.5)/0.5</f>
        <v>2.6666666666666616E-2</v>
      </c>
      <c r="AT112" s="131">
        <f>(AK112-0.56)/0.56</f>
        <v>2.4999999999999821E-2</v>
      </c>
      <c r="AU112" s="19"/>
      <c r="AV112" s="141">
        <f t="shared" si="13"/>
        <v>6.6666666666666666E-2</v>
      </c>
      <c r="AW112" s="297">
        <v>0.6</v>
      </c>
      <c r="AX112" s="245">
        <f t="shared" si="22"/>
        <v>4.4247787610619382E-3</v>
      </c>
      <c r="AY112" s="245">
        <f t="shared" si="15"/>
        <v>1.6666666666666667</v>
      </c>
      <c r="AZ112" s="319">
        <f t="shared" si="16"/>
        <v>1.3747228381374698E-2</v>
      </c>
      <c r="BA112" s="319">
        <f t="shared" si="17"/>
        <v>1.3664596273291897E-2</v>
      </c>
      <c r="BB112" s="319">
        <f t="shared" si="18"/>
        <v>1.4326123128119695E-2</v>
      </c>
      <c r="BD112" s="128" t="str">
        <f t="shared" si="11"/>
        <v>DHP3BIOFCS+0</v>
      </c>
      <c r="BE112" s="19"/>
      <c r="BF112" s="318"/>
      <c r="BG112" s="318"/>
      <c r="BH112" s="318"/>
      <c r="BJ112" s="170">
        <v>15</v>
      </c>
      <c r="BK112" s="24">
        <f t="shared" si="12"/>
        <v>0</v>
      </c>
    </row>
    <row r="113" spans="3:63">
      <c r="C113" s="19" t="s">
        <v>77</v>
      </c>
      <c r="D113" s="19" t="s">
        <v>129</v>
      </c>
      <c r="E113" s="19" t="s">
        <v>267</v>
      </c>
      <c r="F113" s="19" t="s">
        <v>32</v>
      </c>
      <c r="G113" s="177" t="s">
        <v>621</v>
      </c>
      <c r="H113" s="19">
        <v>2070</v>
      </c>
      <c r="I113" s="142">
        <v>3.1536000000000002E-2</v>
      </c>
      <c r="J113" s="131">
        <v>0.95</v>
      </c>
      <c r="K113" s="19">
        <v>20</v>
      </c>
      <c r="L113" s="294" t="s">
        <v>108</v>
      </c>
      <c r="M113" s="294" t="s">
        <v>108</v>
      </c>
      <c r="N113" s="294">
        <v>5.0727272727272732</v>
      </c>
      <c r="O113" s="294">
        <v>2.3477317361322552</v>
      </c>
      <c r="P113" s="294">
        <v>1.9129268292682928</v>
      </c>
      <c r="Q113" s="294">
        <v>1.7465853658536588</v>
      </c>
      <c r="R113" s="128"/>
      <c r="S113" s="19"/>
      <c r="T113" s="107"/>
      <c r="U113" s="19" t="str">
        <f t="shared" si="8"/>
        <v>DHP1BCOFCS+0</v>
      </c>
      <c r="V113" s="322" t="s">
        <v>621</v>
      </c>
      <c r="W113" s="79" t="s">
        <v>108</v>
      </c>
      <c r="X113" s="79" t="s">
        <v>108</v>
      </c>
      <c r="Y113" s="79">
        <v>0.10145454545454546</v>
      </c>
      <c r="Z113" s="79">
        <v>7.5462805804251062E-2</v>
      </c>
      <c r="AA113" s="79">
        <v>6.5815166867972327E-2</v>
      </c>
      <c r="AB113" s="79">
        <v>4.9902439024390254E-2</v>
      </c>
      <c r="AC113" s="313">
        <v>1.6909090909090907</v>
      </c>
      <c r="AD113" s="107"/>
      <c r="AE113" s="19" t="str">
        <f t="shared" si="9"/>
        <v>DHP1BCOFCS+0</v>
      </c>
      <c r="AF113" s="19" t="s">
        <v>603</v>
      </c>
      <c r="AG113" s="131">
        <v>0.41333333333333333</v>
      </c>
      <c r="AH113" s="131" t="s">
        <v>108</v>
      </c>
      <c r="AI113" s="131">
        <v>0.51333333333333331</v>
      </c>
      <c r="AJ113" s="131" t="s">
        <v>108</v>
      </c>
      <c r="AK113" s="131">
        <v>0.57399999999999995</v>
      </c>
      <c r="AL113" s="19" t="s">
        <v>108</v>
      </c>
      <c r="AM113" s="107"/>
      <c r="AN113" s="19" t="str">
        <f t="shared" si="10"/>
        <v>DHP1BCOFCS+0</v>
      </c>
      <c r="AO113" s="19" t="s">
        <v>404</v>
      </c>
      <c r="AP113" s="141" t="s">
        <v>506</v>
      </c>
      <c r="AQ113" s="131">
        <f>(AG113-0.4)/0.4</f>
        <v>3.333333333333327E-2</v>
      </c>
      <c r="AR113" s="131"/>
      <c r="AS113" s="131">
        <f>(AI113-0.5)/0.5</f>
        <v>2.6666666666666616E-2</v>
      </c>
      <c r="AT113" s="131">
        <f>(AK113-0.56)/0.56</f>
        <v>2.4999999999999821E-2</v>
      </c>
      <c r="AU113" s="19"/>
      <c r="AV113" s="141">
        <f t="shared" si="13"/>
        <v>6.6666666666666666E-2</v>
      </c>
      <c r="AW113" s="297">
        <v>0.6</v>
      </c>
      <c r="AX113" s="245">
        <f t="shared" si="22"/>
        <v>4.4247787610619382E-3</v>
      </c>
      <c r="AY113" s="245">
        <f t="shared" si="15"/>
        <v>1.6666666666666667</v>
      </c>
      <c r="AZ113" s="319">
        <f t="shared" si="16"/>
        <v>1.3747228381374698E-2</v>
      </c>
      <c r="BA113" s="319">
        <f t="shared" si="17"/>
        <v>1.3664596273291897E-2</v>
      </c>
      <c r="BB113" s="319">
        <f t="shared" si="18"/>
        <v>1.4326123128119695E-2</v>
      </c>
      <c r="BD113" s="128" t="str">
        <f t="shared" si="11"/>
        <v>DHP1BCOFCS+0</v>
      </c>
      <c r="BE113" s="19"/>
      <c r="BF113" s="318"/>
      <c r="BG113" s="318"/>
      <c r="BH113" s="318"/>
      <c r="BJ113" s="170">
        <v>15</v>
      </c>
      <c r="BK113" s="24">
        <f t="shared" si="12"/>
        <v>0</v>
      </c>
    </row>
    <row r="114" spans="3:63">
      <c r="C114" s="19" t="s">
        <v>78</v>
      </c>
      <c r="D114" s="19" t="s">
        <v>130</v>
      </c>
      <c r="E114" s="19" t="s">
        <v>267</v>
      </c>
      <c r="F114" s="19" t="s">
        <v>32</v>
      </c>
      <c r="G114" s="177" t="s">
        <v>621</v>
      </c>
      <c r="H114" s="19">
        <v>2070</v>
      </c>
      <c r="I114" s="142">
        <v>3.1536000000000002E-2</v>
      </c>
      <c r="J114" s="131">
        <v>0.95</v>
      </c>
      <c r="K114" s="19">
        <v>20</v>
      </c>
      <c r="L114" s="294" t="s">
        <v>108</v>
      </c>
      <c r="M114" s="294" t="s">
        <v>108</v>
      </c>
      <c r="N114" s="294">
        <v>5.0727272727272732</v>
      </c>
      <c r="O114" s="294">
        <v>2.3477317361322552</v>
      </c>
      <c r="P114" s="294">
        <v>1.9129268292682928</v>
      </c>
      <c r="Q114" s="294">
        <v>1.7465853658536588</v>
      </c>
      <c r="R114" s="128"/>
      <c r="S114" s="19"/>
      <c r="T114" s="107"/>
      <c r="U114" s="19" t="str">
        <f t="shared" si="8"/>
        <v>DHP3BCOFCS+0</v>
      </c>
      <c r="V114" s="322" t="s">
        <v>621</v>
      </c>
      <c r="W114" s="79" t="s">
        <v>108</v>
      </c>
      <c r="X114" s="79" t="s">
        <v>108</v>
      </c>
      <c r="Y114" s="79">
        <v>0.10145454545454546</v>
      </c>
      <c r="Z114" s="79">
        <v>7.5462805804251062E-2</v>
      </c>
      <c r="AA114" s="79">
        <v>6.5815166867972327E-2</v>
      </c>
      <c r="AB114" s="79">
        <v>4.9902439024390254E-2</v>
      </c>
      <c r="AC114" s="313">
        <v>1.6909090909090907</v>
      </c>
      <c r="AD114" s="107"/>
      <c r="AE114" s="19" t="str">
        <f t="shared" si="9"/>
        <v>DHP3BCOFCS+0</v>
      </c>
      <c r="AF114" s="19" t="s">
        <v>603</v>
      </c>
      <c r="AG114" s="131">
        <v>0.41333333333333333</v>
      </c>
      <c r="AH114" s="131" t="s">
        <v>108</v>
      </c>
      <c r="AI114" s="131">
        <v>0.51333333333333331</v>
      </c>
      <c r="AJ114" s="131" t="s">
        <v>108</v>
      </c>
      <c r="AK114" s="131">
        <v>0.57399999999999995</v>
      </c>
      <c r="AL114" s="19" t="s">
        <v>108</v>
      </c>
      <c r="AM114" s="107"/>
      <c r="AN114" s="19" t="str">
        <f t="shared" si="10"/>
        <v>DHP3BCOFCS+0</v>
      </c>
      <c r="AO114" s="19" t="s">
        <v>436</v>
      </c>
      <c r="AP114" s="141" t="s">
        <v>506</v>
      </c>
      <c r="AQ114" s="131">
        <f>(AG114-0.4)/0.4</f>
        <v>3.333333333333327E-2</v>
      </c>
      <c r="AR114" s="131"/>
      <c r="AS114" s="131">
        <f>(AI114-0.5)/0.5</f>
        <v>2.6666666666666616E-2</v>
      </c>
      <c r="AT114" s="131">
        <f>(AK114-0.56)/0.56</f>
        <v>2.4999999999999821E-2</v>
      </c>
      <c r="AU114" s="19"/>
      <c r="AV114" s="141">
        <f t="shared" si="13"/>
        <v>6.6666666666666666E-2</v>
      </c>
      <c r="AW114" s="297">
        <v>0.6</v>
      </c>
      <c r="AX114" s="245">
        <f t="shared" si="22"/>
        <v>4.4247787610619382E-3</v>
      </c>
      <c r="AY114" s="245">
        <f t="shared" si="15"/>
        <v>1.6666666666666667</v>
      </c>
      <c r="AZ114" s="319">
        <f t="shared" si="16"/>
        <v>1.3747228381374698E-2</v>
      </c>
      <c r="BA114" s="319">
        <f t="shared" si="17"/>
        <v>1.3664596273291897E-2</v>
      </c>
      <c r="BB114" s="319">
        <f t="shared" si="18"/>
        <v>1.4326123128119695E-2</v>
      </c>
      <c r="BD114" s="128" t="str">
        <f t="shared" si="11"/>
        <v>DHP3BCOFCS+0</v>
      </c>
      <c r="BE114" s="19"/>
      <c r="BF114" s="318"/>
      <c r="BG114" s="318"/>
      <c r="BH114" s="318"/>
      <c r="BJ114" s="170">
        <v>15</v>
      </c>
      <c r="BK114" s="24">
        <f t="shared" si="12"/>
        <v>0</v>
      </c>
    </row>
    <row r="115" spans="3:63">
      <c r="C115" s="121" t="s">
        <v>111</v>
      </c>
      <c r="D115" s="121" t="s">
        <v>112</v>
      </c>
      <c r="E115" s="121" t="s">
        <v>583</v>
      </c>
      <c r="F115" s="19" t="s">
        <v>32</v>
      </c>
      <c r="G115" s="177" t="s">
        <v>621</v>
      </c>
      <c r="H115" s="19">
        <v>2020</v>
      </c>
      <c r="I115" s="142">
        <v>3.1536000000000002E-2</v>
      </c>
      <c r="J115" s="131">
        <v>0.95</v>
      </c>
      <c r="K115" s="19">
        <v>30</v>
      </c>
      <c r="L115" s="294">
        <v>2.7803995838835411</v>
      </c>
      <c r="M115" s="294">
        <v>2.7803995838835411</v>
      </c>
      <c r="N115" s="294">
        <v>2.7133169272565096</v>
      </c>
      <c r="O115" s="294" t="s">
        <v>108</v>
      </c>
      <c r="P115" s="294">
        <v>2.5440313111545985</v>
      </c>
      <c r="Q115" s="294" t="s">
        <v>108</v>
      </c>
      <c r="R115" s="128"/>
      <c r="S115" s="19"/>
      <c r="T115" s="107"/>
      <c r="U115" s="19" t="str">
        <f t="shared" si="8"/>
        <v>DHP1BIOBFB-1</v>
      </c>
      <c r="V115" s="322" t="s">
        <v>621</v>
      </c>
      <c r="W115" s="79">
        <v>9.0945973485739059E-2</v>
      </c>
      <c r="X115" s="79">
        <v>9.0945973485739059E-2</v>
      </c>
      <c r="Y115" s="79">
        <v>8.875172142703551E-2</v>
      </c>
      <c r="Z115" s="79" t="s">
        <v>108</v>
      </c>
      <c r="AA115" s="79">
        <v>8.6699034017280574E-2</v>
      </c>
      <c r="AB115" s="79" t="s">
        <v>108</v>
      </c>
      <c r="AC115" s="313">
        <v>0.80232489784466676</v>
      </c>
      <c r="AD115" s="107"/>
      <c r="AE115" s="19" t="str">
        <f t="shared" si="9"/>
        <v>DHP1BIOBFB-1</v>
      </c>
      <c r="AF115" s="19" t="s">
        <v>603</v>
      </c>
      <c r="AG115" s="131">
        <v>0.28999999999999998</v>
      </c>
      <c r="AH115" s="131">
        <v>0.28999999999999998</v>
      </c>
      <c r="AI115" s="131">
        <v>0.3</v>
      </c>
      <c r="AJ115" s="131" t="s">
        <v>108</v>
      </c>
      <c r="AK115" s="131">
        <v>0.31</v>
      </c>
      <c r="AL115" s="19" t="s">
        <v>108</v>
      </c>
      <c r="AM115" s="107"/>
      <c r="AN115" s="19" t="str">
        <f t="shared" si="10"/>
        <v>DHP1BIOBFB-1</v>
      </c>
      <c r="AO115" s="19" t="s">
        <v>404</v>
      </c>
      <c r="AP115" s="141" t="s">
        <v>247</v>
      </c>
      <c r="AQ115" s="131">
        <v>2.6206896551724141</v>
      </c>
      <c r="AR115" s="131">
        <v>2.6206896551724141</v>
      </c>
      <c r="AS115" s="131">
        <v>2.5333333333333337</v>
      </c>
      <c r="AT115" s="131">
        <v>2.4516129032258065</v>
      </c>
      <c r="AU115" s="19"/>
      <c r="AV115" s="141">
        <f t="shared" si="13"/>
        <v>0</v>
      </c>
      <c r="AW115" s="297">
        <v>0.6</v>
      </c>
      <c r="AX115" s="245" t="str">
        <f t="shared" si="22"/>
        <v/>
      </c>
      <c r="AY115" s="245" t="str">
        <f t="shared" si="15"/>
        <v/>
      </c>
      <c r="AZ115" s="319">
        <f t="shared" si="16"/>
        <v>0.76</v>
      </c>
      <c r="BA115" s="319">
        <f t="shared" si="17"/>
        <v>0.76000000000000012</v>
      </c>
      <c r="BB115" s="319">
        <f t="shared" si="18"/>
        <v>0.76</v>
      </c>
      <c r="BD115" s="128" t="str">
        <f t="shared" si="11"/>
        <v>*</v>
      </c>
      <c r="BE115" s="19"/>
      <c r="BF115" s="245" t="str">
        <f>IF(MOD($AV115,1),AQ115/(1+AQ115*MAX(0,$AV115))*(1+$BK115*MIN(0,$AV115)),T(0))</f>
        <v/>
      </c>
      <c r="BG115" s="245" t="str">
        <f t="shared" ref="BG115:BH117" si="23">IF(MOD($AV115,1),AS115/(1+AS115*MAX(0,$AV115))*(1+$BK115*MIN(0,$AV115)),T(0))</f>
        <v/>
      </c>
      <c r="BH115" s="245" t="str">
        <f t="shared" si="23"/>
        <v/>
      </c>
      <c r="BJ115" s="170">
        <v>1</v>
      </c>
      <c r="BK115" s="24">
        <f t="shared" si="12"/>
        <v>0</v>
      </c>
    </row>
    <row r="116" spans="3:63">
      <c r="C116" s="121" t="s">
        <v>113</v>
      </c>
      <c r="D116" s="121" t="s">
        <v>112</v>
      </c>
      <c r="E116" s="121" t="s">
        <v>584</v>
      </c>
      <c r="F116" s="19" t="s">
        <v>251</v>
      </c>
      <c r="G116" s="177" t="s">
        <v>621</v>
      </c>
      <c r="H116" s="19">
        <v>2020</v>
      </c>
      <c r="I116" s="142">
        <v>3.1536000000000002E-2</v>
      </c>
      <c r="J116" s="131">
        <v>0.95</v>
      </c>
      <c r="K116" s="19">
        <v>30</v>
      </c>
      <c r="L116" s="294">
        <v>3.228851129671209</v>
      </c>
      <c r="M116" s="294">
        <v>3.228851129671209</v>
      </c>
      <c r="N116" s="294">
        <v>3.1509486897172372</v>
      </c>
      <c r="O116" s="294" t="s">
        <v>108</v>
      </c>
      <c r="P116" s="294">
        <v>2.9543589419859857</v>
      </c>
      <c r="Q116" s="294" t="s">
        <v>108</v>
      </c>
      <c r="R116" s="128"/>
      <c r="S116" s="19"/>
      <c r="T116" s="107"/>
      <c r="U116" s="19" t="str">
        <f t="shared" si="8"/>
        <v>DHP2BIOBFB-1</v>
      </c>
      <c r="V116" s="322" t="s">
        <v>621</v>
      </c>
      <c r="W116" s="79">
        <v>0.10561467888666472</v>
      </c>
      <c r="X116" s="79">
        <v>0.10561467888666472</v>
      </c>
      <c r="Y116" s="79">
        <v>0.10306651520558963</v>
      </c>
      <c r="Z116" s="79" t="s">
        <v>108</v>
      </c>
      <c r="AA116" s="79">
        <v>0.10068274918135808</v>
      </c>
      <c r="AB116" s="79" t="s">
        <v>108</v>
      </c>
      <c r="AC116" s="313">
        <v>0.80232489784466676</v>
      </c>
      <c r="AD116" s="107"/>
      <c r="AE116" s="19" t="str">
        <f t="shared" si="9"/>
        <v>DHP2BIOBFB-1</v>
      </c>
      <c r="AF116" s="19" t="s">
        <v>603</v>
      </c>
      <c r="AG116" s="131">
        <v>0.28999999999999998</v>
      </c>
      <c r="AH116" s="131">
        <v>0.28999999999999998</v>
      </c>
      <c r="AI116" s="131">
        <v>0.3</v>
      </c>
      <c r="AJ116" s="131" t="s">
        <v>108</v>
      </c>
      <c r="AK116" s="131">
        <v>0.31</v>
      </c>
      <c r="AL116" s="19" t="s">
        <v>108</v>
      </c>
      <c r="AM116" s="107"/>
      <c r="AN116" s="19" t="str">
        <f t="shared" si="10"/>
        <v>DHP2BIOBFB-1</v>
      </c>
      <c r="AO116" s="19" t="s">
        <v>419</v>
      </c>
      <c r="AP116" s="141" t="s">
        <v>247</v>
      </c>
      <c r="AQ116" s="131">
        <v>2.6206896551724141</v>
      </c>
      <c r="AR116" s="131">
        <v>2.6206896551724141</v>
      </c>
      <c r="AS116" s="131">
        <v>2.5333333333333337</v>
      </c>
      <c r="AT116" s="131">
        <v>2.4516129032258065</v>
      </c>
      <c r="AU116" s="19"/>
      <c r="AV116" s="141">
        <f t="shared" si="13"/>
        <v>0</v>
      </c>
      <c r="AW116" s="297">
        <v>0.6</v>
      </c>
      <c r="AX116" s="245" t="str">
        <f t="shared" si="22"/>
        <v/>
      </c>
      <c r="AY116" s="245" t="str">
        <f t="shared" si="15"/>
        <v/>
      </c>
      <c r="AZ116" s="319">
        <f t="shared" si="16"/>
        <v>0.76</v>
      </c>
      <c r="BA116" s="319">
        <f t="shared" si="17"/>
        <v>0.76000000000000012</v>
      </c>
      <c r="BB116" s="319">
        <f t="shared" si="18"/>
        <v>0.76</v>
      </c>
      <c r="BD116" s="128" t="str">
        <f t="shared" si="11"/>
        <v>*</v>
      </c>
      <c r="BE116" s="19"/>
      <c r="BF116" s="245" t="str">
        <f>IF(MOD($AV116,1),AQ116/(1+AQ116*MAX(0,$AV116))*(1+$BK116*MIN(0,$AV116)),T(0))</f>
        <v/>
      </c>
      <c r="BG116" s="245" t="str">
        <f t="shared" si="23"/>
        <v/>
      </c>
      <c r="BH116" s="245" t="str">
        <f t="shared" si="23"/>
        <v/>
      </c>
      <c r="BJ116" s="170">
        <v>1</v>
      </c>
      <c r="BK116" s="24">
        <f t="shared" si="12"/>
        <v>0</v>
      </c>
    </row>
    <row r="117" spans="3:63">
      <c r="C117" s="121" t="s">
        <v>114</v>
      </c>
      <c r="D117" s="121" t="s">
        <v>112</v>
      </c>
      <c r="E117" s="121" t="s">
        <v>585</v>
      </c>
      <c r="F117" s="19" t="s">
        <v>32</v>
      </c>
      <c r="G117" s="177" t="s">
        <v>621</v>
      </c>
      <c r="H117" s="19">
        <v>2020</v>
      </c>
      <c r="I117" s="142">
        <v>3.1536000000000002E-2</v>
      </c>
      <c r="J117" s="131">
        <v>0.95</v>
      </c>
      <c r="K117" s="19">
        <v>30</v>
      </c>
      <c r="L117" s="294">
        <v>2.7803995838835411</v>
      </c>
      <c r="M117" s="294">
        <v>2.7803995838835411</v>
      </c>
      <c r="N117" s="294">
        <v>2.7133169272565096</v>
      </c>
      <c r="O117" s="294" t="s">
        <v>108</v>
      </c>
      <c r="P117" s="294">
        <v>2.5440313111545985</v>
      </c>
      <c r="Q117" s="294" t="s">
        <v>108</v>
      </c>
      <c r="R117" s="128"/>
      <c r="S117" s="19"/>
      <c r="T117" s="107"/>
      <c r="U117" s="19" t="str">
        <f t="shared" si="8"/>
        <v>DHP3BIOBFB-1</v>
      </c>
      <c r="V117" s="322" t="s">
        <v>621</v>
      </c>
      <c r="W117" s="79">
        <v>9.0945973485739059E-2</v>
      </c>
      <c r="X117" s="79">
        <v>9.0945973485739059E-2</v>
      </c>
      <c r="Y117" s="79">
        <v>8.875172142703551E-2</v>
      </c>
      <c r="Z117" s="79" t="s">
        <v>108</v>
      </c>
      <c r="AA117" s="79">
        <v>8.6699034017280574E-2</v>
      </c>
      <c r="AB117" s="79" t="s">
        <v>108</v>
      </c>
      <c r="AC117" s="313">
        <v>0.80232489784466676</v>
      </c>
      <c r="AD117" s="107"/>
      <c r="AE117" s="19" t="str">
        <f t="shared" si="9"/>
        <v>DHP3BIOBFB-1</v>
      </c>
      <c r="AF117" s="19" t="s">
        <v>603</v>
      </c>
      <c r="AG117" s="131">
        <v>0.28999999999999998</v>
      </c>
      <c r="AH117" s="131">
        <v>0.28999999999999998</v>
      </c>
      <c r="AI117" s="131">
        <v>0.3</v>
      </c>
      <c r="AJ117" s="131" t="s">
        <v>108</v>
      </c>
      <c r="AK117" s="131">
        <v>0.31</v>
      </c>
      <c r="AL117" s="19" t="s">
        <v>108</v>
      </c>
      <c r="AM117" s="107"/>
      <c r="AN117" s="19" t="str">
        <f t="shared" si="10"/>
        <v>DHP3BIOBFB-1</v>
      </c>
      <c r="AO117" s="19" t="s">
        <v>436</v>
      </c>
      <c r="AP117" s="141" t="s">
        <v>247</v>
      </c>
      <c r="AQ117" s="131">
        <v>2.6206896551724141</v>
      </c>
      <c r="AR117" s="131">
        <v>2.6206896551724141</v>
      </c>
      <c r="AS117" s="131">
        <v>2.5333333333333337</v>
      </c>
      <c r="AT117" s="131">
        <v>2.4516129032258065</v>
      </c>
      <c r="AU117" s="19"/>
      <c r="AV117" s="141">
        <f t="shared" si="13"/>
        <v>0</v>
      </c>
      <c r="AW117" s="297">
        <v>0.6</v>
      </c>
      <c r="AX117" s="245" t="str">
        <f t="shared" si="22"/>
        <v/>
      </c>
      <c r="AY117" s="245" t="str">
        <f t="shared" si="15"/>
        <v/>
      </c>
      <c r="AZ117" s="319">
        <f t="shared" si="16"/>
        <v>0.76</v>
      </c>
      <c r="BA117" s="319">
        <f t="shared" si="17"/>
        <v>0.76000000000000012</v>
      </c>
      <c r="BB117" s="319">
        <f t="shared" si="18"/>
        <v>0.76</v>
      </c>
      <c r="BD117" s="128" t="str">
        <f t="shared" si="11"/>
        <v>*</v>
      </c>
      <c r="BE117" s="19"/>
      <c r="BF117" s="245" t="str">
        <f>IF(MOD($AV117,1),AQ117/(1+AQ117*MAX(0,$AV117))*(1+$BK117*MIN(0,$AV117)),T(0))</f>
        <v/>
      </c>
      <c r="BG117" s="245" t="str">
        <f t="shared" si="23"/>
        <v/>
      </c>
      <c r="BH117" s="245" t="str">
        <f t="shared" si="23"/>
        <v/>
      </c>
      <c r="BJ117" s="170">
        <v>1</v>
      </c>
      <c r="BK117" s="24">
        <f t="shared" si="12"/>
        <v>0</v>
      </c>
    </row>
    <row r="118" spans="3:63">
      <c r="C118" s="241" t="s">
        <v>458</v>
      </c>
      <c r="D118" s="241" t="s">
        <v>459</v>
      </c>
      <c r="E118" s="241" t="s">
        <v>342</v>
      </c>
      <c r="F118" s="241" t="s">
        <v>404</v>
      </c>
      <c r="G118" s="298" t="s">
        <v>621</v>
      </c>
      <c r="H118" s="241">
        <v>2070</v>
      </c>
      <c r="I118" s="299">
        <v>3.1536000000000002E-2</v>
      </c>
      <c r="J118" s="300">
        <v>0.95</v>
      </c>
      <c r="K118" s="241">
        <v>40</v>
      </c>
      <c r="L118" s="301" t="s">
        <v>108</v>
      </c>
      <c r="M118" s="301">
        <v>1010.6</v>
      </c>
      <c r="N118" s="301" t="s">
        <v>108</v>
      </c>
      <c r="O118" s="301" t="s">
        <v>108</v>
      </c>
      <c r="P118" s="301" t="s">
        <v>108</v>
      </c>
      <c r="Q118" s="301" t="s">
        <v>108</v>
      </c>
      <c r="R118" s="128"/>
      <c r="S118" s="19"/>
      <c r="T118" s="107"/>
      <c r="U118" s="241" t="str">
        <f>$C118</f>
        <v>HET1NUCSMR</v>
      </c>
      <c r="V118" s="325" t="s">
        <v>621</v>
      </c>
      <c r="W118" s="302" t="s">
        <v>108</v>
      </c>
      <c r="X118" s="302">
        <v>34.1</v>
      </c>
      <c r="Y118" s="302" t="s">
        <v>108</v>
      </c>
      <c r="Z118" s="302" t="s">
        <v>108</v>
      </c>
      <c r="AA118" s="302" t="s">
        <v>108</v>
      </c>
      <c r="AB118" s="302" t="s">
        <v>108</v>
      </c>
      <c r="AC118" s="314">
        <v>0.42333995784402279</v>
      </c>
      <c r="AD118" s="107"/>
      <c r="AE118" s="121" t="str">
        <f>$C118</f>
        <v>HET1NUCSMR</v>
      </c>
      <c r="AF118" s="121" t="s">
        <v>603</v>
      </c>
      <c r="AG118" s="163" t="s">
        <v>108</v>
      </c>
      <c r="AH118" s="163">
        <v>0.9</v>
      </c>
      <c r="AI118" s="163">
        <v>0.9</v>
      </c>
      <c r="AJ118" s="163" t="s">
        <v>108</v>
      </c>
      <c r="AK118" s="163" t="s">
        <v>108</v>
      </c>
      <c r="AL118" s="121" t="s">
        <v>108</v>
      </c>
      <c r="AM118" s="107"/>
      <c r="AN118" s="121" t="str">
        <f>$C118</f>
        <v>HET1NUCSMR</v>
      </c>
      <c r="AO118" s="121"/>
      <c r="AP118" s="121"/>
      <c r="AQ118" s="121"/>
      <c r="AR118" s="121"/>
      <c r="AS118" s="121"/>
      <c r="AT118" s="121"/>
      <c r="AU118" s="121"/>
      <c r="AV118" s="121"/>
      <c r="AW118" s="303">
        <v>0.6</v>
      </c>
      <c r="AX118" s="121"/>
      <c r="AY118" s="121"/>
      <c r="AZ118" s="319"/>
      <c r="BA118" s="319"/>
      <c r="BB118" s="319"/>
      <c r="BD118" s="297"/>
      <c r="BE118" s="19"/>
      <c r="BF118" s="245"/>
      <c r="BG118" s="245"/>
      <c r="BH118" s="245"/>
      <c r="BJ118" s="170"/>
      <c r="BK118" s="24"/>
    </row>
    <row r="119" spans="3:63">
      <c r="C119" s="241" t="s">
        <v>443</v>
      </c>
      <c r="D119" s="241" t="s">
        <v>444</v>
      </c>
      <c r="E119" s="241" t="s">
        <v>583</v>
      </c>
      <c r="F119" s="241" t="s">
        <v>404</v>
      </c>
      <c r="G119" s="298" t="s">
        <v>621</v>
      </c>
      <c r="H119" s="241">
        <v>2015</v>
      </c>
      <c r="I119" s="299">
        <v>31.536000000000001</v>
      </c>
      <c r="J119" s="300">
        <v>0.95</v>
      </c>
      <c r="K119" s="241">
        <v>25</v>
      </c>
      <c r="L119" s="301">
        <v>452.42063299755586</v>
      </c>
      <c r="M119" s="301">
        <v>429.6859278217994</v>
      </c>
      <c r="N119" s="301">
        <v>409.22469316361844</v>
      </c>
      <c r="O119" s="301"/>
      <c r="P119" s="301">
        <v>394.44713479937656</v>
      </c>
      <c r="Q119" s="301"/>
      <c r="R119" s="128"/>
      <c r="S119" s="19"/>
      <c r="T119" s="107"/>
      <c r="U119" s="241" t="str">
        <f t="shared" si="8"/>
        <v>HET1BIOGFE-1</v>
      </c>
      <c r="V119" s="325" t="s">
        <v>621</v>
      </c>
      <c r="W119" s="302">
        <v>19.32449939939309</v>
      </c>
      <c r="X119" s="302">
        <v>18.415111192362829</v>
      </c>
      <c r="Y119" s="302">
        <v>18.187764140605257</v>
      </c>
      <c r="Z119" s="302"/>
      <c r="AA119" s="302">
        <v>17.960417088847692</v>
      </c>
      <c r="AB119" s="302"/>
      <c r="AC119" s="314">
        <v>0.6315195882154605</v>
      </c>
      <c r="AD119" s="107"/>
      <c r="AE119" s="121" t="str">
        <f t="shared" si="9"/>
        <v>HET1BIOGFE-1</v>
      </c>
      <c r="AF119" s="121" t="s">
        <v>603</v>
      </c>
      <c r="AG119" s="163">
        <v>0.90832531325984711</v>
      </c>
      <c r="AH119" s="163"/>
      <c r="AI119" s="163">
        <v>0.91607203558821659</v>
      </c>
      <c r="AJ119" s="163"/>
      <c r="AK119" s="163">
        <v>0.92555328064368148</v>
      </c>
      <c r="AL119" s="121"/>
      <c r="AM119" s="107"/>
      <c r="AN119" s="121" t="str">
        <f t="shared" si="10"/>
        <v>HET1BIOGFE-1</v>
      </c>
      <c r="AO119" s="121"/>
      <c r="AP119" s="121"/>
      <c r="AQ119" s="121"/>
      <c r="AR119" s="121"/>
      <c r="AS119" s="121"/>
      <c r="AT119" s="121"/>
      <c r="AU119" s="121"/>
      <c r="AV119" s="121"/>
      <c r="AW119" s="303">
        <v>0.56999999999999995</v>
      </c>
      <c r="AX119" s="121"/>
      <c r="AY119" s="121"/>
    </row>
    <row r="120" spans="3:63">
      <c r="C120" s="241" t="s">
        <v>445</v>
      </c>
      <c r="D120" s="241" t="s">
        <v>446</v>
      </c>
      <c r="E120" s="241" t="s">
        <v>455</v>
      </c>
      <c r="F120" s="241" t="s">
        <v>404</v>
      </c>
      <c r="G120" s="298" t="s">
        <v>621</v>
      </c>
      <c r="H120" s="241">
        <f ca="1">BaseYear+1</f>
        <v>2011</v>
      </c>
      <c r="I120" s="299">
        <v>31.536000000000001</v>
      </c>
      <c r="J120" s="300">
        <v>0.95</v>
      </c>
      <c r="K120" s="241">
        <v>25</v>
      </c>
      <c r="L120" s="301">
        <v>114.084447858384</v>
      </c>
      <c r="M120" s="301">
        <v>114.084447858384</v>
      </c>
      <c r="N120" s="301">
        <v>114.084447858384</v>
      </c>
      <c r="O120" s="301"/>
      <c r="P120" s="301">
        <v>114.084447858384</v>
      </c>
      <c r="Q120" s="301"/>
      <c r="R120" s="128"/>
      <c r="S120" s="19"/>
      <c r="T120" s="107"/>
      <c r="U120" s="241" t="str">
        <f t="shared" si="8"/>
        <v>HET1BLQBUR-1</v>
      </c>
      <c r="V120" s="325" t="s">
        <v>621</v>
      </c>
      <c r="W120" s="302">
        <v>8.0665771212998791</v>
      </c>
      <c r="X120" s="302">
        <v>8.0665771212998791</v>
      </c>
      <c r="Y120" s="302">
        <v>8.0665771212998791</v>
      </c>
      <c r="Z120" s="302"/>
      <c r="AA120" s="302">
        <v>8.0665771212998791</v>
      </c>
      <c r="AB120" s="302"/>
      <c r="AC120" s="314">
        <v>0.22407158670277444</v>
      </c>
      <c r="AD120" s="107"/>
      <c r="AE120" s="121" t="str">
        <f t="shared" si="9"/>
        <v>HET1BLQBUR-1</v>
      </c>
      <c r="AF120" s="121" t="s">
        <v>603</v>
      </c>
      <c r="AG120" s="163">
        <v>0.89823280977918207</v>
      </c>
      <c r="AH120" s="163"/>
      <c r="AI120" s="163">
        <v>0.90589345741501415</v>
      </c>
      <c r="AJ120" s="163"/>
      <c r="AK120" s="163">
        <v>0.91526935530319609</v>
      </c>
      <c r="AL120" s="121"/>
      <c r="AM120" s="107"/>
      <c r="AN120" s="121" t="str">
        <f t="shared" si="10"/>
        <v>HET1BLQBUR-1</v>
      </c>
      <c r="AO120" s="121"/>
      <c r="AP120" s="121"/>
      <c r="AQ120" s="121"/>
      <c r="AR120" s="121"/>
      <c r="AS120" s="121"/>
      <c r="AT120" s="121"/>
      <c r="AU120" s="121"/>
      <c r="AV120" s="121"/>
      <c r="AW120" s="303">
        <v>0.56999999999999995</v>
      </c>
      <c r="AX120" s="121"/>
      <c r="AY120" s="121"/>
    </row>
    <row r="121" spans="3:63">
      <c r="C121" s="241" t="s">
        <v>448</v>
      </c>
      <c r="D121" s="241" t="s">
        <v>454</v>
      </c>
      <c r="E121" s="241" t="s">
        <v>447</v>
      </c>
      <c r="F121" s="241" t="s">
        <v>404</v>
      </c>
      <c r="G121" s="298" t="s">
        <v>621</v>
      </c>
      <c r="H121" s="241">
        <f ca="1">BaseYear+1</f>
        <v>2011</v>
      </c>
      <c r="I121" s="299">
        <v>31.536000000000001</v>
      </c>
      <c r="J121" s="300">
        <v>0.95</v>
      </c>
      <c r="K121" s="241">
        <v>25</v>
      </c>
      <c r="L121" s="301">
        <v>98.642714511895662</v>
      </c>
      <c r="M121" s="301">
        <v>98.642714511895662</v>
      </c>
      <c r="N121" s="301">
        <v>98.642714511895662</v>
      </c>
      <c r="O121" s="301"/>
      <c r="P121" s="301">
        <v>98.642714511895662</v>
      </c>
      <c r="Q121" s="301"/>
      <c r="R121" s="128"/>
      <c r="S121" s="19"/>
      <c r="T121" s="107"/>
      <c r="U121" s="241" t="str">
        <f t="shared" si="8"/>
        <v>HET1OILBUR-1</v>
      </c>
      <c r="V121" s="325" t="s">
        <v>621</v>
      </c>
      <c r="W121" s="302">
        <v>7.0419269652708492</v>
      </c>
      <c r="X121" s="302">
        <v>7.0419269652708492</v>
      </c>
      <c r="Y121" s="302">
        <v>7.0419269652708492</v>
      </c>
      <c r="Z121" s="302"/>
      <c r="AA121" s="302">
        <v>7.0419269652708492</v>
      </c>
      <c r="AB121" s="302"/>
      <c r="AC121" s="314">
        <v>0.1856593146965845</v>
      </c>
      <c r="AD121" s="107"/>
      <c r="AE121" s="121" t="str">
        <f t="shared" si="9"/>
        <v>HET1OILBUR-1</v>
      </c>
      <c r="AF121" s="121" t="s">
        <v>603</v>
      </c>
      <c r="AG121" s="163">
        <v>0.90832531325984711</v>
      </c>
      <c r="AH121" s="163"/>
      <c r="AI121" s="163">
        <v>0.91607203558821659</v>
      </c>
      <c r="AJ121" s="163"/>
      <c r="AK121" s="163">
        <v>0.92555328064368148</v>
      </c>
      <c r="AL121" s="121"/>
      <c r="AM121" s="107"/>
      <c r="AN121" s="121" t="str">
        <f t="shared" si="10"/>
        <v>HET1OILBUR-1</v>
      </c>
      <c r="AO121" s="121"/>
      <c r="AP121" s="121"/>
      <c r="AQ121" s="121"/>
      <c r="AR121" s="121"/>
      <c r="AS121" s="121"/>
      <c r="AT121" s="121"/>
      <c r="AU121" s="121"/>
      <c r="AV121" s="121"/>
      <c r="AW121" s="303">
        <v>0.56999999999999995</v>
      </c>
      <c r="AX121" s="121"/>
      <c r="AY121" s="121"/>
    </row>
    <row r="122" spans="3:63">
      <c r="C122" s="241" t="s">
        <v>460</v>
      </c>
      <c r="D122" s="241" t="s">
        <v>461</v>
      </c>
      <c r="E122" s="241" t="s">
        <v>583</v>
      </c>
      <c r="F122" s="241" t="s">
        <v>404</v>
      </c>
      <c r="G122" s="298" t="s">
        <v>621</v>
      </c>
      <c r="H122" s="241">
        <f ca="1">BaseYear+1</f>
        <v>2011</v>
      </c>
      <c r="I122" s="299">
        <v>31.536000000000001</v>
      </c>
      <c r="J122" s="300">
        <v>0.95</v>
      </c>
      <c r="K122" s="241">
        <v>25</v>
      </c>
      <c r="L122" s="301">
        <v>418.53751758810199</v>
      </c>
      <c r="M122" s="301">
        <v>418.53751758810199</v>
      </c>
      <c r="N122" s="301">
        <v>418.53751758810199</v>
      </c>
      <c r="O122" s="301"/>
      <c r="P122" s="301">
        <v>418.53751758810199</v>
      </c>
      <c r="Q122" s="301"/>
      <c r="R122" s="128"/>
      <c r="S122" s="19"/>
      <c r="T122" s="107"/>
      <c r="U122" s="241" t="str">
        <f t="shared" si="8"/>
        <v>HET1BIOBFB-1</v>
      </c>
      <c r="V122" s="325" t="s">
        <v>621</v>
      </c>
      <c r="W122" s="302">
        <v>21.041813788107309</v>
      </c>
      <c r="X122" s="302">
        <v>21.041813788107309</v>
      </c>
      <c r="Y122" s="302">
        <v>21.041813788107309</v>
      </c>
      <c r="Z122" s="302"/>
      <c r="AA122" s="302">
        <v>21.041813788107309</v>
      </c>
      <c r="AB122" s="302"/>
      <c r="AC122" s="314">
        <v>0.61929940722392007</v>
      </c>
      <c r="AD122" s="107"/>
      <c r="AE122" s="121" t="str">
        <f t="shared" si="9"/>
        <v>HET1BIOBFB-1</v>
      </c>
      <c r="AF122" s="121" t="s">
        <v>603</v>
      </c>
      <c r="AG122" s="163">
        <v>0.88516282838648108</v>
      </c>
      <c r="AH122" s="163"/>
      <c r="AI122" s="163">
        <v>0.88993585671239284</v>
      </c>
      <c r="AJ122" s="163"/>
      <c r="AK122" s="163">
        <v>0.89573733801070599</v>
      </c>
      <c r="AL122" s="121"/>
      <c r="AM122" s="107"/>
      <c r="AN122" s="121" t="str">
        <f t="shared" si="10"/>
        <v>HET1BIOBFB-1</v>
      </c>
      <c r="AO122" s="121"/>
      <c r="AP122" s="121"/>
      <c r="AQ122" s="121"/>
      <c r="AR122" s="121"/>
      <c r="AS122" s="121"/>
      <c r="AT122" s="121"/>
      <c r="AU122" s="121"/>
      <c r="AV122" s="121"/>
      <c r="AW122" s="303">
        <v>0.56999999999999995</v>
      </c>
      <c r="AX122" s="121"/>
      <c r="AY122" s="121"/>
    </row>
    <row r="123" spans="3:63">
      <c r="C123" s="241" t="s">
        <v>143</v>
      </c>
      <c r="D123" s="241" t="s">
        <v>144</v>
      </c>
      <c r="E123" s="241" t="s">
        <v>583</v>
      </c>
      <c r="F123" s="241" t="s">
        <v>404</v>
      </c>
      <c r="G123" s="298" t="s">
        <v>621</v>
      </c>
      <c r="H123" s="241">
        <v>2020</v>
      </c>
      <c r="I123" s="299">
        <v>31.536000000000001</v>
      </c>
      <c r="J123" s="300">
        <v>0.95</v>
      </c>
      <c r="K123" s="241">
        <v>25</v>
      </c>
      <c r="L123" s="301">
        <v>383.41613931542577</v>
      </c>
      <c r="M123" s="301">
        <v>383.41613931542577</v>
      </c>
      <c r="N123" s="301">
        <v>368.663799863772</v>
      </c>
      <c r="O123" s="301"/>
      <c r="P123" s="301">
        <v>354.4790721972804</v>
      </c>
      <c r="Q123" s="301"/>
      <c r="R123" s="128"/>
      <c r="S123" s="19"/>
      <c r="T123" s="107"/>
      <c r="U123" s="241" t="str">
        <f t="shared" si="8"/>
        <v>HET1BIOCFB-1</v>
      </c>
      <c r="V123" s="325" t="s">
        <v>621</v>
      </c>
      <c r="W123" s="302">
        <v>16.563577218426392</v>
      </c>
      <c r="X123" s="302">
        <v>16.563577218426392</v>
      </c>
      <c r="Y123" s="302">
        <v>16.563577218426392</v>
      </c>
      <c r="Z123" s="302"/>
      <c r="AA123" s="302">
        <v>16.563577218426392</v>
      </c>
      <c r="AB123" s="302"/>
      <c r="AC123" s="314">
        <v>0.29268292682926833</v>
      </c>
      <c r="AD123" s="107"/>
      <c r="AE123" s="121" t="str">
        <f t="shared" si="9"/>
        <v>HET1BIOCFB-1</v>
      </c>
      <c r="AF123" s="121" t="s">
        <v>603</v>
      </c>
      <c r="AG123" s="163">
        <v>1.04</v>
      </c>
      <c r="AH123" s="163">
        <v>1.05</v>
      </c>
      <c r="AI123" s="163">
        <v>1.06</v>
      </c>
      <c r="AJ123" s="163"/>
      <c r="AK123" s="163">
        <v>1.07</v>
      </c>
      <c r="AL123" s="121"/>
      <c r="AM123" s="150"/>
      <c r="AN123" s="121" t="str">
        <f t="shared" si="10"/>
        <v>HET1BIOCFB-1</v>
      </c>
      <c r="AO123" s="121"/>
      <c r="AP123" s="121"/>
      <c r="AQ123" s="121"/>
      <c r="AR123" s="121"/>
      <c r="AS123" s="121"/>
      <c r="AT123" s="121"/>
      <c r="AU123" s="121"/>
      <c r="AV123" s="121"/>
      <c r="AW123" s="304">
        <v>0.62785388127853881</v>
      </c>
      <c r="AX123" s="121"/>
      <c r="AY123" s="121"/>
      <c r="BJ123" s="24"/>
    </row>
    <row r="124" spans="3:63">
      <c r="C124" s="241" t="s">
        <v>145</v>
      </c>
      <c r="D124" s="241" t="s">
        <v>146</v>
      </c>
      <c r="E124" s="241" t="s">
        <v>583</v>
      </c>
      <c r="F124" s="241" t="s">
        <v>404</v>
      </c>
      <c r="G124" s="298" t="s">
        <v>621</v>
      </c>
      <c r="H124" s="241">
        <v>2030</v>
      </c>
      <c r="I124" s="299">
        <v>31.536000000000001</v>
      </c>
      <c r="J124" s="300">
        <v>0.95</v>
      </c>
      <c r="K124" s="241">
        <v>25</v>
      </c>
      <c r="L124" s="301">
        <v>702.27396203999444</v>
      </c>
      <c r="M124" s="301">
        <v>702.27396203999444</v>
      </c>
      <c r="N124" s="301">
        <v>675.25323230605704</v>
      </c>
      <c r="O124" s="301"/>
      <c r="P124" s="301">
        <v>649.27215358414571</v>
      </c>
      <c r="Q124" s="301"/>
      <c r="R124" s="128"/>
      <c r="S124" s="19"/>
      <c r="T124" s="107"/>
      <c r="U124" s="241" t="str">
        <f t="shared" si="8"/>
        <v>HET1BIOCFB+1</v>
      </c>
      <c r="V124" s="325" t="s">
        <v>621</v>
      </c>
      <c r="W124" s="302">
        <v>20.471364848907594</v>
      </c>
      <c r="X124" s="302">
        <v>20.471364848907594</v>
      </c>
      <c r="Y124" s="302">
        <v>20.471364848907594</v>
      </c>
      <c r="Z124" s="302"/>
      <c r="AA124" s="302">
        <v>20.471364848907594</v>
      </c>
      <c r="AB124" s="302"/>
      <c r="AC124" s="314">
        <v>0.35920177383592022</v>
      </c>
      <c r="AD124" s="107"/>
      <c r="AE124" s="121" t="str">
        <f t="shared" si="9"/>
        <v>HET1BIOCFB+1</v>
      </c>
      <c r="AF124" s="121" t="s">
        <v>603</v>
      </c>
      <c r="AG124" s="163">
        <v>1.014</v>
      </c>
      <c r="AH124" s="163">
        <v>1.0237499999999999</v>
      </c>
      <c r="AI124" s="163">
        <v>1.0335000000000001</v>
      </c>
      <c r="AJ124" s="163"/>
      <c r="AK124" s="163">
        <v>1.04325</v>
      </c>
      <c r="AL124" s="121"/>
      <c r="AM124" s="150"/>
      <c r="AN124" s="121" t="str">
        <f t="shared" si="10"/>
        <v>HET1BIOCFB+1</v>
      </c>
      <c r="AO124" s="121"/>
      <c r="AP124" s="121"/>
      <c r="AQ124" s="121"/>
      <c r="AR124" s="121"/>
      <c r="AS124" s="121"/>
      <c r="AT124" s="121"/>
      <c r="AU124" s="121"/>
      <c r="AV124" s="121"/>
      <c r="AW124" s="304">
        <v>0.62785388127853881</v>
      </c>
      <c r="AX124" s="121"/>
      <c r="AY124" s="121"/>
      <c r="BJ124" s="24"/>
    </row>
    <row r="125" spans="3:63">
      <c r="C125" s="241" t="s">
        <v>633</v>
      </c>
      <c r="D125" s="241" t="s">
        <v>115</v>
      </c>
      <c r="E125" s="241" t="s">
        <v>585</v>
      </c>
      <c r="F125" s="241" t="s">
        <v>436</v>
      </c>
      <c r="G125" s="298" t="s">
        <v>621</v>
      </c>
      <c r="H125" s="241">
        <v>2020</v>
      </c>
      <c r="I125" s="299">
        <v>31.536000000000001</v>
      </c>
      <c r="J125" s="300">
        <v>0.95</v>
      </c>
      <c r="K125" s="241">
        <v>25</v>
      </c>
      <c r="L125" s="301">
        <v>383.41613931542577</v>
      </c>
      <c r="M125" s="301">
        <v>383.41613931542577</v>
      </c>
      <c r="N125" s="301">
        <v>368.663799863772</v>
      </c>
      <c r="O125" s="301"/>
      <c r="P125" s="301">
        <v>354.4790721972804</v>
      </c>
      <c r="Q125" s="301"/>
      <c r="R125" s="128"/>
      <c r="S125" s="19"/>
      <c r="T125" s="107"/>
      <c r="U125" s="241" t="str">
        <f t="shared" si="8"/>
        <v>HET3BIOCFB-1</v>
      </c>
      <c r="V125" s="325" t="s">
        <v>621</v>
      </c>
      <c r="W125" s="302">
        <v>16.563577218426392</v>
      </c>
      <c r="X125" s="302">
        <v>16.563577218426392</v>
      </c>
      <c r="Y125" s="302">
        <v>16.563577218426392</v>
      </c>
      <c r="Z125" s="302"/>
      <c r="AA125" s="302">
        <v>16.563577218426392</v>
      </c>
      <c r="AB125" s="302"/>
      <c r="AC125" s="314">
        <v>0.29268292682926833</v>
      </c>
      <c r="AD125" s="107"/>
      <c r="AE125" s="121" t="str">
        <f t="shared" si="9"/>
        <v>HET3BIOCFB-1</v>
      </c>
      <c r="AF125" s="121" t="s">
        <v>603</v>
      </c>
      <c r="AG125" s="163">
        <v>1.04</v>
      </c>
      <c r="AH125" s="163">
        <v>1.05</v>
      </c>
      <c r="AI125" s="163">
        <v>1.06</v>
      </c>
      <c r="AJ125" s="163"/>
      <c r="AK125" s="163">
        <v>1.07</v>
      </c>
      <c r="AL125" s="121"/>
      <c r="AM125" s="150"/>
      <c r="AN125" s="121" t="str">
        <f t="shared" si="10"/>
        <v>HET3BIOCFB-1</v>
      </c>
      <c r="AO125" s="121"/>
      <c r="AP125" s="121"/>
      <c r="AQ125" s="121"/>
      <c r="AR125" s="121"/>
      <c r="AS125" s="121"/>
      <c r="AT125" s="121"/>
      <c r="AU125" s="121"/>
      <c r="AV125" s="121"/>
      <c r="AW125" s="304">
        <v>0.62785388127853881</v>
      </c>
      <c r="AX125" s="121"/>
      <c r="AY125" s="121"/>
      <c r="BJ125" s="24"/>
    </row>
    <row r="126" spans="3:63">
      <c r="C126" s="241" t="s">
        <v>116</v>
      </c>
      <c r="D126" s="241" t="s">
        <v>115</v>
      </c>
      <c r="E126" s="241" t="s">
        <v>584</v>
      </c>
      <c r="F126" s="241" t="s">
        <v>419</v>
      </c>
      <c r="G126" s="298" t="s">
        <v>621</v>
      </c>
      <c r="H126" s="241">
        <v>2020</v>
      </c>
      <c r="I126" s="299">
        <v>31.536000000000001</v>
      </c>
      <c r="J126" s="300">
        <v>0.95</v>
      </c>
      <c r="K126" s="241">
        <v>25</v>
      </c>
      <c r="L126" s="301">
        <v>634.01156688094113</v>
      </c>
      <c r="M126" s="301">
        <v>543.43848589794948</v>
      </c>
      <c r="N126" s="301">
        <v>516.26656160305208</v>
      </c>
      <c r="O126" s="301"/>
      <c r="P126" s="301">
        <v>489.09463730815457</v>
      </c>
      <c r="Q126" s="301"/>
      <c r="R126" s="128"/>
      <c r="S126" s="19"/>
      <c r="T126" s="107"/>
      <c r="U126" s="241" t="str">
        <f t="shared" si="8"/>
        <v>HET2BIOBFB-0</v>
      </c>
      <c r="V126" s="325" t="s">
        <v>621</v>
      </c>
      <c r="W126" s="302">
        <v>29.707970562421238</v>
      </c>
      <c r="X126" s="302">
        <v>29.164532076523294</v>
      </c>
      <c r="Y126" s="302">
        <v>28.258801266693375</v>
      </c>
      <c r="Z126" s="302"/>
      <c r="AA126" s="302">
        <v>26.537912728016536</v>
      </c>
      <c r="AB126" s="302"/>
      <c r="AC126" s="314">
        <v>0.27675108078136323</v>
      </c>
      <c r="AD126" s="107"/>
      <c r="AE126" s="121" t="str">
        <f t="shared" si="9"/>
        <v>HET2BIOBFB-0</v>
      </c>
      <c r="AF126" s="121" t="s">
        <v>603</v>
      </c>
      <c r="AG126" s="163">
        <v>1.04</v>
      </c>
      <c r="AH126" s="163">
        <v>1.05</v>
      </c>
      <c r="AI126" s="163">
        <v>1.06</v>
      </c>
      <c r="AJ126" s="163"/>
      <c r="AK126" s="163">
        <v>1.07</v>
      </c>
      <c r="AL126" s="121"/>
      <c r="AM126" s="150"/>
      <c r="AN126" s="121" t="str">
        <f t="shared" si="10"/>
        <v>HET2BIOBFB-0</v>
      </c>
      <c r="AO126" s="121"/>
      <c r="AP126" s="121"/>
      <c r="AQ126" s="121"/>
      <c r="AR126" s="121"/>
      <c r="AS126" s="121"/>
      <c r="AT126" s="121"/>
      <c r="AU126" s="121"/>
      <c r="AV126" s="121"/>
      <c r="AW126" s="304">
        <v>0.62785388127853881</v>
      </c>
      <c r="AX126" s="121"/>
      <c r="AY126" s="121"/>
      <c r="BJ126" s="24"/>
    </row>
    <row r="127" spans="3:63">
      <c r="C127" s="241" t="s">
        <v>117</v>
      </c>
      <c r="D127" s="241" t="s">
        <v>115</v>
      </c>
      <c r="E127" s="241" t="s">
        <v>261</v>
      </c>
      <c r="F127" s="241" t="s">
        <v>441</v>
      </c>
      <c r="G127" s="298" t="s">
        <v>621</v>
      </c>
      <c r="H127" s="241">
        <v>2020</v>
      </c>
      <c r="I127" s="299">
        <v>31.536000000000001</v>
      </c>
      <c r="J127" s="300">
        <v>0.95</v>
      </c>
      <c r="K127" s="241">
        <v>25</v>
      </c>
      <c r="L127" s="301">
        <v>634.01156688094113</v>
      </c>
      <c r="M127" s="301">
        <v>543.43848589794948</v>
      </c>
      <c r="N127" s="301">
        <v>516.26656160305208</v>
      </c>
      <c r="O127" s="301"/>
      <c r="P127" s="301">
        <v>489.09463730815457</v>
      </c>
      <c r="Q127" s="301"/>
      <c r="R127" s="128"/>
      <c r="S127" s="19"/>
      <c r="T127" s="107"/>
      <c r="U127" s="241" t="str">
        <f t="shared" si="8"/>
        <v>HET4BIOBFB-0</v>
      </c>
      <c r="V127" s="325" t="s">
        <v>621</v>
      </c>
      <c r="W127" s="302">
        <v>29.707970562421238</v>
      </c>
      <c r="X127" s="302">
        <v>29.164532076523294</v>
      </c>
      <c r="Y127" s="302">
        <v>28.258801266693375</v>
      </c>
      <c r="Z127" s="302"/>
      <c r="AA127" s="302">
        <v>26.537912728016536</v>
      </c>
      <c r="AB127" s="302"/>
      <c r="AC127" s="314">
        <v>0.27675108078136323</v>
      </c>
      <c r="AD127" s="107"/>
      <c r="AE127" s="121" t="str">
        <f t="shared" si="9"/>
        <v>HET4BIOBFB-0</v>
      </c>
      <c r="AF127" s="121" t="s">
        <v>603</v>
      </c>
      <c r="AG127" s="163">
        <v>1.04</v>
      </c>
      <c r="AH127" s="163">
        <v>1.05</v>
      </c>
      <c r="AI127" s="163">
        <v>1.06</v>
      </c>
      <c r="AJ127" s="163"/>
      <c r="AK127" s="163">
        <v>1.07</v>
      </c>
      <c r="AL127" s="121"/>
      <c r="AM127" s="150"/>
      <c r="AN127" s="121" t="str">
        <f t="shared" si="10"/>
        <v>HET4BIOBFB-0</v>
      </c>
      <c r="AO127" s="121"/>
      <c r="AP127" s="121"/>
      <c r="AQ127" s="121"/>
      <c r="AR127" s="121"/>
      <c r="AS127" s="121"/>
      <c r="AT127" s="121"/>
      <c r="AU127" s="121"/>
      <c r="AV127" s="121"/>
      <c r="AW127" s="304">
        <v>0.62785388127853881</v>
      </c>
      <c r="AX127" s="121"/>
      <c r="AY127" s="121"/>
      <c r="BJ127" s="24"/>
    </row>
    <row r="128" spans="3:63">
      <c r="C128" s="241" t="s">
        <v>462</v>
      </c>
      <c r="D128" s="241" t="s">
        <v>463</v>
      </c>
      <c r="E128" s="241" t="s">
        <v>286</v>
      </c>
      <c r="F128" s="241" t="s">
        <v>404</v>
      </c>
      <c r="G128" s="298" t="s">
        <v>621</v>
      </c>
      <c r="H128" s="241">
        <f ca="1">BaseYear+1</f>
        <v>2011</v>
      </c>
      <c r="I128" s="299">
        <v>31.536000000000001</v>
      </c>
      <c r="J128" s="300">
        <v>0.95</v>
      </c>
      <c r="K128" s="241">
        <v>25</v>
      </c>
      <c r="L128" s="301">
        <v>330.03824107718361</v>
      </c>
      <c r="M128" s="301">
        <v>330.03824107718361</v>
      </c>
      <c r="N128" s="301">
        <v>330.03824107718361</v>
      </c>
      <c r="O128" s="301"/>
      <c r="P128" s="301">
        <v>330.03824107718361</v>
      </c>
      <c r="Q128" s="301"/>
      <c r="R128" s="128"/>
      <c r="S128" s="19"/>
      <c r="T128" s="107"/>
      <c r="U128" s="241" t="s">
        <v>462</v>
      </c>
      <c r="V128" s="325" t="s">
        <v>621</v>
      </c>
      <c r="W128" s="302">
        <v>16.881061798882268</v>
      </c>
      <c r="X128" s="302">
        <v>16.881061798882268</v>
      </c>
      <c r="Y128" s="302">
        <v>16.881061798882268</v>
      </c>
      <c r="Z128" s="302"/>
      <c r="AA128" s="302">
        <v>16.881061798882268</v>
      </c>
      <c r="AB128" s="302"/>
      <c r="AC128" s="314">
        <v>0.73597900568639651</v>
      </c>
      <c r="AD128" s="107"/>
      <c r="AE128" s="121" t="s">
        <v>462</v>
      </c>
      <c r="AF128" s="121" t="s">
        <v>603</v>
      </c>
      <c r="AG128" s="163">
        <v>0.88516282838648108</v>
      </c>
      <c r="AH128" s="163"/>
      <c r="AI128" s="163">
        <v>0.88993585671239284</v>
      </c>
      <c r="AJ128" s="163"/>
      <c r="AK128" s="163">
        <v>0.89573733801070599</v>
      </c>
      <c r="AL128" s="121"/>
      <c r="AM128" s="107"/>
      <c r="AN128" s="121" t="str">
        <f t="shared" si="10"/>
        <v>HET1COACFB-1</v>
      </c>
      <c r="AO128" s="121"/>
      <c r="AP128" s="121"/>
      <c r="AQ128" s="121"/>
      <c r="AR128" s="121"/>
      <c r="AS128" s="121"/>
      <c r="AT128" s="121"/>
      <c r="AU128" s="121"/>
      <c r="AV128" s="121"/>
      <c r="AW128" s="303">
        <v>0.56999999999999995</v>
      </c>
      <c r="AX128" s="121"/>
      <c r="AY128" s="121"/>
    </row>
    <row r="129" spans="3:51">
      <c r="C129" s="241" t="s">
        <v>464</v>
      </c>
      <c r="D129" s="241" t="s">
        <v>465</v>
      </c>
      <c r="E129" s="241" t="s">
        <v>417</v>
      </c>
      <c r="F129" s="241" t="s">
        <v>404</v>
      </c>
      <c r="G129" s="298" t="s">
        <v>621</v>
      </c>
      <c r="H129" s="241">
        <f ca="1">BaseYear+1</f>
        <v>2011</v>
      </c>
      <c r="I129" s="299">
        <v>31.536000000000001</v>
      </c>
      <c r="J129" s="300">
        <v>0.95</v>
      </c>
      <c r="K129" s="241">
        <v>25</v>
      </c>
      <c r="L129" s="301">
        <v>521.38257203068417</v>
      </c>
      <c r="M129" s="301">
        <v>521.38257203068417</v>
      </c>
      <c r="N129" s="301">
        <v>521.38257203068417</v>
      </c>
      <c r="O129" s="301"/>
      <c r="P129" s="301">
        <v>521.38257203068417</v>
      </c>
      <c r="Q129" s="301"/>
      <c r="R129" s="128"/>
      <c r="S129" s="19"/>
      <c r="T129" s="107"/>
      <c r="U129" s="241" t="s">
        <v>464</v>
      </c>
      <c r="V129" s="325" t="s">
        <v>621</v>
      </c>
      <c r="W129" s="302">
        <v>28.091733406825654</v>
      </c>
      <c r="X129" s="302">
        <v>28.091733406825654</v>
      </c>
      <c r="Y129" s="302">
        <v>28.091733406825654</v>
      </c>
      <c r="Z129" s="302"/>
      <c r="AA129" s="302">
        <v>28.091733406825654</v>
      </c>
      <c r="AB129" s="302"/>
      <c r="AC129" s="314">
        <v>1.4482849223074561</v>
      </c>
      <c r="AD129" s="107"/>
      <c r="AE129" s="121" t="s">
        <v>464</v>
      </c>
      <c r="AF129" s="121" t="s">
        <v>603</v>
      </c>
      <c r="AG129" s="163">
        <v>0.85498682287330552</v>
      </c>
      <c r="AH129" s="163"/>
      <c r="AI129" s="163">
        <v>0.85959713432447038</v>
      </c>
      <c r="AJ129" s="163"/>
      <c r="AK129" s="163">
        <v>0.86520083785125013</v>
      </c>
      <c r="AL129" s="121"/>
      <c r="AM129" s="107"/>
      <c r="AN129" s="121" t="str">
        <f t="shared" si="10"/>
        <v>HET1REFBFB-1</v>
      </c>
      <c r="AO129" s="121"/>
      <c r="AP129" s="121"/>
      <c r="AQ129" s="121"/>
      <c r="AR129" s="121"/>
      <c r="AS129" s="121"/>
      <c r="AT129" s="121"/>
      <c r="AU129" s="121"/>
      <c r="AV129" s="121"/>
      <c r="AW129" s="303">
        <v>0.56999999999999995</v>
      </c>
      <c r="AX129" s="121"/>
      <c r="AY129" s="121"/>
    </row>
    <row r="130" spans="3:51">
      <c r="C130" s="241" t="s">
        <v>466</v>
      </c>
      <c r="D130" s="241" t="s">
        <v>467</v>
      </c>
      <c r="E130" s="241" t="s">
        <v>584</v>
      </c>
      <c r="F130" s="241" t="s">
        <v>419</v>
      </c>
      <c r="G130" s="298" t="s">
        <v>621</v>
      </c>
      <c r="H130" s="241">
        <v>2015</v>
      </c>
      <c r="I130" s="299">
        <v>31.536000000000001</v>
      </c>
      <c r="J130" s="300">
        <v>0.95</v>
      </c>
      <c r="K130" s="241">
        <v>25</v>
      </c>
      <c r="L130" s="301">
        <v>491.06963179634215</v>
      </c>
      <c r="M130" s="301">
        <v>484.24922024361518</v>
      </c>
      <c r="N130" s="301">
        <v>477.42880869088816</v>
      </c>
      <c r="O130" s="301"/>
      <c r="P130" s="301">
        <v>471.74513239694903</v>
      </c>
      <c r="Q130" s="301"/>
      <c r="R130" s="128"/>
      <c r="S130" s="19"/>
      <c r="T130" s="107"/>
      <c r="U130" s="241" t="s">
        <v>466</v>
      </c>
      <c r="V130" s="325" t="s">
        <v>621</v>
      </c>
      <c r="W130" s="302">
        <v>31.828587246059211</v>
      </c>
      <c r="X130" s="302">
        <v>30.009810831998685</v>
      </c>
      <c r="Y130" s="302">
        <v>29.555116728483554</v>
      </c>
      <c r="Z130" s="302"/>
      <c r="AA130" s="302">
        <v>29.100422624968424</v>
      </c>
      <c r="AB130" s="302"/>
      <c r="AC130" s="314">
        <v>0.69467154703700662</v>
      </c>
      <c r="AD130" s="107"/>
      <c r="AE130" s="121" t="s">
        <v>466</v>
      </c>
      <c r="AF130" s="121" t="s">
        <v>603</v>
      </c>
      <c r="AG130" s="163">
        <v>0.90832531325984711</v>
      </c>
      <c r="AH130" s="163"/>
      <c r="AI130" s="163">
        <v>0.91607203558821659</v>
      </c>
      <c r="AJ130" s="163"/>
      <c r="AK130" s="163">
        <v>0.92555328064368148</v>
      </c>
      <c r="AL130" s="121"/>
      <c r="AM130" s="107"/>
      <c r="AN130" s="121" t="str">
        <f t="shared" si="10"/>
        <v>HET2BIOGFE-1</v>
      </c>
      <c r="AO130" s="121"/>
      <c r="AP130" s="121"/>
      <c r="AQ130" s="121"/>
      <c r="AR130" s="121"/>
      <c r="AS130" s="121"/>
      <c r="AT130" s="121"/>
      <c r="AU130" s="121"/>
      <c r="AV130" s="121"/>
      <c r="AW130" s="303">
        <v>0.56999999999999995</v>
      </c>
      <c r="AX130" s="121"/>
      <c r="AY130" s="121"/>
    </row>
    <row r="131" spans="3:51">
      <c r="C131" s="241" t="s">
        <v>469</v>
      </c>
      <c r="D131" s="241" t="s">
        <v>470</v>
      </c>
      <c r="E131" s="241" t="s">
        <v>447</v>
      </c>
      <c r="F131" s="241" t="s">
        <v>419</v>
      </c>
      <c r="G131" s="298" t="s">
        <v>621</v>
      </c>
      <c r="H131" s="241">
        <f ca="1">BaseYear+1</f>
        <v>2011</v>
      </c>
      <c r="I131" s="299">
        <v>31.536000000000001</v>
      </c>
      <c r="J131" s="300">
        <v>0.95</v>
      </c>
      <c r="K131" s="241">
        <v>25</v>
      </c>
      <c r="L131" s="301">
        <v>149.11643992802919</v>
      </c>
      <c r="M131" s="301">
        <v>149.11643992802919</v>
      </c>
      <c r="N131" s="301">
        <v>149.11643992802919</v>
      </c>
      <c r="O131" s="301"/>
      <c r="P131" s="301">
        <v>149.11643992802919</v>
      </c>
      <c r="Q131" s="301"/>
      <c r="R131" s="128"/>
      <c r="S131" s="19"/>
      <c r="T131" s="107"/>
      <c r="U131" s="241" t="s">
        <v>469</v>
      </c>
      <c r="V131" s="325" t="s">
        <v>621</v>
      </c>
      <c r="W131" s="302">
        <v>8.4433467901279116</v>
      </c>
      <c r="X131" s="302">
        <v>8.4433467901279116</v>
      </c>
      <c r="Y131" s="302">
        <v>8.4433467901279116</v>
      </c>
      <c r="Z131" s="302"/>
      <c r="AA131" s="302">
        <v>8.4433467901279116</v>
      </c>
      <c r="AB131" s="302"/>
      <c r="AC131" s="314">
        <v>0.25596379149888093</v>
      </c>
      <c r="AD131" s="107"/>
      <c r="AE131" s="121" t="s">
        <v>469</v>
      </c>
      <c r="AF131" s="121" t="s">
        <v>603</v>
      </c>
      <c r="AG131" s="163">
        <v>0.90832531325984711</v>
      </c>
      <c r="AH131" s="163"/>
      <c r="AI131" s="163">
        <v>0.91607203558821659</v>
      </c>
      <c r="AJ131" s="163"/>
      <c r="AK131" s="163">
        <v>0.92555328064368148</v>
      </c>
      <c r="AL131" s="121"/>
      <c r="AM131" s="107"/>
      <c r="AN131" s="121" t="str">
        <f t="shared" si="10"/>
        <v>HET2OILBUR-1</v>
      </c>
      <c r="AO131" s="121"/>
      <c r="AP131" s="121"/>
      <c r="AQ131" s="121"/>
      <c r="AR131" s="121"/>
      <c r="AS131" s="121"/>
      <c r="AT131" s="121"/>
      <c r="AU131" s="121"/>
      <c r="AV131" s="121"/>
      <c r="AW131" s="303">
        <v>0.56999999999999995</v>
      </c>
      <c r="AX131" s="121"/>
      <c r="AY131" s="121"/>
    </row>
    <row r="132" spans="3:51">
      <c r="C132" s="241" t="s">
        <v>471</v>
      </c>
      <c r="D132" s="241" t="s">
        <v>472</v>
      </c>
      <c r="E132" s="241" t="s">
        <v>455</v>
      </c>
      <c r="F132" s="241" t="s">
        <v>419</v>
      </c>
      <c r="G132" s="298" t="s">
        <v>621</v>
      </c>
      <c r="H132" s="241">
        <v>2015</v>
      </c>
      <c r="I132" s="299">
        <v>31.536000000000001</v>
      </c>
      <c r="J132" s="300">
        <v>0.95</v>
      </c>
      <c r="K132" s="241">
        <v>25</v>
      </c>
      <c r="L132" s="301">
        <v>166.40196233081465</v>
      </c>
      <c r="M132" s="301">
        <v>166.40196233081465</v>
      </c>
      <c r="N132" s="301">
        <v>166.40196233081465</v>
      </c>
      <c r="O132" s="301"/>
      <c r="P132" s="301">
        <v>166.40196233081465</v>
      </c>
      <c r="Q132" s="301"/>
      <c r="R132" s="128"/>
      <c r="S132" s="19"/>
      <c r="T132" s="107"/>
      <c r="U132" s="241" t="s">
        <v>471</v>
      </c>
      <c r="V132" s="325" t="s">
        <v>621</v>
      </c>
      <c r="W132" s="302">
        <v>9.7098488086471093</v>
      </c>
      <c r="X132" s="302">
        <v>9.7098488086471093</v>
      </c>
      <c r="Y132" s="302">
        <v>9.7098488086471093</v>
      </c>
      <c r="Z132" s="302"/>
      <c r="AA132" s="302">
        <v>9.7098488086471093</v>
      </c>
      <c r="AB132" s="302"/>
      <c r="AC132" s="314">
        <v>0.29449408538078925</v>
      </c>
      <c r="AD132" s="107"/>
      <c r="AE132" s="121" t="s">
        <v>471</v>
      </c>
      <c r="AF132" s="121" t="s">
        <v>603</v>
      </c>
      <c r="AG132" s="163">
        <v>0.89823280977918207</v>
      </c>
      <c r="AH132" s="163"/>
      <c r="AI132" s="163">
        <v>0.90589345741501415</v>
      </c>
      <c r="AJ132" s="163"/>
      <c r="AK132" s="163">
        <v>0.91526935530319609</v>
      </c>
      <c r="AL132" s="121"/>
      <c r="AM132" s="107"/>
      <c r="AN132" s="121" t="str">
        <f t="shared" si="10"/>
        <v>HET2BLQBUR-1</v>
      </c>
      <c r="AO132" s="121"/>
      <c r="AP132" s="121"/>
      <c r="AQ132" s="121"/>
      <c r="AR132" s="121"/>
      <c r="AS132" s="121"/>
      <c r="AT132" s="121"/>
      <c r="AU132" s="121"/>
      <c r="AV132" s="121"/>
      <c r="AW132" s="303">
        <v>0.56999999999999995</v>
      </c>
      <c r="AX132" s="121"/>
      <c r="AY132" s="121"/>
    </row>
    <row r="133" spans="3:51">
      <c r="C133" s="241" t="s">
        <v>473</v>
      </c>
      <c r="D133" s="241" t="s">
        <v>474</v>
      </c>
      <c r="E133" s="241" t="s">
        <v>267</v>
      </c>
      <c r="F133" s="241" t="s">
        <v>419</v>
      </c>
      <c r="G133" s="298" t="s">
        <v>621</v>
      </c>
      <c r="H133" s="241">
        <f ca="1">BaseYear+1</f>
        <v>2011</v>
      </c>
      <c r="I133" s="299">
        <v>31.536000000000001</v>
      </c>
      <c r="J133" s="300">
        <v>0.95</v>
      </c>
      <c r="K133" s="241">
        <v>25</v>
      </c>
      <c r="L133" s="301">
        <v>542.07398255135183</v>
      </c>
      <c r="M133" s="301">
        <v>542.07398255135183</v>
      </c>
      <c r="N133" s="301">
        <v>542.07398255135183</v>
      </c>
      <c r="O133" s="301"/>
      <c r="P133" s="301">
        <v>542.07398255135183</v>
      </c>
      <c r="Q133" s="301"/>
      <c r="R133" s="128"/>
      <c r="S133" s="19"/>
      <c r="T133" s="107"/>
      <c r="U133" s="241" t="s">
        <v>473</v>
      </c>
      <c r="V133" s="325" t="s">
        <v>621</v>
      </c>
      <c r="W133" s="302">
        <v>35.255671598314891</v>
      </c>
      <c r="X133" s="302">
        <v>35.255671598314891</v>
      </c>
      <c r="Y133" s="302">
        <v>35.255671598314891</v>
      </c>
      <c r="Z133" s="302"/>
      <c r="AA133" s="302">
        <v>35.255671598314891</v>
      </c>
      <c r="AB133" s="302"/>
      <c r="AC133" s="314">
        <v>0.68572449797408142</v>
      </c>
      <c r="AD133" s="107"/>
      <c r="AE133" s="121" t="s">
        <v>473</v>
      </c>
      <c r="AF133" s="121" t="s">
        <v>603</v>
      </c>
      <c r="AG133" s="163">
        <v>0.89113788287737428</v>
      </c>
      <c r="AH133" s="163"/>
      <c r="AI133" s="163">
        <v>0.90156944742128797</v>
      </c>
      <c r="AJ133" s="163"/>
      <c r="AK133" s="163">
        <v>0.91442647903209295</v>
      </c>
      <c r="AL133" s="121"/>
      <c r="AM133" s="107"/>
      <c r="AN133" s="121" t="str">
        <f t="shared" si="10"/>
        <v>HET2BIOBFB-1</v>
      </c>
      <c r="AO133" s="121"/>
      <c r="AP133" s="121"/>
      <c r="AQ133" s="121"/>
      <c r="AR133" s="121"/>
      <c r="AS133" s="121"/>
      <c r="AT133" s="121"/>
      <c r="AU133" s="121"/>
      <c r="AV133" s="121"/>
      <c r="AW133" s="303">
        <v>0.56999999999999995</v>
      </c>
      <c r="AX133" s="121"/>
      <c r="AY133" s="121"/>
    </row>
    <row r="134" spans="3:51">
      <c r="C134" s="241" t="s">
        <v>475</v>
      </c>
      <c r="D134" s="241" t="s">
        <v>444</v>
      </c>
      <c r="E134" s="241" t="s">
        <v>585</v>
      </c>
      <c r="F134" s="241" t="s">
        <v>436</v>
      </c>
      <c r="G134" s="298" t="s">
        <v>621</v>
      </c>
      <c r="H134" s="241">
        <v>2015</v>
      </c>
      <c r="I134" s="299">
        <v>31.536000000000001</v>
      </c>
      <c r="J134" s="300">
        <v>0.95</v>
      </c>
      <c r="K134" s="241">
        <v>25</v>
      </c>
      <c r="L134" s="301">
        <v>452.42063299755586</v>
      </c>
      <c r="M134" s="301">
        <v>429.6859278217994</v>
      </c>
      <c r="N134" s="301">
        <v>409.22469316361844</v>
      </c>
      <c r="O134" s="301"/>
      <c r="P134" s="301">
        <v>394.44713479937656</v>
      </c>
      <c r="Q134" s="301"/>
      <c r="R134" s="128"/>
      <c r="S134" s="19"/>
      <c r="T134" s="107"/>
      <c r="U134" s="241" t="s">
        <v>475</v>
      </c>
      <c r="V134" s="325" t="s">
        <v>621</v>
      </c>
      <c r="W134" s="302">
        <v>19.32449939939309</v>
      </c>
      <c r="X134" s="302">
        <v>18.415111192362829</v>
      </c>
      <c r="Y134" s="302">
        <v>18.187764140605257</v>
      </c>
      <c r="Z134" s="302"/>
      <c r="AA134" s="302">
        <v>17.960417088847692</v>
      </c>
      <c r="AB134" s="302"/>
      <c r="AC134" s="314">
        <v>0.6757259593905427</v>
      </c>
      <c r="AD134" s="107"/>
      <c r="AE134" s="121" t="s">
        <v>475</v>
      </c>
      <c r="AF134" s="121" t="s">
        <v>603</v>
      </c>
      <c r="AG134" s="163">
        <v>0.90832531325984711</v>
      </c>
      <c r="AH134" s="163"/>
      <c r="AI134" s="163">
        <v>0.91607203558821659</v>
      </c>
      <c r="AJ134" s="163"/>
      <c r="AK134" s="163">
        <v>0.92555328064368148</v>
      </c>
      <c r="AL134" s="121"/>
      <c r="AM134" s="107"/>
      <c r="AN134" s="121" t="str">
        <f t="shared" ref="AN134:AN147" si="24">$C134</f>
        <v>HET3BIOGFE-1</v>
      </c>
      <c r="AO134" s="121"/>
      <c r="AP134" s="121"/>
      <c r="AQ134" s="121"/>
      <c r="AR134" s="121"/>
      <c r="AS134" s="121"/>
      <c r="AT134" s="121"/>
      <c r="AU134" s="121"/>
      <c r="AV134" s="121"/>
      <c r="AW134" s="303">
        <v>0.56999999999999995</v>
      </c>
      <c r="AX134" s="121"/>
      <c r="AY134" s="121"/>
    </row>
    <row r="135" spans="3:51">
      <c r="C135" s="241" t="s">
        <v>476</v>
      </c>
      <c r="D135" s="241" t="s">
        <v>480</v>
      </c>
      <c r="E135" s="241" t="s">
        <v>447</v>
      </c>
      <c r="F135" s="241" t="s">
        <v>436</v>
      </c>
      <c r="G135" s="298" t="s">
        <v>621</v>
      </c>
      <c r="H135" s="241">
        <f ca="1">BaseYear+1</f>
        <v>2011</v>
      </c>
      <c r="I135" s="299">
        <v>31.536000000000001</v>
      </c>
      <c r="J135" s="300">
        <v>0.95</v>
      </c>
      <c r="K135" s="241">
        <v>25</v>
      </c>
      <c r="L135" s="301">
        <v>98.642714511895662</v>
      </c>
      <c r="M135" s="301">
        <v>98.642714511895662</v>
      </c>
      <c r="N135" s="301">
        <v>98.642714511895662</v>
      </c>
      <c r="O135" s="301"/>
      <c r="P135" s="301">
        <v>98.642714511895662</v>
      </c>
      <c r="Q135" s="301"/>
      <c r="R135" s="128"/>
      <c r="S135" s="19"/>
      <c r="T135" s="107"/>
      <c r="U135" s="241" t="s">
        <v>476</v>
      </c>
      <c r="V135" s="325" t="s">
        <v>621</v>
      </c>
      <c r="W135" s="302">
        <v>7.0419269652708492</v>
      </c>
      <c r="X135" s="302">
        <v>7.0419269652708492</v>
      </c>
      <c r="Y135" s="302">
        <v>7.0419269652708492</v>
      </c>
      <c r="Z135" s="302"/>
      <c r="AA135" s="302">
        <v>7.0419269652708492</v>
      </c>
      <c r="AB135" s="302"/>
      <c r="AC135" s="314">
        <v>0.1856593146965845</v>
      </c>
      <c r="AD135" s="107"/>
      <c r="AE135" s="121" t="s">
        <v>476</v>
      </c>
      <c r="AF135" s="121" t="s">
        <v>603</v>
      </c>
      <c r="AG135" s="163">
        <v>0.90832531325984711</v>
      </c>
      <c r="AH135" s="163"/>
      <c r="AI135" s="163">
        <v>0.91607203558821659</v>
      </c>
      <c r="AJ135" s="163"/>
      <c r="AK135" s="163">
        <v>0.92555328064368148</v>
      </c>
      <c r="AL135" s="121"/>
      <c r="AM135" s="107"/>
      <c r="AN135" s="121" t="str">
        <f t="shared" si="24"/>
        <v>HET3OILBUR-1</v>
      </c>
      <c r="AO135" s="121"/>
      <c r="AP135" s="121"/>
      <c r="AQ135" s="121"/>
      <c r="AR135" s="121"/>
      <c r="AS135" s="121"/>
      <c r="AT135" s="121"/>
      <c r="AU135" s="121"/>
      <c r="AV135" s="121"/>
      <c r="AW135" s="303">
        <v>0.56999999999999995</v>
      </c>
      <c r="AX135" s="121"/>
      <c r="AY135" s="121"/>
    </row>
    <row r="136" spans="3:51">
      <c r="C136" s="241" t="s">
        <v>481</v>
      </c>
      <c r="D136" s="241" t="s">
        <v>472</v>
      </c>
      <c r="E136" s="241" t="s">
        <v>455</v>
      </c>
      <c r="F136" s="241" t="s">
        <v>436</v>
      </c>
      <c r="G136" s="298" t="s">
        <v>621</v>
      </c>
      <c r="H136" s="241">
        <v>2015</v>
      </c>
      <c r="I136" s="299">
        <v>31.536000000000001</v>
      </c>
      <c r="J136" s="300">
        <v>0.95</v>
      </c>
      <c r="K136" s="241">
        <v>25</v>
      </c>
      <c r="L136" s="301">
        <v>114.084447858384</v>
      </c>
      <c r="M136" s="301">
        <v>114.084447858384</v>
      </c>
      <c r="N136" s="301">
        <v>114.084447858384</v>
      </c>
      <c r="O136" s="301"/>
      <c r="P136" s="301">
        <v>114.084447858384</v>
      </c>
      <c r="Q136" s="301"/>
      <c r="R136" s="128"/>
      <c r="S136" s="19"/>
      <c r="T136" s="107"/>
      <c r="U136" s="241" t="s">
        <v>481</v>
      </c>
      <c r="V136" s="325" t="s">
        <v>621</v>
      </c>
      <c r="W136" s="302">
        <v>8.0665771212998791</v>
      </c>
      <c r="X136" s="302">
        <v>8.0665771212998791</v>
      </c>
      <c r="Y136" s="302">
        <v>8.0665771212998791</v>
      </c>
      <c r="Z136" s="302"/>
      <c r="AA136" s="302">
        <v>8.0665771212998791</v>
      </c>
      <c r="AB136" s="302"/>
      <c r="AC136" s="314">
        <v>0.22407158670277444</v>
      </c>
      <c r="AD136" s="107"/>
      <c r="AE136" s="121" t="s">
        <v>481</v>
      </c>
      <c r="AF136" s="121" t="s">
        <v>603</v>
      </c>
      <c r="AG136" s="163">
        <v>0.89823280977918207</v>
      </c>
      <c r="AH136" s="163"/>
      <c r="AI136" s="163">
        <v>0.90589345741501415</v>
      </c>
      <c r="AJ136" s="163"/>
      <c r="AK136" s="163">
        <v>0.91526935530319609</v>
      </c>
      <c r="AL136" s="121"/>
      <c r="AM136" s="107"/>
      <c r="AN136" s="121" t="str">
        <f t="shared" si="24"/>
        <v>HET3BLQBUR-1</v>
      </c>
      <c r="AO136" s="121"/>
      <c r="AP136" s="121"/>
      <c r="AQ136" s="121"/>
      <c r="AR136" s="121"/>
      <c r="AS136" s="121"/>
      <c r="AT136" s="121"/>
      <c r="AU136" s="121"/>
      <c r="AV136" s="121"/>
      <c r="AW136" s="303">
        <v>0.56999999999999995</v>
      </c>
      <c r="AX136" s="121"/>
      <c r="AY136" s="121"/>
    </row>
    <row r="137" spans="3:51">
      <c r="C137" s="241" t="s">
        <v>482</v>
      </c>
      <c r="D137" s="241" t="s">
        <v>461</v>
      </c>
      <c r="E137" s="241" t="s">
        <v>267</v>
      </c>
      <c r="F137" s="241" t="s">
        <v>436</v>
      </c>
      <c r="G137" s="298" t="s">
        <v>621</v>
      </c>
      <c r="H137" s="241">
        <f ca="1">BaseYear+1</f>
        <v>2011</v>
      </c>
      <c r="I137" s="299">
        <v>31.536000000000001</v>
      </c>
      <c r="J137" s="300">
        <v>0.95</v>
      </c>
      <c r="K137" s="241">
        <v>25</v>
      </c>
      <c r="L137" s="301">
        <v>371.52349484386866</v>
      </c>
      <c r="M137" s="301">
        <v>371.52349484386866</v>
      </c>
      <c r="N137" s="301">
        <v>371.52349484386866</v>
      </c>
      <c r="O137" s="301"/>
      <c r="P137" s="301">
        <v>371.52349484386866</v>
      </c>
      <c r="Q137" s="301"/>
      <c r="R137" s="128"/>
      <c r="S137" s="19"/>
      <c r="T137" s="107"/>
      <c r="U137" s="241" t="s">
        <v>482</v>
      </c>
      <c r="V137" s="325" t="s">
        <v>621</v>
      </c>
      <c r="W137" s="302">
        <v>21.041813788107284</v>
      </c>
      <c r="X137" s="302">
        <v>21.041813788107284</v>
      </c>
      <c r="Y137" s="302">
        <v>21.041813788107284</v>
      </c>
      <c r="Z137" s="302"/>
      <c r="AA137" s="302">
        <v>21.041813788107284</v>
      </c>
      <c r="AB137" s="302"/>
      <c r="AC137" s="314">
        <v>0.64622546840757134</v>
      </c>
      <c r="AD137" s="107"/>
      <c r="AE137" s="121" t="s">
        <v>482</v>
      </c>
      <c r="AF137" s="121" t="s">
        <v>603</v>
      </c>
      <c r="AG137" s="163">
        <v>0.88516282838648108</v>
      </c>
      <c r="AH137" s="163"/>
      <c r="AI137" s="163">
        <v>0.88993585671239284</v>
      </c>
      <c r="AJ137" s="163"/>
      <c r="AK137" s="163">
        <v>0.89573733801070599</v>
      </c>
      <c r="AL137" s="121"/>
      <c r="AM137" s="107"/>
      <c r="AN137" s="121" t="str">
        <f t="shared" si="24"/>
        <v>HET3BIOBFB-1</v>
      </c>
      <c r="AO137" s="121"/>
      <c r="AP137" s="121"/>
      <c r="AQ137" s="121"/>
      <c r="AR137" s="121"/>
      <c r="AS137" s="121"/>
      <c r="AT137" s="121"/>
      <c r="AU137" s="121"/>
      <c r="AV137" s="121"/>
      <c r="AW137" s="303">
        <v>0.56999999999999995</v>
      </c>
      <c r="AX137" s="121"/>
      <c r="AY137" s="121"/>
    </row>
    <row r="138" spans="3:51">
      <c r="C138" s="241" t="s">
        <v>483</v>
      </c>
      <c r="D138" s="241" t="s">
        <v>465</v>
      </c>
      <c r="E138" s="241" t="s">
        <v>417</v>
      </c>
      <c r="F138" s="241" t="s">
        <v>436</v>
      </c>
      <c r="G138" s="298" t="s">
        <v>621</v>
      </c>
      <c r="H138" s="241">
        <f ca="1">BaseYear+1</f>
        <v>2011</v>
      </c>
      <c r="I138" s="299">
        <v>31.536000000000001</v>
      </c>
      <c r="J138" s="300">
        <v>0.95</v>
      </c>
      <c r="K138" s="241">
        <v>25</v>
      </c>
      <c r="L138" s="301">
        <v>521.38257203068417</v>
      </c>
      <c r="M138" s="301">
        <v>521.38257203068417</v>
      </c>
      <c r="N138" s="301">
        <v>521.38257203068417</v>
      </c>
      <c r="O138" s="301"/>
      <c r="P138" s="301">
        <v>521.38257203068417</v>
      </c>
      <c r="Q138" s="301"/>
      <c r="R138" s="128"/>
      <c r="S138" s="19"/>
      <c r="T138" s="107"/>
      <c r="U138" s="241" t="s">
        <v>483</v>
      </c>
      <c r="V138" s="325" t="s">
        <v>621</v>
      </c>
      <c r="W138" s="302">
        <v>28.091733406825654</v>
      </c>
      <c r="X138" s="302">
        <v>28.091733406825654</v>
      </c>
      <c r="Y138" s="302">
        <v>28.091733406825654</v>
      </c>
      <c r="Z138" s="302"/>
      <c r="AA138" s="302">
        <v>28.091733406825654</v>
      </c>
      <c r="AB138" s="302"/>
      <c r="AC138" s="314">
        <v>1.4482849223074561</v>
      </c>
      <c r="AD138" s="107"/>
      <c r="AE138" s="121" t="s">
        <v>483</v>
      </c>
      <c r="AF138" s="121" t="s">
        <v>603</v>
      </c>
      <c r="AG138" s="163">
        <v>0.85498682287330552</v>
      </c>
      <c r="AH138" s="163"/>
      <c r="AI138" s="163">
        <v>0.85959713432447038</v>
      </c>
      <c r="AJ138" s="163"/>
      <c r="AK138" s="163">
        <v>0.86520083785125013</v>
      </c>
      <c r="AL138" s="121"/>
      <c r="AM138" s="107"/>
      <c r="AN138" s="121" t="str">
        <f t="shared" si="24"/>
        <v>HET3REFBFB-1</v>
      </c>
      <c r="AO138" s="121"/>
      <c r="AP138" s="121"/>
      <c r="AQ138" s="121"/>
      <c r="AR138" s="121"/>
      <c r="AS138" s="121"/>
      <c r="AT138" s="121"/>
      <c r="AU138" s="121"/>
      <c r="AV138" s="121"/>
      <c r="AW138" s="303">
        <v>0.56999999999999995</v>
      </c>
      <c r="AX138" s="121"/>
      <c r="AY138" s="121"/>
    </row>
    <row r="139" spans="3:51">
      <c r="C139" s="241" t="s">
        <v>484</v>
      </c>
      <c r="D139" s="241" t="s">
        <v>467</v>
      </c>
      <c r="E139" s="241" t="s">
        <v>261</v>
      </c>
      <c r="F139" s="241" t="s">
        <v>441</v>
      </c>
      <c r="G139" s="298" t="s">
        <v>621</v>
      </c>
      <c r="H139" s="241">
        <v>2015</v>
      </c>
      <c r="I139" s="299">
        <v>31.536000000000001</v>
      </c>
      <c r="J139" s="300">
        <v>0.95</v>
      </c>
      <c r="K139" s="241">
        <v>25</v>
      </c>
      <c r="L139" s="301">
        <v>491.06963179634215</v>
      </c>
      <c r="M139" s="301">
        <v>484.24922024361518</v>
      </c>
      <c r="N139" s="301">
        <v>477.42880869088816</v>
      </c>
      <c r="O139" s="301"/>
      <c r="P139" s="301">
        <v>471.74513239694903</v>
      </c>
      <c r="Q139" s="301"/>
      <c r="R139" s="128"/>
      <c r="S139" s="19"/>
      <c r="T139" s="107"/>
      <c r="U139" s="241" t="s">
        <v>484</v>
      </c>
      <c r="V139" s="325" t="s">
        <v>621</v>
      </c>
      <c r="W139" s="302">
        <v>31.828587246059211</v>
      </c>
      <c r="X139" s="302">
        <v>30.009810831998685</v>
      </c>
      <c r="Y139" s="302">
        <v>29.555116728483554</v>
      </c>
      <c r="Z139" s="302"/>
      <c r="AA139" s="302">
        <v>29.100422624968424</v>
      </c>
      <c r="AB139" s="302"/>
      <c r="AC139" s="314">
        <v>0.69467154703700662</v>
      </c>
      <c r="AD139" s="107"/>
      <c r="AE139" s="121" t="s">
        <v>484</v>
      </c>
      <c r="AF139" s="121" t="s">
        <v>603</v>
      </c>
      <c r="AG139" s="163">
        <v>0.90832531325984711</v>
      </c>
      <c r="AH139" s="163"/>
      <c r="AI139" s="163">
        <v>0.91607203558821659</v>
      </c>
      <c r="AJ139" s="163"/>
      <c r="AK139" s="163">
        <v>0.92555328064368148</v>
      </c>
      <c r="AL139" s="121"/>
      <c r="AM139" s="107"/>
      <c r="AN139" s="121" t="str">
        <f t="shared" si="24"/>
        <v>HET4BIOGFE-1</v>
      </c>
      <c r="AO139" s="121"/>
      <c r="AP139" s="121"/>
      <c r="AQ139" s="121"/>
      <c r="AR139" s="121"/>
      <c r="AS139" s="121"/>
      <c r="AT139" s="121"/>
      <c r="AU139" s="121"/>
      <c r="AV139" s="121"/>
      <c r="AW139" s="303">
        <v>0.56999999999999995</v>
      </c>
      <c r="AX139" s="121"/>
      <c r="AY139" s="121"/>
    </row>
    <row r="140" spans="3:51">
      <c r="C140" s="241" t="s">
        <v>485</v>
      </c>
      <c r="D140" s="241" t="s">
        <v>486</v>
      </c>
      <c r="E140" s="241" t="s">
        <v>447</v>
      </c>
      <c r="F140" s="241" t="s">
        <v>441</v>
      </c>
      <c r="G140" s="298" t="s">
        <v>621</v>
      </c>
      <c r="H140" s="241">
        <f ca="1">BaseYear+1</f>
        <v>2011</v>
      </c>
      <c r="I140" s="299">
        <v>31.536000000000001</v>
      </c>
      <c r="J140" s="300">
        <v>0.95</v>
      </c>
      <c r="K140" s="241">
        <v>25</v>
      </c>
      <c r="L140" s="301">
        <v>149.11643992802919</v>
      </c>
      <c r="M140" s="301">
        <v>149.11643992802919</v>
      </c>
      <c r="N140" s="301">
        <v>149.11643992802919</v>
      </c>
      <c r="O140" s="301"/>
      <c r="P140" s="301">
        <v>149.11643992802919</v>
      </c>
      <c r="Q140" s="301"/>
      <c r="R140" s="128"/>
      <c r="S140" s="19"/>
      <c r="T140" s="107"/>
      <c r="U140" s="241" t="s">
        <v>485</v>
      </c>
      <c r="V140" s="325" t="s">
        <v>621</v>
      </c>
      <c r="W140" s="302">
        <v>8.4433467901279116</v>
      </c>
      <c r="X140" s="302">
        <v>8.4433467901279116</v>
      </c>
      <c r="Y140" s="302">
        <v>8.4433467901279116</v>
      </c>
      <c r="Z140" s="302"/>
      <c r="AA140" s="302">
        <v>8.4433467901279116</v>
      </c>
      <c r="AB140" s="302"/>
      <c r="AC140" s="314">
        <v>0.25596379149888093</v>
      </c>
      <c r="AD140" s="107"/>
      <c r="AE140" s="121" t="s">
        <v>485</v>
      </c>
      <c r="AF140" s="121" t="s">
        <v>603</v>
      </c>
      <c r="AG140" s="163">
        <v>0.90832531325984711</v>
      </c>
      <c r="AH140" s="163"/>
      <c r="AI140" s="163">
        <v>0.91607203558821659</v>
      </c>
      <c r="AJ140" s="163"/>
      <c r="AK140" s="163">
        <v>0.92555328064368148</v>
      </c>
      <c r="AL140" s="121"/>
      <c r="AM140" s="107"/>
      <c r="AN140" s="121" t="str">
        <f t="shared" si="24"/>
        <v>HET4OILBUR-1</v>
      </c>
      <c r="AO140" s="121"/>
      <c r="AP140" s="121"/>
      <c r="AQ140" s="121"/>
      <c r="AR140" s="121"/>
      <c r="AS140" s="121"/>
      <c r="AT140" s="121"/>
      <c r="AU140" s="121"/>
      <c r="AV140" s="121"/>
      <c r="AW140" s="303">
        <v>0.56999999999999995</v>
      </c>
      <c r="AX140" s="121"/>
      <c r="AY140" s="121"/>
    </row>
    <row r="141" spans="3:51">
      <c r="C141" s="241" t="s">
        <v>487</v>
      </c>
      <c r="D141" s="241" t="s">
        <v>472</v>
      </c>
      <c r="E141" s="241" t="s">
        <v>455</v>
      </c>
      <c r="F141" s="241" t="s">
        <v>441</v>
      </c>
      <c r="G141" s="298" t="s">
        <v>621</v>
      </c>
      <c r="H141" s="241">
        <f ca="1">BaseYear+1</f>
        <v>2011</v>
      </c>
      <c r="I141" s="299">
        <v>31.536000000000001</v>
      </c>
      <c r="J141" s="300">
        <v>0.95</v>
      </c>
      <c r="K141" s="241">
        <v>25</v>
      </c>
      <c r="L141" s="301">
        <v>166.40196233081465</v>
      </c>
      <c r="M141" s="301">
        <v>166.40196233081465</v>
      </c>
      <c r="N141" s="301">
        <v>166.40196233081465</v>
      </c>
      <c r="O141" s="301"/>
      <c r="P141" s="301">
        <v>166.40196233081465</v>
      </c>
      <c r="Q141" s="301"/>
      <c r="R141" s="128"/>
      <c r="S141" s="19"/>
      <c r="T141" s="107"/>
      <c r="U141" s="241" t="s">
        <v>487</v>
      </c>
      <c r="V141" s="325" t="s">
        <v>621</v>
      </c>
      <c r="W141" s="302">
        <v>9.7098488086471093</v>
      </c>
      <c r="X141" s="302">
        <v>9.7098488086471093</v>
      </c>
      <c r="Y141" s="302">
        <v>9.7098488086471093</v>
      </c>
      <c r="Z141" s="302"/>
      <c r="AA141" s="302">
        <v>9.7098488086471093</v>
      </c>
      <c r="AB141" s="302"/>
      <c r="AC141" s="314">
        <v>0.29449408538078925</v>
      </c>
      <c r="AD141" s="107"/>
      <c r="AE141" s="121" t="s">
        <v>487</v>
      </c>
      <c r="AF141" s="121" t="s">
        <v>603</v>
      </c>
      <c r="AG141" s="163">
        <v>0.89823280977918207</v>
      </c>
      <c r="AH141" s="163"/>
      <c r="AI141" s="163">
        <v>0.90589345741501415</v>
      </c>
      <c r="AJ141" s="163"/>
      <c r="AK141" s="163">
        <v>0.91526935530319609</v>
      </c>
      <c r="AL141" s="121"/>
      <c r="AM141" s="107"/>
      <c r="AN141" s="121" t="str">
        <f t="shared" si="24"/>
        <v>HET4BLQBUR-1</v>
      </c>
      <c r="AO141" s="121"/>
      <c r="AP141" s="121"/>
      <c r="AQ141" s="121"/>
      <c r="AR141" s="121"/>
      <c r="AS141" s="121"/>
      <c r="AT141" s="121"/>
      <c r="AU141" s="121"/>
      <c r="AV141" s="121"/>
      <c r="AW141" s="303">
        <v>0.56999999999999995</v>
      </c>
      <c r="AX141" s="121"/>
      <c r="AY141" s="121"/>
    </row>
    <row r="142" spans="3:51">
      <c r="C142" s="241" t="s">
        <v>488</v>
      </c>
      <c r="D142" s="241" t="s">
        <v>474</v>
      </c>
      <c r="E142" s="241" t="s">
        <v>267</v>
      </c>
      <c r="F142" s="241" t="s">
        <v>441</v>
      </c>
      <c r="G142" s="298" t="s">
        <v>621</v>
      </c>
      <c r="H142" s="241">
        <f ca="1">BaseYear+1</f>
        <v>2011</v>
      </c>
      <c r="I142" s="299">
        <v>31.536000000000001</v>
      </c>
      <c r="J142" s="300">
        <v>0.95</v>
      </c>
      <c r="K142" s="241">
        <v>25</v>
      </c>
      <c r="L142" s="301">
        <v>542.07398255135183</v>
      </c>
      <c r="M142" s="301">
        <v>542.07398255135183</v>
      </c>
      <c r="N142" s="301">
        <v>542.07398255135183</v>
      </c>
      <c r="O142" s="301"/>
      <c r="P142" s="301">
        <v>542.07398255135183</v>
      </c>
      <c r="Q142" s="301"/>
      <c r="R142" s="128"/>
      <c r="S142" s="19"/>
      <c r="T142" s="107"/>
      <c r="U142" s="241" t="s">
        <v>488</v>
      </c>
      <c r="V142" s="325" t="s">
        <v>621</v>
      </c>
      <c r="W142" s="302">
        <v>35.255671598314891</v>
      </c>
      <c r="X142" s="302">
        <v>35.255671598314891</v>
      </c>
      <c r="Y142" s="302">
        <v>35.255671598314891</v>
      </c>
      <c r="Z142" s="302"/>
      <c r="AA142" s="302">
        <v>35.255671598314891</v>
      </c>
      <c r="AB142" s="302"/>
      <c r="AC142" s="314">
        <v>0.68572449797408142</v>
      </c>
      <c r="AD142" s="107"/>
      <c r="AE142" s="121" t="s">
        <v>488</v>
      </c>
      <c r="AF142" s="121" t="s">
        <v>603</v>
      </c>
      <c r="AG142" s="163">
        <v>0.89113788287737428</v>
      </c>
      <c r="AH142" s="163"/>
      <c r="AI142" s="163">
        <v>0.90156944742128797</v>
      </c>
      <c r="AJ142" s="163"/>
      <c r="AK142" s="163">
        <v>0.91442647903209295</v>
      </c>
      <c r="AL142" s="121"/>
      <c r="AM142" s="107"/>
      <c r="AN142" s="121" t="str">
        <f t="shared" si="24"/>
        <v>HET4BIOBFB-1</v>
      </c>
      <c r="AO142" s="121"/>
      <c r="AP142" s="121"/>
      <c r="AQ142" s="121"/>
      <c r="AR142" s="121"/>
      <c r="AS142" s="121"/>
      <c r="AT142" s="121"/>
      <c r="AU142" s="121"/>
      <c r="AV142" s="121"/>
      <c r="AW142" s="303">
        <v>0.56999999999999995</v>
      </c>
      <c r="AX142" s="121"/>
      <c r="AY142" s="121"/>
    </row>
    <row r="143" spans="3:51">
      <c r="C143" s="241" t="s">
        <v>489</v>
      </c>
      <c r="D143" s="241" t="s">
        <v>490</v>
      </c>
      <c r="E143" s="241" t="s">
        <v>365</v>
      </c>
      <c r="F143" s="241" t="s">
        <v>404</v>
      </c>
      <c r="G143" s="298" t="s">
        <v>792</v>
      </c>
      <c r="H143" s="241">
        <v>2011</v>
      </c>
      <c r="I143" s="299">
        <v>31.536000000000001</v>
      </c>
      <c r="J143" s="300">
        <v>0.95</v>
      </c>
      <c r="K143" s="241">
        <v>30</v>
      </c>
      <c r="L143" s="301">
        <v>963.6</v>
      </c>
      <c r="M143" s="301">
        <v>891.65369936886179</v>
      </c>
      <c r="N143" s="301">
        <v>820.16217252756098</v>
      </c>
      <c r="O143" s="301">
        <v>743.85285568375843</v>
      </c>
      <c r="P143" s="301">
        <v>648.61996375266506</v>
      </c>
      <c r="Q143" s="301"/>
      <c r="R143" s="128">
        <v>1</v>
      </c>
      <c r="S143" s="19"/>
      <c r="T143" s="107"/>
      <c r="U143" s="241" t="s">
        <v>489</v>
      </c>
      <c r="V143" s="325" t="s">
        <v>792</v>
      </c>
      <c r="W143" s="302">
        <v>0.17738999999999999</v>
      </c>
      <c r="X143" s="302">
        <v>0.17738999999999999</v>
      </c>
      <c r="Y143" s="302">
        <v>0.15768000000000001</v>
      </c>
      <c r="Z143" s="302">
        <v>0.15768000000000001</v>
      </c>
      <c r="AA143" s="302">
        <v>0.13797000000000001</v>
      </c>
      <c r="AB143" s="302"/>
      <c r="AC143" s="314">
        <v>5.2777777777777778E-2</v>
      </c>
      <c r="AD143" s="107"/>
      <c r="AE143" s="305" t="s">
        <v>104</v>
      </c>
      <c r="AF143" s="121"/>
      <c r="AG143" s="121"/>
      <c r="AH143" s="121"/>
      <c r="AI143" s="121"/>
      <c r="AJ143" s="121"/>
      <c r="AK143" s="121"/>
      <c r="AL143" s="121"/>
      <c r="AM143" s="107"/>
      <c r="AN143" s="121" t="str">
        <f t="shared" si="24"/>
        <v>HET1SOLHET-1</v>
      </c>
      <c r="AO143" s="121"/>
      <c r="AP143" s="121"/>
      <c r="AQ143" s="121"/>
      <c r="AR143" s="121"/>
      <c r="AS143" s="121"/>
      <c r="AT143" s="121"/>
      <c r="AU143" s="121"/>
      <c r="AV143" s="121"/>
      <c r="AW143" s="303"/>
      <c r="AX143" s="121"/>
      <c r="AY143" s="121"/>
    </row>
    <row r="144" spans="3:51">
      <c r="C144" s="241" t="s">
        <v>453</v>
      </c>
      <c r="D144" s="241" t="s">
        <v>490</v>
      </c>
      <c r="E144" s="241" t="s">
        <v>365</v>
      </c>
      <c r="F144" s="241" t="s">
        <v>404</v>
      </c>
      <c r="G144" s="298" t="s">
        <v>792</v>
      </c>
      <c r="H144" s="241">
        <v>2020</v>
      </c>
      <c r="I144" s="299">
        <v>31.536000000000001</v>
      </c>
      <c r="J144" s="300">
        <v>0.95</v>
      </c>
      <c r="K144" s="241">
        <v>30</v>
      </c>
      <c r="L144" s="301">
        <v>798.90572696094011</v>
      </c>
      <c r="M144" s="301">
        <v>635.44627245774109</v>
      </c>
      <c r="N144" s="301">
        <v>496.59714450590934</v>
      </c>
      <c r="O144" s="301">
        <v>372.29461300215087</v>
      </c>
      <c r="P144" s="301">
        <v>248.52576497579886</v>
      </c>
      <c r="Q144" s="301"/>
      <c r="R144" s="128">
        <v>1</v>
      </c>
      <c r="S144" s="19"/>
      <c r="T144" s="107"/>
      <c r="U144" s="241" t="s">
        <v>453</v>
      </c>
      <c r="V144" s="325" t="s">
        <v>792</v>
      </c>
      <c r="W144" s="302">
        <v>15.978114539218803</v>
      </c>
      <c r="X144" s="302">
        <v>12.708925449154822</v>
      </c>
      <c r="Y144" s="302">
        <v>9.9319428901181865</v>
      </c>
      <c r="Z144" s="302">
        <v>7.4458922600430171</v>
      </c>
      <c r="AA144" s="302">
        <v>4.9705152995159771</v>
      </c>
      <c r="AB144" s="302"/>
      <c r="AC144" s="314">
        <v>1.1946382271747211</v>
      </c>
      <c r="AD144" s="107"/>
      <c r="AE144" s="305" t="s">
        <v>104</v>
      </c>
      <c r="AF144" s="121"/>
      <c r="AG144" s="121"/>
      <c r="AH144" s="121"/>
      <c r="AI144" s="121"/>
      <c r="AJ144" s="121"/>
      <c r="AK144" s="121"/>
      <c r="AL144" s="121"/>
      <c r="AM144" s="107"/>
      <c r="AN144" s="121" t="str">
        <f t="shared" si="24"/>
        <v>HET1SOLHET-2</v>
      </c>
      <c r="AO144" s="121"/>
      <c r="AP144" s="121"/>
      <c r="AQ144" s="121"/>
      <c r="AR144" s="121"/>
      <c r="AS144" s="121"/>
      <c r="AT144" s="121"/>
      <c r="AU144" s="121"/>
      <c r="AV144" s="121"/>
      <c r="AW144" s="303"/>
      <c r="AX144" s="121"/>
      <c r="AY144" s="121"/>
    </row>
    <row r="145" spans="3:51">
      <c r="C145" s="241" t="s">
        <v>0</v>
      </c>
      <c r="D145" s="241" t="s">
        <v>2</v>
      </c>
      <c r="E145" s="241" t="s">
        <v>496</v>
      </c>
      <c r="F145" s="241" t="s">
        <v>404</v>
      </c>
      <c r="G145" s="306" t="s">
        <v>621</v>
      </c>
      <c r="H145" s="241">
        <v>2015</v>
      </c>
      <c r="I145" s="299">
        <v>31.536000000000001</v>
      </c>
      <c r="J145" s="300">
        <v>0.95</v>
      </c>
      <c r="K145" s="241">
        <v>25</v>
      </c>
      <c r="L145" s="241">
        <v>77.5</v>
      </c>
      <c r="M145" s="241"/>
      <c r="N145" s="241"/>
      <c r="O145" s="241"/>
      <c r="P145" s="241"/>
      <c r="Q145" s="301"/>
      <c r="R145" s="321">
        <f>1/0.98</f>
        <v>1.0204081632653061</v>
      </c>
      <c r="S145" s="19"/>
      <c r="T145" s="107"/>
      <c r="U145" s="241" t="s">
        <v>0</v>
      </c>
      <c r="V145" s="325" t="s">
        <v>621</v>
      </c>
      <c r="W145" s="302">
        <v>1.24</v>
      </c>
      <c r="X145" s="302"/>
      <c r="Y145" s="302"/>
      <c r="Z145" s="302"/>
      <c r="AA145" s="302"/>
      <c r="AB145" s="302"/>
      <c r="AC145" s="314">
        <v>0.55800000000000005</v>
      </c>
      <c r="AD145" s="107"/>
      <c r="AE145" s="305" t="s">
        <v>104</v>
      </c>
      <c r="AF145" s="121"/>
      <c r="AG145" s="121"/>
      <c r="AH145" s="121"/>
      <c r="AI145" s="121"/>
      <c r="AJ145" s="121"/>
      <c r="AK145" s="121"/>
      <c r="AL145" s="121"/>
      <c r="AM145" s="107"/>
      <c r="AN145" s="121" t="str">
        <f t="shared" si="24"/>
        <v>HET1ELCBOI-0</v>
      </c>
      <c r="AO145" s="121"/>
      <c r="AP145" s="121"/>
      <c r="AQ145" s="121"/>
      <c r="AR145" s="121"/>
      <c r="AS145" s="121"/>
      <c r="AT145" s="121"/>
      <c r="AU145" s="121"/>
      <c r="AV145" s="121"/>
      <c r="AW145" s="303"/>
      <c r="AX145" s="121"/>
      <c r="AY145" s="121"/>
    </row>
    <row r="146" spans="3:51">
      <c r="C146" s="241" t="s">
        <v>1</v>
      </c>
      <c r="D146" s="241" t="s">
        <v>3</v>
      </c>
      <c r="E146" s="241" t="s">
        <v>496</v>
      </c>
      <c r="F146" s="241" t="s">
        <v>436</v>
      </c>
      <c r="G146" s="306" t="s">
        <v>621</v>
      </c>
      <c r="H146" s="241">
        <v>2015</v>
      </c>
      <c r="I146" s="299">
        <v>31.536000000000001</v>
      </c>
      <c r="J146" s="300">
        <v>0.95</v>
      </c>
      <c r="K146" s="241">
        <v>25</v>
      </c>
      <c r="L146" s="241">
        <v>77.5</v>
      </c>
      <c r="M146" s="241"/>
      <c r="N146" s="241"/>
      <c r="O146" s="241"/>
      <c r="P146" s="241"/>
      <c r="Q146" s="301"/>
      <c r="R146" s="321">
        <f>1/0.98</f>
        <v>1.0204081632653061</v>
      </c>
      <c r="S146" s="19"/>
      <c r="T146" s="107"/>
      <c r="U146" s="241" t="s">
        <v>1</v>
      </c>
      <c r="V146" s="325" t="s">
        <v>621</v>
      </c>
      <c r="W146" s="302">
        <v>1.24</v>
      </c>
      <c r="X146" s="302"/>
      <c r="Y146" s="302"/>
      <c r="Z146" s="302"/>
      <c r="AA146" s="302"/>
      <c r="AB146" s="302"/>
      <c r="AC146" s="314">
        <v>0.55800000000000005</v>
      </c>
      <c r="AD146" s="107"/>
      <c r="AE146" s="305" t="s">
        <v>104</v>
      </c>
      <c r="AF146" s="121"/>
      <c r="AG146" s="121"/>
      <c r="AH146" s="121"/>
      <c r="AI146" s="121"/>
      <c r="AJ146" s="121"/>
      <c r="AK146" s="121"/>
      <c r="AL146" s="121"/>
      <c r="AM146" s="107"/>
      <c r="AN146" s="121" t="str">
        <f t="shared" si="24"/>
        <v>HET3ELCBOI-0</v>
      </c>
      <c r="AO146" s="121"/>
      <c r="AP146" s="121"/>
      <c r="AQ146" s="121"/>
      <c r="AR146" s="121"/>
      <c r="AS146" s="121"/>
      <c r="AT146" s="121"/>
      <c r="AU146" s="121"/>
      <c r="AV146" s="121"/>
      <c r="AW146" s="303"/>
      <c r="AX146" s="121"/>
      <c r="AY146" s="121"/>
    </row>
    <row r="147" spans="3:51">
      <c r="C147" s="241" t="s">
        <v>491</v>
      </c>
      <c r="D147" s="241" t="s">
        <v>492</v>
      </c>
      <c r="E147" s="241" t="s">
        <v>347</v>
      </c>
      <c r="F147" s="241" t="s">
        <v>493</v>
      </c>
      <c r="G147" s="298" t="s">
        <v>621</v>
      </c>
      <c r="H147" s="241">
        <f ca="1">BaseYear+1</f>
        <v>2011</v>
      </c>
      <c r="I147" s="299">
        <v>1</v>
      </c>
      <c r="J147" s="241">
        <v>0.85</v>
      </c>
      <c r="K147" s="241">
        <v>50</v>
      </c>
      <c r="L147" s="301">
        <v>22.32</v>
      </c>
      <c r="M147" s="301"/>
      <c r="N147" s="301"/>
      <c r="O147" s="301"/>
      <c r="P147" s="301"/>
      <c r="Q147" s="301"/>
      <c r="R147" s="128">
        <v>1.25</v>
      </c>
      <c r="S147" s="19"/>
      <c r="T147" s="107"/>
      <c r="U147" s="241" t="s">
        <v>491</v>
      </c>
      <c r="V147" s="306" t="s">
        <v>621</v>
      </c>
      <c r="W147" s="302">
        <v>3.1</v>
      </c>
      <c r="X147" s="302"/>
      <c r="Y147" s="302"/>
      <c r="Z147" s="302"/>
      <c r="AA147" s="302"/>
      <c r="AB147" s="302"/>
      <c r="AC147" s="314"/>
      <c r="AD147" s="107"/>
      <c r="AE147" s="305" t="s">
        <v>104</v>
      </c>
      <c r="AF147" s="121"/>
      <c r="AG147" s="121"/>
      <c r="AH147" s="121"/>
      <c r="AI147" s="121"/>
      <c r="AJ147" s="121"/>
      <c r="AK147" s="121"/>
      <c r="AL147" s="121"/>
      <c r="AM147" s="107"/>
      <c r="AN147" s="121" t="str">
        <f t="shared" si="24"/>
        <v>HETGEOP105</v>
      </c>
      <c r="AO147" s="121"/>
      <c r="AP147" s="121"/>
      <c r="AQ147" s="121"/>
      <c r="AR147" s="121"/>
      <c r="AS147" s="121"/>
      <c r="AT147" s="121"/>
      <c r="AU147" s="121"/>
      <c r="AV147" s="121"/>
      <c r="AW147" s="121">
        <v>0.6</v>
      </c>
      <c r="AX147" s="121"/>
      <c r="AY147" s="121"/>
    </row>
    <row r="148" spans="3:51">
      <c r="G148" s="106"/>
      <c r="L148" s="106"/>
      <c r="M148" s="106"/>
      <c r="N148" s="106"/>
      <c r="O148" s="106"/>
      <c r="P148" s="106"/>
      <c r="Q148" s="106"/>
      <c r="R148" s="106"/>
      <c r="W148" s="80"/>
      <c r="X148" s="80"/>
      <c r="Y148" s="80"/>
      <c r="Z148" s="80"/>
      <c r="AA148" s="80"/>
      <c r="AB148" s="80"/>
      <c r="AC148" s="80"/>
      <c r="AD148" s="80"/>
    </row>
    <row r="150" spans="3:51">
      <c r="H150" s="93" t="s">
        <v>780</v>
      </c>
      <c r="W150" s="93" t="s">
        <v>516</v>
      </c>
    </row>
    <row r="151" spans="3:51" ht="24.75" thickBot="1">
      <c r="C151" s="28" t="s">
        <v>555</v>
      </c>
      <c r="D151" s="28" t="s">
        <v>556</v>
      </c>
      <c r="E151" s="28" t="s">
        <v>557</v>
      </c>
      <c r="F151" s="28" t="s">
        <v>604</v>
      </c>
      <c r="G151" s="28" t="s">
        <v>385</v>
      </c>
      <c r="H151" s="28" t="s">
        <v>386</v>
      </c>
      <c r="I151" s="28" t="s">
        <v>141</v>
      </c>
      <c r="J151" s="28" t="s">
        <v>494</v>
      </c>
      <c r="K151" s="105">
        <v>0</v>
      </c>
      <c r="L151" s="28">
        <v>2015</v>
      </c>
      <c r="M151" s="28">
        <v>2020</v>
      </c>
      <c r="N151" s="28">
        <v>2030</v>
      </c>
      <c r="O151" s="28">
        <v>2040</v>
      </c>
      <c r="P151" s="28">
        <v>2050</v>
      </c>
      <c r="Q151" s="99">
        <v>2080</v>
      </c>
      <c r="R151" s="105" t="s">
        <v>147</v>
      </c>
      <c r="S151" s="105" t="s">
        <v>559</v>
      </c>
      <c r="U151" s="100" t="s">
        <v>555</v>
      </c>
      <c r="V151" s="105" t="s">
        <v>604</v>
      </c>
      <c r="W151" s="105" t="s">
        <v>385</v>
      </c>
      <c r="X151" s="105" t="s">
        <v>589</v>
      </c>
      <c r="Y151" s="105" t="s">
        <v>495</v>
      </c>
    </row>
    <row r="152" spans="3:51">
      <c r="C152" s="19" t="s">
        <v>263</v>
      </c>
      <c r="D152" s="19" t="s">
        <v>264</v>
      </c>
      <c r="E152" s="19" t="s">
        <v>267</v>
      </c>
      <c r="F152" s="19"/>
      <c r="G152" s="19" t="s">
        <v>777</v>
      </c>
      <c r="H152" s="141" t="s">
        <v>778</v>
      </c>
      <c r="I152" s="19">
        <v>1.03</v>
      </c>
      <c r="J152" s="19"/>
      <c r="K152" s="307"/>
      <c r="L152" s="19">
        <v>0.65</v>
      </c>
      <c r="M152" s="19">
        <v>0.55000000000000004</v>
      </c>
      <c r="N152" s="19"/>
      <c r="O152" s="19"/>
      <c r="P152" s="19">
        <v>0.4</v>
      </c>
      <c r="Q152" s="19"/>
      <c r="R152" s="19"/>
      <c r="S152" s="19"/>
      <c r="U152" s="121" t="s">
        <v>287</v>
      </c>
      <c r="V152" s="121" t="s">
        <v>286</v>
      </c>
      <c r="W152" s="121" t="s">
        <v>195</v>
      </c>
      <c r="X152" s="121">
        <f>92.74*0.93</f>
        <v>86.248199999999997</v>
      </c>
      <c r="Y152" s="121"/>
    </row>
    <row r="153" spans="3:51">
      <c r="C153" s="19" t="s">
        <v>265</v>
      </c>
      <c r="D153" s="19" t="s">
        <v>266</v>
      </c>
      <c r="E153" s="19" t="s">
        <v>261</v>
      </c>
      <c r="F153" s="19"/>
      <c r="G153" s="19" t="s">
        <v>777</v>
      </c>
      <c r="H153" s="141" t="s">
        <v>506</v>
      </c>
      <c r="I153" s="19">
        <v>0.97</v>
      </c>
      <c r="J153" s="79">
        <v>-0.35884639278118574</v>
      </c>
      <c r="K153" s="295"/>
      <c r="L153" s="19">
        <v>0.35</v>
      </c>
      <c r="M153" s="19">
        <v>0.4</v>
      </c>
      <c r="N153" s="19"/>
      <c r="O153" s="19"/>
      <c r="P153" s="19">
        <v>0.55000000000000004</v>
      </c>
      <c r="Q153" s="19"/>
      <c r="R153" s="19"/>
      <c r="S153" s="19"/>
      <c r="U153" s="121" t="s">
        <v>300</v>
      </c>
      <c r="V153" s="121" t="s">
        <v>286</v>
      </c>
      <c r="W153" s="121" t="s">
        <v>195</v>
      </c>
      <c r="X153" s="121">
        <f>92.74*0.93</f>
        <v>86.248199999999997</v>
      </c>
      <c r="Y153" s="121"/>
    </row>
    <row r="154" spans="3:51">
      <c r="C154" s="19"/>
      <c r="D154" s="19"/>
      <c r="E154" s="19" t="s">
        <v>267</v>
      </c>
      <c r="F154" s="19"/>
      <c r="G154" s="19"/>
      <c r="H154" s="19"/>
      <c r="I154" s="19">
        <v>0.99</v>
      </c>
      <c r="J154" s="19">
        <v>-0.186</v>
      </c>
      <c r="K154" s="295"/>
      <c r="L154" s="19"/>
      <c r="M154" s="19"/>
      <c r="N154" s="19"/>
      <c r="O154" s="19"/>
      <c r="P154" s="19"/>
      <c r="Q154" s="19"/>
      <c r="R154" s="19"/>
      <c r="S154" s="19"/>
      <c r="U154" s="121" t="s">
        <v>292</v>
      </c>
      <c r="V154" s="121" t="s">
        <v>286</v>
      </c>
      <c r="W154" s="121" t="s">
        <v>195</v>
      </c>
      <c r="X154" s="163">
        <f>93.6*0.95</f>
        <v>88.919999999999987</v>
      </c>
      <c r="Y154" s="121"/>
    </row>
    <row r="155" spans="3:51">
      <c r="C155" s="19" t="s">
        <v>268</v>
      </c>
      <c r="D155" s="19" t="s">
        <v>269</v>
      </c>
      <c r="E155" s="19" t="s">
        <v>261</v>
      </c>
      <c r="F155" s="19"/>
      <c r="G155" s="19" t="s">
        <v>777</v>
      </c>
      <c r="H155" s="141" t="s">
        <v>506</v>
      </c>
      <c r="I155" s="19">
        <v>0.97</v>
      </c>
      <c r="J155" s="79">
        <v>-0.35884639278118574</v>
      </c>
      <c r="K155" s="295"/>
      <c r="L155" s="19">
        <v>0.3</v>
      </c>
      <c r="M155" s="19">
        <v>0.35</v>
      </c>
      <c r="N155" s="19"/>
      <c r="O155" s="19"/>
      <c r="P155" s="19">
        <v>0.5</v>
      </c>
      <c r="Q155" s="19"/>
      <c r="R155" s="19"/>
      <c r="S155" s="19"/>
      <c r="U155" s="121" t="s">
        <v>268</v>
      </c>
      <c r="V155" s="121" t="s">
        <v>261</v>
      </c>
      <c r="W155" s="121" t="s">
        <v>195</v>
      </c>
      <c r="X155" s="121"/>
      <c r="Y155" s="164">
        <f>110*0.9*0.985</f>
        <v>97.515000000000001</v>
      </c>
    </row>
    <row r="156" spans="3:51">
      <c r="C156" s="19"/>
      <c r="D156" s="19"/>
      <c r="E156" s="19" t="s">
        <v>267</v>
      </c>
      <c r="F156" s="19"/>
      <c r="G156" s="19"/>
      <c r="H156" s="19"/>
      <c r="I156" s="19"/>
      <c r="J156" s="19">
        <v>-0.186</v>
      </c>
      <c r="K156" s="295"/>
      <c r="L156" s="19"/>
      <c r="M156" s="19"/>
      <c r="N156" s="19"/>
      <c r="O156" s="19"/>
      <c r="P156" s="19"/>
      <c r="Q156" s="19"/>
      <c r="R156" s="19"/>
      <c r="S156" s="19"/>
      <c r="U156" s="121"/>
      <c r="V156" s="121" t="s">
        <v>267</v>
      </c>
      <c r="W156" s="121" t="s">
        <v>195</v>
      </c>
      <c r="X156" s="121">
        <v>90.48</v>
      </c>
      <c r="Y156" s="121"/>
    </row>
    <row r="157" spans="3:51">
      <c r="C157" s="19" t="s">
        <v>272</v>
      </c>
      <c r="D157" s="19" t="s">
        <v>273</v>
      </c>
      <c r="E157" s="19" t="s">
        <v>267</v>
      </c>
      <c r="F157" s="19"/>
      <c r="G157" s="19" t="s">
        <v>777</v>
      </c>
      <c r="H157" s="141" t="s">
        <v>778</v>
      </c>
      <c r="I157" s="19">
        <v>1.03</v>
      </c>
      <c r="J157" s="19">
        <v>0.248</v>
      </c>
      <c r="K157" s="295"/>
      <c r="L157" s="19">
        <v>0.4</v>
      </c>
      <c r="M157" s="19">
        <v>0.3</v>
      </c>
      <c r="N157" s="19"/>
      <c r="O157" s="19"/>
      <c r="P157" s="19">
        <v>0.15</v>
      </c>
      <c r="Q157" s="19"/>
      <c r="R157" s="19"/>
      <c r="S157" s="19"/>
      <c r="U157" s="121"/>
      <c r="V157" s="121" t="s">
        <v>286</v>
      </c>
      <c r="W157" s="121" t="s">
        <v>195</v>
      </c>
      <c r="X157" s="121">
        <v>84.24</v>
      </c>
      <c r="Y157" s="121"/>
    </row>
    <row r="158" spans="3:51">
      <c r="C158" s="19" t="s">
        <v>284</v>
      </c>
      <c r="D158" s="19" t="s">
        <v>285</v>
      </c>
      <c r="E158" s="19" t="s">
        <v>261</v>
      </c>
      <c r="F158" s="19"/>
      <c r="G158" s="19" t="s">
        <v>777</v>
      </c>
      <c r="H158" s="141" t="s">
        <v>506</v>
      </c>
      <c r="I158" s="19">
        <v>0.96</v>
      </c>
      <c r="J158" s="79">
        <v>-0.35884639278118574</v>
      </c>
      <c r="K158" s="295"/>
      <c r="L158" s="19">
        <v>0.2</v>
      </c>
      <c r="M158" s="19">
        <v>0.25</v>
      </c>
      <c r="N158" s="19"/>
      <c r="O158" s="19"/>
      <c r="P158" s="19">
        <v>0.35</v>
      </c>
      <c r="Q158" s="19"/>
      <c r="R158" s="19"/>
      <c r="S158" s="19"/>
      <c r="U158" s="121" t="s">
        <v>326</v>
      </c>
      <c r="V158" s="121" t="s">
        <v>315</v>
      </c>
      <c r="W158" s="121" t="s">
        <v>195</v>
      </c>
      <c r="X158" s="312">
        <f>56.1*0.92</f>
        <v>51.612000000000002</v>
      </c>
      <c r="Y158" s="121"/>
    </row>
    <row r="159" spans="3:51">
      <c r="C159" s="19" t="s">
        <v>49</v>
      </c>
      <c r="D159" s="19" t="s">
        <v>403</v>
      </c>
      <c r="E159" s="19" t="s">
        <v>455</v>
      </c>
      <c r="F159" s="19"/>
      <c r="G159" s="19" t="s">
        <v>777</v>
      </c>
      <c r="H159" s="141" t="s">
        <v>506</v>
      </c>
      <c r="I159" s="131">
        <v>1</v>
      </c>
      <c r="J159" s="79">
        <v>-0.35884639278118574</v>
      </c>
      <c r="K159" s="295"/>
      <c r="L159" s="19"/>
      <c r="M159" s="19"/>
      <c r="N159" s="19"/>
      <c r="O159" s="19"/>
      <c r="P159" s="19"/>
      <c r="Q159" s="19"/>
      <c r="R159" s="19"/>
      <c r="S159" s="19"/>
      <c r="U159" s="121" t="s">
        <v>302</v>
      </c>
      <c r="V159" s="121" t="s">
        <v>286</v>
      </c>
      <c r="W159" s="121" t="s">
        <v>195</v>
      </c>
      <c r="X159" s="163">
        <f>93.6*0.95</f>
        <v>88.919999999999987</v>
      </c>
      <c r="Y159" s="121"/>
    </row>
    <row r="160" spans="3:51">
      <c r="C160" s="19" t="s">
        <v>50</v>
      </c>
      <c r="D160" s="19" t="str">
        <f>VLOOKUP(C160,$C$6:$D$147,2,0)</f>
        <v>CHP FBC, biomass, medium</v>
      </c>
      <c r="E160" s="19" t="s">
        <v>583</v>
      </c>
      <c r="F160" s="19"/>
      <c r="G160" s="19" t="s">
        <v>777</v>
      </c>
      <c r="H160" s="141" t="s">
        <v>506</v>
      </c>
      <c r="I160" s="131">
        <v>1</v>
      </c>
      <c r="J160" s="131">
        <v>-0.1545295600234943</v>
      </c>
      <c r="K160" s="295"/>
      <c r="L160" s="19">
        <v>0.3</v>
      </c>
      <c r="M160" s="19">
        <v>0.35</v>
      </c>
      <c r="N160" s="19">
        <v>0.5</v>
      </c>
      <c r="O160" s="19"/>
      <c r="P160" s="19">
        <v>0.7</v>
      </c>
      <c r="Q160" s="19"/>
      <c r="R160" s="19"/>
      <c r="S160" s="19"/>
      <c r="U160" s="121" t="s">
        <v>332</v>
      </c>
      <c r="V160" s="121" t="s">
        <v>315</v>
      </c>
      <c r="W160" s="121" t="s">
        <v>195</v>
      </c>
      <c r="X160" s="312">
        <v>52.25</v>
      </c>
      <c r="Y160" s="121"/>
    </row>
    <row r="161" spans="3:25">
      <c r="C161" s="19"/>
      <c r="D161" s="19"/>
      <c r="E161" s="19" t="s">
        <v>286</v>
      </c>
      <c r="F161" s="19"/>
      <c r="G161" s="19" t="s">
        <v>777</v>
      </c>
      <c r="H161" s="141" t="s">
        <v>778</v>
      </c>
      <c r="I161" s="131">
        <v>1.0102952308856925</v>
      </c>
      <c r="J161" s="131">
        <v>9.4438930110579897E-2</v>
      </c>
      <c r="K161" s="295"/>
      <c r="L161" s="19"/>
      <c r="M161" s="19"/>
      <c r="N161" s="19"/>
      <c r="O161" s="19"/>
      <c r="P161" s="19"/>
      <c r="Q161" s="19"/>
      <c r="R161" s="19"/>
      <c r="S161" s="19"/>
      <c r="U161" s="121" t="s">
        <v>61</v>
      </c>
      <c r="V161" s="121" t="s">
        <v>286</v>
      </c>
      <c r="W161" s="121" t="s">
        <v>195</v>
      </c>
      <c r="X161" s="163">
        <f>81.432*0+92.7*0.96</f>
        <v>88.992000000000004</v>
      </c>
      <c r="Y161" s="121"/>
    </row>
    <row r="162" spans="3:25">
      <c r="C162" s="19" t="s">
        <v>51</v>
      </c>
      <c r="D162" s="19" t="str">
        <f>VLOOKUP(C162,$C$6:$D$147,2,0)</f>
        <v>CHP FBC, large</v>
      </c>
      <c r="E162" s="19" t="s">
        <v>583</v>
      </c>
      <c r="F162" s="19"/>
      <c r="G162" s="19" t="s">
        <v>777</v>
      </c>
      <c r="H162" s="141" t="s">
        <v>506</v>
      </c>
      <c r="I162" s="131">
        <v>0.98571428571428565</v>
      </c>
      <c r="J162" s="131">
        <v>-0.35884639278118574</v>
      </c>
      <c r="K162" s="295"/>
      <c r="L162" s="19">
        <v>0.2</v>
      </c>
      <c r="M162" s="19">
        <v>0.3</v>
      </c>
      <c r="N162" s="19">
        <v>0.4</v>
      </c>
      <c r="O162" s="19"/>
      <c r="P162" s="19">
        <v>0.6</v>
      </c>
      <c r="Q162" s="19"/>
      <c r="R162" s="19"/>
      <c r="S162" s="19"/>
      <c r="U162" s="121" t="s">
        <v>53</v>
      </c>
      <c r="V162" s="121" t="s">
        <v>315</v>
      </c>
      <c r="W162" s="121" t="s">
        <v>195</v>
      </c>
      <c r="X162" s="312">
        <v>49.994999999999997</v>
      </c>
      <c r="Y162" s="121"/>
    </row>
    <row r="163" spans="3:25">
      <c r="C163" s="19" t="s">
        <v>58</v>
      </c>
      <c r="D163" s="19" t="str">
        <f>VLOOKUP(C163,$C$6:$D$147,2,0)</f>
        <v>CHP IGCC, coal, large</v>
      </c>
      <c r="E163" s="19" t="s">
        <v>583</v>
      </c>
      <c r="F163" s="19"/>
      <c r="G163" s="19" t="s">
        <v>777</v>
      </c>
      <c r="H163" s="141" t="s">
        <v>506</v>
      </c>
      <c r="I163" s="131">
        <v>0.98837209302325579</v>
      </c>
      <c r="J163" s="131">
        <v>-8.5017884378978448E-2</v>
      </c>
      <c r="K163" s="295"/>
      <c r="L163" s="19">
        <v>0.2</v>
      </c>
      <c r="M163" s="19">
        <v>0.3</v>
      </c>
      <c r="N163" s="19">
        <v>0.4</v>
      </c>
      <c r="O163" s="19"/>
      <c r="P163" s="19">
        <v>0.6</v>
      </c>
      <c r="Q163" s="19"/>
      <c r="R163" s="19"/>
      <c r="S163" s="19"/>
      <c r="U163" s="121" t="s">
        <v>65</v>
      </c>
      <c r="V163" s="121" t="s">
        <v>267</v>
      </c>
      <c r="W163" s="121" t="s">
        <v>195</v>
      </c>
      <c r="X163" s="121">
        <v>90.48</v>
      </c>
      <c r="Y163" s="121"/>
    </row>
    <row r="164" spans="3:25">
      <c r="C164" s="19" t="s">
        <v>60</v>
      </c>
      <c r="D164" s="19" t="str">
        <f>VLOOKUP(C164,$C$6:$D$147,2,0)</f>
        <v>CHP pulv.coal, large</v>
      </c>
      <c r="E164" s="19" t="s">
        <v>501</v>
      </c>
      <c r="F164" s="19"/>
      <c r="G164" s="19" t="s">
        <v>777</v>
      </c>
      <c r="H164" s="141" t="s">
        <v>506</v>
      </c>
      <c r="I164" s="19"/>
      <c r="J164" s="19"/>
      <c r="K164" s="295"/>
      <c r="L164" s="19">
        <v>0.8</v>
      </c>
      <c r="M164" s="19"/>
      <c r="N164" s="19"/>
      <c r="O164" s="19"/>
      <c r="P164" s="19"/>
      <c r="Q164" s="19"/>
      <c r="R164" s="19"/>
      <c r="S164" s="19"/>
      <c r="U164" s="121"/>
      <c r="V164" s="121" t="s">
        <v>585</v>
      </c>
      <c r="W164" s="121" t="s">
        <v>195</v>
      </c>
      <c r="X164" s="121"/>
      <c r="Y164" s="164">
        <f>110*0.96*0.985</f>
        <v>104.01599999999999</v>
      </c>
    </row>
    <row r="165" spans="3:25">
      <c r="C165" s="19" t="s">
        <v>59</v>
      </c>
      <c r="D165" s="19" t="str">
        <f>VLOOKUP(C165,$C$6:$D$147,2,0)</f>
        <v>CHP PFBC, coal, large</v>
      </c>
      <c r="E165" s="19" t="s">
        <v>583</v>
      </c>
      <c r="F165" s="19"/>
      <c r="G165" s="19" t="s">
        <v>777</v>
      </c>
      <c r="H165" s="141" t="s">
        <v>506</v>
      </c>
      <c r="I165" s="131">
        <v>0.98837209302325579</v>
      </c>
      <c r="J165" s="131">
        <v>-1.1073305156823253E-2</v>
      </c>
      <c r="K165" s="295"/>
      <c r="L165" s="19">
        <v>0.2</v>
      </c>
      <c r="M165" s="19">
        <v>0.25</v>
      </c>
      <c r="N165" s="19">
        <v>0.4</v>
      </c>
      <c r="O165" s="19"/>
      <c r="P165" s="19">
        <v>0.6</v>
      </c>
      <c r="Q165" s="19"/>
      <c r="R165" s="19"/>
      <c r="S165" s="19"/>
      <c r="U165" s="121"/>
      <c r="V165" s="121" t="s">
        <v>286</v>
      </c>
      <c r="W165" s="121" t="s">
        <v>195</v>
      </c>
      <c r="X165" s="163">
        <v>81.431999999999988</v>
      </c>
      <c r="Y165" s="121"/>
    </row>
    <row r="166" spans="3:25">
      <c r="C166" s="19"/>
      <c r="D166" s="19"/>
      <c r="E166" s="19" t="s">
        <v>267</v>
      </c>
      <c r="F166" s="19"/>
      <c r="G166" s="19" t="s">
        <v>777</v>
      </c>
      <c r="H166" s="141" t="s">
        <v>778</v>
      </c>
      <c r="I166" s="131">
        <v>0.98837209302325579</v>
      </c>
      <c r="J166" s="131">
        <v>-1.1073305156823253E-2</v>
      </c>
      <c r="K166" s="295"/>
      <c r="L166" s="19"/>
      <c r="M166" s="19"/>
      <c r="N166" s="19"/>
      <c r="O166" s="19"/>
      <c r="P166" s="19"/>
      <c r="Q166" s="19"/>
      <c r="R166" s="19"/>
      <c r="S166" s="19"/>
      <c r="U166" s="121" t="s">
        <v>75</v>
      </c>
      <c r="V166" s="121" t="s">
        <v>583</v>
      </c>
      <c r="W166" s="121" t="s">
        <v>195</v>
      </c>
      <c r="X166" s="121"/>
      <c r="Y166" s="164">
        <f>110*0.87*0.985</f>
        <v>94.264499999999998</v>
      </c>
    </row>
    <row r="167" spans="3:25">
      <c r="C167" s="19" t="s">
        <v>73</v>
      </c>
      <c r="D167" s="19" t="s">
        <v>319</v>
      </c>
      <c r="E167" s="19" t="s">
        <v>583</v>
      </c>
      <c r="F167" s="19"/>
      <c r="G167" s="19" t="s">
        <v>777</v>
      </c>
      <c r="H167" s="141" t="s">
        <v>778</v>
      </c>
      <c r="I167" s="131">
        <v>1</v>
      </c>
      <c r="J167" s="131">
        <v>0.5538222222222221</v>
      </c>
      <c r="K167" s="295"/>
      <c r="L167" s="19">
        <v>0.4</v>
      </c>
      <c r="M167" s="19">
        <v>0.4</v>
      </c>
      <c r="N167" s="19"/>
      <c r="O167" s="19"/>
      <c r="P167" s="19">
        <v>0.4</v>
      </c>
      <c r="Q167" s="19"/>
      <c r="R167" s="19">
        <v>0.45</v>
      </c>
      <c r="S167" s="19"/>
      <c r="U167" s="121" t="s">
        <v>76</v>
      </c>
      <c r="V167" s="121" t="s">
        <v>585</v>
      </c>
      <c r="W167" s="121" t="s">
        <v>195</v>
      </c>
      <c r="X167" s="121"/>
      <c r="Y167" s="164">
        <f>110*0.87*0.985</f>
        <v>94.264499999999998</v>
      </c>
    </row>
    <row r="168" spans="3:25">
      <c r="C168" s="19"/>
      <c r="D168" s="19"/>
      <c r="E168" s="19" t="s">
        <v>501</v>
      </c>
      <c r="F168" s="19"/>
      <c r="G168" s="19"/>
      <c r="H168" s="19"/>
      <c r="I168" s="19"/>
      <c r="J168" s="19"/>
      <c r="K168" s="295"/>
      <c r="L168" s="19"/>
      <c r="M168" s="19"/>
      <c r="N168" s="19"/>
      <c r="O168" s="19"/>
      <c r="P168" s="19"/>
      <c r="Q168" s="19"/>
      <c r="R168" s="19"/>
      <c r="S168" s="19"/>
      <c r="U168" s="121" t="s">
        <v>77</v>
      </c>
      <c r="V168" s="121" t="s">
        <v>267</v>
      </c>
      <c r="W168" s="121" t="s">
        <v>195</v>
      </c>
      <c r="X168" s="121">
        <f>104*0.87</f>
        <v>90.48</v>
      </c>
      <c r="Y168" s="121"/>
    </row>
    <row r="169" spans="3:25">
      <c r="C169" s="19" t="s">
        <v>80</v>
      </c>
      <c r="D169" s="19" t="str">
        <f>VLOOKUP(C169,$C$6:$D$147,2,0)</f>
        <v>CHP FBC, biomass, medium</v>
      </c>
      <c r="E169" s="19" t="s">
        <v>584</v>
      </c>
      <c r="F169" s="19"/>
      <c r="G169" s="19" t="s">
        <v>777</v>
      </c>
      <c r="H169" s="141" t="s">
        <v>506</v>
      </c>
      <c r="I169" s="131">
        <v>1</v>
      </c>
      <c r="J169" s="131">
        <v>-0.1545295600234943</v>
      </c>
      <c r="K169" s="295"/>
      <c r="L169" s="19">
        <v>0.4</v>
      </c>
      <c r="M169" s="19">
        <v>0.5</v>
      </c>
      <c r="N169" s="19">
        <v>0.7</v>
      </c>
      <c r="O169" s="19"/>
      <c r="P169" s="19">
        <v>0.85</v>
      </c>
      <c r="Q169" s="19"/>
      <c r="R169" s="19"/>
      <c r="S169" s="19"/>
      <c r="U169" s="121" t="s">
        <v>78</v>
      </c>
      <c r="V169" s="121" t="s">
        <v>267</v>
      </c>
      <c r="W169" s="121" t="s">
        <v>195</v>
      </c>
      <c r="X169" s="121">
        <f>104*0.87</f>
        <v>90.48</v>
      </c>
      <c r="Y169" s="121"/>
    </row>
    <row r="170" spans="3:25">
      <c r="C170" s="19"/>
      <c r="D170" s="19"/>
      <c r="E170" s="19" t="s">
        <v>286</v>
      </c>
      <c r="F170" s="19"/>
      <c r="G170" s="19" t="s">
        <v>777</v>
      </c>
      <c r="H170" s="141" t="s">
        <v>506</v>
      </c>
      <c r="I170" s="131">
        <v>1.0102952308856925</v>
      </c>
      <c r="J170" s="131">
        <v>9.4438930110579897E-2</v>
      </c>
      <c r="K170" s="295"/>
      <c r="L170" s="19"/>
      <c r="M170" s="19"/>
      <c r="N170" s="19"/>
      <c r="O170" s="19"/>
      <c r="P170" s="19"/>
      <c r="Q170" s="19"/>
      <c r="R170" s="19"/>
      <c r="S170" s="19"/>
      <c r="U170" s="121" t="s">
        <v>73</v>
      </c>
      <c r="V170" s="121" t="s">
        <v>286</v>
      </c>
      <c r="W170" s="121" t="s">
        <v>195</v>
      </c>
      <c r="X170" s="163">
        <f>93.6*0.94</f>
        <v>87.983999999999995</v>
      </c>
      <c r="Y170" s="121"/>
    </row>
    <row r="171" spans="3:25">
      <c r="C171" s="19" t="s">
        <v>87</v>
      </c>
      <c r="D171" s="19" t="str">
        <f>VLOOKUP(C171,$C$6:$D$147,2,0)</f>
        <v>CHP IGCC, biomass, medium</v>
      </c>
      <c r="E171" s="19" t="s">
        <v>584</v>
      </c>
      <c r="F171" s="19"/>
      <c r="G171" s="19" t="s">
        <v>777</v>
      </c>
      <c r="H171" s="141" t="s">
        <v>506</v>
      </c>
      <c r="I171" s="131">
        <v>1</v>
      </c>
      <c r="J171" s="131"/>
      <c r="K171" s="295"/>
      <c r="L171" s="19">
        <v>0.4</v>
      </c>
      <c r="M171" s="19">
        <v>0.5</v>
      </c>
      <c r="N171" s="19">
        <v>0.7</v>
      </c>
      <c r="O171" s="19"/>
      <c r="P171" s="19">
        <v>0.85</v>
      </c>
      <c r="Q171" s="19"/>
      <c r="R171" s="19"/>
      <c r="S171" s="19"/>
      <c r="U171" s="121"/>
      <c r="V171" s="121" t="s">
        <v>583</v>
      </c>
      <c r="W171" s="121" t="s">
        <v>195</v>
      </c>
      <c r="X171" s="121"/>
      <c r="Y171" s="164">
        <f>110*0.96*0.985</f>
        <v>104.01599999999999</v>
      </c>
    </row>
    <row r="172" spans="3:25">
      <c r="C172" s="19" t="s">
        <v>65</v>
      </c>
      <c r="D172" s="19" t="str">
        <f>VLOOKUP(C172,$C$6:$D$147,2,0)</f>
        <v>CHP FBC, large CCS</v>
      </c>
      <c r="E172" s="19" t="s">
        <v>585</v>
      </c>
      <c r="F172" s="19"/>
      <c r="G172" s="19" t="s">
        <v>777</v>
      </c>
      <c r="H172" s="141" t="s">
        <v>506</v>
      </c>
      <c r="I172" s="131">
        <v>1</v>
      </c>
      <c r="J172" s="131"/>
      <c r="K172" s="295"/>
      <c r="L172" s="19">
        <v>0.3</v>
      </c>
      <c r="M172" s="19">
        <v>0.4</v>
      </c>
      <c r="N172" s="19"/>
      <c r="O172" s="19"/>
      <c r="P172" s="19">
        <v>0.5</v>
      </c>
      <c r="Q172" s="19"/>
      <c r="R172" s="19">
        <v>0.4</v>
      </c>
      <c r="S172" s="19"/>
      <c r="U172" s="121"/>
      <c r="V172" s="121" t="s">
        <v>501</v>
      </c>
      <c r="W172" s="121" t="s">
        <v>195</v>
      </c>
      <c r="X172" s="121"/>
      <c r="Y172" s="164">
        <f>106*0.9</f>
        <v>95.4</v>
      </c>
    </row>
    <row r="173" spans="3:25">
      <c r="C173" s="19"/>
      <c r="D173" s="19"/>
      <c r="E173" s="19" t="s">
        <v>286</v>
      </c>
      <c r="F173" s="19"/>
      <c r="G173" s="19" t="s">
        <v>777</v>
      </c>
      <c r="H173" s="141" t="s">
        <v>506</v>
      </c>
      <c r="I173" s="131">
        <v>1</v>
      </c>
      <c r="J173" s="131"/>
      <c r="K173" s="295"/>
      <c r="L173" s="19"/>
      <c r="M173" s="19"/>
      <c r="N173" s="19"/>
      <c r="O173" s="19"/>
      <c r="P173" s="19"/>
      <c r="Q173" s="19"/>
      <c r="R173" s="19"/>
      <c r="S173" s="19"/>
      <c r="U173" s="121" t="s">
        <v>74</v>
      </c>
      <c r="V173" s="121" t="s">
        <v>267</v>
      </c>
      <c r="W173" s="121" t="s">
        <v>195</v>
      </c>
      <c r="X173" s="121">
        <f>104*0.94</f>
        <v>97.759999999999991</v>
      </c>
      <c r="Y173" s="121"/>
    </row>
    <row r="174" spans="3:25">
      <c r="C174" s="19" t="s">
        <v>66</v>
      </c>
      <c r="D174" s="19" t="str">
        <f>VLOOKUP(C174,$C$6:$D$147,2,0)</f>
        <v>CHP FBC, biomass, medium</v>
      </c>
      <c r="E174" s="19" t="s">
        <v>585</v>
      </c>
      <c r="F174" s="19"/>
      <c r="G174" s="19" t="s">
        <v>777</v>
      </c>
      <c r="H174" s="141" t="s">
        <v>506</v>
      </c>
      <c r="I174" s="131">
        <v>1</v>
      </c>
      <c r="J174" s="131">
        <v>-0.1545295600234943</v>
      </c>
      <c r="K174" s="295"/>
      <c r="L174" s="19">
        <v>0.5</v>
      </c>
      <c r="M174" s="19">
        <v>0.6</v>
      </c>
      <c r="N174" s="19">
        <v>0.75</v>
      </c>
      <c r="O174" s="19"/>
      <c r="P174" s="19">
        <v>0.85</v>
      </c>
      <c r="Q174" s="19"/>
      <c r="R174" s="19"/>
      <c r="S174" s="19"/>
      <c r="U174" s="121"/>
      <c r="V174" s="121" t="s">
        <v>585</v>
      </c>
      <c r="W174" s="121" t="s">
        <v>195</v>
      </c>
      <c r="X174" s="121"/>
      <c r="Y174" s="164">
        <f>110*0.96*0.985</f>
        <v>104.01599999999999</v>
      </c>
    </row>
    <row r="175" spans="3:25">
      <c r="C175" s="19" t="s">
        <v>67</v>
      </c>
      <c r="D175" s="19" t="str">
        <f>VLOOKUP(C175,$C$6:$D$147,2,0)</f>
        <v>CHP FBC, large</v>
      </c>
      <c r="E175" s="19" t="s">
        <v>585</v>
      </c>
      <c r="F175" s="19"/>
      <c r="G175" s="19" t="s">
        <v>777</v>
      </c>
      <c r="H175" s="141" t="s">
        <v>506</v>
      </c>
      <c r="I175" s="131">
        <v>1</v>
      </c>
      <c r="J175" s="131">
        <v>-0.16138861076776345</v>
      </c>
      <c r="K175" s="295"/>
      <c r="L175" s="19">
        <v>0.4</v>
      </c>
      <c r="M175" s="19">
        <v>0.5</v>
      </c>
      <c r="N175" s="19">
        <v>0.7</v>
      </c>
      <c r="O175" s="19"/>
      <c r="P175" s="19">
        <v>0.8</v>
      </c>
      <c r="Q175" s="19"/>
      <c r="R175" s="19"/>
      <c r="S175" s="19"/>
      <c r="U175" s="121" t="s">
        <v>145</v>
      </c>
      <c r="V175" s="121" t="s">
        <v>583</v>
      </c>
      <c r="W175" s="121" t="s">
        <v>195</v>
      </c>
      <c r="X175" s="121"/>
      <c r="Y175" s="164">
        <f>110*0.98</f>
        <v>107.8</v>
      </c>
    </row>
    <row r="176" spans="3:25">
      <c r="C176" s="19"/>
      <c r="D176" s="19"/>
      <c r="E176" s="19" t="s">
        <v>286</v>
      </c>
      <c r="F176" s="19"/>
      <c r="G176" s="19" t="s">
        <v>777</v>
      </c>
      <c r="H176" s="141" t="s">
        <v>506</v>
      </c>
      <c r="I176" s="131">
        <v>1.0144927536231885</v>
      </c>
      <c r="J176" s="131">
        <v>0.20031948899912402</v>
      </c>
      <c r="K176" s="295"/>
      <c r="L176" s="19"/>
      <c r="M176" s="19"/>
      <c r="N176" s="19"/>
      <c r="O176" s="19"/>
      <c r="P176" s="19"/>
      <c r="Q176" s="19"/>
      <c r="R176" s="19"/>
      <c r="S176" s="19"/>
      <c r="U176" s="121"/>
      <c r="V176" s="121" t="s">
        <v>286</v>
      </c>
      <c r="W176" s="121" t="s">
        <v>195</v>
      </c>
      <c r="X176" s="164">
        <f>92.4*0.98</f>
        <v>90.552000000000007</v>
      </c>
      <c r="Y176" s="121"/>
    </row>
    <row r="177" spans="2:26">
      <c r="C177" s="19" t="s">
        <v>69</v>
      </c>
      <c r="D177" s="19" t="str">
        <f>VLOOKUP(C177,$C$6:$D$147,2,0)</f>
        <v>CHP IGCC, biomass, large</v>
      </c>
      <c r="E177" s="19" t="s">
        <v>585</v>
      </c>
      <c r="F177" s="19"/>
      <c r="G177" s="19" t="s">
        <v>777</v>
      </c>
      <c r="H177" s="141" t="s">
        <v>506</v>
      </c>
      <c r="I177" s="131">
        <v>1</v>
      </c>
      <c r="J177" s="131"/>
      <c r="K177" s="295"/>
      <c r="L177" s="19">
        <v>0.4</v>
      </c>
      <c r="M177" s="19">
        <v>0.5</v>
      </c>
      <c r="N177" s="19">
        <v>0.7</v>
      </c>
      <c r="O177" s="19"/>
      <c r="P177" s="19">
        <v>0.8</v>
      </c>
      <c r="Q177" s="19"/>
      <c r="R177" s="19"/>
      <c r="S177" s="19"/>
      <c r="U177" s="121" t="s">
        <v>200</v>
      </c>
      <c r="V177" s="121" t="s">
        <v>583</v>
      </c>
      <c r="W177" s="121" t="s">
        <v>195</v>
      </c>
      <c r="X177" s="121"/>
      <c r="Y177" s="164">
        <f>110*0.98</f>
        <v>107.8</v>
      </c>
    </row>
    <row r="178" spans="2:26">
      <c r="C178" s="19"/>
      <c r="D178" s="19"/>
      <c r="E178" s="19" t="s">
        <v>286</v>
      </c>
      <c r="F178" s="19"/>
      <c r="G178" s="19" t="s">
        <v>777</v>
      </c>
      <c r="H178" s="141" t="s">
        <v>506</v>
      </c>
      <c r="I178" s="131">
        <v>1.0117647058823529</v>
      </c>
      <c r="J178" s="131">
        <v>8.6018094783437013E-2</v>
      </c>
      <c r="K178" s="295"/>
      <c r="L178" s="19"/>
      <c r="M178" s="19"/>
      <c r="N178" s="19"/>
      <c r="O178" s="19"/>
      <c r="P178" s="19"/>
      <c r="Q178" s="19"/>
      <c r="R178" s="19"/>
      <c r="S178" s="19"/>
      <c r="U178" s="121"/>
      <c r="V178" s="121" t="s">
        <v>286</v>
      </c>
      <c r="W178" s="121" t="s">
        <v>195</v>
      </c>
      <c r="X178" s="164">
        <f>92.4*0.98</f>
        <v>90.552000000000007</v>
      </c>
      <c r="Y178" s="121"/>
    </row>
    <row r="179" spans="2:26">
      <c r="C179" s="19" t="s">
        <v>70</v>
      </c>
      <c r="D179" s="19" t="str">
        <f>VLOOKUP(C179,$C$6:$D$147,2,0)</f>
        <v>CHP PFBC, biomass, large</v>
      </c>
      <c r="E179" s="19" t="s">
        <v>585</v>
      </c>
      <c r="F179" s="19"/>
      <c r="G179" s="19" t="s">
        <v>777</v>
      </c>
      <c r="H179" s="141" t="s">
        <v>506</v>
      </c>
      <c r="I179" s="131">
        <v>1</v>
      </c>
      <c r="J179" s="131"/>
      <c r="K179" s="295"/>
      <c r="L179" s="19"/>
      <c r="M179" s="19"/>
      <c r="N179" s="19"/>
      <c r="O179" s="19"/>
      <c r="P179" s="19"/>
      <c r="Q179" s="19"/>
      <c r="R179" s="19"/>
      <c r="S179" s="19"/>
      <c r="U179" s="121" t="s">
        <v>201</v>
      </c>
      <c r="V179" s="121" t="s">
        <v>585</v>
      </c>
      <c r="W179" s="121" t="s">
        <v>195</v>
      </c>
      <c r="X179" s="121"/>
      <c r="Y179" s="164">
        <f>110*0.98</f>
        <v>107.8</v>
      </c>
    </row>
    <row r="180" spans="2:26">
      <c r="C180" s="19" t="s">
        <v>74</v>
      </c>
      <c r="D180" s="19" t="s">
        <v>320</v>
      </c>
      <c r="E180" s="19" t="s">
        <v>585</v>
      </c>
      <c r="F180" s="19"/>
      <c r="G180" s="19" t="s">
        <v>777</v>
      </c>
      <c r="H180" s="141" t="s">
        <v>778</v>
      </c>
      <c r="I180" s="131">
        <v>1</v>
      </c>
      <c r="J180" s="131">
        <v>0.5538222222222221</v>
      </c>
      <c r="K180" s="295"/>
      <c r="L180" s="19">
        <v>0.4</v>
      </c>
      <c r="M180" s="19">
        <v>0.4</v>
      </c>
      <c r="N180" s="19">
        <v>0.4</v>
      </c>
      <c r="O180" s="19"/>
      <c r="P180" s="19">
        <v>0.4</v>
      </c>
      <c r="Q180" s="19"/>
      <c r="R180" s="19">
        <v>0.45</v>
      </c>
      <c r="S180" s="19"/>
      <c r="U180" s="121"/>
      <c r="V180" s="121" t="s">
        <v>286</v>
      </c>
      <c r="W180" s="121" t="s">
        <v>195</v>
      </c>
      <c r="X180" s="164">
        <f>92.4*0.98</f>
        <v>90.552000000000007</v>
      </c>
      <c r="Y180" s="121"/>
    </row>
    <row r="181" spans="2:26">
      <c r="C181" s="19" t="s">
        <v>89</v>
      </c>
      <c r="D181" s="19" t="str">
        <f>VLOOKUP(C181,$C$6:$D$147,2,0)</f>
        <v>CHP FBC, biomass, small</v>
      </c>
      <c r="E181" s="19" t="s">
        <v>267</v>
      </c>
      <c r="F181" s="19"/>
      <c r="G181" s="19" t="s">
        <v>777</v>
      </c>
      <c r="H181" s="141" t="s">
        <v>778</v>
      </c>
      <c r="I181" s="131">
        <v>1</v>
      </c>
      <c r="J181" s="131">
        <v>0.20848260631359569</v>
      </c>
      <c r="K181" s="295"/>
      <c r="L181" s="19">
        <v>0.4</v>
      </c>
      <c r="M181" s="19">
        <v>0.4</v>
      </c>
      <c r="N181" s="19">
        <v>0.2</v>
      </c>
      <c r="O181" s="19"/>
      <c r="P181" s="19">
        <v>0.1</v>
      </c>
      <c r="Q181" s="19"/>
      <c r="R181" s="19"/>
      <c r="S181" s="19"/>
      <c r="U181" s="4"/>
      <c r="V181" s="4"/>
      <c r="W181" s="4"/>
      <c r="X181" s="4"/>
      <c r="Y181" s="4"/>
    </row>
    <row r="182" spans="2:26">
      <c r="C182" s="19" t="s">
        <v>448</v>
      </c>
      <c r="D182" s="19" t="str">
        <f>VLOOKUP(C182,$C$6:$D$147,2,0)</f>
        <v>HPL burner, oil-gas, large</v>
      </c>
      <c r="E182" s="19" t="s">
        <v>315</v>
      </c>
      <c r="F182" s="19"/>
      <c r="G182" s="19" t="s">
        <v>777</v>
      </c>
      <c r="H182" s="141" t="s">
        <v>506</v>
      </c>
      <c r="I182" s="131">
        <v>1.0222222222222221</v>
      </c>
      <c r="J182" s="131">
        <v>-3.5218892538304521E-2</v>
      </c>
      <c r="K182" s="295"/>
      <c r="L182" s="19"/>
      <c r="M182" s="19"/>
      <c r="N182" s="19"/>
      <c r="O182" s="19"/>
      <c r="P182" s="19"/>
      <c r="Q182" s="19"/>
      <c r="R182" s="19"/>
      <c r="S182" s="19"/>
      <c r="U182" s="4"/>
      <c r="V182" s="4"/>
      <c r="W182" s="4"/>
      <c r="X182" s="4"/>
      <c r="Y182" s="4"/>
      <c r="Z182" s="4"/>
    </row>
    <row r="183" spans="2:26">
      <c r="C183" s="19" t="s">
        <v>460</v>
      </c>
      <c r="D183" s="19" t="str">
        <f>VLOOKUP(C183,$C$6:$D$147,2,0)</f>
        <v>HPL FBC, biomass, medium</v>
      </c>
      <c r="E183" s="19" t="s">
        <v>267</v>
      </c>
      <c r="F183" s="19"/>
      <c r="G183" s="19" t="s">
        <v>777</v>
      </c>
      <c r="H183" s="141" t="s">
        <v>778</v>
      </c>
      <c r="I183" s="131">
        <v>1</v>
      </c>
      <c r="J183" s="131">
        <v>2.3694933841613058E-2</v>
      </c>
      <c r="K183" s="295"/>
      <c r="L183" s="19">
        <v>0.3</v>
      </c>
      <c r="M183" s="19">
        <v>0.2</v>
      </c>
      <c r="N183" s="19">
        <v>0.15</v>
      </c>
      <c r="O183" s="19"/>
      <c r="P183" s="19">
        <v>0.1</v>
      </c>
      <c r="Q183" s="19"/>
      <c r="R183" s="19"/>
      <c r="S183" s="19"/>
      <c r="U183" s="4"/>
      <c r="V183" s="4"/>
      <c r="W183" s="4"/>
      <c r="X183" s="4"/>
      <c r="Y183" s="4"/>
      <c r="Z183" s="4"/>
    </row>
    <row r="184" spans="2:26">
      <c r="C184" s="19" t="s">
        <v>462</v>
      </c>
      <c r="D184" s="19" t="str">
        <f>VLOOKUP(C184,$C$6:$D$147,2,0)</f>
        <v>HPL FBC, coal, large</v>
      </c>
      <c r="E184" s="19" t="s">
        <v>583</v>
      </c>
      <c r="F184" s="19"/>
      <c r="G184" s="19" t="s">
        <v>777</v>
      </c>
      <c r="H184" s="141" t="s">
        <v>506</v>
      </c>
      <c r="I184" s="131">
        <v>1</v>
      </c>
      <c r="J184" s="131">
        <v>-0.10267804664697922</v>
      </c>
      <c r="K184" s="295"/>
      <c r="L184" s="19">
        <v>0.5</v>
      </c>
      <c r="M184" s="19">
        <v>0.6</v>
      </c>
      <c r="N184" s="19">
        <v>0.65</v>
      </c>
      <c r="O184" s="19"/>
      <c r="P184" s="19">
        <v>0.75</v>
      </c>
      <c r="Q184" s="19"/>
      <c r="R184" s="19"/>
      <c r="S184" s="19"/>
      <c r="U184" s="4"/>
      <c r="V184" s="4"/>
      <c r="W184" s="4"/>
      <c r="X184" s="4"/>
      <c r="Y184" s="4"/>
      <c r="Z184" s="4"/>
    </row>
    <row r="185" spans="2:26">
      <c r="C185" s="19" t="s">
        <v>143</v>
      </c>
      <c r="D185" s="19" t="s">
        <v>144</v>
      </c>
      <c r="E185" s="19" t="s">
        <v>286</v>
      </c>
      <c r="F185" s="19"/>
      <c r="G185" s="19" t="s">
        <v>777</v>
      </c>
      <c r="H185" s="141" t="s">
        <v>506</v>
      </c>
      <c r="I185" s="131"/>
      <c r="J185" s="131">
        <v>0.496</v>
      </c>
      <c r="K185" s="295"/>
      <c r="L185" s="19">
        <v>0.5</v>
      </c>
      <c r="M185" s="19"/>
      <c r="N185" s="19"/>
      <c r="O185" s="19"/>
      <c r="P185" s="19">
        <v>0.5</v>
      </c>
      <c r="Q185" s="19"/>
      <c r="R185" s="19"/>
      <c r="S185" s="19"/>
      <c r="U185" s="4"/>
      <c r="V185" s="4"/>
      <c r="W185" s="4"/>
      <c r="X185" s="4"/>
      <c r="Y185" s="4"/>
      <c r="Z185" s="4"/>
    </row>
    <row r="186" spans="2:26">
      <c r="C186" s="19" t="s">
        <v>145</v>
      </c>
      <c r="D186" s="19" t="s">
        <v>146</v>
      </c>
      <c r="E186" s="19" t="s">
        <v>286</v>
      </c>
      <c r="F186" s="19"/>
      <c r="G186" s="19" t="s">
        <v>777</v>
      </c>
      <c r="H186" s="141" t="s">
        <v>506</v>
      </c>
      <c r="I186" s="131"/>
      <c r="J186" s="131">
        <v>0.496</v>
      </c>
      <c r="K186" s="295"/>
      <c r="L186" s="19">
        <v>0.5</v>
      </c>
      <c r="M186" s="19"/>
      <c r="N186" s="19"/>
      <c r="O186" s="19"/>
      <c r="P186" s="19">
        <v>0.5</v>
      </c>
      <c r="Q186" s="19"/>
      <c r="R186" s="19"/>
      <c r="S186" s="19"/>
      <c r="U186" s="4"/>
      <c r="V186" s="4"/>
      <c r="W186" s="4"/>
      <c r="X186" s="4"/>
      <c r="Y186" s="4"/>
      <c r="Z186" s="4"/>
    </row>
    <row r="187" spans="2:26">
      <c r="C187" s="19"/>
      <c r="D187" s="19"/>
      <c r="E187" s="19" t="s">
        <v>496</v>
      </c>
      <c r="F187" s="19"/>
      <c r="G187" s="19" t="s">
        <v>141</v>
      </c>
      <c r="H187" s="19"/>
      <c r="I187" s="131"/>
      <c r="J187" s="131"/>
      <c r="K187" s="308">
        <v>2</v>
      </c>
      <c r="L187" s="19"/>
      <c r="M187" s="19"/>
      <c r="N187" s="19"/>
      <c r="O187" s="19"/>
      <c r="P187" s="19"/>
      <c r="Q187" s="19"/>
      <c r="R187" s="19"/>
      <c r="S187" s="19">
        <v>0.04</v>
      </c>
      <c r="U187" s="4"/>
      <c r="V187" s="4"/>
      <c r="W187" s="4"/>
      <c r="X187" s="4"/>
      <c r="Y187" s="4"/>
      <c r="Z187" s="4"/>
    </row>
    <row r="188" spans="2:26">
      <c r="C188" s="19" t="s">
        <v>464</v>
      </c>
      <c r="D188" s="19" t="str">
        <f>VLOOKUP(C188,$C$6:$D$147,2,0)</f>
        <v>HPL grate, waste, medium</v>
      </c>
      <c r="E188" s="19" t="s">
        <v>583</v>
      </c>
      <c r="F188" s="19"/>
      <c r="G188" s="19" t="s">
        <v>777</v>
      </c>
      <c r="H188" s="141" t="s">
        <v>506</v>
      </c>
      <c r="I188" s="131">
        <v>1.0352941176470589</v>
      </c>
      <c r="J188" s="131">
        <v>-0.72950725327351174</v>
      </c>
      <c r="K188" s="295"/>
      <c r="L188" s="19"/>
      <c r="M188" s="19"/>
      <c r="N188" s="19"/>
      <c r="O188" s="19"/>
      <c r="P188" s="19"/>
      <c r="Q188" s="19"/>
      <c r="R188" s="19"/>
      <c r="S188" s="19"/>
    </row>
    <row r="189" spans="2:26">
      <c r="C189" s="19" t="s">
        <v>469</v>
      </c>
      <c r="D189" s="19" t="str">
        <f>VLOOKUP(C189,$C$6:$D$147,2,0)</f>
        <v>HPL burner, oil-gas, small</v>
      </c>
      <c r="E189" s="19" t="s">
        <v>315</v>
      </c>
      <c r="F189" s="19"/>
      <c r="G189" s="19" t="s">
        <v>777</v>
      </c>
      <c r="H189" s="141" t="s">
        <v>506</v>
      </c>
      <c r="I189" s="131">
        <v>1.0222222222222221</v>
      </c>
      <c r="J189" s="131">
        <v>-9.0684314702440885E-3</v>
      </c>
      <c r="K189" s="295"/>
      <c r="L189" s="19"/>
      <c r="M189" s="19"/>
      <c r="N189" s="19"/>
      <c r="O189" s="19"/>
      <c r="P189" s="19"/>
      <c r="Q189" s="19"/>
      <c r="R189" s="19"/>
      <c r="S189" s="19"/>
    </row>
    <row r="190" spans="2:26">
      <c r="C190" s="19" t="s">
        <v>473</v>
      </c>
      <c r="D190" s="19" t="str">
        <f>VLOOKUP(C190,$C$6:$D$147,2,0)</f>
        <v>HPL FBC, biomass, small</v>
      </c>
      <c r="E190" s="19" t="s">
        <v>584</v>
      </c>
      <c r="F190" s="19"/>
      <c r="G190" s="19" t="s">
        <v>777</v>
      </c>
      <c r="H190" s="141" t="s">
        <v>506</v>
      </c>
      <c r="I190" s="131">
        <v>1</v>
      </c>
      <c r="J190" s="131">
        <v>-3.1593245122142344E-2</v>
      </c>
      <c r="K190" s="295"/>
      <c r="L190" s="19">
        <v>0.7</v>
      </c>
      <c r="M190" s="19">
        <v>0.8</v>
      </c>
      <c r="N190" s="19">
        <v>0.9</v>
      </c>
      <c r="O190" s="19"/>
      <c r="P190" s="19">
        <v>0.95</v>
      </c>
      <c r="Q190" s="19"/>
      <c r="R190" s="19"/>
      <c r="S190" s="19"/>
    </row>
    <row r="191" spans="2:26">
      <c r="C191" s="19" t="s">
        <v>482</v>
      </c>
      <c r="D191" s="19" t="str">
        <f>VLOOKUP(C191,$C$6:$D$147,2,0)</f>
        <v>HPL FBC, biomass, medium</v>
      </c>
      <c r="E191" s="19" t="s">
        <v>585</v>
      </c>
      <c r="F191" s="19"/>
      <c r="G191" s="19" t="s">
        <v>777</v>
      </c>
      <c r="H191" s="141" t="s">
        <v>506</v>
      </c>
      <c r="I191" s="131">
        <v>1</v>
      </c>
      <c r="J191" s="131">
        <v>-2.3694933841613058E-2</v>
      </c>
      <c r="K191" s="295"/>
      <c r="L191" s="19">
        <v>0.7</v>
      </c>
      <c r="M191" s="19">
        <v>0.8</v>
      </c>
      <c r="N191" s="19">
        <v>0.9</v>
      </c>
      <c r="O191" s="19"/>
      <c r="P191" s="19">
        <v>0.95</v>
      </c>
      <c r="Q191" s="19"/>
      <c r="R191" s="19"/>
      <c r="S191" s="19"/>
    </row>
    <row r="192" spans="2:26">
      <c r="B192" s="15"/>
      <c r="C192" s="19"/>
      <c r="D192" s="19"/>
      <c r="E192" s="19" t="s">
        <v>286</v>
      </c>
      <c r="F192" s="19"/>
      <c r="G192" s="19" t="s">
        <v>777</v>
      </c>
      <c r="H192" s="141" t="s">
        <v>506</v>
      </c>
      <c r="I192" s="131">
        <v>1</v>
      </c>
      <c r="J192" s="131">
        <v>7.8983112805366157E-2</v>
      </c>
      <c r="K192" s="295"/>
      <c r="L192" s="19"/>
      <c r="M192" s="19"/>
      <c r="N192" s="19"/>
      <c r="O192" s="19"/>
      <c r="P192" s="19"/>
      <c r="Q192" s="19"/>
      <c r="R192" s="19"/>
      <c r="S192" s="19"/>
    </row>
    <row r="193" spans="2:20">
      <c r="B193" s="15"/>
      <c r="C193" s="19" t="s">
        <v>483</v>
      </c>
      <c r="D193" s="19" t="str">
        <f>VLOOKUP(C193,$C$6:$D$147,2,0)</f>
        <v>HPL grate, waste, medium</v>
      </c>
      <c r="E193" s="19" t="s">
        <v>585</v>
      </c>
      <c r="F193" s="19"/>
      <c r="G193" s="19" t="s">
        <v>777</v>
      </c>
      <c r="H193" s="141" t="s">
        <v>506</v>
      </c>
      <c r="I193" s="131">
        <v>1.0352941176470589</v>
      </c>
      <c r="J193" s="131">
        <v>-0.72950725327351174</v>
      </c>
      <c r="K193" s="295"/>
      <c r="L193" s="19"/>
      <c r="M193" s="19"/>
      <c r="N193" s="19"/>
      <c r="O193" s="19"/>
      <c r="P193" s="19"/>
      <c r="Q193" s="19"/>
      <c r="R193" s="19"/>
      <c r="S193" s="19"/>
    </row>
    <row r="194" spans="2:20">
      <c r="B194" s="15"/>
      <c r="C194" s="19" t="s">
        <v>488</v>
      </c>
      <c r="D194" s="19" t="str">
        <f>VLOOKUP(C194,$C$6:$D$147,2,0)</f>
        <v>HPL FBC, biomass, small</v>
      </c>
      <c r="E194" s="19" t="s">
        <v>261</v>
      </c>
      <c r="F194" s="19"/>
      <c r="G194" s="19" t="s">
        <v>777</v>
      </c>
      <c r="H194" s="141" t="s">
        <v>506</v>
      </c>
      <c r="I194" s="131">
        <v>1</v>
      </c>
      <c r="J194" s="131">
        <v>-3.1593245122142344E-2</v>
      </c>
      <c r="K194" s="295"/>
      <c r="L194" s="19">
        <v>0.8</v>
      </c>
      <c r="M194" s="19">
        <v>0.9</v>
      </c>
      <c r="N194" s="19">
        <v>0.95</v>
      </c>
      <c r="O194" s="19">
        <v>1</v>
      </c>
      <c r="P194" s="19">
        <v>1</v>
      </c>
      <c r="Q194" s="19"/>
      <c r="R194" s="19"/>
      <c r="S194" s="19"/>
    </row>
    <row r="195" spans="2:20">
      <c r="B195" s="15"/>
      <c r="C195" s="19"/>
      <c r="D195" s="19"/>
      <c r="E195" s="19" t="s">
        <v>286</v>
      </c>
      <c r="F195" s="19"/>
      <c r="G195" s="19" t="s">
        <v>777</v>
      </c>
      <c r="H195" s="141" t="s">
        <v>506</v>
      </c>
      <c r="I195" s="131">
        <v>1</v>
      </c>
      <c r="J195" s="131">
        <v>-1.3696982603765735E-2</v>
      </c>
      <c r="K195" s="295"/>
      <c r="L195" s="19"/>
      <c r="M195" s="19"/>
      <c r="N195" s="19"/>
      <c r="O195" s="19"/>
      <c r="P195" s="19"/>
      <c r="Q195" s="19"/>
      <c r="R195" s="19"/>
      <c r="S195" s="19"/>
    </row>
    <row r="196" spans="2:20">
      <c r="B196" s="15"/>
      <c r="C196" s="19" t="s">
        <v>491</v>
      </c>
      <c r="D196" s="19" t="s">
        <v>492</v>
      </c>
      <c r="E196" s="19" t="s">
        <v>496</v>
      </c>
      <c r="F196" s="19"/>
      <c r="G196" s="19" t="s">
        <v>190</v>
      </c>
      <c r="H196" s="19"/>
      <c r="I196" s="19"/>
      <c r="J196" s="19"/>
      <c r="K196" s="295"/>
      <c r="L196" s="19">
        <v>2.36951901125718E-2</v>
      </c>
      <c r="M196" s="19"/>
      <c r="N196" s="19"/>
      <c r="O196" s="19"/>
      <c r="P196" s="19"/>
      <c r="Q196" s="19"/>
      <c r="R196" s="309"/>
      <c r="S196" s="309"/>
    </row>
    <row r="197" spans="2:20">
      <c r="B197" s="15"/>
      <c r="C197" s="21" t="s">
        <v>61</v>
      </c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>
        <v>0.4</v>
      </c>
      <c r="S197" s="310"/>
    </row>
    <row r="198" spans="2:20">
      <c r="B198" s="15"/>
      <c r="C198" s="21" t="s">
        <v>200</v>
      </c>
      <c r="D198" s="21"/>
      <c r="E198" s="21" t="s">
        <v>583</v>
      </c>
      <c r="F198" s="21"/>
      <c r="G198" s="21"/>
      <c r="H198" s="21"/>
      <c r="I198" s="21"/>
      <c r="J198" s="151">
        <v>0.55000000000000004</v>
      </c>
      <c r="K198" s="21"/>
      <c r="L198" s="21"/>
      <c r="M198" s="21"/>
      <c r="N198" s="21"/>
      <c r="O198" s="21"/>
      <c r="P198" s="21"/>
      <c r="Q198" s="21"/>
      <c r="R198" s="310"/>
      <c r="S198" s="310"/>
    </row>
    <row r="199" spans="2:20">
      <c r="B199" s="15"/>
      <c r="C199" s="21" t="s">
        <v>201</v>
      </c>
      <c r="D199" s="21"/>
      <c r="E199" s="21" t="s">
        <v>585</v>
      </c>
      <c r="F199" s="21"/>
      <c r="G199" s="21"/>
      <c r="H199" s="21"/>
      <c r="I199" s="21"/>
      <c r="J199" s="151">
        <v>0.55000000000000004</v>
      </c>
      <c r="K199" s="21"/>
      <c r="L199" s="21"/>
      <c r="M199" s="21"/>
      <c r="N199" s="21"/>
      <c r="O199" s="21"/>
      <c r="P199" s="21"/>
      <c r="Q199" s="21"/>
      <c r="R199" s="310"/>
      <c r="S199" s="310"/>
    </row>
    <row r="200" spans="2:20"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"/>
      <c r="Q200" s="1"/>
      <c r="R200" s="1"/>
      <c r="S200" s="1"/>
      <c r="T200" s="1"/>
    </row>
    <row r="202" spans="2:20">
      <c r="B202" s="15" t="s">
        <v>36</v>
      </c>
    </row>
    <row r="203" spans="2:20">
      <c r="B203" s="18" t="s">
        <v>37</v>
      </c>
      <c r="C203" s="18" t="s">
        <v>38</v>
      </c>
      <c r="D203" s="18" t="s">
        <v>39</v>
      </c>
      <c r="E203" s="18" t="s">
        <v>40</v>
      </c>
      <c r="F203" s="18" t="s">
        <v>560</v>
      </c>
      <c r="G203" s="18" t="s">
        <v>561</v>
      </c>
      <c r="H203" s="18" t="s">
        <v>562</v>
      </c>
      <c r="I203" s="18" t="s">
        <v>563</v>
      </c>
      <c r="J203" s="18"/>
    </row>
    <row r="204" spans="2:20">
      <c r="B204" s="34" t="s">
        <v>603</v>
      </c>
      <c r="C204" s="34" t="s">
        <v>32</v>
      </c>
      <c r="D204" s="34" t="s">
        <v>42</v>
      </c>
      <c r="E204" s="119" t="s">
        <v>41</v>
      </c>
      <c r="F204" s="119"/>
      <c r="G204" s="34" t="s">
        <v>564</v>
      </c>
      <c r="H204" s="34"/>
      <c r="I204" s="34" t="s">
        <v>565</v>
      </c>
      <c r="J204" s="34"/>
    </row>
    <row r="205" spans="2:20">
      <c r="B205" s="34" t="s">
        <v>603</v>
      </c>
      <c r="C205" s="34" t="s">
        <v>262</v>
      </c>
      <c r="D205" s="34" t="s">
        <v>497</v>
      </c>
      <c r="E205" s="119" t="s">
        <v>41</v>
      </c>
      <c r="F205" s="119"/>
      <c r="G205" s="34" t="s">
        <v>564</v>
      </c>
      <c r="H205" s="34"/>
      <c r="I205" s="34" t="s">
        <v>565</v>
      </c>
      <c r="J205" s="34"/>
    </row>
    <row r="206" spans="2:20">
      <c r="B206" s="34" t="s">
        <v>603</v>
      </c>
      <c r="C206" s="34" t="s">
        <v>368</v>
      </c>
      <c r="D206" s="34" t="s">
        <v>498</v>
      </c>
      <c r="E206" s="119" t="s">
        <v>41</v>
      </c>
      <c r="F206" s="119"/>
      <c r="G206" s="34" t="s">
        <v>564</v>
      </c>
      <c r="H206" s="34"/>
      <c r="I206" s="34" t="s">
        <v>565</v>
      </c>
      <c r="J206" s="34"/>
    </row>
    <row r="207" spans="2:20">
      <c r="B207" s="34" t="s">
        <v>603</v>
      </c>
      <c r="C207" s="34" t="s">
        <v>252</v>
      </c>
      <c r="D207" s="34" t="s">
        <v>630</v>
      </c>
      <c r="E207" s="119" t="s">
        <v>41</v>
      </c>
      <c r="F207" s="119" t="s">
        <v>500</v>
      </c>
      <c r="G207" s="34" t="s">
        <v>564</v>
      </c>
      <c r="H207" s="34"/>
      <c r="I207" s="34" t="s">
        <v>565</v>
      </c>
      <c r="J207" s="34"/>
    </row>
    <row r="208" spans="2:20">
      <c r="B208" s="171" t="s">
        <v>499</v>
      </c>
      <c r="C208" s="171" t="s">
        <v>149</v>
      </c>
      <c r="D208" s="171" t="s">
        <v>203</v>
      </c>
      <c r="E208" s="173" t="s">
        <v>41</v>
      </c>
      <c r="F208" s="173" t="s">
        <v>500</v>
      </c>
      <c r="G208" s="171" t="s">
        <v>566</v>
      </c>
      <c r="H208" s="171"/>
      <c r="I208" s="171"/>
      <c r="J208" s="171"/>
    </row>
    <row r="209" spans="2:10">
      <c r="B209" s="171" t="s">
        <v>499</v>
      </c>
      <c r="C209" s="171" t="s">
        <v>885</v>
      </c>
      <c r="D209" s="171" t="s">
        <v>886</v>
      </c>
      <c r="E209" s="173" t="s">
        <v>41</v>
      </c>
      <c r="F209" s="173" t="s">
        <v>500</v>
      </c>
      <c r="G209" s="171"/>
      <c r="H209" s="171"/>
      <c r="I209" s="171"/>
      <c r="J209" s="171"/>
    </row>
    <row r="210" spans="2:10">
      <c r="B210" s="171" t="s">
        <v>499</v>
      </c>
      <c r="C210" s="171" t="s">
        <v>887</v>
      </c>
      <c r="D210" s="171" t="s">
        <v>888</v>
      </c>
      <c r="E210" s="173" t="s">
        <v>41</v>
      </c>
      <c r="F210" s="173" t="s">
        <v>500</v>
      </c>
      <c r="G210" s="171"/>
      <c r="H210" s="171"/>
      <c r="I210" s="171"/>
      <c r="J210" s="171"/>
    </row>
    <row r="211" spans="2:10">
      <c r="B211" s="171" t="s">
        <v>603</v>
      </c>
      <c r="C211" s="171" t="s">
        <v>582</v>
      </c>
      <c r="D211" s="171" t="s">
        <v>254</v>
      </c>
      <c r="E211" s="173" t="s">
        <v>41</v>
      </c>
      <c r="F211" s="173"/>
      <c r="G211" s="171" t="s">
        <v>625</v>
      </c>
      <c r="H211" s="171"/>
      <c r="I211" s="171"/>
      <c r="J211" s="171"/>
    </row>
    <row r="212" spans="2:10">
      <c r="B212" s="34" t="s">
        <v>603</v>
      </c>
      <c r="C212" s="34" t="s">
        <v>493</v>
      </c>
      <c r="D212" s="34" t="s">
        <v>502</v>
      </c>
      <c r="E212" s="119" t="s">
        <v>41</v>
      </c>
      <c r="F212" s="119"/>
      <c r="G212" s="34" t="s">
        <v>564</v>
      </c>
      <c r="H212" s="34"/>
      <c r="I212" s="34" t="s">
        <v>567</v>
      </c>
      <c r="J212" s="34"/>
    </row>
    <row r="213" spans="2:10">
      <c r="B213" s="34" t="s">
        <v>603</v>
      </c>
      <c r="C213" s="34" t="s">
        <v>404</v>
      </c>
      <c r="D213" s="34" t="s">
        <v>161</v>
      </c>
      <c r="E213" s="119" t="s">
        <v>41</v>
      </c>
      <c r="F213" s="119"/>
      <c r="G213" s="34" t="s">
        <v>564</v>
      </c>
      <c r="H213" s="34"/>
      <c r="I213" s="34" t="s">
        <v>567</v>
      </c>
      <c r="J213" s="34"/>
    </row>
    <row r="214" spans="2:10">
      <c r="B214" s="34" t="s">
        <v>603</v>
      </c>
      <c r="C214" s="34" t="s">
        <v>419</v>
      </c>
      <c r="D214" s="34" t="s">
        <v>160</v>
      </c>
      <c r="E214" s="119" t="s">
        <v>41</v>
      </c>
      <c r="F214" s="119"/>
      <c r="G214" s="34" t="s">
        <v>564</v>
      </c>
      <c r="H214" s="34"/>
      <c r="I214" s="34" t="s">
        <v>567</v>
      </c>
      <c r="J214" s="34"/>
    </row>
    <row r="215" spans="2:10">
      <c r="B215" s="34" t="s">
        <v>603</v>
      </c>
      <c r="C215" s="34" t="s">
        <v>436</v>
      </c>
      <c r="D215" s="34" t="s">
        <v>159</v>
      </c>
      <c r="E215" s="119" t="s">
        <v>41</v>
      </c>
      <c r="F215" s="119"/>
      <c r="G215" s="34" t="s">
        <v>564</v>
      </c>
      <c r="H215" s="34"/>
      <c r="I215" s="34" t="s">
        <v>567</v>
      </c>
      <c r="J215" s="34"/>
    </row>
    <row r="216" spans="2:10">
      <c r="B216" s="34" t="s">
        <v>603</v>
      </c>
      <c r="C216" s="34" t="s">
        <v>441</v>
      </c>
      <c r="D216" s="34" t="s">
        <v>158</v>
      </c>
      <c r="E216" s="119" t="s">
        <v>41</v>
      </c>
      <c r="F216" s="119"/>
      <c r="G216" s="34" t="s">
        <v>564</v>
      </c>
      <c r="H216" s="34"/>
      <c r="I216" s="34" t="s">
        <v>567</v>
      </c>
      <c r="J216" s="34"/>
    </row>
    <row r="217" spans="2:10">
      <c r="B217" s="21" t="s">
        <v>43</v>
      </c>
      <c r="C217" s="21" t="s">
        <v>495</v>
      </c>
      <c r="D217" s="21" t="s">
        <v>754</v>
      </c>
      <c r="E217" s="262" t="s">
        <v>503</v>
      </c>
      <c r="F217" s="262"/>
      <c r="G217" s="21"/>
      <c r="H217" s="21"/>
      <c r="I217" s="21"/>
      <c r="J217" s="21"/>
    </row>
    <row r="222" spans="2:10">
      <c r="B222" s="15" t="s">
        <v>526</v>
      </c>
    </row>
    <row r="223" spans="2:10">
      <c r="B223" s="35" t="s">
        <v>94</v>
      </c>
      <c r="C223" s="36" t="s">
        <v>555</v>
      </c>
      <c r="D223" s="36" t="s">
        <v>556</v>
      </c>
      <c r="E223" s="36" t="s">
        <v>527</v>
      </c>
      <c r="F223" s="36" t="s">
        <v>528</v>
      </c>
      <c r="G223" s="36" t="s">
        <v>529</v>
      </c>
      <c r="H223" s="36" t="s">
        <v>530</v>
      </c>
      <c r="I223" s="37" t="s">
        <v>531</v>
      </c>
    </row>
    <row r="224" spans="2:10">
      <c r="B224" s="24" t="s">
        <v>504</v>
      </c>
      <c r="C224" s="24" t="s">
        <v>259</v>
      </c>
      <c r="D224" s="24" t="s">
        <v>260</v>
      </c>
      <c r="E224" s="24" t="s">
        <v>41</v>
      </c>
      <c r="F224" s="24" t="s">
        <v>845</v>
      </c>
      <c r="G224" s="24" t="s">
        <v>108</v>
      </c>
      <c r="H224" s="24"/>
      <c r="I224" s="24" t="s">
        <v>533</v>
      </c>
    </row>
    <row r="225" spans="2:9">
      <c r="B225" s="24" t="s">
        <v>504</v>
      </c>
      <c r="C225" s="24" t="s">
        <v>263</v>
      </c>
      <c r="D225" s="24" t="s">
        <v>264</v>
      </c>
      <c r="E225" s="24" t="s">
        <v>41</v>
      </c>
      <c r="F225" s="24" t="s">
        <v>845</v>
      </c>
      <c r="G225" s="24" t="s">
        <v>108</v>
      </c>
      <c r="H225" s="24"/>
      <c r="I225" s="24" t="s">
        <v>533</v>
      </c>
    </row>
    <row r="226" spans="2:9">
      <c r="B226" s="24" t="s">
        <v>504</v>
      </c>
      <c r="C226" s="24" t="s">
        <v>265</v>
      </c>
      <c r="D226" s="24" t="s">
        <v>266</v>
      </c>
      <c r="E226" s="24" t="s">
        <v>41</v>
      </c>
      <c r="F226" s="24" t="s">
        <v>845</v>
      </c>
      <c r="G226" s="24" t="s">
        <v>108</v>
      </c>
      <c r="H226" s="24"/>
      <c r="I226" s="24" t="s">
        <v>533</v>
      </c>
    </row>
    <row r="227" spans="2:9">
      <c r="B227" s="24" t="s">
        <v>504</v>
      </c>
      <c r="C227" s="24" t="s">
        <v>268</v>
      </c>
      <c r="D227" s="24" t="s">
        <v>269</v>
      </c>
      <c r="E227" s="24" t="s">
        <v>41</v>
      </c>
      <c r="F227" s="24" t="s">
        <v>845</v>
      </c>
      <c r="G227" s="24" t="s">
        <v>108</v>
      </c>
      <c r="H227" s="24"/>
      <c r="I227" s="24" t="s">
        <v>533</v>
      </c>
    </row>
    <row r="228" spans="2:9">
      <c r="B228" s="24" t="s">
        <v>504</v>
      </c>
      <c r="C228" s="24" t="s">
        <v>270</v>
      </c>
      <c r="D228" s="24" t="s">
        <v>271</v>
      </c>
      <c r="E228" s="24" t="s">
        <v>41</v>
      </c>
      <c r="F228" s="24" t="s">
        <v>845</v>
      </c>
      <c r="G228" s="24" t="s">
        <v>108</v>
      </c>
      <c r="H228" s="24"/>
      <c r="I228" s="24" t="s">
        <v>533</v>
      </c>
    </row>
    <row r="229" spans="2:9">
      <c r="B229" s="24" t="s">
        <v>504</v>
      </c>
      <c r="C229" s="24" t="s">
        <v>272</v>
      </c>
      <c r="D229" s="24" t="s">
        <v>273</v>
      </c>
      <c r="E229" s="24" t="s">
        <v>41</v>
      </c>
      <c r="F229" s="24" t="s">
        <v>845</v>
      </c>
      <c r="G229" s="24" t="s">
        <v>108</v>
      </c>
      <c r="H229" s="24"/>
      <c r="I229" s="24" t="s">
        <v>533</v>
      </c>
    </row>
    <row r="230" spans="2:9">
      <c r="B230" s="24" t="s">
        <v>504</v>
      </c>
      <c r="C230" s="24" t="s">
        <v>859</v>
      </c>
      <c r="D230" s="24" t="s">
        <v>858</v>
      </c>
      <c r="E230" s="24" t="s">
        <v>41</v>
      </c>
      <c r="F230" s="24" t="s">
        <v>845</v>
      </c>
      <c r="G230" s="24" t="s">
        <v>108</v>
      </c>
      <c r="H230" s="24"/>
      <c r="I230" s="24" t="s">
        <v>533</v>
      </c>
    </row>
    <row r="231" spans="2:9">
      <c r="B231" s="24" t="s">
        <v>504</v>
      </c>
      <c r="C231" s="24" t="s">
        <v>275</v>
      </c>
      <c r="D231" s="24" t="s">
        <v>276</v>
      </c>
      <c r="E231" s="24" t="s">
        <v>41</v>
      </c>
      <c r="F231" s="24" t="s">
        <v>845</v>
      </c>
      <c r="G231" s="24" t="s">
        <v>625</v>
      </c>
      <c r="H231" s="24"/>
      <c r="I231" s="24" t="s">
        <v>533</v>
      </c>
    </row>
    <row r="232" spans="2:9">
      <c r="B232" s="24" t="s">
        <v>504</v>
      </c>
      <c r="C232" s="24" t="s">
        <v>278</v>
      </c>
      <c r="D232" s="24" t="s">
        <v>281</v>
      </c>
      <c r="E232" s="24" t="s">
        <v>41</v>
      </c>
      <c r="F232" s="24" t="s">
        <v>845</v>
      </c>
      <c r="G232" s="24" t="s">
        <v>625</v>
      </c>
      <c r="H232" s="24"/>
      <c r="I232" s="24" t="s">
        <v>533</v>
      </c>
    </row>
    <row r="233" spans="2:9">
      <c r="B233" s="24" t="s">
        <v>504</v>
      </c>
      <c r="C233" s="24" t="s">
        <v>284</v>
      </c>
      <c r="D233" s="24" t="s">
        <v>285</v>
      </c>
      <c r="E233" s="24" t="s">
        <v>41</v>
      </c>
      <c r="F233" s="24" t="s">
        <v>845</v>
      </c>
      <c r="G233" s="24" t="s">
        <v>108</v>
      </c>
      <c r="H233" s="24"/>
      <c r="I233" s="24" t="s">
        <v>533</v>
      </c>
    </row>
    <row r="234" spans="2:9">
      <c r="B234" s="24" t="s">
        <v>504</v>
      </c>
      <c r="C234" s="24" t="s">
        <v>287</v>
      </c>
      <c r="D234" s="24" t="s">
        <v>288</v>
      </c>
      <c r="E234" s="24" t="s">
        <v>41</v>
      </c>
      <c r="F234" s="24" t="s">
        <v>845</v>
      </c>
      <c r="G234" s="24" t="s">
        <v>625</v>
      </c>
      <c r="H234" s="24"/>
      <c r="I234" s="24" t="s">
        <v>533</v>
      </c>
    </row>
    <row r="235" spans="2:9">
      <c r="B235" s="24" t="s">
        <v>504</v>
      </c>
      <c r="C235" s="24" t="s">
        <v>290</v>
      </c>
      <c r="D235" s="24" t="s">
        <v>291</v>
      </c>
      <c r="E235" s="24" t="s">
        <v>41</v>
      </c>
      <c r="F235" s="24" t="s">
        <v>845</v>
      </c>
      <c r="G235" s="24" t="s">
        <v>108</v>
      </c>
      <c r="H235" s="24"/>
      <c r="I235" s="24" t="s">
        <v>533</v>
      </c>
    </row>
    <row r="236" spans="2:9">
      <c r="B236" s="24" t="s">
        <v>504</v>
      </c>
      <c r="C236" s="24" t="s">
        <v>292</v>
      </c>
      <c r="D236" s="24" t="s">
        <v>293</v>
      </c>
      <c r="E236" s="24" t="s">
        <v>41</v>
      </c>
      <c r="F236" s="24" t="s">
        <v>845</v>
      </c>
      <c r="G236" s="24" t="s">
        <v>625</v>
      </c>
      <c r="H236" s="24"/>
      <c r="I236" s="24" t="s">
        <v>533</v>
      </c>
    </row>
    <row r="237" spans="2:9">
      <c r="B237" s="24" t="s">
        <v>504</v>
      </c>
      <c r="C237" s="24" t="s">
        <v>294</v>
      </c>
      <c r="D237" s="24" t="s">
        <v>295</v>
      </c>
      <c r="E237" s="24" t="s">
        <v>41</v>
      </c>
      <c r="F237" s="24" t="s">
        <v>845</v>
      </c>
      <c r="G237" s="24" t="s">
        <v>108</v>
      </c>
      <c r="H237" s="24"/>
      <c r="I237" s="24" t="s">
        <v>533</v>
      </c>
    </row>
    <row r="238" spans="2:9">
      <c r="B238" s="24" t="s">
        <v>504</v>
      </c>
      <c r="C238" s="24" t="s">
        <v>296</v>
      </c>
      <c r="D238" s="24" t="s">
        <v>297</v>
      </c>
      <c r="E238" s="24" t="s">
        <v>41</v>
      </c>
      <c r="F238" s="24" t="s">
        <v>845</v>
      </c>
      <c r="G238" s="24" t="s">
        <v>108</v>
      </c>
      <c r="H238" s="24"/>
      <c r="I238" s="24" t="s">
        <v>533</v>
      </c>
    </row>
    <row r="239" spans="2:9">
      <c r="B239" s="24" t="s">
        <v>504</v>
      </c>
      <c r="C239" s="24" t="s">
        <v>298</v>
      </c>
      <c r="D239" s="24" t="s">
        <v>299</v>
      </c>
      <c r="E239" s="24" t="s">
        <v>41</v>
      </c>
      <c r="F239" s="24" t="s">
        <v>845</v>
      </c>
      <c r="G239" s="24" t="s">
        <v>108</v>
      </c>
      <c r="H239" s="24"/>
      <c r="I239" s="24" t="s">
        <v>533</v>
      </c>
    </row>
    <row r="240" spans="2:9">
      <c r="B240" s="24" t="s">
        <v>504</v>
      </c>
      <c r="C240" s="24" t="s">
        <v>300</v>
      </c>
      <c r="D240" s="24" t="s">
        <v>301</v>
      </c>
      <c r="E240" s="24" t="s">
        <v>41</v>
      </c>
      <c r="F240" s="24" t="s">
        <v>845</v>
      </c>
      <c r="G240" s="24" t="s">
        <v>625</v>
      </c>
      <c r="H240" s="24"/>
      <c r="I240" s="24" t="s">
        <v>533</v>
      </c>
    </row>
    <row r="241" spans="2:9">
      <c r="B241" s="24" t="s">
        <v>504</v>
      </c>
      <c r="C241" s="24" t="s">
        <v>302</v>
      </c>
      <c r="D241" s="24" t="s">
        <v>303</v>
      </c>
      <c r="E241" s="24" t="s">
        <v>41</v>
      </c>
      <c r="F241" s="24" t="s">
        <v>845</v>
      </c>
      <c r="G241" s="24" t="s">
        <v>625</v>
      </c>
      <c r="H241" s="24"/>
      <c r="I241" s="24" t="s">
        <v>533</v>
      </c>
    </row>
    <row r="242" spans="2:9">
      <c r="B242" s="24" t="s">
        <v>504</v>
      </c>
      <c r="C242" s="24" t="s">
        <v>304</v>
      </c>
      <c r="D242" s="24" t="s">
        <v>305</v>
      </c>
      <c r="E242" s="24" t="s">
        <v>41</v>
      </c>
      <c r="F242" s="24" t="s">
        <v>845</v>
      </c>
      <c r="G242" s="24" t="s">
        <v>108</v>
      </c>
      <c r="H242" s="24"/>
      <c r="I242" s="24" t="s">
        <v>533</v>
      </c>
    </row>
    <row r="243" spans="2:9">
      <c r="B243" s="24" t="s">
        <v>504</v>
      </c>
      <c r="C243" s="24" t="s">
        <v>306</v>
      </c>
      <c r="D243" s="24" t="s">
        <v>767</v>
      </c>
      <c r="E243" s="24" t="s">
        <v>41</v>
      </c>
      <c r="F243" s="24" t="s">
        <v>845</v>
      </c>
      <c r="G243" s="24" t="s">
        <v>108</v>
      </c>
      <c r="H243" s="24"/>
      <c r="I243" s="24" t="s">
        <v>533</v>
      </c>
    </row>
    <row r="244" spans="2:9">
      <c r="B244" s="24" t="s">
        <v>504</v>
      </c>
      <c r="C244" s="24" t="s">
        <v>308</v>
      </c>
      <c r="D244" s="24" t="s">
        <v>309</v>
      </c>
      <c r="E244" s="24" t="s">
        <v>41</v>
      </c>
      <c r="F244" s="24" t="s">
        <v>845</v>
      </c>
      <c r="G244" s="24"/>
      <c r="H244" s="24"/>
      <c r="I244" s="24" t="s">
        <v>533</v>
      </c>
    </row>
    <row r="245" spans="2:9">
      <c r="B245" s="24" t="s">
        <v>504</v>
      </c>
      <c r="C245" s="24" t="s">
        <v>310</v>
      </c>
      <c r="D245" s="24" t="s">
        <v>311</v>
      </c>
      <c r="E245" s="24" t="s">
        <v>41</v>
      </c>
      <c r="F245" s="24" t="s">
        <v>845</v>
      </c>
      <c r="G245" s="24"/>
      <c r="H245" s="24"/>
      <c r="I245" s="24" t="s">
        <v>533</v>
      </c>
    </row>
    <row r="246" spans="2:9">
      <c r="B246" s="24" t="s">
        <v>504</v>
      </c>
      <c r="C246" s="24" t="s">
        <v>313</v>
      </c>
      <c r="D246" s="24" t="s">
        <v>314</v>
      </c>
      <c r="E246" s="24" t="s">
        <v>41</v>
      </c>
      <c r="F246" s="24" t="s">
        <v>845</v>
      </c>
      <c r="G246" s="24"/>
      <c r="H246" s="24"/>
      <c r="I246" s="24" t="s">
        <v>533</v>
      </c>
    </row>
    <row r="247" spans="2:9">
      <c r="B247" s="24" t="s">
        <v>504</v>
      </c>
      <c r="C247" s="24" t="s">
        <v>316</v>
      </c>
      <c r="D247" s="24" t="s">
        <v>317</v>
      </c>
      <c r="E247" s="24" t="s">
        <v>41</v>
      </c>
      <c r="F247" s="24" t="s">
        <v>845</v>
      </c>
      <c r="G247" s="24"/>
      <c r="H247" s="24"/>
      <c r="I247" s="24" t="s">
        <v>533</v>
      </c>
    </row>
    <row r="248" spans="2:9">
      <c r="B248" s="24" t="s">
        <v>504</v>
      </c>
      <c r="C248" s="24" t="s">
        <v>318</v>
      </c>
      <c r="D248" s="24" t="s">
        <v>321</v>
      </c>
      <c r="E248" s="24" t="s">
        <v>41</v>
      </c>
      <c r="F248" s="24" t="s">
        <v>845</v>
      </c>
      <c r="G248" s="24"/>
      <c r="H248" s="24"/>
      <c r="I248" s="24" t="s">
        <v>533</v>
      </c>
    </row>
    <row r="249" spans="2:9">
      <c r="B249" s="24" t="s">
        <v>504</v>
      </c>
      <c r="C249" s="24" t="s">
        <v>322</v>
      </c>
      <c r="D249" s="24" t="s">
        <v>323</v>
      </c>
      <c r="E249" s="24" t="s">
        <v>41</v>
      </c>
      <c r="F249" s="24" t="s">
        <v>845</v>
      </c>
      <c r="G249" s="24"/>
      <c r="H249" s="24"/>
      <c r="I249" s="24" t="s">
        <v>533</v>
      </c>
    </row>
    <row r="250" spans="2:9">
      <c r="B250" s="24" t="s">
        <v>504</v>
      </c>
      <c r="C250" s="24" t="s">
        <v>324</v>
      </c>
      <c r="D250" s="24" t="s">
        <v>325</v>
      </c>
      <c r="E250" s="24" t="s">
        <v>41</v>
      </c>
      <c r="F250" s="24" t="s">
        <v>845</v>
      </c>
      <c r="G250" s="24"/>
      <c r="H250" s="24"/>
      <c r="I250" s="24" t="s">
        <v>533</v>
      </c>
    </row>
    <row r="251" spans="2:9">
      <c r="B251" s="24" t="s">
        <v>504</v>
      </c>
      <c r="C251" s="24" t="s">
        <v>326</v>
      </c>
      <c r="D251" s="24" t="s">
        <v>327</v>
      </c>
      <c r="E251" s="24" t="s">
        <v>41</v>
      </c>
      <c r="F251" s="24" t="s">
        <v>845</v>
      </c>
      <c r="G251" s="24"/>
      <c r="H251" s="24"/>
      <c r="I251" s="24" t="s">
        <v>533</v>
      </c>
    </row>
    <row r="252" spans="2:9">
      <c r="B252" s="24" t="s">
        <v>504</v>
      </c>
      <c r="C252" s="24" t="s">
        <v>328</v>
      </c>
      <c r="D252" s="24" t="s">
        <v>848</v>
      </c>
      <c r="E252" s="24" t="s">
        <v>41</v>
      </c>
      <c r="F252" s="24" t="s">
        <v>845</v>
      </c>
      <c r="G252" s="24"/>
      <c r="H252" s="24"/>
      <c r="I252" s="24" t="s">
        <v>533</v>
      </c>
    </row>
    <row r="253" spans="2:9">
      <c r="B253" s="24" t="s">
        <v>504</v>
      </c>
      <c r="C253" s="24" t="s">
        <v>329</v>
      </c>
      <c r="D253" s="24" t="s">
        <v>849</v>
      </c>
      <c r="E253" s="24" t="s">
        <v>41</v>
      </c>
      <c r="F253" s="24" t="s">
        <v>845</v>
      </c>
      <c r="G253" s="24"/>
      <c r="H253" s="24"/>
      <c r="I253" s="24" t="s">
        <v>533</v>
      </c>
    </row>
    <row r="254" spans="2:9">
      <c r="B254" s="24" t="s">
        <v>504</v>
      </c>
      <c r="C254" s="24" t="s">
        <v>330</v>
      </c>
      <c r="D254" s="24" t="s">
        <v>850</v>
      </c>
      <c r="E254" s="24" t="s">
        <v>41</v>
      </c>
      <c r="F254" s="24" t="s">
        <v>845</v>
      </c>
      <c r="G254" s="24"/>
      <c r="H254" s="24"/>
      <c r="I254" s="24" t="s">
        <v>533</v>
      </c>
    </row>
    <row r="255" spans="2:9">
      <c r="B255" s="24" t="s">
        <v>504</v>
      </c>
      <c r="C255" s="24" t="s">
        <v>331</v>
      </c>
      <c r="D255" s="24" t="s">
        <v>851</v>
      </c>
      <c r="E255" s="24" t="s">
        <v>41</v>
      </c>
      <c r="F255" s="24" t="s">
        <v>845</v>
      </c>
      <c r="G255" s="24"/>
      <c r="H255" s="24"/>
      <c r="I255" s="24" t="s">
        <v>533</v>
      </c>
    </row>
    <row r="256" spans="2:9">
      <c r="B256" s="24" t="s">
        <v>504</v>
      </c>
      <c r="C256" s="24" t="s">
        <v>332</v>
      </c>
      <c r="D256" s="24" t="s">
        <v>333</v>
      </c>
      <c r="E256" s="24" t="s">
        <v>41</v>
      </c>
      <c r="F256" s="24" t="s">
        <v>845</v>
      </c>
      <c r="G256" s="24"/>
      <c r="H256" s="24"/>
      <c r="I256" s="24" t="s">
        <v>533</v>
      </c>
    </row>
    <row r="257" spans="2:9">
      <c r="B257" s="24" t="s">
        <v>504</v>
      </c>
      <c r="C257" s="24" t="s">
        <v>334</v>
      </c>
      <c r="D257" s="24" t="s">
        <v>857</v>
      </c>
      <c r="E257" s="24" t="s">
        <v>41</v>
      </c>
      <c r="F257" s="24" t="s">
        <v>845</v>
      </c>
      <c r="G257" s="24"/>
      <c r="H257" s="24"/>
      <c r="I257" s="24" t="s">
        <v>533</v>
      </c>
    </row>
    <row r="258" spans="2:9">
      <c r="B258" s="24" t="s">
        <v>504</v>
      </c>
      <c r="C258" s="24" t="s">
        <v>335</v>
      </c>
      <c r="D258" s="24" t="s">
        <v>852</v>
      </c>
      <c r="E258" s="24" t="s">
        <v>41</v>
      </c>
      <c r="F258" s="24" t="s">
        <v>845</v>
      </c>
      <c r="G258" s="24"/>
      <c r="H258" s="24"/>
      <c r="I258" s="24" t="s">
        <v>533</v>
      </c>
    </row>
    <row r="259" spans="2:9">
      <c r="B259" s="24" t="s">
        <v>504</v>
      </c>
      <c r="C259" s="24" t="s">
        <v>337</v>
      </c>
      <c r="D259" s="24" t="s">
        <v>338</v>
      </c>
      <c r="E259" s="24" t="s">
        <v>41</v>
      </c>
      <c r="F259" s="24" t="s">
        <v>845</v>
      </c>
      <c r="G259" s="24" t="s">
        <v>566</v>
      </c>
      <c r="H259" s="24"/>
      <c r="I259" s="24" t="s">
        <v>533</v>
      </c>
    </row>
    <row r="260" spans="2:9">
      <c r="B260" s="24" t="s">
        <v>504</v>
      </c>
      <c r="C260" s="24" t="s">
        <v>340</v>
      </c>
      <c r="D260" s="24" t="s">
        <v>341</v>
      </c>
      <c r="E260" s="24" t="s">
        <v>41</v>
      </c>
      <c r="F260" s="24" t="s">
        <v>845</v>
      </c>
      <c r="G260" s="24" t="s">
        <v>566</v>
      </c>
      <c r="H260" s="24"/>
      <c r="I260" s="24" t="s">
        <v>533</v>
      </c>
    </row>
    <row r="261" spans="2:9">
      <c r="B261" s="24" t="s">
        <v>504</v>
      </c>
      <c r="C261" s="24" t="s">
        <v>343</v>
      </c>
      <c r="D261" s="24" t="s">
        <v>344</v>
      </c>
      <c r="E261" s="24" t="s">
        <v>41</v>
      </c>
      <c r="F261" s="24" t="s">
        <v>845</v>
      </c>
      <c r="G261" s="24" t="s">
        <v>566</v>
      </c>
      <c r="H261" s="24"/>
      <c r="I261" s="24" t="s">
        <v>533</v>
      </c>
    </row>
    <row r="262" spans="2:9">
      <c r="B262" s="24" t="s">
        <v>504</v>
      </c>
      <c r="C262" s="24" t="s">
        <v>345</v>
      </c>
      <c r="D262" s="24" t="s">
        <v>346</v>
      </c>
      <c r="E262" s="24" t="s">
        <v>41</v>
      </c>
      <c r="F262" s="24" t="s">
        <v>845</v>
      </c>
      <c r="G262" s="24" t="s">
        <v>566</v>
      </c>
      <c r="H262" s="24"/>
      <c r="I262" s="24" t="s">
        <v>533</v>
      </c>
    </row>
    <row r="263" spans="2:9">
      <c r="B263" s="24" t="s">
        <v>504</v>
      </c>
      <c r="C263" s="24" t="s">
        <v>348</v>
      </c>
      <c r="D263" s="24" t="s">
        <v>349</v>
      </c>
      <c r="E263" s="24" t="s">
        <v>41</v>
      </c>
      <c r="F263" s="24" t="s">
        <v>845</v>
      </c>
      <c r="G263" s="24" t="s">
        <v>566</v>
      </c>
      <c r="H263" s="24"/>
      <c r="I263" s="24" t="s">
        <v>533</v>
      </c>
    </row>
    <row r="264" spans="2:9">
      <c r="B264" s="24" t="s">
        <v>504</v>
      </c>
      <c r="C264" s="24" t="s">
        <v>350</v>
      </c>
      <c r="D264" s="24" t="s">
        <v>351</v>
      </c>
      <c r="E264" s="24" t="s">
        <v>41</v>
      </c>
      <c r="F264" s="24" t="s">
        <v>845</v>
      </c>
      <c r="G264" s="24"/>
      <c r="H264" s="24"/>
      <c r="I264" s="24" t="s">
        <v>533</v>
      </c>
    </row>
    <row r="265" spans="2:9">
      <c r="B265" s="24" t="s">
        <v>504</v>
      </c>
      <c r="C265" s="24" t="s">
        <v>353</v>
      </c>
      <c r="D265" s="24" t="s">
        <v>351</v>
      </c>
      <c r="E265" s="24" t="s">
        <v>41</v>
      </c>
      <c r="F265" s="24" t="s">
        <v>845</v>
      </c>
      <c r="G265" s="24"/>
      <c r="H265" s="24"/>
      <c r="I265" s="24" t="s">
        <v>533</v>
      </c>
    </row>
    <row r="266" spans="2:9">
      <c r="B266" s="24" t="s">
        <v>504</v>
      </c>
      <c r="C266" s="24" t="s">
        <v>354</v>
      </c>
      <c r="D266" s="24" t="s">
        <v>355</v>
      </c>
      <c r="E266" s="24" t="s">
        <v>41</v>
      </c>
      <c r="F266" s="24" t="s">
        <v>845</v>
      </c>
      <c r="G266" s="24" t="s">
        <v>625</v>
      </c>
      <c r="H266" s="24"/>
      <c r="I266" s="24" t="s">
        <v>533</v>
      </c>
    </row>
    <row r="267" spans="2:9">
      <c r="B267" s="24" t="s">
        <v>504</v>
      </c>
      <c r="C267" s="24" t="s">
        <v>357</v>
      </c>
      <c r="D267" s="24" t="s">
        <v>358</v>
      </c>
      <c r="E267" s="24" t="s">
        <v>41</v>
      </c>
      <c r="F267" s="24" t="s">
        <v>845</v>
      </c>
      <c r="G267" s="24" t="s">
        <v>625</v>
      </c>
      <c r="H267" s="24"/>
      <c r="I267" s="24" t="s">
        <v>533</v>
      </c>
    </row>
    <row r="268" spans="2:9">
      <c r="B268" s="24" t="s">
        <v>504</v>
      </c>
      <c r="C268" s="24" t="s">
        <v>360</v>
      </c>
      <c r="D268" s="24" t="s">
        <v>361</v>
      </c>
      <c r="E268" s="24" t="s">
        <v>41</v>
      </c>
      <c r="F268" s="24" t="s">
        <v>845</v>
      </c>
      <c r="G268" s="24" t="s">
        <v>625</v>
      </c>
      <c r="H268" s="24"/>
      <c r="I268" s="24" t="s">
        <v>533</v>
      </c>
    </row>
    <row r="269" spans="2:9">
      <c r="B269" s="24" t="s">
        <v>504</v>
      </c>
      <c r="C269" s="24" t="s">
        <v>363</v>
      </c>
      <c r="D269" s="24" t="s">
        <v>364</v>
      </c>
      <c r="E269" s="24" t="s">
        <v>41</v>
      </c>
      <c r="F269" s="24" t="s">
        <v>845</v>
      </c>
      <c r="G269" s="24" t="s">
        <v>250</v>
      </c>
      <c r="H269" s="24" t="s">
        <v>365</v>
      </c>
      <c r="I269" s="24" t="s">
        <v>126</v>
      </c>
    </row>
    <row r="270" spans="2:9">
      <c r="B270" s="24" t="s">
        <v>504</v>
      </c>
      <c r="C270" s="24" t="s">
        <v>366</v>
      </c>
      <c r="D270" s="24" t="s">
        <v>367</v>
      </c>
      <c r="E270" s="24" t="s">
        <v>41</v>
      </c>
      <c r="F270" s="24" t="s">
        <v>845</v>
      </c>
      <c r="G270" s="24" t="s">
        <v>250</v>
      </c>
      <c r="H270" s="24" t="s">
        <v>365</v>
      </c>
      <c r="I270" s="24" t="s">
        <v>126</v>
      </c>
    </row>
    <row r="271" spans="2:9">
      <c r="B271" s="24" t="s">
        <v>504</v>
      </c>
      <c r="C271" s="24" t="s">
        <v>450</v>
      </c>
      <c r="D271" s="24" t="s">
        <v>451</v>
      </c>
      <c r="E271" s="24" t="s">
        <v>41</v>
      </c>
      <c r="F271" s="24" t="s">
        <v>845</v>
      </c>
      <c r="G271" s="24" t="s">
        <v>250</v>
      </c>
      <c r="H271" s="24" t="s">
        <v>365</v>
      </c>
      <c r="I271" s="24" t="s">
        <v>126</v>
      </c>
    </row>
    <row r="272" spans="2:9">
      <c r="B272" s="24" t="s">
        <v>504</v>
      </c>
      <c r="C272" s="24" t="s">
        <v>449</v>
      </c>
      <c r="D272" s="24" t="s">
        <v>452</v>
      </c>
      <c r="E272" s="24" t="s">
        <v>41</v>
      </c>
      <c r="F272" s="24" t="s">
        <v>845</v>
      </c>
      <c r="G272" s="24" t="s">
        <v>250</v>
      </c>
      <c r="H272" s="24" t="s">
        <v>365</v>
      </c>
      <c r="I272" s="24" t="s">
        <v>126</v>
      </c>
    </row>
    <row r="273" spans="2:9">
      <c r="B273" s="24" t="s">
        <v>504</v>
      </c>
      <c r="C273" s="24" t="s">
        <v>631</v>
      </c>
      <c r="D273" s="24" t="s">
        <v>382</v>
      </c>
      <c r="E273" s="24" t="s">
        <v>41</v>
      </c>
      <c r="F273" s="24" t="s">
        <v>845</v>
      </c>
      <c r="G273" s="24" t="s">
        <v>250</v>
      </c>
      <c r="H273" s="24" t="s">
        <v>365</v>
      </c>
      <c r="I273" s="24" t="s">
        <v>126</v>
      </c>
    </row>
    <row r="274" spans="2:9">
      <c r="B274" s="24" t="s">
        <v>504</v>
      </c>
      <c r="C274" s="24" t="s">
        <v>632</v>
      </c>
      <c r="D274" s="24" t="s">
        <v>208</v>
      </c>
      <c r="E274" s="24" t="s">
        <v>41</v>
      </c>
      <c r="F274" s="24" t="s">
        <v>845</v>
      </c>
      <c r="G274" s="24" t="s">
        <v>250</v>
      </c>
      <c r="H274" s="24" t="s">
        <v>365</v>
      </c>
      <c r="I274" s="24" t="s">
        <v>126</v>
      </c>
    </row>
    <row r="275" spans="2:9">
      <c r="B275" s="24" t="s">
        <v>504</v>
      </c>
      <c r="C275" s="24" t="s">
        <v>369</v>
      </c>
      <c r="D275" s="24" t="s">
        <v>370</v>
      </c>
      <c r="E275" s="24" t="s">
        <v>41</v>
      </c>
      <c r="F275" s="24" t="s">
        <v>845</v>
      </c>
      <c r="G275" s="24"/>
      <c r="H275" s="24"/>
      <c r="I275" s="24" t="s">
        <v>533</v>
      </c>
    </row>
    <row r="276" spans="2:9">
      <c r="B276" s="24" t="s">
        <v>504</v>
      </c>
      <c r="C276" s="24" t="s">
        <v>371</v>
      </c>
      <c r="D276" s="24" t="s">
        <v>372</v>
      </c>
      <c r="E276" s="24" t="s">
        <v>41</v>
      </c>
      <c r="F276" s="24" t="s">
        <v>845</v>
      </c>
      <c r="G276" s="24" t="s">
        <v>250</v>
      </c>
      <c r="H276" s="24" t="s">
        <v>373</v>
      </c>
      <c r="I276" s="24" t="s">
        <v>126</v>
      </c>
    </row>
    <row r="277" spans="2:9">
      <c r="B277" s="24" t="s">
        <v>504</v>
      </c>
      <c r="C277" s="24" t="s">
        <v>374</v>
      </c>
      <c r="D277" s="24" t="s">
        <v>375</v>
      </c>
      <c r="E277" s="24" t="s">
        <v>41</v>
      </c>
      <c r="F277" s="24" t="s">
        <v>845</v>
      </c>
      <c r="G277" s="24" t="s">
        <v>250</v>
      </c>
      <c r="H277" s="24" t="s">
        <v>373</v>
      </c>
      <c r="I277" s="24" t="s">
        <v>126</v>
      </c>
    </row>
    <row r="278" spans="2:9">
      <c r="B278" s="24" t="s">
        <v>504</v>
      </c>
      <c r="C278" s="24" t="s">
        <v>376</v>
      </c>
      <c r="D278" s="24" t="s">
        <v>377</v>
      </c>
      <c r="E278" s="24" t="s">
        <v>41</v>
      </c>
      <c r="F278" s="24" t="s">
        <v>845</v>
      </c>
      <c r="G278" s="24" t="s">
        <v>250</v>
      </c>
      <c r="H278" s="24" t="s">
        <v>373</v>
      </c>
      <c r="I278" s="24" t="s">
        <v>126</v>
      </c>
    </row>
    <row r="279" spans="2:9">
      <c r="B279" s="24" t="s">
        <v>504</v>
      </c>
      <c r="C279" s="24" t="s">
        <v>378</v>
      </c>
      <c r="D279" s="24" t="s">
        <v>379</v>
      </c>
      <c r="E279" s="24" t="s">
        <v>41</v>
      </c>
      <c r="F279" s="24" t="s">
        <v>845</v>
      </c>
      <c r="G279" s="24" t="s">
        <v>250</v>
      </c>
      <c r="H279" s="24" t="s">
        <v>373</v>
      </c>
      <c r="I279" s="24" t="s">
        <v>126</v>
      </c>
    </row>
    <row r="280" spans="2:9">
      <c r="B280" s="24" t="s">
        <v>504</v>
      </c>
      <c r="C280" s="24" t="s">
        <v>380</v>
      </c>
      <c r="D280" s="24" t="s">
        <v>381</v>
      </c>
      <c r="E280" s="24" t="s">
        <v>41</v>
      </c>
      <c r="F280" s="24" t="s">
        <v>845</v>
      </c>
      <c r="G280" s="24" t="s">
        <v>250</v>
      </c>
      <c r="H280" s="24" t="s">
        <v>373</v>
      </c>
      <c r="I280" s="24" t="s">
        <v>126</v>
      </c>
    </row>
    <row r="281" spans="2:9">
      <c r="B281" s="24" t="s">
        <v>504</v>
      </c>
      <c r="C281" s="24" t="s">
        <v>384</v>
      </c>
      <c r="D281" s="24" t="s">
        <v>392</v>
      </c>
      <c r="E281" s="24" t="s">
        <v>41</v>
      </c>
      <c r="F281" s="24" t="s">
        <v>845</v>
      </c>
      <c r="G281" s="24" t="s">
        <v>250</v>
      </c>
      <c r="H281" s="24" t="s">
        <v>882</v>
      </c>
      <c r="I281" s="24" t="s">
        <v>126</v>
      </c>
    </row>
    <row r="282" spans="2:9">
      <c r="B282" s="24" t="s">
        <v>504</v>
      </c>
      <c r="C282" s="24" t="s">
        <v>393</v>
      </c>
      <c r="D282" s="24" t="s">
        <v>394</v>
      </c>
      <c r="E282" s="24" t="s">
        <v>41</v>
      </c>
      <c r="F282" s="24" t="s">
        <v>845</v>
      </c>
      <c r="G282" s="24" t="s">
        <v>250</v>
      </c>
      <c r="H282" s="24" t="s">
        <v>882</v>
      </c>
      <c r="I282" s="24" t="s">
        <v>126</v>
      </c>
    </row>
    <row r="283" spans="2:9">
      <c r="B283" s="24" t="s">
        <v>504</v>
      </c>
      <c r="C283" s="24" t="s">
        <v>165</v>
      </c>
      <c r="D283" s="24" t="s">
        <v>166</v>
      </c>
      <c r="E283" s="24" t="s">
        <v>41</v>
      </c>
      <c r="F283" s="24" t="s">
        <v>845</v>
      </c>
      <c r="G283" s="24" t="s">
        <v>250</v>
      </c>
      <c r="H283" s="24" t="s">
        <v>373</v>
      </c>
      <c r="I283" s="24" t="s">
        <v>126</v>
      </c>
    </row>
    <row r="284" spans="2:9">
      <c r="B284" s="24" t="s">
        <v>504</v>
      </c>
      <c r="C284" s="24" t="s">
        <v>395</v>
      </c>
      <c r="D284" s="24" t="s">
        <v>396</v>
      </c>
      <c r="E284" s="24" t="s">
        <v>41</v>
      </c>
      <c r="F284" s="24" t="s">
        <v>845</v>
      </c>
      <c r="G284" s="24" t="s">
        <v>250</v>
      </c>
      <c r="H284" s="24" t="s">
        <v>882</v>
      </c>
      <c r="I284" s="24" t="s">
        <v>126</v>
      </c>
    </row>
    <row r="285" spans="2:9">
      <c r="B285" s="24" t="s">
        <v>504</v>
      </c>
      <c r="C285" s="24" t="s">
        <v>397</v>
      </c>
      <c r="D285" s="24" t="s">
        <v>398</v>
      </c>
      <c r="E285" s="24" t="s">
        <v>41</v>
      </c>
      <c r="F285" s="24" t="s">
        <v>845</v>
      </c>
      <c r="G285" s="24" t="s">
        <v>250</v>
      </c>
      <c r="H285" s="24" t="s">
        <v>882</v>
      </c>
      <c r="I285" s="24" t="s">
        <v>126</v>
      </c>
    </row>
    <row r="286" spans="2:9">
      <c r="B286" s="24" t="s">
        <v>504</v>
      </c>
      <c r="C286" s="24" t="s">
        <v>399</v>
      </c>
      <c r="D286" s="24" t="s">
        <v>400</v>
      </c>
      <c r="E286" s="24" t="s">
        <v>41</v>
      </c>
      <c r="F286" s="24" t="s">
        <v>845</v>
      </c>
      <c r="G286" s="24" t="s">
        <v>250</v>
      </c>
      <c r="H286" s="24" t="s">
        <v>882</v>
      </c>
      <c r="I286" s="24" t="s">
        <v>126</v>
      </c>
    </row>
    <row r="287" spans="2:9">
      <c r="B287" s="24" t="s">
        <v>289</v>
      </c>
      <c r="C287" s="24" t="s">
        <v>79</v>
      </c>
      <c r="D287" s="24" t="s">
        <v>626</v>
      </c>
      <c r="E287" s="24" t="s">
        <v>41</v>
      </c>
      <c r="F287" s="24" t="s">
        <v>845</v>
      </c>
      <c r="G287" s="24" t="s">
        <v>625</v>
      </c>
      <c r="H287" s="24"/>
      <c r="I287" s="24" t="s">
        <v>533</v>
      </c>
    </row>
    <row r="288" spans="2:9">
      <c r="B288" s="24" t="s">
        <v>289</v>
      </c>
      <c r="C288" s="24" t="s">
        <v>456</v>
      </c>
      <c r="D288" s="24" t="s">
        <v>457</v>
      </c>
      <c r="E288" s="24" t="s">
        <v>41</v>
      </c>
      <c r="F288" s="24" t="s">
        <v>845</v>
      </c>
      <c r="G288" s="24" t="s">
        <v>625</v>
      </c>
      <c r="H288" s="24"/>
      <c r="I288" s="24" t="s">
        <v>533</v>
      </c>
    </row>
    <row r="289" spans="2:9">
      <c r="B289" s="24" t="s">
        <v>289</v>
      </c>
      <c r="C289" s="24" t="s">
        <v>49</v>
      </c>
      <c r="D289" s="24" t="s">
        <v>403</v>
      </c>
      <c r="E289" s="24" t="s">
        <v>41</v>
      </c>
      <c r="F289" s="24" t="s">
        <v>845</v>
      </c>
      <c r="G289" s="24"/>
      <c r="H289" s="24"/>
      <c r="I289" s="24" t="s">
        <v>533</v>
      </c>
    </row>
    <row r="290" spans="2:9">
      <c r="B290" s="24" t="s">
        <v>289</v>
      </c>
      <c r="C290" s="24" t="s">
        <v>50</v>
      </c>
      <c r="D290" s="24" t="s">
        <v>405</v>
      </c>
      <c r="E290" s="24" t="s">
        <v>41</v>
      </c>
      <c r="F290" s="24" t="s">
        <v>845</v>
      </c>
      <c r="G290" s="24"/>
      <c r="H290" s="24"/>
      <c r="I290" s="24" t="s">
        <v>533</v>
      </c>
    </row>
    <row r="291" spans="2:9">
      <c r="B291" s="24" t="s">
        <v>289</v>
      </c>
      <c r="C291" s="24" t="s">
        <v>51</v>
      </c>
      <c r="D291" s="24" t="s">
        <v>406</v>
      </c>
      <c r="E291" s="24" t="s">
        <v>41</v>
      </c>
      <c r="F291" s="24" t="s">
        <v>845</v>
      </c>
      <c r="G291" s="24"/>
      <c r="H291" s="24"/>
      <c r="I291" s="24" t="s">
        <v>533</v>
      </c>
    </row>
    <row r="292" spans="2:9">
      <c r="B292" s="24" t="s">
        <v>289</v>
      </c>
      <c r="C292" s="24" t="s">
        <v>52</v>
      </c>
      <c r="D292" s="24" t="s">
        <v>407</v>
      </c>
      <c r="E292" s="24" t="s">
        <v>41</v>
      </c>
      <c r="F292" s="24" t="s">
        <v>845</v>
      </c>
      <c r="G292" s="24"/>
      <c r="H292" s="24"/>
      <c r="I292" s="24" t="s">
        <v>533</v>
      </c>
    </row>
    <row r="293" spans="2:9">
      <c r="B293" s="24" t="s">
        <v>289</v>
      </c>
      <c r="C293" s="24" t="s">
        <v>53</v>
      </c>
      <c r="D293" s="24" t="s">
        <v>197</v>
      </c>
      <c r="E293" s="24" t="s">
        <v>41</v>
      </c>
      <c r="F293" s="24" t="s">
        <v>845</v>
      </c>
      <c r="G293" s="24"/>
      <c r="H293" s="24"/>
      <c r="I293" s="24" t="s">
        <v>533</v>
      </c>
    </row>
    <row r="294" spans="2:9">
      <c r="B294" s="24" t="s">
        <v>289</v>
      </c>
      <c r="C294" s="24" t="s">
        <v>54</v>
      </c>
      <c r="D294" s="24" t="s">
        <v>408</v>
      </c>
      <c r="E294" s="24" t="s">
        <v>41</v>
      </c>
      <c r="F294" s="24" t="s">
        <v>845</v>
      </c>
      <c r="G294" s="24"/>
      <c r="H294" s="24"/>
      <c r="I294" s="24" t="s">
        <v>533</v>
      </c>
    </row>
    <row r="295" spans="2:9">
      <c r="B295" s="24" t="s">
        <v>289</v>
      </c>
      <c r="C295" s="24" t="s">
        <v>55</v>
      </c>
      <c r="D295" s="24" t="s">
        <v>409</v>
      </c>
      <c r="E295" s="24" t="s">
        <v>41</v>
      </c>
      <c r="F295" s="24" t="s">
        <v>845</v>
      </c>
      <c r="G295" s="24"/>
      <c r="H295" s="24"/>
      <c r="I295" s="24" t="s">
        <v>533</v>
      </c>
    </row>
    <row r="296" spans="2:9">
      <c r="B296" s="24" t="s">
        <v>289</v>
      </c>
      <c r="C296" s="24" t="s">
        <v>56</v>
      </c>
      <c r="D296" s="24" t="s">
        <v>410</v>
      </c>
      <c r="E296" s="24" t="s">
        <v>41</v>
      </c>
      <c r="F296" s="24" t="s">
        <v>845</v>
      </c>
      <c r="G296" s="24"/>
      <c r="H296" s="24"/>
      <c r="I296" s="24" t="s">
        <v>533</v>
      </c>
    </row>
    <row r="297" spans="2:9">
      <c r="B297" s="24" t="s">
        <v>289</v>
      </c>
      <c r="C297" s="24" t="s">
        <v>57</v>
      </c>
      <c r="D297" s="24" t="s">
        <v>411</v>
      </c>
      <c r="E297" s="24" t="s">
        <v>41</v>
      </c>
      <c r="F297" s="24" t="s">
        <v>845</v>
      </c>
      <c r="G297" s="24"/>
      <c r="H297" s="24"/>
      <c r="I297" s="24" t="s">
        <v>533</v>
      </c>
    </row>
    <row r="298" spans="2:9">
      <c r="B298" s="24" t="s">
        <v>289</v>
      </c>
      <c r="C298" s="24" t="s">
        <v>58</v>
      </c>
      <c r="D298" s="24" t="s">
        <v>412</v>
      </c>
      <c r="E298" s="24" t="s">
        <v>41</v>
      </c>
      <c r="F298" s="24" t="s">
        <v>845</v>
      </c>
      <c r="G298" s="24"/>
      <c r="H298" s="24"/>
      <c r="I298" s="24" t="s">
        <v>533</v>
      </c>
    </row>
    <row r="299" spans="2:9">
      <c r="B299" s="24" t="s">
        <v>289</v>
      </c>
      <c r="C299" s="24" t="s">
        <v>59</v>
      </c>
      <c r="D299" s="24" t="s">
        <v>413</v>
      </c>
      <c r="E299" s="24" t="s">
        <v>41</v>
      </c>
      <c r="F299" s="24" t="s">
        <v>845</v>
      </c>
      <c r="G299" s="24"/>
      <c r="H299" s="24"/>
      <c r="I299" s="24" t="s">
        <v>533</v>
      </c>
    </row>
    <row r="300" spans="2:9">
      <c r="B300" s="24" t="s">
        <v>289</v>
      </c>
      <c r="C300" s="24" t="s">
        <v>60</v>
      </c>
      <c r="D300" s="24" t="s">
        <v>414</v>
      </c>
      <c r="E300" s="24" t="s">
        <v>41</v>
      </c>
      <c r="F300" s="24" t="s">
        <v>845</v>
      </c>
      <c r="G300" s="24"/>
      <c r="H300" s="24"/>
      <c r="I300" s="24" t="s">
        <v>533</v>
      </c>
    </row>
    <row r="301" spans="2:9">
      <c r="B301" s="24" t="s">
        <v>289</v>
      </c>
      <c r="C301" s="24" t="s">
        <v>61</v>
      </c>
      <c r="D301" s="24" t="s">
        <v>415</v>
      </c>
      <c r="E301" s="24" t="s">
        <v>41</v>
      </c>
      <c r="F301" s="24" t="s">
        <v>845</v>
      </c>
      <c r="G301" s="24"/>
      <c r="H301" s="24"/>
      <c r="I301" s="24" t="s">
        <v>533</v>
      </c>
    </row>
    <row r="302" spans="2:9">
      <c r="B302" s="24" t="s">
        <v>289</v>
      </c>
      <c r="C302" s="24" t="s">
        <v>62</v>
      </c>
      <c r="D302" s="24" t="s">
        <v>416</v>
      </c>
      <c r="E302" s="24" t="s">
        <v>41</v>
      </c>
      <c r="F302" s="24" t="s">
        <v>845</v>
      </c>
      <c r="G302" s="24"/>
      <c r="H302" s="24"/>
      <c r="I302" s="24" t="s">
        <v>533</v>
      </c>
    </row>
    <row r="303" spans="2:9">
      <c r="B303" s="24" t="s">
        <v>289</v>
      </c>
      <c r="C303" s="24" t="s">
        <v>63</v>
      </c>
      <c r="D303" s="24" t="s">
        <v>418</v>
      </c>
      <c r="E303" s="24" t="s">
        <v>41</v>
      </c>
      <c r="F303" s="24" t="s">
        <v>845</v>
      </c>
      <c r="G303" s="24"/>
      <c r="H303" s="24"/>
      <c r="I303" s="24" t="s">
        <v>533</v>
      </c>
    </row>
    <row r="304" spans="2:9">
      <c r="B304" s="24" t="s">
        <v>289</v>
      </c>
      <c r="C304" s="24" t="s">
        <v>80</v>
      </c>
      <c r="D304" s="24" t="s">
        <v>405</v>
      </c>
      <c r="E304" s="24" t="s">
        <v>41</v>
      </c>
      <c r="F304" s="24" t="s">
        <v>845</v>
      </c>
      <c r="G304" s="24"/>
      <c r="H304" s="24"/>
      <c r="I304" s="24" t="s">
        <v>533</v>
      </c>
    </row>
    <row r="305" spans="2:9">
      <c r="B305" s="24" t="s">
        <v>289</v>
      </c>
      <c r="C305" s="24" t="s">
        <v>81</v>
      </c>
      <c r="D305" s="24" t="s">
        <v>420</v>
      </c>
      <c r="E305" s="24" t="s">
        <v>41</v>
      </c>
      <c r="F305" s="24" t="s">
        <v>845</v>
      </c>
      <c r="G305" s="24"/>
      <c r="H305" s="24"/>
      <c r="I305" s="24" t="s">
        <v>533</v>
      </c>
    </row>
    <row r="306" spans="2:9">
      <c r="B306" s="24" t="s">
        <v>289</v>
      </c>
      <c r="C306" s="24" t="s">
        <v>82</v>
      </c>
      <c r="D306" s="24" t="s">
        <v>421</v>
      </c>
      <c r="E306" s="24" t="s">
        <v>41</v>
      </c>
      <c r="F306" s="24" t="s">
        <v>845</v>
      </c>
      <c r="G306" s="24"/>
      <c r="H306" s="24"/>
      <c r="I306" s="24" t="s">
        <v>533</v>
      </c>
    </row>
    <row r="307" spans="2:9">
      <c r="B307" s="24" t="s">
        <v>289</v>
      </c>
      <c r="C307" s="24" t="s">
        <v>83</v>
      </c>
      <c r="D307" s="24" t="s">
        <v>422</v>
      </c>
      <c r="E307" s="24" t="s">
        <v>41</v>
      </c>
      <c r="F307" s="24" t="s">
        <v>845</v>
      </c>
      <c r="G307" s="24"/>
      <c r="H307" s="24"/>
      <c r="I307" s="24" t="s">
        <v>533</v>
      </c>
    </row>
    <row r="308" spans="2:9">
      <c r="B308" s="24" t="s">
        <v>289</v>
      </c>
      <c r="C308" s="24" t="s">
        <v>84</v>
      </c>
      <c r="D308" s="24" t="s">
        <v>423</v>
      </c>
      <c r="E308" s="24" t="s">
        <v>41</v>
      </c>
      <c r="F308" s="24" t="s">
        <v>845</v>
      </c>
      <c r="G308" s="24"/>
      <c r="H308" s="24"/>
      <c r="I308" s="24" t="s">
        <v>533</v>
      </c>
    </row>
    <row r="309" spans="2:9">
      <c r="B309" s="24" t="s">
        <v>289</v>
      </c>
      <c r="C309" s="24" t="s">
        <v>85</v>
      </c>
      <c r="D309" s="24" t="s">
        <v>424</v>
      </c>
      <c r="E309" s="24" t="s">
        <v>41</v>
      </c>
      <c r="F309" s="24" t="s">
        <v>845</v>
      </c>
      <c r="G309" s="24"/>
      <c r="H309" s="24"/>
      <c r="I309" s="24" t="s">
        <v>533</v>
      </c>
    </row>
    <row r="310" spans="2:9">
      <c r="B310" s="24" t="s">
        <v>289</v>
      </c>
      <c r="C310" s="24" t="s">
        <v>86</v>
      </c>
      <c r="D310" s="24" t="s">
        <v>425</v>
      </c>
      <c r="E310" s="24" t="s">
        <v>41</v>
      </c>
      <c r="F310" s="24" t="s">
        <v>845</v>
      </c>
      <c r="G310" s="24"/>
      <c r="H310" s="24"/>
      <c r="I310" s="24" t="s">
        <v>533</v>
      </c>
    </row>
    <row r="311" spans="2:9">
      <c r="B311" s="24" t="s">
        <v>289</v>
      </c>
      <c r="C311" s="24" t="s">
        <v>87</v>
      </c>
      <c r="D311" s="24" t="s">
        <v>431</v>
      </c>
      <c r="E311" s="24" t="s">
        <v>41</v>
      </c>
      <c r="F311" s="24" t="s">
        <v>845</v>
      </c>
      <c r="G311" s="24"/>
      <c r="H311" s="24"/>
      <c r="I311" s="24" t="s">
        <v>533</v>
      </c>
    </row>
    <row r="312" spans="2:9">
      <c r="B312" s="24" t="s">
        <v>289</v>
      </c>
      <c r="C312" s="24" t="s">
        <v>64</v>
      </c>
      <c r="D312" s="24" t="s">
        <v>435</v>
      </c>
      <c r="E312" s="24" t="s">
        <v>41</v>
      </c>
      <c r="F312" s="24" t="s">
        <v>845</v>
      </c>
      <c r="G312" s="24"/>
      <c r="H312" s="24"/>
      <c r="I312" s="24" t="s">
        <v>533</v>
      </c>
    </row>
    <row r="313" spans="2:9">
      <c r="B313" s="24" t="s">
        <v>289</v>
      </c>
      <c r="C313" s="24" t="s">
        <v>65</v>
      </c>
      <c r="D313" s="24" t="s">
        <v>437</v>
      </c>
      <c r="E313" s="24" t="s">
        <v>41</v>
      </c>
      <c r="F313" s="24" t="s">
        <v>845</v>
      </c>
      <c r="G313" s="24"/>
      <c r="H313" s="24"/>
      <c r="I313" s="24" t="s">
        <v>533</v>
      </c>
    </row>
    <row r="314" spans="2:9">
      <c r="B314" s="24" t="s">
        <v>289</v>
      </c>
      <c r="C314" s="24" t="s">
        <v>66</v>
      </c>
      <c r="D314" s="24" t="s">
        <v>405</v>
      </c>
      <c r="E314" s="24" t="s">
        <v>41</v>
      </c>
      <c r="F314" s="24" t="s">
        <v>845</v>
      </c>
      <c r="G314" s="24"/>
      <c r="H314" s="24"/>
      <c r="I314" s="24" t="s">
        <v>533</v>
      </c>
    </row>
    <row r="315" spans="2:9">
      <c r="B315" s="24" t="s">
        <v>289</v>
      </c>
      <c r="C315" s="24" t="s">
        <v>67</v>
      </c>
      <c r="D315" s="24" t="s">
        <v>406</v>
      </c>
      <c r="E315" s="24" t="s">
        <v>41</v>
      </c>
      <c r="F315" s="24" t="s">
        <v>845</v>
      </c>
      <c r="G315" s="24"/>
      <c r="H315" s="24"/>
      <c r="I315" s="24" t="s">
        <v>533</v>
      </c>
    </row>
    <row r="316" spans="2:9">
      <c r="B316" s="24" t="s">
        <v>289</v>
      </c>
      <c r="C316" s="24" t="s">
        <v>68</v>
      </c>
      <c r="D316" s="24" t="s">
        <v>410</v>
      </c>
      <c r="E316" s="24" t="s">
        <v>41</v>
      </c>
      <c r="F316" s="24" t="s">
        <v>845</v>
      </c>
      <c r="G316" s="24"/>
      <c r="H316" s="24"/>
      <c r="I316" s="24" t="s">
        <v>533</v>
      </c>
    </row>
    <row r="317" spans="2:9">
      <c r="B317" s="24" t="s">
        <v>289</v>
      </c>
      <c r="C317" s="24" t="s">
        <v>69</v>
      </c>
      <c r="D317" s="24" t="s">
        <v>438</v>
      </c>
      <c r="E317" s="24" t="s">
        <v>41</v>
      </c>
      <c r="F317" s="24" t="s">
        <v>845</v>
      </c>
      <c r="G317" s="24"/>
      <c r="H317" s="24"/>
      <c r="I317" s="24" t="s">
        <v>533</v>
      </c>
    </row>
    <row r="318" spans="2:9">
      <c r="B318" s="24" t="s">
        <v>289</v>
      </c>
      <c r="C318" s="24" t="s">
        <v>70</v>
      </c>
      <c r="D318" s="24" t="s">
        <v>439</v>
      </c>
      <c r="E318" s="24" t="s">
        <v>41</v>
      </c>
      <c r="F318" s="24" t="s">
        <v>845</v>
      </c>
      <c r="G318" s="24"/>
      <c r="H318" s="24"/>
      <c r="I318" s="24" t="s">
        <v>533</v>
      </c>
    </row>
    <row r="319" spans="2:9">
      <c r="B319" s="24" t="s">
        <v>289</v>
      </c>
      <c r="C319" s="24" t="s">
        <v>71</v>
      </c>
      <c r="D319" s="24" t="s">
        <v>416</v>
      </c>
      <c r="E319" s="24" t="s">
        <v>41</v>
      </c>
      <c r="F319" s="24" t="s">
        <v>845</v>
      </c>
      <c r="G319" s="24"/>
      <c r="H319" s="24"/>
      <c r="I319" s="24" t="s">
        <v>533</v>
      </c>
    </row>
    <row r="320" spans="2:9">
      <c r="B320" s="24" t="s">
        <v>289</v>
      </c>
      <c r="C320" s="24" t="s">
        <v>72</v>
      </c>
      <c r="D320" s="24" t="s">
        <v>418</v>
      </c>
      <c r="E320" s="24" t="s">
        <v>41</v>
      </c>
      <c r="F320" s="24" t="s">
        <v>845</v>
      </c>
      <c r="G320" s="24"/>
      <c r="H320" s="24"/>
      <c r="I320" s="24" t="s">
        <v>533</v>
      </c>
    </row>
    <row r="321" spans="2:9">
      <c r="B321" s="24" t="s">
        <v>289</v>
      </c>
      <c r="C321" s="24" t="s">
        <v>88</v>
      </c>
      <c r="D321" s="24" t="s">
        <v>440</v>
      </c>
      <c r="E321" s="24" t="s">
        <v>41</v>
      </c>
      <c r="F321" s="24" t="s">
        <v>845</v>
      </c>
      <c r="G321" s="24"/>
      <c r="H321" s="24"/>
      <c r="I321" s="24" t="s">
        <v>533</v>
      </c>
    </row>
    <row r="322" spans="2:9">
      <c r="B322" s="24" t="s">
        <v>289</v>
      </c>
      <c r="C322" s="24" t="s">
        <v>89</v>
      </c>
      <c r="D322" s="24" t="s">
        <v>442</v>
      </c>
      <c r="E322" s="24" t="s">
        <v>41</v>
      </c>
      <c r="F322" s="24" t="s">
        <v>845</v>
      </c>
      <c r="G322" s="24"/>
      <c r="H322" s="24"/>
      <c r="I322" s="24" t="s">
        <v>533</v>
      </c>
    </row>
    <row r="323" spans="2:9">
      <c r="B323" s="24" t="s">
        <v>289</v>
      </c>
      <c r="C323" s="24" t="s">
        <v>90</v>
      </c>
      <c r="D323" s="24" t="s">
        <v>424</v>
      </c>
      <c r="E323" s="24" t="s">
        <v>41</v>
      </c>
      <c r="F323" s="24" t="s">
        <v>845</v>
      </c>
      <c r="G323" s="24"/>
      <c r="H323" s="24"/>
      <c r="I323" s="24" t="s">
        <v>533</v>
      </c>
    </row>
    <row r="324" spans="2:9">
      <c r="B324" s="24" t="s">
        <v>289</v>
      </c>
      <c r="C324" s="24" t="s">
        <v>73</v>
      </c>
      <c r="D324" s="24" t="s">
        <v>319</v>
      </c>
      <c r="E324" s="24" t="s">
        <v>41</v>
      </c>
      <c r="F324" s="24" t="s">
        <v>845</v>
      </c>
      <c r="G324" s="24"/>
      <c r="H324" s="24"/>
      <c r="I324" s="24" t="s">
        <v>533</v>
      </c>
    </row>
    <row r="325" spans="2:9">
      <c r="B325" s="24" t="s">
        <v>289</v>
      </c>
      <c r="C325" s="24" t="s">
        <v>74</v>
      </c>
      <c r="D325" s="24" t="s">
        <v>320</v>
      </c>
      <c r="E325" s="24" t="s">
        <v>41</v>
      </c>
      <c r="F325" s="24" t="s">
        <v>845</v>
      </c>
      <c r="G325" s="24"/>
      <c r="H325" s="24"/>
      <c r="I325" s="24" t="s">
        <v>533</v>
      </c>
    </row>
    <row r="326" spans="2:9">
      <c r="B326" s="24" t="s">
        <v>289</v>
      </c>
      <c r="C326" s="24" t="s">
        <v>200</v>
      </c>
      <c r="D326" s="24" t="s">
        <v>202</v>
      </c>
      <c r="E326" s="24" t="s">
        <v>41</v>
      </c>
      <c r="F326" s="24" t="s">
        <v>845</v>
      </c>
      <c r="G326" s="24"/>
      <c r="H326" s="24"/>
      <c r="I326" s="24" t="s">
        <v>533</v>
      </c>
    </row>
    <row r="327" spans="2:9">
      <c r="B327" s="24" t="s">
        <v>289</v>
      </c>
      <c r="C327" s="24" t="s">
        <v>201</v>
      </c>
      <c r="D327" s="24" t="s">
        <v>202</v>
      </c>
      <c r="E327" s="24" t="s">
        <v>41</v>
      </c>
      <c r="F327" s="24" t="s">
        <v>845</v>
      </c>
      <c r="G327" s="24"/>
      <c r="H327" s="24"/>
      <c r="I327" s="24" t="s">
        <v>533</v>
      </c>
    </row>
    <row r="328" spans="2:9">
      <c r="B328" s="24" t="s">
        <v>289</v>
      </c>
      <c r="C328" s="24" t="s">
        <v>75</v>
      </c>
      <c r="D328" s="24" t="s">
        <v>127</v>
      </c>
      <c r="E328" s="24" t="s">
        <v>41</v>
      </c>
      <c r="F328" s="24" t="s">
        <v>845</v>
      </c>
      <c r="G328" s="24" t="s">
        <v>625</v>
      </c>
      <c r="H328" s="24"/>
      <c r="I328" s="24" t="s">
        <v>533</v>
      </c>
    </row>
    <row r="329" spans="2:9">
      <c r="B329" s="24" t="s">
        <v>289</v>
      </c>
      <c r="C329" s="24" t="s">
        <v>76</v>
      </c>
      <c r="D329" s="24" t="s">
        <v>128</v>
      </c>
      <c r="E329" s="24" t="s">
        <v>41</v>
      </c>
      <c r="F329" s="24" t="s">
        <v>845</v>
      </c>
      <c r="G329" s="24" t="s">
        <v>625</v>
      </c>
      <c r="H329" s="24"/>
      <c r="I329" s="24" t="s">
        <v>533</v>
      </c>
    </row>
    <row r="330" spans="2:9">
      <c r="B330" s="24" t="s">
        <v>289</v>
      </c>
      <c r="C330" s="24" t="s">
        <v>77</v>
      </c>
      <c r="D330" s="24" t="s">
        <v>129</v>
      </c>
      <c r="E330" s="24" t="s">
        <v>41</v>
      </c>
      <c r="F330" s="24" t="s">
        <v>845</v>
      </c>
      <c r="G330" s="24" t="s">
        <v>625</v>
      </c>
      <c r="H330" s="24"/>
      <c r="I330" s="24" t="s">
        <v>533</v>
      </c>
    </row>
    <row r="331" spans="2:9">
      <c r="B331" s="24" t="s">
        <v>289</v>
      </c>
      <c r="C331" s="24" t="s">
        <v>78</v>
      </c>
      <c r="D331" s="24" t="s">
        <v>130</v>
      </c>
      <c r="E331" s="24" t="s">
        <v>41</v>
      </c>
      <c r="F331" s="24" t="s">
        <v>845</v>
      </c>
      <c r="G331" s="24" t="s">
        <v>625</v>
      </c>
      <c r="H331" s="24"/>
      <c r="I331" s="24" t="s">
        <v>533</v>
      </c>
    </row>
    <row r="332" spans="2:9">
      <c r="B332" s="121" t="s">
        <v>289</v>
      </c>
      <c r="C332" s="121" t="s">
        <v>111</v>
      </c>
      <c r="D332" s="121" t="s">
        <v>112</v>
      </c>
      <c r="E332" s="121" t="s">
        <v>41</v>
      </c>
      <c r="F332" s="121" t="s">
        <v>845</v>
      </c>
      <c r="G332" s="121" t="s">
        <v>625</v>
      </c>
      <c r="H332" s="121"/>
      <c r="I332" s="121" t="s">
        <v>533</v>
      </c>
    </row>
    <row r="333" spans="2:9">
      <c r="B333" s="121" t="s">
        <v>289</v>
      </c>
      <c r="C333" s="121" t="s">
        <v>113</v>
      </c>
      <c r="D333" s="121" t="s">
        <v>112</v>
      </c>
      <c r="E333" s="121" t="s">
        <v>41</v>
      </c>
      <c r="F333" s="121" t="s">
        <v>845</v>
      </c>
      <c r="G333" s="121" t="s">
        <v>625</v>
      </c>
      <c r="H333" s="121"/>
      <c r="I333" s="121" t="s">
        <v>533</v>
      </c>
    </row>
    <row r="334" spans="2:9">
      <c r="B334" s="121" t="s">
        <v>289</v>
      </c>
      <c r="C334" s="121" t="s">
        <v>114</v>
      </c>
      <c r="D334" s="121" t="s">
        <v>112</v>
      </c>
      <c r="E334" s="121" t="s">
        <v>41</v>
      </c>
      <c r="F334" s="121" t="s">
        <v>845</v>
      </c>
      <c r="G334" s="121" t="s">
        <v>625</v>
      </c>
      <c r="H334" s="121"/>
      <c r="I334" s="121" t="s">
        <v>533</v>
      </c>
    </row>
    <row r="335" spans="2:9">
      <c r="B335" s="24" t="s">
        <v>505</v>
      </c>
      <c r="C335" s="24" t="s">
        <v>458</v>
      </c>
      <c r="D335" s="24" t="s">
        <v>459</v>
      </c>
      <c r="E335" s="24" t="s">
        <v>41</v>
      </c>
      <c r="F335" s="24" t="s">
        <v>532</v>
      </c>
      <c r="G335" s="24" t="s">
        <v>625</v>
      </c>
      <c r="H335" s="24"/>
      <c r="I335" s="24" t="s">
        <v>533</v>
      </c>
    </row>
    <row r="336" spans="2:9">
      <c r="B336" s="24" t="s">
        <v>505</v>
      </c>
      <c r="C336" s="24" t="s">
        <v>443</v>
      </c>
      <c r="D336" s="24" t="s">
        <v>444</v>
      </c>
      <c r="E336" s="24" t="s">
        <v>41</v>
      </c>
      <c r="F336" s="24" t="s">
        <v>532</v>
      </c>
      <c r="G336" s="24" t="s">
        <v>564</v>
      </c>
      <c r="H336" s="24"/>
      <c r="I336" s="24" t="s">
        <v>533</v>
      </c>
    </row>
    <row r="337" spans="2:9">
      <c r="B337" s="24" t="s">
        <v>505</v>
      </c>
      <c r="C337" s="24" t="s">
        <v>445</v>
      </c>
      <c r="D337" s="24" t="s">
        <v>446</v>
      </c>
      <c r="E337" s="24" t="s">
        <v>41</v>
      </c>
      <c r="F337" s="24" t="s">
        <v>532</v>
      </c>
      <c r="G337" s="24" t="s">
        <v>564</v>
      </c>
      <c r="H337" s="24"/>
      <c r="I337" s="24" t="s">
        <v>533</v>
      </c>
    </row>
    <row r="338" spans="2:9">
      <c r="B338" s="24" t="s">
        <v>505</v>
      </c>
      <c r="C338" s="24" t="s">
        <v>448</v>
      </c>
      <c r="D338" s="24" t="s">
        <v>454</v>
      </c>
      <c r="E338" s="24" t="s">
        <v>41</v>
      </c>
      <c r="F338" s="24" t="s">
        <v>532</v>
      </c>
      <c r="G338" s="24" t="s">
        <v>564</v>
      </c>
      <c r="H338" s="24"/>
      <c r="I338" s="24" t="s">
        <v>533</v>
      </c>
    </row>
    <row r="339" spans="2:9">
      <c r="B339" s="24" t="s">
        <v>505</v>
      </c>
      <c r="C339" s="24" t="s">
        <v>460</v>
      </c>
      <c r="D339" s="24" t="s">
        <v>461</v>
      </c>
      <c r="E339" s="24" t="s">
        <v>41</v>
      </c>
      <c r="F339" s="24" t="s">
        <v>532</v>
      </c>
      <c r="G339" s="24" t="s">
        <v>564</v>
      </c>
      <c r="H339" s="24"/>
      <c r="I339" s="24" t="s">
        <v>533</v>
      </c>
    </row>
    <row r="340" spans="2:9">
      <c r="B340" s="24" t="s">
        <v>505</v>
      </c>
      <c r="C340" s="24" t="s">
        <v>462</v>
      </c>
      <c r="D340" s="24" t="s">
        <v>463</v>
      </c>
      <c r="E340" s="24" t="s">
        <v>41</v>
      </c>
      <c r="F340" s="24" t="s">
        <v>532</v>
      </c>
      <c r="G340" s="24" t="s">
        <v>564</v>
      </c>
      <c r="H340" s="24"/>
      <c r="I340" s="24" t="s">
        <v>533</v>
      </c>
    </row>
    <row r="341" spans="2:9">
      <c r="B341" s="24" t="s">
        <v>505</v>
      </c>
      <c r="C341" s="24" t="s">
        <v>464</v>
      </c>
      <c r="D341" s="24" t="s">
        <v>465</v>
      </c>
      <c r="E341" s="24" t="s">
        <v>41</v>
      </c>
      <c r="F341" s="24" t="s">
        <v>532</v>
      </c>
      <c r="G341" s="24" t="s">
        <v>564</v>
      </c>
      <c r="H341" s="24"/>
      <c r="I341" s="24" t="s">
        <v>533</v>
      </c>
    </row>
    <row r="342" spans="2:9">
      <c r="B342" s="24" t="s">
        <v>505</v>
      </c>
      <c r="C342" s="24" t="s">
        <v>466</v>
      </c>
      <c r="D342" s="24" t="s">
        <v>467</v>
      </c>
      <c r="E342" s="24" t="s">
        <v>41</v>
      </c>
      <c r="F342" s="24" t="s">
        <v>532</v>
      </c>
      <c r="G342" s="24" t="s">
        <v>564</v>
      </c>
      <c r="H342" s="24"/>
      <c r="I342" s="24" t="s">
        <v>533</v>
      </c>
    </row>
    <row r="343" spans="2:9">
      <c r="B343" s="24" t="s">
        <v>505</v>
      </c>
      <c r="C343" s="24" t="s">
        <v>469</v>
      </c>
      <c r="D343" s="24" t="s">
        <v>470</v>
      </c>
      <c r="E343" s="24" t="s">
        <v>41</v>
      </c>
      <c r="F343" s="24" t="s">
        <v>532</v>
      </c>
      <c r="G343" s="24" t="s">
        <v>564</v>
      </c>
      <c r="H343" s="24"/>
      <c r="I343" s="24" t="s">
        <v>533</v>
      </c>
    </row>
    <row r="344" spans="2:9">
      <c r="B344" s="24" t="s">
        <v>505</v>
      </c>
      <c r="C344" s="24" t="s">
        <v>471</v>
      </c>
      <c r="D344" s="24" t="s">
        <v>472</v>
      </c>
      <c r="E344" s="24" t="s">
        <v>41</v>
      </c>
      <c r="F344" s="24" t="s">
        <v>532</v>
      </c>
      <c r="G344" s="24" t="s">
        <v>564</v>
      </c>
      <c r="H344" s="24"/>
      <c r="I344" s="24" t="s">
        <v>533</v>
      </c>
    </row>
    <row r="345" spans="2:9">
      <c r="B345" s="24" t="s">
        <v>505</v>
      </c>
      <c r="C345" s="24" t="s">
        <v>473</v>
      </c>
      <c r="D345" s="24" t="s">
        <v>474</v>
      </c>
      <c r="E345" s="24" t="s">
        <v>41</v>
      </c>
      <c r="F345" s="24" t="s">
        <v>532</v>
      </c>
      <c r="G345" s="24" t="s">
        <v>564</v>
      </c>
      <c r="H345" s="24"/>
      <c r="I345" s="24" t="s">
        <v>533</v>
      </c>
    </row>
    <row r="346" spans="2:9">
      <c r="B346" s="24" t="s">
        <v>505</v>
      </c>
      <c r="C346" s="24" t="s">
        <v>475</v>
      </c>
      <c r="D346" s="24" t="s">
        <v>444</v>
      </c>
      <c r="E346" s="24" t="s">
        <v>41</v>
      </c>
      <c r="F346" s="24" t="s">
        <v>532</v>
      </c>
      <c r="G346" s="24" t="s">
        <v>564</v>
      </c>
      <c r="H346" s="24"/>
      <c r="I346" s="24" t="s">
        <v>533</v>
      </c>
    </row>
    <row r="347" spans="2:9">
      <c r="B347" s="24" t="s">
        <v>505</v>
      </c>
      <c r="C347" s="24" t="s">
        <v>476</v>
      </c>
      <c r="D347" s="24" t="s">
        <v>480</v>
      </c>
      <c r="E347" s="24" t="s">
        <v>41</v>
      </c>
      <c r="F347" s="24" t="s">
        <v>532</v>
      </c>
      <c r="G347" s="24" t="s">
        <v>564</v>
      </c>
      <c r="H347" s="24"/>
      <c r="I347" s="24" t="s">
        <v>533</v>
      </c>
    </row>
    <row r="348" spans="2:9">
      <c r="B348" s="24" t="s">
        <v>505</v>
      </c>
      <c r="C348" s="24" t="s">
        <v>481</v>
      </c>
      <c r="D348" s="24" t="s">
        <v>472</v>
      </c>
      <c r="E348" s="24" t="s">
        <v>41</v>
      </c>
      <c r="F348" s="24" t="s">
        <v>532</v>
      </c>
      <c r="G348" s="24" t="s">
        <v>564</v>
      </c>
      <c r="H348" s="24"/>
      <c r="I348" s="24" t="s">
        <v>533</v>
      </c>
    </row>
    <row r="349" spans="2:9">
      <c r="B349" s="24" t="s">
        <v>505</v>
      </c>
      <c r="C349" s="24" t="s">
        <v>482</v>
      </c>
      <c r="D349" s="24" t="s">
        <v>461</v>
      </c>
      <c r="E349" s="24" t="s">
        <v>41</v>
      </c>
      <c r="F349" s="24" t="s">
        <v>532</v>
      </c>
      <c r="G349" s="24" t="s">
        <v>564</v>
      </c>
      <c r="H349" s="24"/>
      <c r="I349" s="24" t="s">
        <v>533</v>
      </c>
    </row>
    <row r="350" spans="2:9">
      <c r="B350" s="24" t="s">
        <v>505</v>
      </c>
      <c r="C350" s="24" t="s">
        <v>483</v>
      </c>
      <c r="D350" s="24" t="s">
        <v>465</v>
      </c>
      <c r="E350" s="24" t="s">
        <v>41</v>
      </c>
      <c r="F350" s="24" t="s">
        <v>532</v>
      </c>
      <c r="G350" s="24" t="s">
        <v>564</v>
      </c>
      <c r="H350" s="24"/>
      <c r="I350" s="24" t="s">
        <v>533</v>
      </c>
    </row>
    <row r="351" spans="2:9">
      <c r="B351" s="24" t="s">
        <v>505</v>
      </c>
      <c r="C351" s="24" t="s">
        <v>484</v>
      </c>
      <c r="D351" s="24" t="s">
        <v>467</v>
      </c>
      <c r="E351" s="24" t="s">
        <v>41</v>
      </c>
      <c r="F351" s="24" t="s">
        <v>532</v>
      </c>
      <c r="G351" s="24" t="s">
        <v>564</v>
      </c>
      <c r="H351" s="24"/>
      <c r="I351" s="24" t="s">
        <v>533</v>
      </c>
    </row>
    <row r="352" spans="2:9">
      <c r="B352" s="24" t="s">
        <v>505</v>
      </c>
      <c r="C352" s="24" t="s">
        <v>485</v>
      </c>
      <c r="D352" s="24" t="s">
        <v>486</v>
      </c>
      <c r="E352" s="24" t="s">
        <v>41</v>
      </c>
      <c r="F352" s="24" t="s">
        <v>532</v>
      </c>
      <c r="G352" s="24" t="s">
        <v>564</v>
      </c>
      <c r="H352" s="24"/>
      <c r="I352" s="24" t="s">
        <v>533</v>
      </c>
    </row>
    <row r="353" spans="2:9">
      <c r="B353" s="24" t="s">
        <v>505</v>
      </c>
      <c r="C353" s="24" t="s">
        <v>487</v>
      </c>
      <c r="D353" s="24" t="s">
        <v>472</v>
      </c>
      <c r="E353" s="24" t="s">
        <v>41</v>
      </c>
      <c r="F353" s="24" t="s">
        <v>532</v>
      </c>
      <c r="G353" s="24" t="s">
        <v>564</v>
      </c>
      <c r="H353" s="24"/>
      <c r="I353" s="24" t="s">
        <v>533</v>
      </c>
    </row>
    <row r="354" spans="2:9">
      <c r="B354" s="24" t="s">
        <v>505</v>
      </c>
      <c r="C354" s="24" t="s">
        <v>488</v>
      </c>
      <c r="D354" s="24" t="s">
        <v>474</v>
      </c>
      <c r="E354" s="24" t="s">
        <v>41</v>
      </c>
      <c r="F354" s="24" t="s">
        <v>532</v>
      </c>
      <c r="G354" s="24" t="s">
        <v>564</v>
      </c>
      <c r="H354" s="24"/>
      <c r="I354" s="24" t="s">
        <v>533</v>
      </c>
    </row>
    <row r="355" spans="2:9">
      <c r="B355" s="24" t="s">
        <v>505</v>
      </c>
      <c r="C355" s="24" t="s">
        <v>489</v>
      </c>
      <c r="D355" s="24" t="s">
        <v>490</v>
      </c>
      <c r="E355" s="24" t="s">
        <v>41</v>
      </c>
      <c r="F355" s="24" t="s">
        <v>532</v>
      </c>
      <c r="G355" s="24" t="s">
        <v>625</v>
      </c>
      <c r="H355" s="24"/>
      <c r="I355" s="24" t="s">
        <v>533</v>
      </c>
    </row>
    <row r="356" spans="2:9">
      <c r="B356" s="24" t="s">
        <v>505</v>
      </c>
      <c r="C356" s="24" t="s">
        <v>453</v>
      </c>
      <c r="D356" s="24" t="s">
        <v>490</v>
      </c>
      <c r="E356" s="24" t="s">
        <v>41</v>
      </c>
      <c r="F356" s="24" t="s">
        <v>532</v>
      </c>
      <c r="G356" s="24" t="s">
        <v>625</v>
      </c>
      <c r="H356" s="24"/>
      <c r="I356" s="24" t="s">
        <v>533</v>
      </c>
    </row>
    <row r="357" spans="2:9">
      <c r="B357" s="24" t="s">
        <v>505</v>
      </c>
      <c r="C357" s="24" t="s">
        <v>491</v>
      </c>
      <c r="D357" s="24" t="s">
        <v>492</v>
      </c>
      <c r="E357" s="24" t="s">
        <v>41</v>
      </c>
      <c r="F357" s="24" t="s">
        <v>534</v>
      </c>
      <c r="G357" s="24" t="s">
        <v>625</v>
      </c>
      <c r="H357" s="24"/>
      <c r="I357" s="24" t="s">
        <v>533</v>
      </c>
    </row>
    <row r="358" spans="2:9">
      <c r="B358" s="24" t="s">
        <v>505</v>
      </c>
      <c r="C358" s="24" t="s">
        <v>0</v>
      </c>
      <c r="D358" s="24" t="s">
        <v>2</v>
      </c>
      <c r="E358" s="24" t="s">
        <v>41</v>
      </c>
      <c r="F358" s="24" t="s">
        <v>532</v>
      </c>
      <c r="G358" s="24" t="s">
        <v>564</v>
      </c>
      <c r="H358" s="24"/>
      <c r="I358" s="24" t="s">
        <v>533</v>
      </c>
    </row>
    <row r="359" spans="2:9">
      <c r="B359" s="24" t="s">
        <v>505</v>
      </c>
      <c r="C359" s="24" t="s">
        <v>1</v>
      </c>
      <c r="D359" s="24" t="s">
        <v>3</v>
      </c>
      <c r="E359" s="24" t="s">
        <v>41</v>
      </c>
      <c r="F359" s="24" t="s">
        <v>532</v>
      </c>
      <c r="G359" s="24" t="s">
        <v>564</v>
      </c>
      <c r="H359" s="24"/>
      <c r="I359" s="24" t="s">
        <v>533</v>
      </c>
    </row>
    <row r="360" spans="2:9">
      <c r="B360" s="121" t="s">
        <v>505</v>
      </c>
      <c r="C360" s="121" t="s">
        <v>143</v>
      </c>
      <c r="D360" s="121" t="s">
        <v>144</v>
      </c>
      <c r="E360" s="121" t="s">
        <v>41</v>
      </c>
      <c r="F360" s="121" t="s">
        <v>532</v>
      </c>
      <c r="G360" s="121" t="s">
        <v>625</v>
      </c>
      <c r="H360" s="121"/>
      <c r="I360" s="121" t="s">
        <v>533</v>
      </c>
    </row>
    <row r="361" spans="2:9">
      <c r="B361" s="121" t="s">
        <v>505</v>
      </c>
      <c r="C361" s="121" t="s">
        <v>145</v>
      </c>
      <c r="D361" s="121" t="s">
        <v>146</v>
      </c>
      <c r="E361" s="121" t="s">
        <v>41</v>
      </c>
      <c r="F361" s="121" t="s">
        <v>532</v>
      </c>
      <c r="G361" s="121" t="s">
        <v>625</v>
      </c>
      <c r="H361" s="121"/>
      <c r="I361" s="121" t="s">
        <v>533</v>
      </c>
    </row>
    <row r="362" spans="2:9">
      <c r="B362" s="121" t="s">
        <v>505</v>
      </c>
      <c r="C362" s="121" t="s">
        <v>633</v>
      </c>
      <c r="D362" s="121" t="s">
        <v>115</v>
      </c>
      <c r="E362" s="121" t="s">
        <v>41</v>
      </c>
      <c r="F362" s="121" t="s">
        <v>532</v>
      </c>
      <c r="G362" s="121" t="s">
        <v>625</v>
      </c>
      <c r="H362" s="121"/>
      <c r="I362" s="121" t="s">
        <v>533</v>
      </c>
    </row>
    <row r="363" spans="2:9">
      <c r="B363" s="121" t="s">
        <v>505</v>
      </c>
      <c r="C363" s="121" t="s">
        <v>116</v>
      </c>
      <c r="D363" s="121" t="s">
        <v>115</v>
      </c>
      <c r="E363" s="121" t="s">
        <v>41</v>
      </c>
      <c r="F363" s="121" t="s">
        <v>532</v>
      </c>
      <c r="G363" s="121" t="s">
        <v>625</v>
      </c>
      <c r="H363" s="121"/>
      <c r="I363" s="121" t="s">
        <v>533</v>
      </c>
    </row>
    <row r="364" spans="2:9">
      <c r="B364" s="121" t="s">
        <v>505</v>
      </c>
      <c r="C364" s="121" t="s">
        <v>117</v>
      </c>
      <c r="D364" s="121" t="s">
        <v>115</v>
      </c>
      <c r="E364" s="121" t="s">
        <v>41</v>
      </c>
      <c r="F364" s="121" t="s">
        <v>532</v>
      </c>
      <c r="G364" s="121" t="s">
        <v>625</v>
      </c>
      <c r="H364" s="121"/>
      <c r="I364" s="121" t="s">
        <v>533</v>
      </c>
    </row>
  </sheetData>
  <phoneticPr fontId="0" type="noConversion"/>
  <pageMargins left="0.25" right="0.25" top="0.25" bottom="0.25" header="0.25" footer="0.25"/>
  <pageSetup paperSize="9" scale="80" fitToWidth="7" orientation="landscape" r:id="rId1"/>
  <headerFooter alignWithMargins="0"/>
  <rowBreaks count="2" manualBreakCount="2">
    <brk id="130" max="39" man="1"/>
    <brk id="189" max="39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X43"/>
  <sheetViews>
    <sheetView zoomScale="90" workbookViewId="0">
      <selection activeCell="D41" sqref="D41"/>
    </sheetView>
  </sheetViews>
  <sheetFormatPr defaultRowHeight="12.75"/>
  <cols>
    <col min="2" max="2" width="8.85546875" customWidth="1"/>
    <col min="3" max="3" width="15.140625" customWidth="1"/>
    <col min="4" max="4" width="28.5703125" customWidth="1"/>
  </cols>
  <sheetData>
    <row r="2" spans="2:24" ht="18">
      <c r="C2" s="38" t="s">
        <v>739</v>
      </c>
      <c r="D2" s="39"/>
      <c r="E2" s="40"/>
      <c r="F2" s="40"/>
      <c r="G2" s="40"/>
      <c r="I2" s="4"/>
      <c r="J2" s="22" t="s">
        <v>516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</row>
    <row r="3" spans="2:24" ht="26.25" thickBot="1">
      <c r="B3" s="28" t="s">
        <v>33</v>
      </c>
      <c r="C3" s="41" t="s">
        <v>555</v>
      </c>
      <c r="D3" s="41" t="s">
        <v>556</v>
      </c>
      <c r="E3" s="41" t="s">
        <v>557</v>
      </c>
      <c r="F3" s="41" t="s">
        <v>153</v>
      </c>
      <c r="G3" s="41" t="s">
        <v>569</v>
      </c>
      <c r="H3" s="41" t="s">
        <v>604</v>
      </c>
      <c r="I3" s="41" t="s">
        <v>33</v>
      </c>
      <c r="J3" s="41" t="s">
        <v>385</v>
      </c>
      <c r="K3" s="41" t="s">
        <v>559</v>
      </c>
      <c r="L3" s="114" t="s">
        <v>97</v>
      </c>
      <c r="M3" s="41">
        <v>2020</v>
      </c>
      <c r="N3" s="41">
        <v>2030</v>
      </c>
      <c r="O3" s="41">
        <v>2050</v>
      </c>
      <c r="P3" s="113" t="s">
        <v>189</v>
      </c>
      <c r="Q3" s="41" t="s">
        <v>96</v>
      </c>
      <c r="R3" s="41" t="s">
        <v>258</v>
      </c>
      <c r="S3" s="41" t="s">
        <v>102</v>
      </c>
      <c r="T3" s="41" t="s">
        <v>139</v>
      </c>
      <c r="U3" s="42" t="s">
        <v>98</v>
      </c>
      <c r="V3" s="41" t="s">
        <v>99</v>
      </c>
      <c r="W3" s="41" t="s">
        <v>100</v>
      </c>
      <c r="X3" s="42" t="s">
        <v>152</v>
      </c>
    </row>
    <row r="4" spans="2:24">
      <c r="B4" s="242" t="s">
        <v>621</v>
      </c>
      <c r="C4" s="125" t="s">
        <v>752</v>
      </c>
      <c r="D4" s="125" t="s">
        <v>753</v>
      </c>
      <c r="E4" s="126" t="s">
        <v>710</v>
      </c>
      <c r="F4" s="125"/>
      <c r="G4" s="126" t="s">
        <v>404</v>
      </c>
      <c r="H4" s="126"/>
      <c r="I4" s="126"/>
      <c r="J4" s="125" t="s">
        <v>190</v>
      </c>
      <c r="K4" s="125"/>
      <c r="L4" s="256">
        <v>2200</v>
      </c>
      <c r="M4" s="141">
        <v>1.0900000000000001</v>
      </c>
      <c r="N4" s="141">
        <v>1.05</v>
      </c>
      <c r="O4" s="141">
        <v>1.04</v>
      </c>
      <c r="P4" s="128"/>
      <c r="Q4" s="125">
        <f>3.6*8.76</f>
        <v>31.536000000000001</v>
      </c>
      <c r="R4" s="148">
        <v>0.7</v>
      </c>
      <c r="S4" s="148">
        <v>0.95</v>
      </c>
      <c r="T4" s="148">
        <v>40</v>
      </c>
      <c r="U4" s="243">
        <f>375/1.05</f>
        <v>357.14285714285711</v>
      </c>
      <c r="V4" s="244">
        <f>U4*0.015</f>
        <v>5.3571428571428568</v>
      </c>
      <c r="W4" s="148"/>
      <c r="X4" s="148">
        <v>1</v>
      </c>
    </row>
    <row r="5" spans="2:24">
      <c r="B5" s="242" t="s">
        <v>621</v>
      </c>
      <c r="C5" s="125"/>
      <c r="D5" s="125"/>
      <c r="E5" s="126" t="s">
        <v>651</v>
      </c>
      <c r="F5" s="125"/>
      <c r="G5" s="126"/>
      <c r="H5" s="126"/>
      <c r="I5" s="126"/>
      <c r="J5" s="125" t="s">
        <v>98</v>
      </c>
      <c r="K5" s="129">
        <f>67/1000</f>
        <v>6.7000000000000004E-2</v>
      </c>
      <c r="L5" s="256"/>
      <c r="M5" s="141">
        <f>400</f>
        <v>400</v>
      </c>
      <c r="N5" s="258">
        <f>SQRT(O5*M5)</f>
        <v>377.96447300922722</v>
      </c>
      <c r="O5" s="258">
        <f>U4</f>
        <v>357.14285714285711</v>
      </c>
      <c r="P5" s="128"/>
      <c r="Q5" s="125"/>
      <c r="R5" s="148"/>
      <c r="S5" s="148"/>
      <c r="T5" s="148"/>
      <c r="U5" s="243"/>
      <c r="V5" s="244"/>
      <c r="W5" s="125"/>
      <c r="X5" s="125"/>
    </row>
    <row r="6" spans="2:24">
      <c r="B6" s="242" t="s">
        <v>621</v>
      </c>
      <c r="C6" s="125" t="s">
        <v>746</v>
      </c>
      <c r="D6" s="125" t="s">
        <v>747</v>
      </c>
      <c r="E6" s="126" t="s">
        <v>651</v>
      </c>
      <c r="F6" s="125"/>
      <c r="G6" s="126" t="s">
        <v>710</v>
      </c>
      <c r="H6" s="126"/>
      <c r="I6" s="126"/>
      <c r="J6" s="125" t="s">
        <v>190</v>
      </c>
      <c r="K6" s="129"/>
      <c r="L6" s="256">
        <v>2025</v>
      </c>
      <c r="M6" s="141"/>
      <c r="N6" s="245">
        <f>1/3.5-$K5/N4</f>
        <v>0.22190476190476188</v>
      </c>
      <c r="O6" s="245">
        <f>1/3.8-$K5/O4</f>
        <v>0.19873481781376517</v>
      </c>
      <c r="P6" s="179"/>
      <c r="Q6" s="125">
        <f>3.6*8.76</f>
        <v>31.536000000000001</v>
      </c>
      <c r="R6" s="246">
        <f>2.47/(0.31*8.76)</f>
        <v>0.90955958167624107</v>
      </c>
      <c r="S6" s="148"/>
      <c r="T6" s="148">
        <v>30</v>
      </c>
      <c r="U6" s="243">
        <v>500</v>
      </c>
      <c r="V6" s="244">
        <f>U6*0.015</f>
        <v>7.5</v>
      </c>
      <c r="W6" s="125">
        <v>0.5</v>
      </c>
      <c r="X6" s="125"/>
    </row>
    <row r="7" spans="2:24">
      <c r="B7" s="242" t="s">
        <v>621</v>
      </c>
      <c r="C7" s="125"/>
      <c r="D7" s="125"/>
      <c r="E7" s="126" t="s">
        <v>748</v>
      </c>
      <c r="F7" s="125"/>
      <c r="G7" s="126"/>
      <c r="H7" s="126" t="s">
        <v>603</v>
      </c>
      <c r="I7" s="126"/>
      <c r="J7" s="125" t="s">
        <v>98</v>
      </c>
      <c r="K7" s="129"/>
      <c r="L7" s="256"/>
      <c r="M7" s="141">
        <v>650</v>
      </c>
      <c r="N7" s="258">
        <f>SQRT(O7*M7)</f>
        <v>570.08771254956901</v>
      </c>
      <c r="O7" s="141">
        <v>500</v>
      </c>
      <c r="P7" s="179">
        <v>1</v>
      </c>
      <c r="Q7" s="125"/>
      <c r="R7" s="148"/>
      <c r="S7" s="148"/>
      <c r="T7" s="148"/>
      <c r="U7" s="243"/>
      <c r="V7" s="244"/>
      <c r="W7" s="125"/>
      <c r="X7" s="125"/>
    </row>
    <row r="8" spans="2:24">
      <c r="B8" s="242"/>
      <c r="C8" s="125" t="s">
        <v>728</v>
      </c>
      <c r="D8" s="125" t="s">
        <v>729</v>
      </c>
      <c r="E8" s="126" t="s">
        <v>651</v>
      </c>
      <c r="F8" s="125"/>
      <c r="G8" s="126" t="s">
        <v>730</v>
      </c>
      <c r="H8" s="126"/>
      <c r="I8" s="126"/>
      <c r="J8" s="125" t="s">
        <v>190</v>
      </c>
      <c r="K8" s="125"/>
      <c r="L8" s="256">
        <v>2015</v>
      </c>
      <c r="M8" s="254">
        <f>1/2.8</f>
        <v>0.35714285714285715</v>
      </c>
      <c r="N8" s="254">
        <f>1/3.1</f>
        <v>0.32258064516129031</v>
      </c>
      <c r="O8" s="254">
        <f>1/3.5</f>
        <v>0.2857142857142857</v>
      </c>
      <c r="P8" s="179"/>
      <c r="Q8" s="125">
        <f>3.6*8.76</f>
        <v>31.536000000000001</v>
      </c>
      <c r="R8" s="148">
        <v>0.65</v>
      </c>
      <c r="S8" s="148">
        <v>0.95</v>
      </c>
      <c r="T8" s="148">
        <v>30</v>
      </c>
      <c r="U8" s="243"/>
      <c r="V8" s="244"/>
      <c r="W8" s="125"/>
      <c r="X8" s="125"/>
    </row>
    <row r="9" spans="2:24">
      <c r="B9" s="242" t="s">
        <v>621</v>
      </c>
      <c r="C9" s="125"/>
      <c r="D9" s="125"/>
      <c r="E9" s="126" t="s">
        <v>731</v>
      </c>
      <c r="F9" s="125"/>
      <c r="G9" s="126"/>
      <c r="H9" s="126" t="s">
        <v>603</v>
      </c>
      <c r="I9" s="126"/>
      <c r="J9" s="125" t="s">
        <v>98</v>
      </c>
      <c r="K9" s="125"/>
      <c r="L9" s="256"/>
      <c r="M9" s="255">
        <f>800</f>
        <v>800</v>
      </c>
      <c r="N9" s="255">
        <f>700</f>
        <v>700</v>
      </c>
      <c r="O9" s="255">
        <f>640</f>
        <v>640</v>
      </c>
      <c r="P9" s="179">
        <v>1</v>
      </c>
      <c r="Q9" s="125"/>
      <c r="R9" s="125"/>
      <c r="S9" s="125"/>
      <c r="T9" s="125"/>
      <c r="U9" s="125"/>
      <c r="V9" s="244">
        <f>O9*0.02</f>
        <v>12.8</v>
      </c>
      <c r="W9" s="125">
        <v>0.5</v>
      </c>
      <c r="X9" s="125"/>
    </row>
    <row r="10" spans="2:24">
      <c r="B10" s="242"/>
      <c r="C10" s="125" t="s">
        <v>732</v>
      </c>
      <c r="D10" s="125" t="s">
        <v>729</v>
      </c>
      <c r="E10" s="126" t="s">
        <v>651</v>
      </c>
      <c r="F10" s="125"/>
      <c r="G10" s="126" t="s">
        <v>733</v>
      </c>
      <c r="H10" s="126"/>
      <c r="I10" s="126"/>
      <c r="J10" s="125" t="s">
        <v>190</v>
      </c>
      <c r="K10" s="125"/>
      <c r="L10" s="256">
        <v>2015</v>
      </c>
      <c r="M10" s="254">
        <f t="array" ref="M10:O10">M8:O8^0.93</f>
        <v>0.38383363671955345</v>
      </c>
      <c r="N10" s="254">
        <v>0.3491673482990566</v>
      </c>
      <c r="O10" s="254">
        <v>0.3119009652283451</v>
      </c>
      <c r="P10" s="179"/>
      <c r="Q10" s="125">
        <f>3.6*8.76</f>
        <v>31.536000000000001</v>
      </c>
      <c r="R10" s="148">
        <v>0.65</v>
      </c>
      <c r="S10" s="148">
        <v>0.95</v>
      </c>
      <c r="T10" s="148">
        <v>30</v>
      </c>
      <c r="U10" s="243"/>
      <c r="V10" s="125"/>
      <c r="W10" s="125"/>
      <c r="X10" s="125"/>
    </row>
    <row r="11" spans="2:24">
      <c r="B11" s="242" t="s">
        <v>621</v>
      </c>
      <c r="C11" s="125"/>
      <c r="D11" s="125"/>
      <c r="E11" s="126" t="s">
        <v>731</v>
      </c>
      <c r="F11" s="125"/>
      <c r="G11" s="126"/>
      <c r="H11" s="126" t="s">
        <v>603</v>
      </c>
      <c r="I11" s="126"/>
      <c r="J11" s="125" t="s">
        <v>98</v>
      </c>
      <c r="K11" s="125"/>
      <c r="L11" s="256"/>
      <c r="M11" s="255">
        <f>800</f>
        <v>800</v>
      </c>
      <c r="N11" s="255">
        <f>700</f>
        <v>700</v>
      </c>
      <c r="O11" s="255">
        <f>640</f>
        <v>640</v>
      </c>
      <c r="P11" s="179">
        <v>1</v>
      </c>
      <c r="Q11" s="125"/>
      <c r="R11" s="125"/>
      <c r="S11" s="125"/>
      <c r="T11" s="125"/>
      <c r="U11" s="125"/>
      <c r="V11" s="244">
        <f>O11*0.02</f>
        <v>12.8</v>
      </c>
      <c r="W11" s="125">
        <v>0.5</v>
      </c>
      <c r="X11" s="125"/>
    </row>
    <row r="12" spans="2:24">
      <c r="B12" s="242" t="s">
        <v>621</v>
      </c>
      <c r="C12" s="125" t="s">
        <v>734</v>
      </c>
      <c r="D12" s="125" t="s">
        <v>843</v>
      </c>
      <c r="E12" s="126"/>
      <c r="F12" s="125" t="s">
        <v>651</v>
      </c>
      <c r="G12" s="126" t="s">
        <v>404</v>
      </c>
      <c r="H12" s="126"/>
      <c r="I12" s="126"/>
      <c r="J12" s="125" t="s">
        <v>98</v>
      </c>
      <c r="K12" s="129">
        <v>1.2E-2</v>
      </c>
      <c r="L12" s="256">
        <v>2025</v>
      </c>
      <c r="M12" s="255">
        <v>526.11940298507454</v>
      </c>
      <c r="N12" s="255">
        <v>473.50746268656712</v>
      </c>
      <c r="O12" s="255">
        <v>426.15671641791039</v>
      </c>
      <c r="P12" s="128"/>
      <c r="Q12" s="125">
        <f>3.6*8.76</f>
        <v>31.536000000000001</v>
      </c>
      <c r="R12" s="148">
        <v>0.7</v>
      </c>
      <c r="S12" s="148">
        <v>0.95</v>
      </c>
      <c r="T12" s="148">
        <v>25</v>
      </c>
      <c r="U12" s="125"/>
      <c r="V12" s="244">
        <v>3.2861940298507459</v>
      </c>
      <c r="W12" s="125"/>
      <c r="X12" s="125"/>
    </row>
    <row r="13" spans="2:24">
      <c r="B13" s="242" t="s">
        <v>621</v>
      </c>
      <c r="C13" s="125"/>
      <c r="D13" s="125"/>
      <c r="E13" s="126" t="s">
        <v>155</v>
      </c>
      <c r="F13" s="125"/>
      <c r="G13" s="126"/>
      <c r="H13" s="126"/>
      <c r="I13" s="126"/>
      <c r="J13" s="125" t="s">
        <v>190</v>
      </c>
      <c r="K13" s="125"/>
      <c r="L13" s="256"/>
      <c r="M13" s="254">
        <v>0.5907023450883101</v>
      </c>
      <c r="N13" s="254">
        <v>0.58387341624335842</v>
      </c>
      <c r="O13" s="254">
        <v>0.57720057720057727</v>
      </c>
      <c r="P13" s="128"/>
      <c r="Q13" s="125"/>
      <c r="R13" s="125"/>
      <c r="S13" s="125"/>
      <c r="T13" s="125"/>
      <c r="U13" s="125"/>
      <c r="V13" s="125"/>
      <c r="W13" s="125"/>
      <c r="X13" s="125"/>
    </row>
    <row r="14" spans="2:24">
      <c r="B14" s="242"/>
      <c r="C14" s="125"/>
      <c r="D14" s="125"/>
      <c r="E14" s="126" t="s">
        <v>731</v>
      </c>
      <c r="F14" s="125"/>
      <c r="G14" s="126"/>
      <c r="H14" s="126"/>
      <c r="I14" s="126"/>
      <c r="J14" s="125" t="s">
        <v>190</v>
      </c>
      <c r="K14" s="125"/>
      <c r="L14" s="256"/>
      <c r="M14" s="254">
        <f>1-M13</f>
        <v>0.4092976549116899</v>
      </c>
      <c r="N14" s="254">
        <f>1-N13</f>
        <v>0.41612658375664158</v>
      </c>
      <c r="O14" s="254">
        <f>1-O13</f>
        <v>0.42279942279942273</v>
      </c>
      <c r="P14" s="128"/>
      <c r="Q14" s="125"/>
      <c r="R14" s="125"/>
      <c r="S14" s="125"/>
      <c r="T14" s="125"/>
      <c r="U14" s="125"/>
      <c r="V14" s="125"/>
      <c r="W14" s="125"/>
      <c r="X14" s="125"/>
    </row>
    <row r="15" spans="2:24">
      <c r="B15" s="242" t="s">
        <v>621</v>
      </c>
      <c r="C15" s="125" t="s">
        <v>749</v>
      </c>
      <c r="D15" s="125" t="s">
        <v>750</v>
      </c>
      <c r="E15" s="126"/>
      <c r="F15" s="125"/>
      <c r="G15" s="126" t="s">
        <v>748</v>
      </c>
      <c r="H15" s="126"/>
      <c r="I15" s="126"/>
      <c r="J15" s="125"/>
      <c r="K15" s="129"/>
      <c r="L15" s="256"/>
      <c r="M15" s="141"/>
      <c r="N15" s="141"/>
      <c r="O15" s="141"/>
      <c r="P15" s="128"/>
      <c r="Q15" s="125"/>
      <c r="R15" s="148"/>
      <c r="S15" s="148"/>
      <c r="T15" s="148"/>
      <c r="U15" s="243"/>
      <c r="V15" s="244"/>
      <c r="W15" s="125">
        <v>0.1</v>
      </c>
      <c r="X15" s="125"/>
    </row>
    <row r="16" spans="2:24">
      <c r="B16" s="124"/>
      <c r="C16" s="125" t="s">
        <v>735</v>
      </c>
      <c r="D16" s="125" t="s">
        <v>736</v>
      </c>
      <c r="E16" s="126" t="s">
        <v>645</v>
      </c>
      <c r="F16" s="125"/>
      <c r="G16" s="126" t="s">
        <v>718</v>
      </c>
      <c r="H16" s="148"/>
      <c r="I16" s="126"/>
      <c r="J16" s="125"/>
      <c r="K16" s="125"/>
      <c r="L16" s="257">
        <v>2200</v>
      </c>
      <c r="M16" s="243"/>
      <c r="N16" s="243"/>
      <c r="O16" s="243"/>
      <c r="P16" s="179"/>
      <c r="Q16" s="125"/>
      <c r="R16" s="125"/>
      <c r="S16" s="125"/>
      <c r="T16" s="125"/>
      <c r="U16" s="125"/>
      <c r="V16" s="125"/>
      <c r="W16" s="148"/>
      <c r="X16" s="148">
        <v>1</v>
      </c>
    </row>
    <row r="17" spans="2:24">
      <c r="B17" s="124"/>
      <c r="C17" s="125"/>
      <c r="D17" s="125"/>
      <c r="E17" s="126" t="s">
        <v>646</v>
      </c>
      <c r="F17" s="125"/>
      <c r="G17" s="126"/>
      <c r="H17" s="148" t="s">
        <v>499</v>
      </c>
      <c r="I17" s="126"/>
      <c r="J17" s="125"/>
      <c r="K17" s="125"/>
      <c r="L17" s="127"/>
      <c r="M17" s="243"/>
      <c r="N17" s="243"/>
      <c r="O17" s="243"/>
      <c r="P17" s="179">
        <v>1</v>
      </c>
      <c r="Q17" s="125"/>
      <c r="R17" s="125"/>
      <c r="S17" s="125"/>
      <c r="T17" s="125"/>
      <c r="U17" s="125"/>
      <c r="V17" s="125"/>
      <c r="W17" s="125"/>
      <c r="X17" s="125"/>
    </row>
    <row r="18" spans="2:24">
      <c r="B18" s="124"/>
      <c r="C18" s="125"/>
      <c r="D18" s="125"/>
      <c r="E18" s="126" t="s">
        <v>647</v>
      </c>
      <c r="F18" s="125"/>
      <c r="G18" s="126"/>
      <c r="H18" s="126"/>
      <c r="I18" s="126"/>
      <c r="J18" s="125"/>
      <c r="K18" s="125"/>
      <c r="L18" s="127"/>
      <c r="M18" s="243"/>
      <c r="N18" s="243"/>
      <c r="O18" s="243"/>
      <c r="P18" s="128"/>
      <c r="Q18" s="125"/>
      <c r="R18" s="125"/>
      <c r="S18" s="125"/>
      <c r="T18" s="125"/>
      <c r="U18" s="125"/>
      <c r="V18" s="125"/>
      <c r="W18" s="125"/>
      <c r="X18" s="125"/>
    </row>
    <row r="22" spans="2:24">
      <c r="B22" s="235" t="s">
        <v>36</v>
      </c>
      <c r="C22" s="236"/>
      <c r="D22" s="236"/>
      <c r="E22" s="236"/>
      <c r="F22" s="5"/>
      <c r="G22" s="5"/>
      <c r="H22" s="5"/>
      <c r="I22" s="5"/>
    </row>
    <row r="23" spans="2:24">
      <c r="B23" s="237" t="s">
        <v>37</v>
      </c>
      <c r="C23" s="237" t="s">
        <v>38</v>
      </c>
      <c r="D23" s="237" t="s">
        <v>39</v>
      </c>
      <c r="E23" s="237" t="s">
        <v>40</v>
      </c>
      <c r="F23" s="238" t="s">
        <v>560</v>
      </c>
      <c r="G23" s="238" t="s">
        <v>561</v>
      </c>
      <c r="H23" s="238" t="s">
        <v>562</v>
      </c>
      <c r="I23" s="238" t="s">
        <v>563</v>
      </c>
    </row>
    <row r="24" spans="2:24">
      <c r="B24" s="247" t="s">
        <v>603</v>
      </c>
      <c r="C24" s="47" t="s">
        <v>710</v>
      </c>
      <c r="D24" s="47" t="s">
        <v>711</v>
      </c>
      <c r="E24" s="240" t="s">
        <v>41</v>
      </c>
      <c r="F24" s="20" t="s">
        <v>108</v>
      </c>
      <c r="G24" s="20" t="s">
        <v>625</v>
      </c>
      <c r="H24" s="20"/>
      <c r="I24" s="20"/>
    </row>
    <row r="25" spans="2:24">
      <c r="B25" s="247"/>
      <c r="C25" s="47" t="s">
        <v>748</v>
      </c>
      <c r="D25" s="47" t="s">
        <v>751</v>
      </c>
      <c r="E25" s="240" t="s">
        <v>41</v>
      </c>
      <c r="F25" s="20"/>
      <c r="G25" s="20" t="s">
        <v>625</v>
      </c>
      <c r="H25" s="20"/>
      <c r="I25" s="20"/>
    </row>
    <row r="35" spans="2:9">
      <c r="B35" s="15" t="s">
        <v>526</v>
      </c>
    </row>
    <row r="36" spans="2:9">
      <c r="B36" s="35" t="s">
        <v>94</v>
      </c>
      <c r="C36" s="36" t="s">
        <v>555</v>
      </c>
      <c r="D36" s="36" t="s">
        <v>556</v>
      </c>
      <c r="E36" s="36" t="s">
        <v>527</v>
      </c>
      <c r="F36" s="36" t="s">
        <v>528</v>
      </c>
      <c r="G36" s="36" t="s">
        <v>529</v>
      </c>
      <c r="H36" s="36" t="s">
        <v>530</v>
      </c>
      <c r="I36" s="37" t="s">
        <v>531</v>
      </c>
    </row>
    <row r="37" spans="2:9">
      <c r="B37" s="24" t="s">
        <v>505</v>
      </c>
      <c r="C37" s="24" t="s">
        <v>752</v>
      </c>
      <c r="D37" s="24" t="s">
        <v>753</v>
      </c>
      <c r="E37" s="24" t="s">
        <v>41</v>
      </c>
      <c r="F37" s="24" t="s">
        <v>532</v>
      </c>
      <c r="G37" s="24" t="s">
        <v>625</v>
      </c>
      <c r="H37" s="24"/>
      <c r="I37" s="24" t="s">
        <v>533</v>
      </c>
    </row>
    <row r="38" spans="2:9">
      <c r="B38" s="24" t="s">
        <v>505</v>
      </c>
      <c r="C38" s="24" t="s">
        <v>746</v>
      </c>
      <c r="D38" s="24" t="s">
        <v>747</v>
      </c>
      <c r="E38" s="24" t="s">
        <v>41</v>
      </c>
      <c r="F38" s="24" t="s">
        <v>532</v>
      </c>
      <c r="G38" s="24" t="s">
        <v>625</v>
      </c>
      <c r="H38" s="24"/>
      <c r="I38" s="24" t="s">
        <v>533</v>
      </c>
    </row>
    <row r="39" spans="2:9">
      <c r="B39" s="24" t="s">
        <v>505</v>
      </c>
      <c r="C39" s="24" t="s">
        <v>728</v>
      </c>
      <c r="D39" s="24" t="s">
        <v>737</v>
      </c>
      <c r="E39" s="24" t="s">
        <v>41</v>
      </c>
      <c r="F39" s="24" t="s">
        <v>532</v>
      </c>
      <c r="G39" s="24" t="s">
        <v>625</v>
      </c>
      <c r="H39" s="24"/>
      <c r="I39" s="24" t="s">
        <v>126</v>
      </c>
    </row>
    <row r="40" spans="2:9">
      <c r="B40" s="24" t="s">
        <v>505</v>
      </c>
      <c r="C40" s="24" t="s">
        <v>732</v>
      </c>
      <c r="D40" s="24" t="s">
        <v>738</v>
      </c>
      <c r="E40" s="24" t="s">
        <v>41</v>
      </c>
      <c r="F40" s="24" t="s">
        <v>532</v>
      </c>
      <c r="G40" s="24" t="s">
        <v>625</v>
      </c>
      <c r="H40" s="24"/>
      <c r="I40" s="24" t="s">
        <v>126</v>
      </c>
    </row>
    <row r="41" spans="2:9">
      <c r="B41" s="24" t="s">
        <v>505</v>
      </c>
      <c r="C41" s="24" t="s">
        <v>734</v>
      </c>
      <c r="D41" s="24" t="s">
        <v>843</v>
      </c>
      <c r="E41" s="24" t="s">
        <v>41</v>
      </c>
      <c r="F41" s="24" t="s">
        <v>532</v>
      </c>
      <c r="G41" s="24" t="s">
        <v>625</v>
      </c>
      <c r="H41" s="24"/>
      <c r="I41" s="24" t="s">
        <v>533</v>
      </c>
    </row>
    <row r="42" spans="2:9">
      <c r="B42" s="24" t="s">
        <v>468</v>
      </c>
      <c r="C42" s="24" t="s">
        <v>735</v>
      </c>
      <c r="D42" s="24" t="s">
        <v>736</v>
      </c>
      <c r="E42" s="24" t="s">
        <v>41</v>
      </c>
      <c r="F42" s="24" t="s">
        <v>534</v>
      </c>
      <c r="G42" s="24" t="s">
        <v>250</v>
      </c>
      <c r="H42" s="24"/>
      <c r="I42" s="24" t="s">
        <v>533</v>
      </c>
    </row>
    <row r="43" spans="2:9">
      <c r="B43" s="24" t="s">
        <v>468</v>
      </c>
      <c r="C43" s="24" t="s">
        <v>749</v>
      </c>
      <c r="D43" s="24" t="s">
        <v>750</v>
      </c>
      <c r="E43" s="24" t="s">
        <v>41</v>
      </c>
      <c r="F43" s="24" t="s">
        <v>534</v>
      </c>
      <c r="G43" s="24" t="s">
        <v>250</v>
      </c>
      <c r="H43" s="24"/>
      <c r="I43" s="24" t="s">
        <v>533</v>
      </c>
    </row>
  </sheetData>
  <phoneticPr fontId="3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3:X29"/>
  <sheetViews>
    <sheetView topLeftCell="B1" zoomScale="90" workbookViewId="0">
      <selection activeCell="B1" sqref="B1"/>
    </sheetView>
  </sheetViews>
  <sheetFormatPr defaultRowHeight="12.75"/>
  <cols>
    <col min="3" max="3" width="14.5703125" customWidth="1"/>
    <col min="4" max="4" width="27.7109375" customWidth="1"/>
  </cols>
  <sheetData>
    <row r="3" spans="2:24" ht="18">
      <c r="C3" s="38" t="s">
        <v>815</v>
      </c>
      <c r="D3" s="39"/>
      <c r="E3" s="40"/>
      <c r="F3" s="40"/>
      <c r="G3" s="40"/>
      <c r="I3" s="22" t="s">
        <v>516</v>
      </c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</row>
    <row r="4" spans="2:24" ht="26.25" thickBot="1">
      <c r="B4" s="28" t="s">
        <v>33</v>
      </c>
      <c r="C4" s="41" t="s">
        <v>555</v>
      </c>
      <c r="D4" s="41" t="s">
        <v>556</v>
      </c>
      <c r="E4" s="41" t="s">
        <v>557</v>
      </c>
      <c r="F4" s="41" t="s">
        <v>153</v>
      </c>
      <c r="G4" s="41" t="s">
        <v>569</v>
      </c>
      <c r="H4" s="41" t="s">
        <v>38</v>
      </c>
      <c r="I4" s="41" t="s">
        <v>385</v>
      </c>
      <c r="J4" s="114" t="s">
        <v>97</v>
      </c>
      <c r="K4" s="41">
        <v>2020</v>
      </c>
      <c r="L4" s="41">
        <v>2030</v>
      </c>
      <c r="M4" s="41">
        <v>2040</v>
      </c>
      <c r="N4" s="41">
        <v>2050</v>
      </c>
      <c r="O4" s="113" t="s">
        <v>678</v>
      </c>
      <c r="P4" s="41" t="s">
        <v>816</v>
      </c>
      <c r="Q4" s="41" t="s">
        <v>96</v>
      </c>
      <c r="R4" s="41" t="s">
        <v>258</v>
      </c>
      <c r="S4" s="41" t="s">
        <v>817</v>
      </c>
      <c r="T4" s="41" t="s">
        <v>139</v>
      </c>
      <c r="U4" s="42" t="s">
        <v>98</v>
      </c>
      <c r="V4" s="41" t="s">
        <v>99</v>
      </c>
      <c r="W4" s="41" t="s">
        <v>100</v>
      </c>
      <c r="X4" s="41" t="s">
        <v>818</v>
      </c>
    </row>
    <row r="5" spans="2:24">
      <c r="B5" s="242" t="s">
        <v>792</v>
      </c>
      <c r="C5" s="19" t="s">
        <v>819</v>
      </c>
      <c r="D5" s="19" t="s">
        <v>820</v>
      </c>
      <c r="E5" s="19" t="s">
        <v>32</v>
      </c>
      <c r="F5" s="19"/>
      <c r="G5" s="19" t="s">
        <v>32</v>
      </c>
      <c r="H5" s="19"/>
      <c r="I5" s="19" t="s">
        <v>98</v>
      </c>
      <c r="J5" s="393">
        <v>2025</v>
      </c>
      <c r="K5" s="19">
        <v>1400</v>
      </c>
      <c r="L5" s="19"/>
      <c r="M5" s="19"/>
      <c r="N5" s="19"/>
      <c r="O5" s="179">
        <v>0.8</v>
      </c>
      <c r="P5" s="141"/>
      <c r="Q5" s="141">
        <v>31.536000000000001</v>
      </c>
      <c r="R5" s="19"/>
      <c r="S5" s="141">
        <v>0.95</v>
      </c>
      <c r="T5" s="141">
        <v>50</v>
      </c>
      <c r="U5" s="141">
        <v>1200</v>
      </c>
      <c r="V5" s="141">
        <v>10</v>
      </c>
      <c r="W5" s="19"/>
      <c r="X5" s="19"/>
    </row>
    <row r="6" spans="2:24">
      <c r="B6" s="242"/>
      <c r="C6" s="19"/>
      <c r="D6" s="19"/>
      <c r="E6" s="19"/>
      <c r="F6" s="19"/>
      <c r="G6" s="19"/>
      <c r="H6" s="141" t="s">
        <v>198</v>
      </c>
      <c r="I6" s="19" t="s">
        <v>829</v>
      </c>
      <c r="J6" s="393"/>
      <c r="K6" s="131"/>
      <c r="L6" s="131"/>
      <c r="M6" s="131"/>
      <c r="N6" s="131"/>
      <c r="O6" s="179"/>
      <c r="P6" s="141"/>
      <c r="Q6" s="141"/>
      <c r="R6" s="19"/>
      <c r="S6" s="245">
        <v>0.41666666666666669</v>
      </c>
      <c r="T6" s="141"/>
      <c r="U6" s="141"/>
      <c r="V6" s="141"/>
      <c r="W6" s="19"/>
      <c r="X6" s="19"/>
    </row>
    <row r="7" spans="2:24">
      <c r="B7" s="242" t="s">
        <v>792</v>
      </c>
      <c r="C7" s="19" t="s">
        <v>821</v>
      </c>
      <c r="D7" s="19" t="s">
        <v>822</v>
      </c>
      <c r="E7" s="19" t="s">
        <v>32</v>
      </c>
      <c r="F7" s="19"/>
      <c r="G7" s="19" t="s">
        <v>32</v>
      </c>
      <c r="H7" s="141"/>
      <c r="I7" s="19" t="s">
        <v>98</v>
      </c>
      <c r="J7" s="393">
        <v>2025</v>
      </c>
      <c r="K7" s="19">
        <v>1150</v>
      </c>
      <c r="L7" s="19">
        <v>1060</v>
      </c>
      <c r="M7" s="19">
        <v>980</v>
      </c>
      <c r="N7" s="19">
        <v>900</v>
      </c>
      <c r="O7" s="179"/>
      <c r="P7" s="141"/>
      <c r="Q7" s="141">
        <v>31.536000000000001</v>
      </c>
      <c r="R7" s="19"/>
      <c r="S7" s="141">
        <v>0.95</v>
      </c>
      <c r="T7" s="141">
        <v>40</v>
      </c>
      <c r="U7" s="19"/>
      <c r="V7" s="258">
        <f>L7*0.04</f>
        <v>42.4</v>
      </c>
      <c r="W7" s="19"/>
      <c r="X7" s="19"/>
    </row>
    <row r="8" spans="2:24">
      <c r="B8" s="19"/>
      <c r="C8" s="19"/>
      <c r="D8" s="19"/>
      <c r="E8" s="19"/>
      <c r="F8" s="19"/>
      <c r="G8" s="19"/>
      <c r="H8" s="141" t="s">
        <v>198</v>
      </c>
      <c r="I8" s="19" t="s">
        <v>678</v>
      </c>
      <c r="J8" s="393"/>
      <c r="K8" s="19">
        <v>0.6</v>
      </c>
      <c r="L8" s="19">
        <v>0.7</v>
      </c>
      <c r="M8" s="131">
        <v>0.70992957397195389</v>
      </c>
      <c r="N8" s="19">
        <v>0.72</v>
      </c>
      <c r="O8" s="179"/>
      <c r="P8" s="141"/>
      <c r="Q8" s="19"/>
      <c r="R8" s="19"/>
      <c r="S8" s="245">
        <v>0.41666666666666669</v>
      </c>
      <c r="T8" s="19"/>
      <c r="U8" s="19"/>
      <c r="V8" s="19"/>
      <c r="W8" s="19"/>
      <c r="X8" s="19"/>
    </row>
    <row r="9" spans="2:24">
      <c r="B9" s="242" t="s">
        <v>792</v>
      </c>
      <c r="C9" s="19" t="s">
        <v>823</v>
      </c>
      <c r="D9" s="19" t="s">
        <v>824</v>
      </c>
      <c r="E9" s="19" t="s">
        <v>368</v>
      </c>
      <c r="F9" s="19"/>
      <c r="G9" s="34"/>
      <c r="H9" s="141"/>
      <c r="I9" s="19" t="s">
        <v>98</v>
      </c>
      <c r="J9" s="393">
        <v>2020</v>
      </c>
      <c r="K9" s="72">
        <v>402</v>
      </c>
      <c r="L9" s="72">
        <v>243</v>
      </c>
      <c r="M9" s="72">
        <v>218</v>
      </c>
      <c r="N9" s="72">
        <v>204.92</v>
      </c>
      <c r="O9" s="179"/>
      <c r="P9" s="141">
        <v>0.7</v>
      </c>
      <c r="Q9" s="141">
        <v>3.5999999999999999E-3</v>
      </c>
      <c r="R9" s="19"/>
      <c r="S9" s="245"/>
      <c r="T9" s="141">
        <v>30</v>
      </c>
      <c r="U9" s="19"/>
      <c r="V9" s="258">
        <v>0.872</v>
      </c>
      <c r="W9" s="19"/>
      <c r="X9" s="19"/>
    </row>
    <row r="10" spans="2:24">
      <c r="B10" s="19"/>
      <c r="C10" s="19"/>
      <c r="D10" s="19"/>
      <c r="E10" s="19"/>
      <c r="F10" s="19"/>
      <c r="G10" s="34"/>
      <c r="H10" s="19"/>
      <c r="I10" s="19" t="s">
        <v>678</v>
      </c>
      <c r="J10" s="393"/>
      <c r="K10" s="19">
        <v>0.91</v>
      </c>
      <c r="L10" s="19">
        <v>0.92</v>
      </c>
      <c r="M10" s="19">
        <v>0.92</v>
      </c>
      <c r="N10" s="19">
        <v>0.92</v>
      </c>
      <c r="O10" s="179"/>
      <c r="P10" s="141"/>
      <c r="Q10" s="19"/>
      <c r="R10" s="19"/>
      <c r="S10" s="19"/>
      <c r="T10" s="19"/>
      <c r="U10" s="19"/>
      <c r="V10" s="19"/>
      <c r="W10" s="19"/>
      <c r="X10" s="19"/>
    </row>
    <row r="11" spans="2:24">
      <c r="B11" s="242" t="s">
        <v>792</v>
      </c>
      <c r="C11" s="19" t="s">
        <v>825</v>
      </c>
      <c r="D11" s="19" t="s">
        <v>826</v>
      </c>
      <c r="E11" s="19" t="s">
        <v>368</v>
      </c>
      <c r="F11" s="19"/>
      <c r="G11" s="34"/>
      <c r="H11" s="19"/>
      <c r="I11" s="19" t="s">
        <v>98</v>
      </c>
      <c r="J11" s="393">
        <v>2020</v>
      </c>
      <c r="K11" s="19">
        <v>370</v>
      </c>
      <c r="L11" s="19">
        <v>230</v>
      </c>
      <c r="M11" s="19">
        <v>210</v>
      </c>
      <c r="N11" s="19">
        <v>200</v>
      </c>
      <c r="O11" s="179"/>
      <c r="P11" s="141"/>
      <c r="Q11" s="141">
        <v>3.5999999999999999E-3</v>
      </c>
      <c r="R11" s="19"/>
      <c r="S11" s="19"/>
      <c r="T11" s="141">
        <v>25</v>
      </c>
      <c r="U11" s="19"/>
      <c r="V11" s="258">
        <v>3.15</v>
      </c>
      <c r="W11" s="19"/>
      <c r="X11" s="19"/>
    </row>
    <row r="12" spans="2:24">
      <c r="B12" s="19"/>
      <c r="C12" s="19"/>
      <c r="D12" s="19"/>
      <c r="E12" s="19"/>
      <c r="F12" s="19"/>
      <c r="G12" s="34"/>
      <c r="H12" s="19"/>
      <c r="I12" s="19" t="s">
        <v>678</v>
      </c>
      <c r="J12" s="393"/>
      <c r="K12" s="19">
        <v>0.83</v>
      </c>
      <c r="L12" s="19">
        <v>0.85</v>
      </c>
      <c r="M12" s="19">
        <v>0.86</v>
      </c>
      <c r="N12" s="19">
        <v>0.87</v>
      </c>
      <c r="O12" s="179"/>
      <c r="P12" s="141"/>
      <c r="Q12" s="19"/>
      <c r="R12" s="19"/>
      <c r="S12" s="19"/>
      <c r="T12" s="19"/>
      <c r="U12" s="19"/>
      <c r="V12" s="19"/>
      <c r="W12" s="19"/>
      <c r="X12" s="19"/>
    </row>
    <row r="13" spans="2:24">
      <c r="B13" s="242" t="s">
        <v>792</v>
      </c>
      <c r="C13" s="19" t="s">
        <v>830</v>
      </c>
      <c r="D13" s="19" t="s">
        <v>827</v>
      </c>
      <c r="E13" s="19" t="s">
        <v>493</v>
      </c>
      <c r="F13" s="19"/>
      <c r="G13" s="19" t="s">
        <v>748</v>
      </c>
      <c r="H13" s="19"/>
      <c r="I13" s="19" t="s">
        <v>98</v>
      </c>
      <c r="J13" s="393">
        <v>2025</v>
      </c>
      <c r="K13" s="72">
        <v>579.55555555555566</v>
      </c>
      <c r="L13" s="72">
        <v>544.44444444444434</v>
      </c>
      <c r="M13" s="72">
        <v>505.55555555555554</v>
      </c>
      <c r="N13" s="72">
        <v>466.66666666666669</v>
      </c>
      <c r="O13" s="392">
        <v>0.74</v>
      </c>
      <c r="P13" s="141">
        <v>0.2</v>
      </c>
      <c r="Q13" s="141">
        <v>3.6</v>
      </c>
      <c r="R13" s="19"/>
      <c r="S13" s="19"/>
      <c r="T13" s="141">
        <v>25</v>
      </c>
      <c r="U13" s="19"/>
      <c r="V13" s="141">
        <v>3</v>
      </c>
      <c r="W13" s="19"/>
      <c r="X13" s="19"/>
    </row>
    <row r="14" spans="2:24">
      <c r="B14" s="19"/>
      <c r="C14" s="19"/>
      <c r="D14" s="19"/>
      <c r="E14" s="19"/>
      <c r="F14" s="19"/>
      <c r="G14" s="19"/>
      <c r="H14" s="19"/>
      <c r="I14" s="19"/>
      <c r="J14" s="277"/>
      <c r="K14" s="19"/>
      <c r="L14" s="19"/>
      <c r="M14" s="19"/>
      <c r="N14" s="19"/>
      <c r="O14" s="179"/>
      <c r="P14" s="141"/>
      <c r="Q14" s="19"/>
      <c r="R14" s="19"/>
      <c r="S14" s="19"/>
      <c r="T14" s="19"/>
      <c r="U14" s="19"/>
      <c r="V14" s="19"/>
      <c r="W14" s="19"/>
      <c r="X14" s="19"/>
    </row>
    <row r="23" spans="2:9">
      <c r="B23" s="15" t="s">
        <v>526</v>
      </c>
    </row>
    <row r="24" spans="2:9">
      <c r="B24" s="35" t="s">
        <v>94</v>
      </c>
      <c r="C24" s="36" t="s">
        <v>555</v>
      </c>
      <c r="D24" s="36" t="s">
        <v>556</v>
      </c>
      <c r="E24" s="36" t="s">
        <v>527</v>
      </c>
      <c r="F24" s="36" t="s">
        <v>528</v>
      </c>
      <c r="G24" s="36" t="s">
        <v>529</v>
      </c>
      <c r="H24" s="36" t="s">
        <v>530</v>
      </c>
      <c r="I24" s="37" t="s">
        <v>531</v>
      </c>
    </row>
    <row r="25" spans="2:9">
      <c r="B25" s="19" t="s">
        <v>828</v>
      </c>
      <c r="C25" s="19" t="s">
        <v>819</v>
      </c>
      <c r="D25" s="19" t="s">
        <v>820</v>
      </c>
      <c r="E25" s="19" t="s">
        <v>41</v>
      </c>
      <c r="F25" s="19" t="s">
        <v>532</v>
      </c>
      <c r="G25" s="19" t="s">
        <v>564</v>
      </c>
      <c r="H25" s="19" t="s">
        <v>32</v>
      </c>
      <c r="I25" s="19" t="s">
        <v>533</v>
      </c>
    </row>
    <row r="26" spans="2:9">
      <c r="B26" s="19" t="s">
        <v>828</v>
      </c>
      <c r="C26" s="19" t="s">
        <v>821</v>
      </c>
      <c r="D26" s="19" t="s">
        <v>822</v>
      </c>
      <c r="E26" s="19" t="s">
        <v>41</v>
      </c>
      <c r="F26" s="19" t="s">
        <v>532</v>
      </c>
      <c r="G26" s="19" t="s">
        <v>564</v>
      </c>
      <c r="H26" s="19" t="s">
        <v>32</v>
      </c>
      <c r="I26" s="19" t="s">
        <v>533</v>
      </c>
    </row>
    <row r="27" spans="2:9">
      <c r="B27" s="19" t="s">
        <v>719</v>
      </c>
      <c r="C27" s="19" t="s">
        <v>823</v>
      </c>
      <c r="D27" s="19" t="s">
        <v>824</v>
      </c>
      <c r="E27" s="19" t="s">
        <v>41</v>
      </c>
      <c r="F27" s="19" t="s">
        <v>844</v>
      </c>
      <c r="G27" s="19" t="s">
        <v>564</v>
      </c>
      <c r="H27" s="19" t="s">
        <v>368</v>
      </c>
      <c r="I27" s="19" t="s">
        <v>533</v>
      </c>
    </row>
    <row r="28" spans="2:9">
      <c r="B28" s="19" t="s">
        <v>719</v>
      </c>
      <c r="C28" s="19" t="s">
        <v>825</v>
      </c>
      <c r="D28" s="19" t="s">
        <v>826</v>
      </c>
      <c r="E28" s="19" t="s">
        <v>41</v>
      </c>
      <c r="F28" s="19" t="s">
        <v>844</v>
      </c>
      <c r="G28" s="19" t="s">
        <v>564</v>
      </c>
      <c r="H28" s="19" t="s">
        <v>368</v>
      </c>
      <c r="I28" s="19" t="s">
        <v>533</v>
      </c>
    </row>
    <row r="29" spans="2:9">
      <c r="B29" s="19" t="s">
        <v>828</v>
      </c>
      <c r="C29" s="19" t="s">
        <v>830</v>
      </c>
      <c r="D29" s="19" t="s">
        <v>827</v>
      </c>
      <c r="E29" s="19" t="s">
        <v>41</v>
      </c>
      <c r="F29" s="19" t="s">
        <v>844</v>
      </c>
      <c r="G29" s="19" t="s">
        <v>625</v>
      </c>
      <c r="H29" s="19" t="s">
        <v>603</v>
      </c>
      <c r="I29" s="19" t="s">
        <v>533</v>
      </c>
    </row>
  </sheetData>
  <phoneticPr fontId="3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AS170"/>
  <sheetViews>
    <sheetView zoomScale="75" workbookViewId="0">
      <pane ySplit="4" topLeftCell="A5" activePane="bottomLeft" state="frozen"/>
      <selection pane="bottomLeft" activeCell="B1" sqref="B1"/>
    </sheetView>
  </sheetViews>
  <sheetFormatPr defaultRowHeight="18"/>
  <cols>
    <col min="1" max="1" width="9.85546875" style="9" customWidth="1"/>
    <col min="2" max="2" width="10" style="9" customWidth="1"/>
    <col min="3" max="3" width="16.7109375" style="9" customWidth="1"/>
    <col min="4" max="4" width="40.28515625" style="9" customWidth="1"/>
    <col min="5" max="5" width="11.85546875" style="9" customWidth="1"/>
    <col min="6" max="6" width="13" style="9" customWidth="1"/>
    <col min="7" max="7" width="13.140625" style="9" customWidth="1"/>
    <col min="8" max="8" width="15" style="9" customWidth="1"/>
    <col min="9" max="9" width="8.42578125" style="5" customWidth="1"/>
    <col min="10" max="10" width="6" style="5" customWidth="1"/>
    <col min="11" max="13" width="9.28515625" style="9" bestFit="1" customWidth="1"/>
    <col min="14" max="15" width="6.5703125" style="9" customWidth="1"/>
    <col min="16" max="16" width="9.140625" style="9"/>
    <col min="17" max="17" width="9.28515625" style="9" bestFit="1" customWidth="1"/>
    <col min="18" max="18" width="8.7109375" style="9" customWidth="1"/>
    <col min="19" max="19" width="8.5703125" style="9" customWidth="1"/>
    <col min="20" max="20" width="8.7109375" style="9" customWidth="1"/>
    <col min="21" max="21" width="6.42578125" style="9" customWidth="1"/>
    <col min="22" max="22" width="8.7109375" style="9" customWidth="1"/>
    <col min="23" max="23" width="10.42578125" style="9" bestFit="1" customWidth="1"/>
    <col min="24" max="24" width="10.140625" style="9" customWidth="1"/>
    <col min="25" max="25" width="9.28515625" style="9" bestFit="1" customWidth="1"/>
    <col min="26" max="26" width="8.42578125" style="9" customWidth="1"/>
    <col min="27" max="27" width="11" style="9" customWidth="1"/>
    <col min="28" max="28" width="11.85546875" style="9" customWidth="1"/>
    <col min="29" max="35" width="9.140625" style="9"/>
    <col min="36" max="36" width="10.85546875" style="9" bestFit="1" customWidth="1"/>
    <col min="37" max="40" width="9.140625" style="9"/>
    <col min="41" max="41" width="11" style="9" bestFit="1" customWidth="1"/>
    <col min="42" max="16384" width="9.140625" style="9"/>
  </cols>
  <sheetData>
    <row r="1" spans="1:45" s="5" customFormat="1" ht="12.75">
      <c r="C1" s="15"/>
      <c r="D1" s="15"/>
      <c r="H1" s="15" t="s">
        <v>507</v>
      </c>
      <c r="I1" s="184">
        <v>2010</v>
      </c>
      <c r="L1" s="8"/>
      <c r="M1" s="8"/>
      <c r="N1" s="8"/>
      <c r="O1" s="12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162">
        <v>0.12</v>
      </c>
      <c r="AB1" s="8"/>
      <c r="AC1" s="8"/>
      <c r="AD1" s="8"/>
      <c r="AE1" s="8"/>
      <c r="AF1" s="8"/>
      <c r="AG1" s="8"/>
      <c r="AH1" s="8"/>
      <c r="AI1" s="8"/>
      <c r="AJ1" s="8"/>
      <c r="AP1" s="8"/>
      <c r="AQ1" s="8"/>
      <c r="AR1" s="8"/>
      <c r="AS1" s="8"/>
    </row>
    <row r="2" spans="1:45" s="5" customFormat="1" ht="12.75">
      <c r="C2" s="15"/>
      <c r="D2" s="15"/>
      <c r="I2" s="15"/>
      <c r="J2" s="15"/>
      <c r="K2" s="8"/>
      <c r="L2" s="8"/>
      <c r="M2" s="8"/>
      <c r="N2" s="8"/>
      <c r="O2" s="12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P2" s="8"/>
      <c r="AQ2" s="8"/>
      <c r="AR2" s="8"/>
      <c r="AS2" s="8"/>
    </row>
    <row r="3" spans="1:45" s="5" customFormat="1" ht="12.75">
      <c r="C3" s="15"/>
      <c r="D3" s="15"/>
      <c r="I3" s="15" t="s">
        <v>780</v>
      </c>
    </row>
    <row r="4" spans="1:45" ht="27" thickBot="1">
      <c r="A4" s="15"/>
      <c r="B4" s="13" t="s">
        <v>33</v>
      </c>
      <c r="C4" s="13" t="s">
        <v>555</v>
      </c>
      <c r="D4" s="13" t="s">
        <v>556</v>
      </c>
      <c r="E4" s="14" t="s">
        <v>557</v>
      </c>
      <c r="F4" s="14" t="s">
        <v>48</v>
      </c>
      <c r="G4" s="14" t="s">
        <v>604</v>
      </c>
      <c r="H4" s="14" t="s">
        <v>385</v>
      </c>
      <c r="I4" s="259" t="s">
        <v>386</v>
      </c>
      <c r="J4" s="82">
        <v>2010</v>
      </c>
      <c r="K4" s="82">
        <v>2030</v>
      </c>
      <c r="L4" s="82">
        <v>2050</v>
      </c>
      <c r="M4" s="82">
        <v>2100</v>
      </c>
      <c r="N4" s="185" t="s">
        <v>188</v>
      </c>
      <c r="O4" s="183" t="s">
        <v>97</v>
      </c>
      <c r="P4" s="83" t="s">
        <v>186</v>
      </c>
      <c r="Q4" s="84" t="s">
        <v>102</v>
      </c>
      <c r="R4" s="83" t="s">
        <v>139</v>
      </c>
      <c r="S4" s="84" t="s">
        <v>99</v>
      </c>
      <c r="T4" s="84" t="s">
        <v>100</v>
      </c>
      <c r="U4" s="84" t="s">
        <v>216</v>
      </c>
      <c r="V4" s="84" t="s">
        <v>142</v>
      </c>
      <c r="X4" s="85" t="s">
        <v>217</v>
      </c>
      <c r="Y4" s="85" t="s">
        <v>218</v>
      </c>
      <c r="Z4" s="85" t="s">
        <v>219</v>
      </c>
      <c r="AA4" s="85" t="s">
        <v>220</v>
      </c>
      <c r="AB4"/>
      <c r="AC4"/>
      <c r="AD4"/>
      <c r="AE4"/>
      <c r="AF4"/>
      <c r="AG4"/>
      <c r="AH4"/>
    </row>
    <row r="5" spans="1:45" s="5" customFormat="1" ht="12.75">
      <c r="A5" s="16"/>
      <c r="B5" s="326"/>
      <c r="C5" s="138" t="s">
        <v>544</v>
      </c>
      <c r="D5" s="138" t="s">
        <v>554</v>
      </c>
      <c r="E5" s="138" t="s">
        <v>177</v>
      </c>
      <c r="F5" s="138" t="s">
        <v>179</v>
      </c>
      <c r="G5" s="138"/>
      <c r="H5" s="144" t="s">
        <v>98</v>
      </c>
      <c r="I5" s="260"/>
      <c r="J5" s="327">
        <v>0.98580000000000001</v>
      </c>
      <c r="K5" s="328"/>
      <c r="L5" s="328"/>
      <c r="M5" s="328"/>
      <c r="N5" s="329"/>
      <c r="O5" s="330">
        <f ca="1">BaseYear+6</f>
        <v>2016</v>
      </c>
      <c r="P5" s="143">
        <f>3.6*8.76/1000</f>
        <v>3.1536000000000002E-2</v>
      </c>
      <c r="Q5" s="143">
        <v>0.75</v>
      </c>
      <c r="R5" s="143">
        <v>25</v>
      </c>
      <c r="S5" s="143">
        <v>6.2E-2</v>
      </c>
      <c r="T5" s="161">
        <v>0.52833494390275915</v>
      </c>
      <c r="U5" s="143">
        <v>0.12</v>
      </c>
      <c r="V5" s="186">
        <v>1</v>
      </c>
      <c r="X5" s="86">
        <f>J6/((J7*$U5+1)/(1+J7))</f>
        <v>0.84939759036144591</v>
      </c>
      <c r="Y5" s="86">
        <f>K6/((K7*$U5+1)/(1+K7))</f>
        <v>0.8706521739130435</v>
      </c>
      <c r="Z5" s="86">
        <f>L6/((L7*$U5+1)/(1+L7))</f>
        <v>0.88796133567662561</v>
      </c>
      <c r="AA5" s="86">
        <f>M6/((M7*$U5+1)/(1+M7))</f>
        <v>0.90901060070671369</v>
      </c>
      <c r="AC5"/>
      <c r="AD5"/>
      <c r="AE5"/>
      <c r="AF5"/>
      <c r="AG5"/>
      <c r="AH5"/>
      <c r="AK5" s="8"/>
      <c r="AL5" s="8"/>
    </row>
    <row r="6" spans="1:45" s="5" customFormat="1" ht="12.75">
      <c r="A6" s="15"/>
      <c r="B6" s="331"/>
      <c r="C6" s="138"/>
      <c r="D6" s="138"/>
      <c r="E6" s="137"/>
      <c r="F6" s="138" t="s">
        <v>517</v>
      </c>
      <c r="G6" s="138" t="s">
        <v>603</v>
      </c>
      <c r="H6" s="144" t="s">
        <v>189</v>
      </c>
      <c r="I6" s="260"/>
      <c r="J6" s="138">
        <v>0.42</v>
      </c>
      <c r="K6" s="138">
        <v>0.44500000000000001</v>
      </c>
      <c r="L6" s="138">
        <v>0.47</v>
      </c>
      <c r="M6" s="138">
        <v>0.49</v>
      </c>
      <c r="N6" s="329"/>
      <c r="O6" s="145"/>
      <c r="P6" s="143"/>
      <c r="Q6" s="143"/>
      <c r="R6" s="143"/>
      <c r="S6" s="21"/>
      <c r="T6" s="143"/>
      <c r="U6" s="143"/>
      <c r="V6" s="186"/>
      <c r="X6" s="87"/>
      <c r="Y6" s="87"/>
      <c r="Z6" s="50"/>
      <c r="AA6" s="50"/>
      <c r="AC6"/>
      <c r="AD6"/>
      <c r="AE6"/>
      <c r="AF6"/>
      <c r="AG6"/>
      <c r="AH6"/>
      <c r="AK6" s="8"/>
      <c r="AL6" s="8"/>
    </row>
    <row r="7" spans="1:45" s="5" customFormat="1" ht="12.75">
      <c r="A7" s="15"/>
      <c r="B7" s="331"/>
      <c r="C7" s="138"/>
      <c r="D7" s="138"/>
      <c r="E7" s="137"/>
      <c r="F7" s="137"/>
      <c r="G7" s="138"/>
      <c r="H7" s="144" t="s">
        <v>387</v>
      </c>
      <c r="I7" s="261" t="s">
        <v>506</v>
      </c>
      <c r="J7" s="138">
        <v>1.35</v>
      </c>
      <c r="K7" s="138">
        <v>1.25</v>
      </c>
      <c r="L7" s="138">
        <v>1.1499999999999999</v>
      </c>
      <c r="M7" s="138">
        <v>1.1000000000000001</v>
      </c>
      <c r="N7" s="329"/>
      <c r="O7" s="145"/>
      <c r="P7" s="143"/>
      <c r="Q7" s="143"/>
      <c r="R7" s="143"/>
      <c r="S7" s="21"/>
      <c r="T7" s="143"/>
      <c r="U7" s="143"/>
      <c r="V7" s="186"/>
      <c r="X7" s="87"/>
      <c r="Y7" s="87"/>
      <c r="Z7" s="50"/>
      <c r="AA7" s="50"/>
      <c r="AC7"/>
      <c r="AD7"/>
      <c r="AE7"/>
      <c r="AF7"/>
      <c r="AG7"/>
      <c r="AH7"/>
      <c r="AK7" s="8"/>
      <c r="AL7" s="8"/>
    </row>
    <row r="8" spans="1:45">
      <c r="B8" s="182"/>
      <c r="C8" s="182"/>
      <c r="D8" s="182"/>
      <c r="E8" s="182"/>
      <c r="F8" s="137" t="str">
        <f>F6</f>
        <v>INDHET</v>
      </c>
      <c r="G8" s="138"/>
      <c r="H8" s="143" t="s">
        <v>118</v>
      </c>
      <c r="I8" s="261" t="s">
        <v>506</v>
      </c>
      <c r="J8" s="165">
        <f>J7*J6/(1+J7*MAX(0,$U5))</f>
        <v>0.48795180722891573</v>
      </c>
      <c r="K8" s="165">
        <f>K7*K6/(1+K7*MAX(0,$U5))</f>
        <v>0.48369565217391308</v>
      </c>
      <c r="L8" s="165">
        <f>L7*L6/(1+L7*MAX(0,$U5))</f>
        <v>0.47495606326889284</v>
      </c>
      <c r="M8" s="165">
        <f>M7*M6/(1+M7*MAX(0,$U5))</f>
        <v>0.47614840989399293</v>
      </c>
      <c r="N8" s="332"/>
      <c r="O8" s="333"/>
      <c r="P8" s="182"/>
      <c r="Q8" s="182"/>
      <c r="R8" s="182"/>
      <c r="S8" s="182"/>
      <c r="T8" s="182"/>
      <c r="U8" s="182"/>
      <c r="V8" s="334"/>
      <c r="AB8"/>
      <c r="AC8"/>
      <c r="AD8"/>
      <c r="AE8"/>
      <c r="AF8"/>
      <c r="AG8"/>
      <c r="AH8"/>
    </row>
    <row r="9" spans="1:45" s="5" customFormat="1" ht="12.75">
      <c r="A9" s="16"/>
      <c r="B9" s="326"/>
      <c r="C9" s="138" t="s">
        <v>535</v>
      </c>
      <c r="D9" s="138" t="s">
        <v>545</v>
      </c>
      <c r="E9" s="138" t="s">
        <v>178</v>
      </c>
      <c r="F9" s="138" t="s">
        <v>179</v>
      </c>
      <c r="G9" s="138"/>
      <c r="H9" s="144" t="s">
        <v>98</v>
      </c>
      <c r="I9" s="260"/>
      <c r="J9" s="145">
        <v>1.8104</v>
      </c>
      <c r="K9" s="138"/>
      <c r="L9" s="138"/>
      <c r="M9" s="138"/>
      <c r="N9" s="329"/>
      <c r="O9" s="145">
        <f ca="1">BaseYear+6</f>
        <v>2016</v>
      </c>
      <c r="P9" s="143">
        <f>3.6*8.76/1000</f>
        <v>3.1536000000000002E-2</v>
      </c>
      <c r="Q9" s="143">
        <v>0.75</v>
      </c>
      <c r="R9" s="138">
        <v>25</v>
      </c>
      <c r="S9" s="138">
        <v>9.423999999999999E-2</v>
      </c>
      <c r="T9" s="161">
        <v>0.8805582398379318</v>
      </c>
      <c r="U9" s="143">
        <v>0.17</v>
      </c>
      <c r="V9" s="186">
        <v>1</v>
      </c>
      <c r="X9" s="86">
        <f>J10/((J11*$U9+1)/(1+J11))</f>
        <v>0.82628092469920233</v>
      </c>
      <c r="Y9" s="86">
        <f>K10/((K11*$U9+1)/(1+K11))</f>
        <v>0.83687457162440027</v>
      </c>
      <c r="Z9" s="86">
        <f>L10/((L11*$U9+1)/(1+L11))</f>
        <v>0.86463113307447925</v>
      </c>
      <c r="AA9" s="86">
        <f>M10/((M11*$U9+1)/(1+M11))</f>
        <v>0.88432835820895517</v>
      </c>
      <c r="AC9"/>
      <c r="AD9"/>
      <c r="AE9"/>
      <c r="AF9"/>
      <c r="AG9"/>
      <c r="AH9"/>
      <c r="AK9" s="8"/>
      <c r="AL9" s="8"/>
    </row>
    <row r="10" spans="1:45" s="5" customFormat="1" ht="12.75">
      <c r="A10" s="15"/>
      <c r="B10" s="331"/>
      <c r="C10" s="138"/>
      <c r="D10" s="138"/>
      <c r="E10" s="137"/>
      <c r="F10" s="138" t="s">
        <v>517</v>
      </c>
      <c r="G10" s="138" t="s">
        <v>603</v>
      </c>
      <c r="H10" s="144" t="s">
        <v>189</v>
      </c>
      <c r="I10" s="260"/>
      <c r="J10" s="138">
        <v>0.32</v>
      </c>
      <c r="K10" s="138">
        <v>0.33</v>
      </c>
      <c r="L10" s="138">
        <v>0.35499999999999998</v>
      </c>
      <c r="M10" s="169">
        <v>0.39500000000000002</v>
      </c>
      <c r="N10" s="329"/>
      <c r="O10" s="145"/>
      <c r="P10" s="143"/>
      <c r="Q10" s="143"/>
      <c r="R10" s="138"/>
      <c r="S10" s="137"/>
      <c r="T10" s="143"/>
      <c r="U10" s="143"/>
      <c r="V10" s="186"/>
      <c r="X10" s="87"/>
      <c r="Y10" s="87"/>
      <c r="Z10" s="50"/>
      <c r="AA10" s="50"/>
      <c r="AC10"/>
      <c r="AD10"/>
      <c r="AE10"/>
      <c r="AF10"/>
      <c r="AG10"/>
      <c r="AH10"/>
      <c r="AK10" s="8"/>
      <c r="AL10" s="8"/>
    </row>
    <row r="11" spans="1:45" s="5" customFormat="1" ht="12.75">
      <c r="A11" s="15"/>
      <c r="B11" s="331"/>
      <c r="C11" s="138"/>
      <c r="D11" s="138"/>
      <c r="E11" s="137"/>
      <c r="F11" s="137"/>
      <c r="G11" s="138"/>
      <c r="H11" s="144" t="s">
        <v>387</v>
      </c>
      <c r="I11" s="261" t="s">
        <v>506</v>
      </c>
      <c r="J11" s="138">
        <v>2.82</v>
      </c>
      <c r="K11" s="138">
        <v>2.7</v>
      </c>
      <c r="L11" s="138">
        <v>2.4500000000000002</v>
      </c>
      <c r="M11" s="138">
        <v>2</v>
      </c>
      <c r="N11" s="329"/>
      <c r="O11" s="145"/>
      <c r="P11" s="143"/>
      <c r="Q11" s="143"/>
      <c r="R11" s="138"/>
      <c r="S11" s="137"/>
      <c r="T11" s="143"/>
      <c r="U11" s="143"/>
      <c r="V11" s="186"/>
      <c r="X11" s="87"/>
      <c r="Y11" s="87"/>
      <c r="Z11" s="50"/>
      <c r="AA11" s="50"/>
      <c r="AC11"/>
      <c r="AD11"/>
      <c r="AE11"/>
      <c r="AF11"/>
      <c r="AG11"/>
      <c r="AH11"/>
      <c r="AK11" s="8"/>
      <c r="AL11" s="8"/>
    </row>
    <row r="12" spans="1:45" s="5" customFormat="1" ht="12.75">
      <c r="A12" s="15"/>
      <c r="B12" s="331"/>
      <c r="C12" s="138"/>
      <c r="D12" s="138"/>
      <c r="E12" s="137"/>
      <c r="F12" s="137" t="str">
        <f>F10</f>
        <v>INDHET</v>
      </c>
      <c r="G12" s="138"/>
      <c r="H12" s="143" t="s">
        <v>118</v>
      </c>
      <c r="I12" s="261" t="s">
        <v>506</v>
      </c>
      <c r="J12" s="165">
        <f>J11*J10/(1+J11*MAX(0,$U9))</f>
        <v>0.60997701770988233</v>
      </c>
      <c r="K12" s="165">
        <f>K11*K10/(1+K11*MAX(0,$U9))</f>
        <v>0.61069225496915702</v>
      </c>
      <c r="L12" s="165">
        <f>L11*L10/(1+L11*MAX(0,$U9))</f>
        <v>0.61401341334274617</v>
      </c>
      <c r="M12" s="165">
        <f>M11*M10/(1+M11*MAX(0,$U9))</f>
        <v>0.58955223880597019</v>
      </c>
      <c r="N12" s="329"/>
      <c r="O12" s="145"/>
      <c r="P12" s="143"/>
      <c r="Q12" s="143"/>
      <c r="R12" s="138"/>
      <c r="S12" s="137"/>
      <c r="T12" s="143"/>
      <c r="U12" s="143"/>
      <c r="V12" s="186"/>
      <c r="X12" s="87"/>
      <c r="Y12" s="87"/>
      <c r="Z12" s="50"/>
      <c r="AA12" s="50"/>
      <c r="AC12"/>
      <c r="AD12"/>
      <c r="AE12"/>
      <c r="AF12"/>
      <c r="AG12"/>
      <c r="AH12"/>
      <c r="AK12" s="8"/>
      <c r="AL12" s="8"/>
    </row>
    <row r="13" spans="1:45" s="5" customFormat="1" ht="12.75">
      <c r="A13" s="16"/>
      <c r="B13" s="326"/>
      <c r="C13" s="138" t="s">
        <v>627</v>
      </c>
      <c r="D13" s="138" t="s">
        <v>628</v>
      </c>
      <c r="E13" s="138" t="s">
        <v>519</v>
      </c>
      <c r="F13" s="138" t="s">
        <v>179</v>
      </c>
      <c r="G13" s="138"/>
      <c r="H13" s="144" t="s">
        <v>98</v>
      </c>
      <c r="I13" s="260"/>
      <c r="J13" s="145">
        <v>2.4180000000000001</v>
      </c>
      <c r="K13" s="138"/>
      <c r="L13" s="138"/>
      <c r="M13" s="138"/>
      <c r="N13" s="329"/>
      <c r="O13" s="145">
        <f ca="1">BaseYear+6</f>
        <v>2016</v>
      </c>
      <c r="P13" s="143">
        <f>3.6*8.76/1000</f>
        <v>3.1536000000000002E-2</v>
      </c>
      <c r="Q13" s="143">
        <v>0.75</v>
      </c>
      <c r="R13" s="138">
        <v>25</v>
      </c>
      <c r="S13" s="138">
        <v>0.1178</v>
      </c>
      <c r="T13" s="161">
        <v>0.8805582398379318</v>
      </c>
      <c r="U13" s="143">
        <v>0.17</v>
      </c>
      <c r="V13" s="186">
        <v>1</v>
      </c>
      <c r="X13" s="88">
        <f>J14/((J15*$U13+1)/(1+J15))</f>
        <v>0.80163392073458917</v>
      </c>
      <c r="Y13" s="88">
        <f>K14/((K15*$U13+1)/(1+K15))</f>
        <v>0.81276100499760384</v>
      </c>
      <c r="Z13" s="88">
        <f>L14/((L15*$U13+1)/(1+L15))</f>
        <v>0.84027532650900094</v>
      </c>
      <c r="AA13" s="88">
        <f>M14/((M15*$U13+1)/(1+M15))</f>
        <v>0.87313432835820892</v>
      </c>
      <c r="AC13"/>
      <c r="AD13"/>
      <c r="AE13"/>
      <c r="AF13"/>
      <c r="AG13"/>
      <c r="AH13"/>
      <c r="AK13" s="8"/>
      <c r="AL13" s="8"/>
    </row>
    <row r="14" spans="1:45" s="5" customFormat="1" ht="12.75">
      <c r="A14" s="15"/>
      <c r="B14" s="331"/>
      <c r="C14" s="138"/>
      <c r="D14" s="138"/>
      <c r="E14" s="137" t="s">
        <v>131</v>
      </c>
      <c r="F14" s="138" t="s">
        <v>517</v>
      </c>
      <c r="G14" s="138" t="s">
        <v>603</v>
      </c>
      <c r="H14" s="144" t="s">
        <v>189</v>
      </c>
      <c r="I14" s="260"/>
      <c r="J14" s="138">
        <v>0.31</v>
      </c>
      <c r="K14" s="138">
        <v>0.32</v>
      </c>
      <c r="L14" s="138">
        <v>0.34499999999999997</v>
      </c>
      <c r="M14" s="169">
        <v>0.39</v>
      </c>
      <c r="N14" s="329"/>
      <c r="O14" s="145"/>
      <c r="P14" s="143"/>
      <c r="Q14" s="143"/>
      <c r="R14" s="138"/>
      <c r="S14" s="137"/>
      <c r="T14" s="143"/>
      <c r="U14" s="143"/>
      <c r="V14" s="186"/>
      <c r="X14" s="87"/>
      <c r="Y14" s="87"/>
      <c r="Z14" s="50"/>
      <c r="AA14" s="50"/>
      <c r="AC14"/>
      <c r="AD14"/>
      <c r="AE14"/>
      <c r="AF14"/>
      <c r="AG14"/>
      <c r="AH14"/>
      <c r="AK14" s="8"/>
      <c r="AL14" s="8"/>
    </row>
    <row r="15" spans="1:45" s="5" customFormat="1" ht="12.75">
      <c r="A15" s="15"/>
      <c r="B15" s="331"/>
      <c r="C15" s="138"/>
      <c r="D15" s="138"/>
      <c r="E15" s="137"/>
      <c r="F15" s="137"/>
      <c r="G15" s="138"/>
      <c r="H15" s="144" t="s">
        <v>387</v>
      </c>
      <c r="I15" s="261" t="s">
        <v>506</v>
      </c>
      <c r="J15" s="138">
        <v>2.83</v>
      </c>
      <c r="K15" s="138">
        <v>2.71</v>
      </c>
      <c r="L15" s="138">
        <v>2.4500000000000002</v>
      </c>
      <c r="M15" s="138">
        <v>2</v>
      </c>
      <c r="N15" s="329"/>
      <c r="O15" s="145"/>
      <c r="P15" s="143"/>
      <c r="Q15" s="143"/>
      <c r="R15" s="138"/>
      <c r="S15" s="137"/>
      <c r="T15" s="143"/>
      <c r="U15" s="143"/>
      <c r="V15" s="186"/>
      <c r="X15" s="87"/>
      <c r="Y15" s="87"/>
      <c r="Z15" s="50"/>
      <c r="AA15" s="50"/>
      <c r="AC15"/>
      <c r="AD15"/>
      <c r="AE15"/>
      <c r="AF15"/>
      <c r="AG15"/>
      <c r="AH15"/>
      <c r="AK15" s="8"/>
      <c r="AL15" s="8"/>
    </row>
    <row r="16" spans="1:45" s="5" customFormat="1" ht="12.75">
      <c r="A16" s="15"/>
      <c r="B16" s="331"/>
      <c r="C16" s="138"/>
      <c r="D16" s="138"/>
      <c r="E16" s="137"/>
      <c r="F16" s="137" t="str">
        <f>F14</f>
        <v>INDHET</v>
      </c>
      <c r="G16" s="138"/>
      <c r="H16" s="143" t="s">
        <v>118</v>
      </c>
      <c r="I16" s="261" t="s">
        <v>506</v>
      </c>
      <c r="J16" s="165">
        <f>J15*J14/(1+J15*MAX(0,$U13))</f>
        <v>0.59233002498143261</v>
      </c>
      <c r="K16" s="165">
        <f>K15*K14/(1+K15*MAX(0,$U13))</f>
        <v>0.59368795782843831</v>
      </c>
      <c r="L16" s="165">
        <f>L15*L14/(1+L15*MAX(0,$U13))</f>
        <v>0.59671726085421806</v>
      </c>
      <c r="M16" s="165">
        <f>M15*M14/(1+M15*MAX(0,$U13))</f>
        <v>0.58208955223880599</v>
      </c>
      <c r="N16" s="329"/>
      <c r="O16" s="145"/>
      <c r="P16" s="143"/>
      <c r="Q16" s="143"/>
      <c r="R16" s="138"/>
      <c r="S16" s="137"/>
      <c r="T16" s="143"/>
      <c r="U16" s="143"/>
      <c r="V16" s="186"/>
      <c r="X16" s="87"/>
      <c r="Y16" s="87"/>
      <c r="Z16" s="50"/>
      <c r="AA16" s="50"/>
      <c r="AC16"/>
      <c r="AD16"/>
      <c r="AE16"/>
      <c r="AF16"/>
      <c r="AG16"/>
      <c r="AH16"/>
      <c r="AK16" s="8"/>
      <c r="AL16" s="8"/>
    </row>
    <row r="17" spans="1:38" s="5" customFormat="1" ht="12.75">
      <c r="A17" s="16"/>
      <c r="B17" s="326"/>
      <c r="C17" s="138" t="s">
        <v>536</v>
      </c>
      <c r="D17" s="138" t="s">
        <v>546</v>
      </c>
      <c r="E17" s="138" t="s">
        <v>34</v>
      </c>
      <c r="F17" s="138" t="s">
        <v>179</v>
      </c>
      <c r="G17" s="138"/>
      <c r="H17" s="144" t="s">
        <v>98</v>
      </c>
      <c r="I17" s="260"/>
      <c r="J17" s="145">
        <v>1.302</v>
      </c>
      <c r="K17" s="138"/>
      <c r="L17" s="138"/>
      <c r="M17" s="138"/>
      <c r="N17" s="329"/>
      <c r="O17" s="145">
        <f ca="1">BaseYear+1</f>
        <v>2011</v>
      </c>
      <c r="P17" s="143">
        <f>3.6*8.76/1000</f>
        <v>3.1536000000000002E-2</v>
      </c>
      <c r="Q17" s="143">
        <v>0.75</v>
      </c>
      <c r="R17" s="138">
        <v>25</v>
      </c>
      <c r="S17" s="138">
        <v>5.5799999999999995E-2</v>
      </c>
      <c r="T17" s="161">
        <v>0.8805582398379318</v>
      </c>
      <c r="U17" s="143">
        <v>0.17</v>
      </c>
      <c r="V17" s="186">
        <v>1</v>
      </c>
      <c r="X17" s="88">
        <f>J18/((J19*$U17+1)/(1+J19))</f>
        <v>0.82628092469920233</v>
      </c>
      <c r="Y17" s="88">
        <f>K18/((K19*$U17+1)/(1+K19))</f>
        <v>0.83687457162440027</v>
      </c>
      <c r="Z17" s="88">
        <f>L18/((L19*$U17+1)/(1+L19))</f>
        <v>0.86463113307447925</v>
      </c>
      <c r="AA17" s="88">
        <f>M18/((M19*$U17+1)/(1+M19))</f>
        <v>0.88432835820895517</v>
      </c>
      <c r="AC17"/>
      <c r="AD17"/>
      <c r="AE17"/>
      <c r="AF17"/>
      <c r="AG17"/>
      <c r="AH17"/>
      <c r="AK17" s="8"/>
      <c r="AL17" s="8"/>
    </row>
    <row r="18" spans="1:38" s="5" customFormat="1" ht="12.75">
      <c r="A18" s="15"/>
      <c r="B18" s="331"/>
      <c r="C18" s="138"/>
      <c r="D18" s="138"/>
      <c r="E18" s="137"/>
      <c r="F18" s="138" t="s">
        <v>517</v>
      </c>
      <c r="G18" s="138" t="s">
        <v>603</v>
      </c>
      <c r="H18" s="144" t="s">
        <v>189</v>
      </c>
      <c r="I18" s="260"/>
      <c r="J18" s="138">
        <v>0.32</v>
      </c>
      <c r="K18" s="138">
        <v>0.33</v>
      </c>
      <c r="L18" s="138">
        <v>0.35499999999999998</v>
      </c>
      <c r="M18" s="169">
        <v>0.39500000000000002</v>
      </c>
      <c r="N18" s="329"/>
      <c r="O18" s="145"/>
      <c r="P18" s="143"/>
      <c r="Q18" s="143"/>
      <c r="R18" s="138"/>
      <c r="S18" s="137"/>
      <c r="T18" s="143"/>
      <c r="U18" s="143"/>
      <c r="V18" s="186"/>
      <c r="X18" s="87"/>
      <c r="Y18" s="87"/>
      <c r="Z18" s="50"/>
      <c r="AA18" s="50"/>
      <c r="AC18"/>
      <c r="AD18"/>
      <c r="AE18"/>
      <c r="AF18"/>
      <c r="AG18"/>
      <c r="AH18"/>
      <c r="AK18" s="8"/>
      <c r="AL18" s="8"/>
    </row>
    <row r="19" spans="1:38" s="5" customFormat="1" ht="12.75">
      <c r="A19" s="15"/>
      <c r="B19" s="331"/>
      <c r="C19" s="138"/>
      <c r="D19" s="138"/>
      <c r="E19" s="137"/>
      <c r="F19" s="137"/>
      <c r="G19" s="138"/>
      <c r="H19" s="144" t="s">
        <v>387</v>
      </c>
      <c r="I19" s="261" t="s">
        <v>506</v>
      </c>
      <c r="J19" s="138">
        <v>2.82</v>
      </c>
      <c r="K19" s="138">
        <v>2.7</v>
      </c>
      <c r="L19" s="138">
        <v>2.4500000000000002</v>
      </c>
      <c r="M19" s="138">
        <v>2</v>
      </c>
      <c r="N19" s="329"/>
      <c r="O19" s="145"/>
      <c r="P19" s="143"/>
      <c r="Q19" s="143"/>
      <c r="R19" s="138"/>
      <c r="S19" s="137"/>
      <c r="T19" s="143"/>
      <c r="U19" s="143"/>
      <c r="V19" s="186"/>
      <c r="X19" s="87"/>
      <c r="Y19" s="87"/>
      <c r="Z19" s="50"/>
      <c r="AA19" s="50"/>
      <c r="AC19"/>
      <c r="AD19"/>
      <c r="AE19"/>
      <c r="AF19"/>
      <c r="AG19"/>
      <c r="AH19"/>
      <c r="AK19" s="8"/>
      <c r="AL19" s="8"/>
    </row>
    <row r="20" spans="1:38" s="5" customFormat="1" ht="12.75">
      <c r="A20" s="15"/>
      <c r="B20" s="331"/>
      <c r="C20" s="138"/>
      <c r="D20" s="138"/>
      <c r="E20" s="137"/>
      <c r="F20" s="137" t="str">
        <f>F18</f>
        <v>INDHET</v>
      </c>
      <c r="G20" s="138"/>
      <c r="H20" s="143" t="s">
        <v>118</v>
      </c>
      <c r="I20" s="261" t="s">
        <v>506</v>
      </c>
      <c r="J20" s="165">
        <f>J19*J18/(1+J19*MAX(0,$U17))</f>
        <v>0.60997701770988233</v>
      </c>
      <c r="K20" s="165">
        <f>K19*K18/(1+K19*MAX(0,$U17))</f>
        <v>0.61069225496915702</v>
      </c>
      <c r="L20" s="165">
        <f>L19*L18/(1+L19*MAX(0,$U17))</f>
        <v>0.61401341334274617</v>
      </c>
      <c r="M20" s="165">
        <f>M19*M18/(1+M19*MAX(0,$U17))</f>
        <v>0.58955223880597019</v>
      </c>
      <c r="N20" s="329"/>
      <c r="O20" s="145"/>
      <c r="P20" s="143"/>
      <c r="Q20" s="143"/>
      <c r="R20" s="138"/>
      <c r="S20" s="137"/>
      <c r="T20" s="143"/>
      <c r="U20" s="143"/>
      <c r="V20" s="186"/>
      <c r="X20" s="87"/>
      <c r="Y20" s="87"/>
      <c r="Z20" s="50"/>
      <c r="AA20" s="50"/>
      <c r="AC20"/>
      <c r="AD20"/>
      <c r="AE20"/>
      <c r="AF20"/>
      <c r="AG20"/>
      <c r="AH20"/>
      <c r="AK20" s="8"/>
      <c r="AL20" s="8"/>
    </row>
    <row r="21" spans="1:38" s="5" customFormat="1" ht="12.75">
      <c r="A21" s="16"/>
      <c r="B21" s="326"/>
      <c r="C21" s="138" t="s">
        <v>537</v>
      </c>
      <c r="D21" s="138" t="s">
        <v>547</v>
      </c>
      <c r="E21" s="138" t="s">
        <v>35</v>
      </c>
      <c r="F21" s="138" t="s">
        <v>179</v>
      </c>
      <c r="G21" s="138"/>
      <c r="H21" s="144" t="s">
        <v>98</v>
      </c>
      <c r="I21" s="260"/>
      <c r="J21" s="145">
        <v>1.302</v>
      </c>
      <c r="K21" s="138"/>
      <c r="L21" s="138"/>
      <c r="M21" s="138"/>
      <c r="N21" s="329"/>
      <c r="O21" s="145">
        <f ca="1">BaseYear+1</f>
        <v>2011</v>
      </c>
      <c r="P21" s="143">
        <f>3.6*8.76/1000</f>
        <v>3.1536000000000002E-2</v>
      </c>
      <c r="Q21" s="143">
        <v>0.75</v>
      </c>
      <c r="R21" s="138">
        <v>25</v>
      </c>
      <c r="S21" s="138">
        <v>5.5799999999999995E-2</v>
      </c>
      <c r="T21" s="161">
        <v>0.8805582398379318</v>
      </c>
      <c r="U21" s="143">
        <v>0.17</v>
      </c>
      <c r="V21" s="186">
        <v>1</v>
      </c>
      <c r="X21" s="88">
        <f>J22/((J23*$U21+1)/(1+J23))</f>
        <v>0.82628092469920233</v>
      </c>
      <c r="Y21" s="88">
        <f>K22/((K23*$U21+1)/(1+K23))</f>
        <v>0.83687457162440027</v>
      </c>
      <c r="Z21" s="88">
        <f>L22/((L23*$U21+1)/(1+L23))</f>
        <v>0.86463113307447925</v>
      </c>
      <c r="AA21" s="88">
        <f>M22/((M23*$U21+1)/(1+M23))</f>
        <v>0.88432835820895517</v>
      </c>
      <c r="AC21"/>
      <c r="AD21"/>
      <c r="AE21"/>
      <c r="AF21"/>
      <c r="AG21"/>
      <c r="AH21"/>
      <c r="AK21" s="8"/>
      <c r="AL21" s="8"/>
    </row>
    <row r="22" spans="1:38" s="5" customFormat="1" ht="12.75">
      <c r="A22" s="15"/>
      <c r="B22" s="331"/>
      <c r="C22" s="138"/>
      <c r="D22" s="138"/>
      <c r="E22" s="137"/>
      <c r="F22" s="138" t="s">
        <v>517</v>
      </c>
      <c r="G22" s="138" t="s">
        <v>603</v>
      </c>
      <c r="H22" s="144" t="s">
        <v>189</v>
      </c>
      <c r="I22" s="260"/>
      <c r="J22" s="138">
        <v>0.32</v>
      </c>
      <c r="K22" s="138">
        <v>0.33</v>
      </c>
      <c r="L22" s="138">
        <v>0.35499999999999998</v>
      </c>
      <c r="M22" s="169">
        <v>0.39500000000000002</v>
      </c>
      <c r="N22" s="329"/>
      <c r="O22" s="145"/>
      <c r="P22" s="143"/>
      <c r="Q22" s="143"/>
      <c r="R22" s="138"/>
      <c r="S22" s="137"/>
      <c r="T22" s="143"/>
      <c r="U22" s="143"/>
      <c r="V22" s="186"/>
      <c r="X22" s="87"/>
      <c r="Y22" s="87"/>
      <c r="Z22" s="50"/>
      <c r="AA22" s="50"/>
      <c r="AC22"/>
      <c r="AD22"/>
      <c r="AE22"/>
      <c r="AF22"/>
      <c r="AG22"/>
      <c r="AH22"/>
      <c r="AK22" s="8"/>
      <c r="AL22" s="8"/>
    </row>
    <row r="23" spans="1:38" s="5" customFormat="1" ht="12.75">
      <c r="A23" s="15"/>
      <c r="B23" s="331"/>
      <c r="C23" s="138"/>
      <c r="D23" s="138"/>
      <c r="E23" s="137"/>
      <c r="F23" s="137"/>
      <c r="G23" s="138"/>
      <c r="H23" s="144" t="s">
        <v>387</v>
      </c>
      <c r="I23" s="261" t="s">
        <v>506</v>
      </c>
      <c r="J23" s="138">
        <v>2.82</v>
      </c>
      <c r="K23" s="138">
        <v>2.7</v>
      </c>
      <c r="L23" s="138">
        <v>2.4500000000000002</v>
      </c>
      <c r="M23" s="138">
        <v>2</v>
      </c>
      <c r="N23" s="329"/>
      <c r="O23" s="145"/>
      <c r="P23" s="143"/>
      <c r="Q23" s="143"/>
      <c r="R23" s="138"/>
      <c r="S23" s="137"/>
      <c r="T23" s="143"/>
      <c r="U23" s="143"/>
      <c r="V23" s="186"/>
      <c r="X23" s="87"/>
      <c r="Y23" s="87"/>
      <c r="Z23" s="50"/>
      <c r="AA23" s="50"/>
      <c r="AC23"/>
      <c r="AD23"/>
      <c r="AE23"/>
      <c r="AF23"/>
      <c r="AG23"/>
      <c r="AH23"/>
      <c r="AK23" s="8"/>
      <c r="AL23" s="8"/>
    </row>
    <row r="24" spans="1:38" s="5" customFormat="1" ht="12.75">
      <c r="A24" s="15"/>
      <c r="B24" s="331"/>
      <c r="C24" s="138"/>
      <c r="D24" s="138"/>
      <c r="E24" s="137"/>
      <c r="F24" s="137" t="str">
        <f>F22</f>
        <v>INDHET</v>
      </c>
      <c r="G24" s="138"/>
      <c r="H24" s="143" t="s">
        <v>118</v>
      </c>
      <c r="I24" s="261" t="s">
        <v>506</v>
      </c>
      <c r="J24" s="165">
        <f>J23*J22/(1+J23*MAX(0,$U21))</f>
        <v>0.60997701770988233</v>
      </c>
      <c r="K24" s="165">
        <f>K23*K22/(1+K23*MAX(0,$U21))</f>
        <v>0.61069225496915702</v>
      </c>
      <c r="L24" s="165">
        <f>L23*L22/(1+L23*MAX(0,$U21))</f>
        <v>0.61401341334274617</v>
      </c>
      <c r="M24" s="165">
        <f>M23*M22/(1+M23*MAX(0,$U21))</f>
        <v>0.58955223880597019</v>
      </c>
      <c r="N24" s="329"/>
      <c r="O24" s="145"/>
      <c r="P24" s="143"/>
      <c r="Q24" s="143"/>
      <c r="R24" s="138"/>
      <c r="S24" s="137"/>
      <c r="T24" s="143"/>
      <c r="U24" s="143"/>
      <c r="V24" s="186"/>
      <c r="X24" s="87"/>
      <c r="Y24" s="87"/>
      <c r="Z24" s="50"/>
      <c r="AA24" s="50"/>
      <c r="AC24"/>
      <c r="AD24"/>
      <c r="AE24"/>
      <c r="AF24"/>
      <c r="AG24"/>
      <c r="AH24"/>
      <c r="AK24" s="8"/>
      <c r="AL24" s="8"/>
    </row>
    <row r="25" spans="1:38" s="5" customFormat="1" ht="12.75">
      <c r="A25" s="16"/>
      <c r="B25" s="326"/>
      <c r="C25" s="138" t="s">
        <v>538</v>
      </c>
      <c r="D25" s="138" t="s">
        <v>548</v>
      </c>
      <c r="E25" s="138" t="s">
        <v>175</v>
      </c>
      <c r="F25" s="138" t="s">
        <v>179</v>
      </c>
      <c r="G25" s="138"/>
      <c r="H25" s="144" t="s">
        <v>98</v>
      </c>
      <c r="I25" s="260"/>
      <c r="J25" s="145">
        <v>1.302</v>
      </c>
      <c r="K25" s="138"/>
      <c r="L25" s="138"/>
      <c r="M25" s="138"/>
      <c r="N25" s="329"/>
      <c r="O25" s="145">
        <f ca="1">BaseYear+1</f>
        <v>2011</v>
      </c>
      <c r="P25" s="143">
        <f>3.6*8.76/1000</f>
        <v>3.1536000000000002E-2</v>
      </c>
      <c r="Q25" s="143">
        <v>0.75</v>
      </c>
      <c r="R25" s="138">
        <v>25</v>
      </c>
      <c r="S25" s="138">
        <v>5.5799999999999995E-2</v>
      </c>
      <c r="T25" s="165">
        <v>2.5833333333333335</v>
      </c>
      <c r="U25" s="143">
        <v>0.15</v>
      </c>
      <c r="V25" s="186">
        <v>1</v>
      </c>
      <c r="X25" s="88">
        <f>J26/((J27*$U25+1)/(1+J27))</f>
        <v>0.83750000000000013</v>
      </c>
      <c r="Y25" s="88">
        <f>K26/((K27*$U25+1)/(1+K27))</f>
        <v>0.85873605947955378</v>
      </c>
      <c r="Z25" s="88">
        <f>L26/((L27*$U25+1)/(1+L27))</f>
        <v>0.87224334600760467</v>
      </c>
      <c r="AA25" s="88">
        <f>M26/((M27*$U25+1)/(1+M27))</f>
        <v>0.90393700787401554</v>
      </c>
      <c r="AC25"/>
      <c r="AD25"/>
      <c r="AE25"/>
      <c r="AF25"/>
      <c r="AG25"/>
      <c r="AH25"/>
      <c r="AK25" s="8"/>
      <c r="AL25" s="8"/>
    </row>
    <row r="26" spans="1:38" s="5" customFormat="1" ht="12.75">
      <c r="A26" s="15"/>
      <c r="B26" s="331"/>
      <c r="C26" s="138"/>
      <c r="D26" s="138"/>
      <c r="E26" s="137"/>
      <c r="F26" s="138" t="s">
        <v>517</v>
      </c>
      <c r="G26" s="138" t="s">
        <v>603</v>
      </c>
      <c r="H26" s="144" t="s">
        <v>189</v>
      </c>
      <c r="I26" s="260"/>
      <c r="J26" s="169">
        <v>0.33500000000000002</v>
      </c>
      <c r="K26" s="169">
        <v>0.35</v>
      </c>
      <c r="L26" s="169">
        <v>0.37</v>
      </c>
      <c r="M26" s="169">
        <v>0.41</v>
      </c>
      <c r="N26" s="329"/>
      <c r="O26" s="145"/>
      <c r="P26" s="143"/>
      <c r="Q26" s="143"/>
      <c r="R26" s="138"/>
      <c r="S26" s="137"/>
      <c r="T26" s="143"/>
      <c r="U26" s="143"/>
      <c r="V26" s="186"/>
      <c r="X26" s="87"/>
      <c r="Y26" s="87"/>
      <c r="Z26" s="50"/>
      <c r="AA26" s="50"/>
      <c r="AC26"/>
      <c r="AD26"/>
      <c r="AE26"/>
      <c r="AF26"/>
      <c r="AG26"/>
      <c r="AH26"/>
      <c r="AK26" s="8"/>
      <c r="AL26" s="8"/>
    </row>
    <row r="27" spans="1:38" s="5" customFormat="1" ht="12.75">
      <c r="A27" s="15"/>
      <c r="B27" s="331"/>
      <c r="C27" s="138"/>
      <c r="D27" s="138"/>
      <c r="E27" s="137"/>
      <c r="F27" s="137"/>
      <c r="G27" s="138"/>
      <c r="H27" s="144" t="s">
        <v>387</v>
      </c>
      <c r="I27" s="261" t="s">
        <v>506</v>
      </c>
      <c r="J27" s="138">
        <v>2.4</v>
      </c>
      <c r="K27" s="138">
        <v>2.2999999999999998</v>
      </c>
      <c r="L27" s="138">
        <v>2.1</v>
      </c>
      <c r="M27" s="138">
        <v>1.8</v>
      </c>
      <c r="N27" s="329"/>
      <c r="O27" s="145"/>
      <c r="P27" s="143"/>
      <c r="Q27" s="143"/>
      <c r="R27" s="138"/>
      <c r="S27" s="137"/>
      <c r="T27" s="143"/>
      <c r="U27" s="143"/>
      <c r="V27" s="186"/>
      <c r="X27" s="87"/>
      <c r="Y27" s="87"/>
      <c r="Z27" s="50"/>
      <c r="AA27" s="50"/>
      <c r="AC27"/>
      <c r="AD27"/>
      <c r="AE27"/>
      <c r="AF27"/>
      <c r="AG27"/>
      <c r="AH27"/>
      <c r="AK27" s="8"/>
      <c r="AL27" s="8"/>
    </row>
    <row r="28" spans="1:38" s="5" customFormat="1" ht="12.75">
      <c r="A28" s="15"/>
      <c r="B28" s="331"/>
      <c r="C28" s="138"/>
      <c r="D28" s="138"/>
      <c r="E28" s="137"/>
      <c r="F28" s="137" t="str">
        <f>F26</f>
        <v>INDHET</v>
      </c>
      <c r="G28" s="138"/>
      <c r="H28" s="143" t="s">
        <v>118</v>
      </c>
      <c r="I28" s="261" t="s">
        <v>506</v>
      </c>
      <c r="J28" s="165">
        <f>J27*J26/(1+J27*MAX(0,$U25))</f>
        <v>0.59117647058823541</v>
      </c>
      <c r="K28" s="165">
        <f>K27*K26/(1+K27*MAX(0,$U25))</f>
        <v>0.59851301115241629</v>
      </c>
      <c r="L28" s="165">
        <f>L27*L26/(1+L27*MAX(0,$U25))</f>
        <v>0.59087452471482893</v>
      </c>
      <c r="M28" s="165">
        <f>M27*M26/(1+M27*MAX(0,$U25))</f>
        <v>0.58110236220472444</v>
      </c>
      <c r="N28" s="329"/>
      <c r="O28" s="145"/>
      <c r="P28" s="143"/>
      <c r="Q28" s="143"/>
      <c r="R28" s="138"/>
      <c r="S28" s="137"/>
      <c r="T28" s="143"/>
      <c r="U28" s="143"/>
      <c r="V28" s="186"/>
      <c r="X28" s="87"/>
      <c r="Y28" s="87"/>
      <c r="Z28" s="50"/>
      <c r="AA28" s="50"/>
      <c r="AC28"/>
      <c r="AD28"/>
      <c r="AE28"/>
      <c r="AF28"/>
      <c r="AG28"/>
      <c r="AH28"/>
      <c r="AK28" s="8"/>
      <c r="AL28" s="8"/>
    </row>
    <row r="29" spans="1:38" s="5" customFormat="1" ht="12.75">
      <c r="A29" s="16"/>
      <c r="B29" s="326"/>
      <c r="C29" s="138" t="s">
        <v>539</v>
      </c>
      <c r="D29" s="138" t="s">
        <v>106</v>
      </c>
      <c r="E29" s="138" t="s">
        <v>105</v>
      </c>
      <c r="F29" s="138" t="s">
        <v>179</v>
      </c>
      <c r="G29" s="138"/>
      <c r="H29" s="144" t="s">
        <v>98</v>
      </c>
      <c r="I29" s="260"/>
      <c r="J29" s="145">
        <v>1.302</v>
      </c>
      <c r="K29" s="138"/>
      <c r="L29" s="138"/>
      <c r="M29" s="138"/>
      <c r="N29" s="329"/>
      <c r="O29" s="145">
        <f ca="1">BaseYear+1</f>
        <v>2011</v>
      </c>
      <c r="P29" s="143">
        <f>3.6*8.76/1000</f>
        <v>3.1536000000000002E-2</v>
      </c>
      <c r="Q29" s="143">
        <v>0.75</v>
      </c>
      <c r="R29" s="138">
        <v>25</v>
      </c>
      <c r="S29" s="138">
        <v>5.5799999999999995E-2</v>
      </c>
      <c r="T29" s="165">
        <v>0.8805582398379318</v>
      </c>
      <c r="U29" s="143">
        <v>0.15</v>
      </c>
      <c r="V29" s="186">
        <v>1</v>
      </c>
      <c r="X29" s="88">
        <f>J30/((J31*$U29+1)/(1+J31))</f>
        <v>0.83750000000000013</v>
      </c>
      <c r="Y29" s="88">
        <f>K30/((K31*$U29+1)/(1+K31))</f>
        <v>0.85873605947955378</v>
      </c>
      <c r="Z29" s="88">
        <f>L30/((L31*$U29+1)/(1+L31))</f>
        <v>0.87224334600760467</v>
      </c>
      <c r="AA29" s="88">
        <f>M30/((M31*$U29+1)/(1+M31))</f>
        <v>0.90393700787401554</v>
      </c>
      <c r="AC29"/>
      <c r="AD29"/>
      <c r="AE29"/>
      <c r="AF29"/>
      <c r="AG29"/>
      <c r="AH29"/>
      <c r="AK29" s="8"/>
      <c r="AL29" s="8"/>
    </row>
    <row r="30" spans="1:38" s="5" customFormat="1" ht="12.75">
      <c r="A30" s="15"/>
      <c r="B30" s="331"/>
      <c r="C30" s="138"/>
      <c r="D30" s="138"/>
      <c r="E30" s="137"/>
      <c r="F30" s="138" t="s">
        <v>517</v>
      </c>
      <c r="G30" s="138" t="s">
        <v>603</v>
      </c>
      <c r="H30" s="144" t="s">
        <v>189</v>
      </c>
      <c r="I30" s="260"/>
      <c r="J30" s="169">
        <v>0.33500000000000002</v>
      </c>
      <c r="K30" s="169">
        <v>0.35</v>
      </c>
      <c r="L30" s="169">
        <v>0.37</v>
      </c>
      <c r="M30" s="169">
        <v>0.41</v>
      </c>
      <c r="N30" s="329"/>
      <c r="O30" s="145"/>
      <c r="P30" s="143"/>
      <c r="Q30" s="143"/>
      <c r="R30" s="138"/>
      <c r="S30" s="137"/>
      <c r="T30" s="143"/>
      <c r="U30" s="143"/>
      <c r="V30" s="186"/>
      <c r="X30" s="87"/>
      <c r="Y30" s="87"/>
      <c r="Z30" s="50"/>
      <c r="AA30" s="50"/>
      <c r="AC30"/>
      <c r="AD30"/>
      <c r="AE30"/>
      <c r="AF30"/>
      <c r="AG30"/>
      <c r="AH30"/>
      <c r="AK30" s="8"/>
      <c r="AL30" s="8"/>
    </row>
    <row r="31" spans="1:38" s="5" customFormat="1" ht="12.75">
      <c r="A31" s="15"/>
      <c r="B31" s="331"/>
      <c r="C31" s="138"/>
      <c r="D31" s="138"/>
      <c r="E31" s="137"/>
      <c r="F31" s="137"/>
      <c r="G31" s="138"/>
      <c r="H31" s="144" t="s">
        <v>387</v>
      </c>
      <c r="I31" s="261" t="s">
        <v>506</v>
      </c>
      <c r="J31" s="138">
        <v>2.4</v>
      </c>
      <c r="K31" s="138">
        <v>2.2999999999999998</v>
      </c>
      <c r="L31" s="138">
        <v>2.1</v>
      </c>
      <c r="M31" s="138">
        <v>1.8</v>
      </c>
      <c r="N31" s="329"/>
      <c r="O31" s="145"/>
      <c r="P31" s="143"/>
      <c r="Q31" s="143"/>
      <c r="R31" s="138"/>
      <c r="S31" s="137"/>
      <c r="T31" s="143"/>
      <c r="U31" s="143"/>
      <c r="V31" s="186"/>
      <c r="X31" s="87"/>
      <c r="Y31" s="87"/>
      <c r="Z31" s="50"/>
      <c r="AA31" s="50"/>
      <c r="AC31"/>
      <c r="AD31"/>
      <c r="AE31"/>
      <c r="AF31"/>
      <c r="AG31"/>
      <c r="AH31"/>
      <c r="AK31" s="8"/>
      <c r="AL31" s="8"/>
    </row>
    <row r="32" spans="1:38" s="5" customFormat="1" ht="12.75">
      <c r="A32" s="15"/>
      <c r="B32" s="331"/>
      <c r="C32" s="138"/>
      <c r="D32" s="138"/>
      <c r="E32" s="137"/>
      <c r="F32" s="137" t="str">
        <f>F30</f>
        <v>INDHET</v>
      </c>
      <c r="G32" s="138"/>
      <c r="H32" s="143" t="s">
        <v>118</v>
      </c>
      <c r="I32" s="261" t="s">
        <v>506</v>
      </c>
      <c r="J32" s="165">
        <f>J31*J30/(1+J31*MAX(0,$U29))</f>
        <v>0.59117647058823541</v>
      </c>
      <c r="K32" s="165">
        <f>K31*K30/(1+K31*MAX(0,$U29))</f>
        <v>0.59851301115241629</v>
      </c>
      <c r="L32" s="165">
        <f>L31*L30/(1+L31*MAX(0,$U29))</f>
        <v>0.59087452471482893</v>
      </c>
      <c r="M32" s="165">
        <f>M31*M30/(1+M31*MAX(0,$U29))</f>
        <v>0.58110236220472444</v>
      </c>
      <c r="N32" s="329"/>
      <c r="O32" s="145"/>
      <c r="P32" s="143"/>
      <c r="Q32" s="143"/>
      <c r="R32" s="138"/>
      <c r="S32" s="137"/>
      <c r="T32" s="143"/>
      <c r="U32" s="143"/>
      <c r="V32" s="186"/>
      <c r="X32" s="87"/>
      <c r="Y32" s="87"/>
      <c r="Z32" s="50"/>
      <c r="AA32" s="50"/>
      <c r="AC32"/>
      <c r="AD32"/>
      <c r="AE32"/>
      <c r="AF32"/>
      <c r="AG32"/>
      <c r="AH32"/>
      <c r="AK32" s="8"/>
      <c r="AL32" s="8"/>
    </row>
    <row r="33" spans="1:38" s="5" customFormat="1" ht="12.75">
      <c r="A33" s="16"/>
      <c r="B33" s="326"/>
      <c r="C33" s="138" t="s">
        <v>540</v>
      </c>
      <c r="D33" s="138" t="s">
        <v>550</v>
      </c>
      <c r="E33" s="138" t="s">
        <v>508</v>
      </c>
      <c r="F33" s="138" t="s">
        <v>179</v>
      </c>
      <c r="G33" s="138"/>
      <c r="H33" s="144" t="s">
        <v>98</v>
      </c>
      <c r="I33" s="260"/>
      <c r="J33" s="145">
        <v>1.302</v>
      </c>
      <c r="K33" s="138"/>
      <c r="L33" s="138"/>
      <c r="M33" s="138"/>
      <c r="N33" s="329"/>
      <c r="O33" s="145">
        <f ca="1">BaseYear+1</f>
        <v>2011</v>
      </c>
      <c r="P33" s="143">
        <f>3.6*8.76/1000</f>
        <v>3.1536000000000002E-2</v>
      </c>
      <c r="Q33" s="143">
        <v>0.75</v>
      </c>
      <c r="R33" s="138">
        <v>25</v>
      </c>
      <c r="S33" s="138">
        <v>5.5799999999999995E-2</v>
      </c>
      <c r="T33" s="165">
        <v>2.5833333333333335</v>
      </c>
      <c r="U33" s="143">
        <v>0.15</v>
      </c>
      <c r="V33" s="186">
        <v>1</v>
      </c>
      <c r="X33" s="88">
        <f>J34/((J35*$U33+1)/(1+J35))</f>
        <v>0.83750000000000013</v>
      </c>
      <c r="Y33" s="88">
        <f>K34/((K35*$U33+1)/(1+K35))</f>
        <v>0.85873605947955378</v>
      </c>
      <c r="Z33" s="88">
        <f>L34/((L35*$U33+1)/(1+L35))</f>
        <v>0.87224334600760467</v>
      </c>
      <c r="AA33" s="88">
        <f>M34/((M35*$U33+1)/(1+M35))</f>
        <v>0.90393700787401554</v>
      </c>
      <c r="AC33"/>
      <c r="AD33"/>
      <c r="AE33"/>
      <c r="AF33"/>
      <c r="AG33"/>
      <c r="AH33"/>
      <c r="AK33" s="8"/>
      <c r="AL33" s="8"/>
    </row>
    <row r="34" spans="1:38" s="5" customFormat="1" ht="12.75">
      <c r="A34" s="15"/>
      <c r="B34" s="331"/>
      <c r="C34" s="138"/>
      <c r="D34" s="138"/>
      <c r="E34" s="137"/>
      <c r="F34" s="138" t="s">
        <v>517</v>
      </c>
      <c r="G34" s="138" t="s">
        <v>603</v>
      </c>
      <c r="H34" s="144" t="s">
        <v>189</v>
      </c>
      <c r="I34" s="260"/>
      <c r="J34" s="169">
        <v>0.33500000000000002</v>
      </c>
      <c r="K34" s="169">
        <v>0.35</v>
      </c>
      <c r="L34" s="169">
        <v>0.37</v>
      </c>
      <c r="M34" s="169">
        <v>0.41</v>
      </c>
      <c r="N34" s="329"/>
      <c r="O34" s="145"/>
      <c r="P34" s="143"/>
      <c r="Q34" s="143"/>
      <c r="R34" s="138"/>
      <c r="S34" s="137"/>
      <c r="T34" s="143"/>
      <c r="U34" s="143"/>
      <c r="V34" s="186"/>
      <c r="X34" s="87"/>
      <c r="Y34" s="87"/>
      <c r="Z34" s="50"/>
      <c r="AA34" s="50"/>
      <c r="AC34"/>
      <c r="AD34"/>
      <c r="AE34"/>
      <c r="AF34"/>
      <c r="AG34"/>
      <c r="AH34"/>
      <c r="AK34" s="8"/>
      <c r="AL34" s="8"/>
    </row>
    <row r="35" spans="1:38" s="5" customFormat="1" ht="12.75">
      <c r="A35" s="15"/>
      <c r="B35" s="331"/>
      <c r="C35" s="138"/>
      <c r="D35" s="138"/>
      <c r="E35" s="137"/>
      <c r="F35" s="137"/>
      <c r="G35" s="138"/>
      <c r="H35" s="144" t="s">
        <v>387</v>
      </c>
      <c r="I35" s="261" t="s">
        <v>506</v>
      </c>
      <c r="J35" s="138">
        <v>2.4</v>
      </c>
      <c r="K35" s="138">
        <v>2.2999999999999998</v>
      </c>
      <c r="L35" s="138">
        <v>2.1</v>
      </c>
      <c r="M35" s="138">
        <v>1.8</v>
      </c>
      <c r="N35" s="329"/>
      <c r="O35" s="145"/>
      <c r="P35" s="143"/>
      <c r="Q35" s="143"/>
      <c r="R35" s="138"/>
      <c r="S35" s="137"/>
      <c r="T35" s="143"/>
      <c r="U35" s="143"/>
      <c r="V35" s="186"/>
      <c r="X35" s="87"/>
      <c r="Y35" s="87"/>
      <c r="Z35" s="50"/>
      <c r="AA35" s="50"/>
      <c r="AC35"/>
      <c r="AD35"/>
      <c r="AE35"/>
      <c r="AF35"/>
      <c r="AG35"/>
      <c r="AH35"/>
      <c r="AK35" s="8"/>
      <c r="AL35" s="8"/>
    </row>
    <row r="36" spans="1:38" s="5" customFormat="1" ht="12.75">
      <c r="A36" s="15"/>
      <c r="B36" s="331"/>
      <c r="C36" s="138"/>
      <c r="D36" s="138"/>
      <c r="E36" s="137"/>
      <c r="F36" s="137" t="str">
        <f>F34</f>
        <v>INDHET</v>
      </c>
      <c r="G36" s="138"/>
      <c r="H36" s="143" t="s">
        <v>118</v>
      </c>
      <c r="I36" s="261" t="s">
        <v>506</v>
      </c>
      <c r="J36" s="165">
        <f>J35*J34/(1+J35*MAX(0,$U33))</f>
        <v>0.59117647058823541</v>
      </c>
      <c r="K36" s="165">
        <f>K35*K34/(1+K35*MAX(0,$U33))</f>
        <v>0.59851301115241629</v>
      </c>
      <c r="L36" s="165">
        <f>L35*L34/(1+L35*MAX(0,$U33))</f>
        <v>0.59087452471482893</v>
      </c>
      <c r="M36" s="165">
        <f>M35*M34/(1+M35*MAX(0,$U33))</f>
        <v>0.58110236220472444</v>
      </c>
      <c r="N36" s="329"/>
      <c r="O36" s="145"/>
      <c r="P36" s="143"/>
      <c r="Q36" s="143"/>
      <c r="R36" s="138"/>
      <c r="S36" s="137"/>
      <c r="T36" s="143"/>
      <c r="U36" s="143"/>
      <c r="V36" s="186"/>
      <c r="X36" s="87"/>
      <c r="Y36" s="87"/>
      <c r="Z36" s="50"/>
      <c r="AA36" s="50"/>
      <c r="AC36"/>
      <c r="AD36"/>
      <c r="AE36"/>
      <c r="AF36"/>
      <c r="AG36"/>
      <c r="AH36"/>
      <c r="AK36" s="8"/>
      <c r="AL36" s="8"/>
    </row>
    <row r="37" spans="1:38" s="5" customFormat="1" ht="12.75">
      <c r="A37" s="16"/>
      <c r="B37" s="326"/>
      <c r="C37" s="138" t="s">
        <v>541</v>
      </c>
      <c r="D37" s="138" t="s">
        <v>551</v>
      </c>
      <c r="E37" s="138" t="s">
        <v>47</v>
      </c>
      <c r="F37" s="138" t="s">
        <v>179</v>
      </c>
      <c r="G37" s="138"/>
      <c r="H37" s="144" t="s">
        <v>98</v>
      </c>
      <c r="I37" s="260"/>
      <c r="J37" s="145">
        <v>1.488</v>
      </c>
      <c r="K37" s="138"/>
      <c r="L37" s="138"/>
      <c r="M37" s="138"/>
      <c r="N37" s="329"/>
      <c r="O37" s="145">
        <f ca="1">BaseYear+1</f>
        <v>2011</v>
      </c>
      <c r="P37" s="143">
        <f>3.6*8.76/1000</f>
        <v>3.1536000000000002E-2</v>
      </c>
      <c r="Q37" s="143">
        <v>0.75</v>
      </c>
      <c r="R37" s="138">
        <v>25</v>
      </c>
      <c r="S37" s="138">
        <v>8.8969999999999994E-2</v>
      </c>
      <c r="T37" s="165">
        <v>1.2327815357731045</v>
      </c>
      <c r="U37" s="143">
        <v>0.17</v>
      </c>
      <c r="V37" s="186">
        <v>1</v>
      </c>
      <c r="X37" s="88">
        <f>J38/((J39*$U37+1)/(1+J39))</f>
        <v>0.82628092469920233</v>
      </c>
      <c r="Y37" s="88">
        <f>K38/((K39*$U37+1)/(1+K39))</f>
        <v>0.83687457162440027</v>
      </c>
      <c r="Z37" s="88">
        <f>L38/((L39*$U37+1)/(1+L39))</f>
        <v>0.86463113307447925</v>
      </c>
      <c r="AA37" s="88">
        <f>M38/((M39*$U37+1)/(1+M39))</f>
        <v>0.88432835820895517</v>
      </c>
      <c r="AC37"/>
      <c r="AD37"/>
      <c r="AE37"/>
      <c r="AF37"/>
      <c r="AG37"/>
      <c r="AH37"/>
      <c r="AK37" s="8"/>
      <c r="AL37" s="8"/>
    </row>
    <row r="38" spans="1:38" s="5" customFormat="1" ht="12.75">
      <c r="A38" s="15"/>
      <c r="B38" s="331"/>
      <c r="C38" s="138"/>
      <c r="D38" s="138"/>
      <c r="E38" s="137"/>
      <c r="F38" s="138" t="s">
        <v>517</v>
      </c>
      <c r="G38" s="138" t="s">
        <v>603</v>
      </c>
      <c r="H38" s="144" t="s">
        <v>189</v>
      </c>
      <c r="I38" s="260"/>
      <c r="J38" s="138">
        <v>0.32</v>
      </c>
      <c r="K38" s="138">
        <v>0.33</v>
      </c>
      <c r="L38" s="138">
        <v>0.35499999999999998</v>
      </c>
      <c r="M38" s="169">
        <v>0.39500000000000002</v>
      </c>
      <c r="N38" s="329"/>
      <c r="O38" s="145"/>
      <c r="P38" s="143"/>
      <c r="Q38" s="143"/>
      <c r="R38" s="138"/>
      <c r="S38" s="137"/>
      <c r="T38" s="143"/>
      <c r="U38" s="143"/>
      <c r="V38" s="186"/>
      <c r="X38" s="87"/>
      <c r="Y38" s="87"/>
      <c r="Z38" s="50"/>
      <c r="AA38" s="50"/>
      <c r="AC38"/>
      <c r="AD38"/>
      <c r="AE38"/>
      <c r="AF38"/>
      <c r="AG38"/>
      <c r="AH38"/>
      <c r="AK38" s="8"/>
      <c r="AL38" s="8"/>
    </row>
    <row r="39" spans="1:38" s="5" customFormat="1" ht="12.75">
      <c r="A39" s="15"/>
      <c r="B39" s="331"/>
      <c r="C39" s="138"/>
      <c r="D39" s="138"/>
      <c r="E39" s="137"/>
      <c r="F39" s="137"/>
      <c r="G39" s="138"/>
      <c r="H39" s="144" t="s">
        <v>387</v>
      </c>
      <c r="I39" s="261" t="s">
        <v>506</v>
      </c>
      <c r="J39" s="138">
        <v>2.82</v>
      </c>
      <c r="K39" s="138">
        <v>2.7</v>
      </c>
      <c r="L39" s="138">
        <v>2.4500000000000002</v>
      </c>
      <c r="M39" s="138">
        <v>2</v>
      </c>
      <c r="N39" s="329"/>
      <c r="O39" s="145"/>
      <c r="P39" s="143"/>
      <c r="Q39" s="143"/>
      <c r="R39" s="138"/>
      <c r="S39" s="137"/>
      <c r="T39" s="143"/>
      <c r="U39" s="143"/>
      <c r="V39" s="186"/>
      <c r="X39" s="87"/>
      <c r="Y39" s="87"/>
      <c r="Z39" s="50"/>
      <c r="AA39" s="50"/>
      <c r="AC39"/>
      <c r="AD39"/>
      <c r="AE39"/>
      <c r="AF39"/>
      <c r="AG39"/>
      <c r="AH39"/>
      <c r="AK39" s="8"/>
      <c r="AL39" s="8"/>
    </row>
    <row r="40" spans="1:38" s="5" customFormat="1" ht="12.75">
      <c r="A40" s="15"/>
      <c r="B40" s="331"/>
      <c r="C40" s="138"/>
      <c r="D40" s="138"/>
      <c r="E40" s="137"/>
      <c r="F40" s="137" t="str">
        <f>F38</f>
        <v>INDHET</v>
      </c>
      <c r="G40" s="138"/>
      <c r="H40" s="143" t="s">
        <v>118</v>
      </c>
      <c r="I40" s="261" t="s">
        <v>506</v>
      </c>
      <c r="J40" s="165">
        <f>J39*J38/(1+J39*MAX(0,$U37))</f>
        <v>0.60997701770988233</v>
      </c>
      <c r="K40" s="165">
        <f>K39*K38/(1+K39*MAX(0,$U37))</f>
        <v>0.61069225496915702</v>
      </c>
      <c r="L40" s="165">
        <f>L39*L38/(1+L39*MAX(0,$U37))</f>
        <v>0.61401341334274617</v>
      </c>
      <c r="M40" s="165">
        <f>M39*M38/(1+M39*MAX(0,$U37))</f>
        <v>0.58955223880597019</v>
      </c>
      <c r="N40" s="329"/>
      <c r="O40" s="145"/>
      <c r="P40" s="143"/>
      <c r="Q40" s="143"/>
      <c r="R40" s="138"/>
      <c r="S40" s="137"/>
      <c r="T40" s="143"/>
      <c r="U40" s="143"/>
      <c r="V40" s="186"/>
      <c r="X40" s="87"/>
      <c r="Y40" s="87"/>
      <c r="Z40" s="50"/>
      <c r="AA40" s="50"/>
      <c r="AC40"/>
      <c r="AD40"/>
      <c r="AE40"/>
      <c r="AF40"/>
      <c r="AG40"/>
      <c r="AH40"/>
      <c r="AK40" s="8"/>
      <c r="AL40" s="8"/>
    </row>
    <row r="41" spans="1:38" s="5" customFormat="1" ht="12.75">
      <c r="A41" s="16"/>
      <c r="B41" s="326"/>
      <c r="C41" s="138" t="s">
        <v>542</v>
      </c>
      <c r="D41" s="138" t="s">
        <v>552</v>
      </c>
      <c r="E41" s="138" t="s">
        <v>519</v>
      </c>
      <c r="F41" s="138" t="s">
        <v>179</v>
      </c>
      <c r="G41" s="138"/>
      <c r="H41" s="144" t="s">
        <v>98</v>
      </c>
      <c r="I41" s="260"/>
      <c r="J41" s="145">
        <v>2.1080000000000001</v>
      </c>
      <c r="K41" s="138"/>
      <c r="L41" s="138"/>
      <c r="M41" s="138"/>
      <c r="N41" s="329"/>
      <c r="O41" s="145">
        <f ca="1">BaseYear+6</f>
        <v>2016</v>
      </c>
      <c r="P41" s="143">
        <f>3.6*8.76/1000</f>
        <v>3.1536000000000002E-2</v>
      </c>
      <c r="Q41" s="143">
        <v>0.75</v>
      </c>
      <c r="R41" s="138">
        <v>25</v>
      </c>
      <c r="S41" s="168">
        <v>9.1330698598239571E-2</v>
      </c>
      <c r="T41" s="161">
        <v>0.8805582398379318</v>
      </c>
      <c r="U41" s="143">
        <v>0.17</v>
      </c>
      <c r="V41" s="186">
        <v>1</v>
      </c>
      <c r="X41" s="86">
        <f>J42/((J43*$U41+1)/(1+J43))</f>
        <v>0.80163392073458917</v>
      </c>
      <c r="Y41" s="86">
        <f>K42/((K43*$U41+1)/(1+K43))</f>
        <v>0.81276100499760384</v>
      </c>
      <c r="Z41" s="86">
        <f>L42/((L43*$U41+1)/(1+L43))</f>
        <v>0.84027532650900094</v>
      </c>
      <c r="AA41" s="86">
        <f>M42/((M43*$U41+1)/(1+M43))</f>
        <v>0.87313432835820892</v>
      </c>
      <c r="AC41"/>
      <c r="AD41"/>
      <c r="AE41"/>
      <c r="AF41"/>
      <c r="AG41"/>
      <c r="AH41"/>
      <c r="AK41" s="8"/>
      <c r="AL41" s="8"/>
    </row>
    <row r="42" spans="1:38" s="5" customFormat="1" ht="12.75">
      <c r="A42" s="15"/>
      <c r="B42" s="331"/>
      <c r="C42" s="138"/>
      <c r="D42" s="138"/>
      <c r="E42" s="137" t="s">
        <v>131</v>
      </c>
      <c r="F42" s="137" t="s">
        <v>518</v>
      </c>
      <c r="G42" s="138" t="s">
        <v>603</v>
      </c>
      <c r="H42" s="144" t="s">
        <v>189</v>
      </c>
      <c r="I42" s="260"/>
      <c r="J42" s="138">
        <v>0.31</v>
      </c>
      <c r="K42" s="138">
        <v>0.32</v>
      </c>
      <c r="L42" s="138">
        <v>0.34499999999999997</v>
      </c>
      <c r="M42" s="169">
        <v>0.39</v>
      </c>
      <c r="N42" s="329"/>
      <c r="O42" s="145"/>
      <c r="P42" s="143"/>
      <c r="Q42" s="143"/>
      <c r="R42" s="138"/>
      <c r="S42" s="137"/>
      <c r="T42" s="143"/>
      <c r="U42" s="143"/>
      <c r="V42" s="186"/>
      <c r="X42" s="87"/>
      <c r="Y42" s="87"/>
      <c r="Z42" s="50"/>
      <c r="AA42" s="50"/>
      <c r="AC42"/>
      <c r="AD42"/>
      <c r="AE42"/>
      <c r="AF42"/>
      <c r="AG42"/>
      <c r="AH42"/>
      <c r="AK42" s="8"/>
      <c r="AL42" s="8"/>
    </row>
    <row r="43" spans="1:38" s="5" customFormat="1" ht="12.75">
      <c r="A43" s="15"/>
      <c r="B43" s="331"/>
      <c r="C43" s="138"/>
      <c r="D43" s="138"/>
      <c r="E43" s="137"/>
      <c r="F43" s="137"/>
      <c r="G43" s="138"/>
      <c r="H43" s="144" t="s">
        <v>387</v>
      </c>
      <c r="I43" s="261" t="s">
        <v>506</v>
      </c>
      <c r="J43" s="138">
        <v>2.83</v>
      </c>
      <c r="K43" s="138">
        <v>2.71</v>
      </c>
      <c r="L43" s="138">
        <v>2.4500000000000002</v>
      </c>
      <c r="M43" s="138">
        <v>2</v>
      </c>
      <c r="N43" s="329"/>
      <c r="O43" s="145"/>
      <c r="P43" s="143"/>
      <c r="Q43" s="143"/>
      <c r="R43" s="138"/>
      <c r="S43" s="137"/>
      <c r="T43" s="143"/>
      <c r="U43" s="143"/>
      <c r="V43" s="186"/>
      <c r="X43" s="87"/>
      <c r="Y43" s="87"/>
      <c r="Z43" s="50"/>
      <c r="AA43" s="50"/>
      <c r="AC43"/>
      <c r="AD43"/>
      <c r="AE43"/>
      <c r="AF43"/>
      <c r="AG43"/>
      <c r="AH43"/>
      <c r="AK43" s="8"/>
      <c r="AL43" s="8"/>
    </row>
    <row r="44" spans="1:38" s="5" customFormat="1" ht="12.75">
      <c r="A44" s="15"/>
      <c r="B44" s="331"/>
      <c r="C44" s="138"/>
      <c r="D44" s="138"/>
      <c r="E44" s="137"/>
      <c r="F44" s="137" t="str">
        <f>F42</f>
        <v>ISLP</v>
      </c>
      <c r="G44" s="138"/>
      <c r="H44" s="143" t="s">
        <v>118</v>
      </c>
      <c r="I44" s="261" t="s">
        <v>506</v>
      </c>
      <c r="J44" s="165">
        <f>J43*J42/(1+J43*MAX(0,$U41))</f>
        <v>0.59233002498143261</v>
      </c>
      <c r="K44" s="165">
        <f>K43*K42/(1+K43*MAX(0,$U41))</f>
        <v>0.59368795782843831</v>
      </c>
      <c r="L44" s="165">
        <f>L43*L42/(1+L43*MAX(0,$U41))</f>
        <v>0.59671726085421806</v>
      </c>
      <c r="M44" s="165">
        <f>M43*M42/(1+M43*MAX(0,$U41))</f>
        <v>0.58208955223880599</v>
      </c>
      <c r="N44" s="329"/>
      <c r="O44" s="145"/>
      <c r="P44" s="143"/>
      <c r="Q44" s="143"/>
      <c r="R44" s="138"/>
      <c r="S44" s="137"/>
      <c r="T44" s="143"/>
      <c r="U44" s="143"/>
      <c r="V44" s="186"/>
      <c r="X44" s="87"/>
      <c r="Y44" s="87"/>
      <c r="Z44" s="50"/>
      <c r="AA44" s="50"/>
      <c r="AC44"/>
      <c r="AD44"/>
      <c r="AE44"/>
      <c r="AF44"/>
      <c r="AG44"/>
      <c r="AH44"/>
      <c r="AK44" s="8"/>
      <c r="AL44" s="8"/>
    </row>
    <row r="45" spans="1:38" s="5" customFormat="1" ht="12.75">
      <c r="A45" s="16"/>
      <c r="B45" s="326"/>
      <c r="C45" s="138" t="s">
        <v>543</v>
      </c>
      <c r="D45" s="138" t="s">
        <v>553</v>
      </c>
      <c r="E45" s="138" t="s">
        <v>91</v>
      </c>
      <c r="F45" s="138" t="s">
        <v>179</v>
      </c>
      <c r="G45" s="138"/>
      <c r="H45" s="144" t="s">
        <v>98</v>
      </c>
      <c r="I45" s="260"/>
      <c r="J45" s="145">
        <v>3.72</v>
      </c>
      <c r="K45" s="138"/>
      <c r="L45" s="138"/>
      <c r="M45" s="138"/>
      <c r="N45" s="329"/>
      <c r="O45" s="145">
        <f ca="1">BaseYear+1</f>
        <v>2011</v>
      </c>
      <c r="P45" s="143">
        <f>3.6*8.76/1000</f>
        <v>3.1536000000000002E-2</v>
      </c>
      <c r="Q45" s="143">
        <v>0.75</v>
      </c>
      <c r="R45" s="138">
        <v>25</v>
      </c>
      <c r="S45" s="138">
        <v>0.16863999999999998</v>
      </c>
      <c r="T45" s="143">
        <v>0.31</v>
      </c>
      <c r="U45" s="143">
        <v>0.05</v>
      </c>
      <c r="V45" s="186">
        <v>1</v>
      </c>
      <c r="X45" s="86">
        <f>J46/((J47*$U45+1)/(1+J47))</f>
        <v>0.86045627376425848</v>
      </c>
      <c r="Y45" s="86">
        <f>K46/((K47*$U45+1)/(1+K47))</f>
        <v>0.86976744186046506</v>
      </c>
      <c r="Z45" s="86">
        <f>L46/((L47*$U45+1)/(1+L47))</f>
        <v>0.88571428571428568</v>
      </c>
      <c r="AA45" s="86">
        <f>M46/((M47*$U45+1)/(1+M47))</f>
        <v>0.91056910569105687</v>
      </c>
      <c r="AC45"/>
      <c r="AD45"/>
      <c r="AE45"/>
      <c r="AF45"/>
      <c r="AG45"/>
      <c r="AH45"/>
      <c r="AK45" s="8"/>
      <c r="AL45" s="8"/>
    </row>
    <row r="46" spans="1:38" s="5" customFormat="1" ht="12.75">
      <c r="A46" s="15"/>
      <c r="B46" s="331"/>
      <c r="C46" s="138"/>
      <c r="D46" s="138"/>
      <c r="E46" s="137"/>
      <c r="F46" s="138" t="s">
        <v>517</v>
      </c>
      <c r="G46" s="138" t="s">
        <v>603</v>
      </c>
      <c r="H46" s="144" t="s">
        <v>189</v>
      </c>
      <c r="I46" s="260"/>
      <c r="J46" s="138">
        <v>0.155</v>
      </c>
      <c r="K46" s="138">
        <v>0.16500000000000001</v>
      </c>
      <c r="L46" s="138">
        <v>0.18</v>
      </c>
      <c r="M46" s="138">
        <v>0.2</v>
      </c>
      <c r="N46" s="329"/>
      <c r="O46" s="145"/>
      <c r="P46" s="143"/>
      <c r="Q46" s="143"/>
      <c r="R46" s="138"/>
      <c r="S46" s="137"/>
      <c r="T46" s="143"/>
      <c r="U46" s="143"/>
      <c r="V46" s="186"/>
      <c r="X46" s="87"/>
      <c r="Y46" s="87"/>
      <c r="Z46" s="50"/>
      <c r="AA46" s="50"/>
      <c r="AC46"/>
      <c r="AD46"/>
      <c r="AE46"/>
      <c r="AF46"/>
      <c r="AG46"/>
      <c r="AH46"/>
      <c r="AK46" s="8"/>
      <c r="AL46" s="8"/>
    </row>
    <row r="47" spans="1:38" s="5" customFormat="1" ht="12.75">
      <c r="A47" s="15"/>
      <c r="B47" s="331"/>
      <c r="C47" s="138"/>
      <c r="D47" s="138"/>
      <c r="E47" s="137"/>
      <c r="F47" s="137"/>
      <c r="G47" s="138"/>
      <c r="H47" s="144" t="s">
        <v>387</v>
      </c>
      <c r="I47" s="261" t="s">
        <v>506</v>
      </c>
      <c r="J47" s="138">
        <v>6.3</v>
      </c>
      <c r="K47" s="138">
        <v>5.8</v>
      </c>
      <c r="L47" s="138">
        <v>5.2</v>
      </c>
      <c r="M47" s="138">
        <v>4.5999999999999996</v>
      </c>
      <c r="N47" s="329"/>
      <c r="O47" s="145"/>
      <c r="P47" s="143"/>
      <c r="Q47" s="143"/>
      <c r="R47" s="138"/>
      <c r="S47" s="137"/>
      <c r="T47" s="143"/>
      <c r="U47" s="143"/>
      <c r="V47" s="186"/>
      <c r="X47" s="87"/>
      <c r="Y47" s="87"/>
      <c r="Z47" s="50"/>
      <c r="AA47" s="50"/>
      <c r="AC47"/>
      <c r="AD47"/>
      <c r="AE47"/>
      <c r="AF47"/>
      <c r="AG47"/>
      <c r="AH47"/>
      <c r="AK47" s="8"/>
      <c r="AL47" s="8"/>
    </row>
    <row r="48" spans="1:38" s="5" customFormat="1" ht="12.75">
      <c r="A48" s="15"/>
      <c r="B48" s="331"/>
      <c r="C48" s="138"/>
      <c r="D48" s="138"/>
      <c r="E48" s="137"/>
      <c r="F48" s="137" t="str">
        <f>F46</f>
        <v>INDHET</v>
      </c>
      <c r="G48" s="138"/>
      <c r="H48" s="143" t="s">
        <v>118</v>
      </c>
      <c r="I48" s="261" t="s">
        <v>506</v>
      </c>
      <c r="J48" s="165">
        <f>J47*J46/(1+J47*MAX(0,$U45))</f>
        <v>0.7425855513307984</v>
      </c>
      <c r="K48" s="165">
        <f>K47*K46/(1+K47*MAX(0,$U45))</f>
        <v>0.74186046511627901</v>
      </c>
      <c r="L48" s="165">
        <f>L47*L46/(1+L47*MAX(0,$U45))</f>
        <v>0.74285714285714277</v>
      </c>
      <c r="M48" s="165">
        <f>M47*M46/(1+M47*MAX(0,$U45))</f>
        <v>0.74796747967479671</v>
      </c>
      <c r="N48" s="329"/>
      <c r="O48" s="145"/>
      <c r="P48" s="143"/>
      <c r="Q48" s="143"/>
      <c r="R48" s="138"/>
      <c r="S48" s="137"/>
      <c r="T48" s="143"/>
      <c r="U48" s="143"/>
      <c r="V48" s="186"/>
      <c r="X48" s="87"/>
      <c r="Y48" s="87"/>
      <c r="Z48" s="50"/>
      <c r="AA48" s="50"/>
      <c r="AC48"/>
      <c r="AD48"/>
      <c r="AE48"/>
      <c r="AF48"/>
      <c r="AG48"/>
      <c r="AH48"/>
      <c r="AK48" s="8"/>
      <c r="AL48" s="8"/>
    </row>
    <row r="49" spans="1:38" s="5" customFormat="1" ht="12.75">
      <c r="A49" s="16"/>
      <c r="B49" s="326"/>
      <c r="C49" s="138" t="s">
        <v>223</v>
      </c>
      <c r="D49" s="138" t="s">
        <v>224</v>
      </c>
      <c r="E49" s="138" t="s">
        <v>177</v>
      </c>
      <c r="F49" s="138" t="s">
        <v>179</v>
      </c>
      <c r="G49" s="138"/>
      <c r="H49" s="144" t="s">
        <v>98</v>
      </c>
      <c r="I49" s="260"/>
      <c r="J49" s="145">
        <v>0.81840000000000002</v>
      </c>
      <c r="K49" s="138"/>
      <c r="L49" s="138"/>
      <c r="M49" s="138"/>
      <c r="N49" s="329"/>
      <c r="O49" s="145">
        <f ca="1">BaseYear+6</f>
        <v>2016</v>
      </c>
      <c r="P49" s="143">
        <f>3.6*8.76/1000</f>
        <v>3.1536000000000002E-2</v>
      </c>
      <c r="Q49" s="143">
        <v>0.75</v>
      </c>
      <c r="R49" s="138">
        <v>25</v>
      </c>
      <c r="S49" s="138">
        <v>4.9599999999999998E-2</v>
      </c>
      <c r="T49" s="161">
        <v>0.52833494390275915</v>
      </c>
      <c r="U49" s="143">
        <v>0.1</v>
      </c>
      <c r="V49" s="186">
        <v>1</v>
      </c>
      <c r="X49" s="86">
        <f>J50/((J51*$U49+1)/(1+J51))</f>
        <v>0.85161725067385452</v>
      </c>
      <c r="Y49" s="86">
        <f>K50/((K51*$U49+1)/(1+K51))</f>
        <v>0.88231046931407942</v>
      </c>
      <c r="Z49" s="86">
        <f>L50/((L51*$U49+1)/(1+L51))</f>
        <v>0.89090909090909087</v>
      </c>
      <c r="AA49" s="86">
        <f>M50/((M51*$U49+1)/(1+M51))</f>
        <v>0.91428571428571415</v>
      </c>
      <c r="AC49"/>
      <c r="AD49"/>
      <c r="AE49"/>
      <c r="AF49"/>
      <c r="AG49"/>
      <c r="AH49"/>
      <c r="AK49" s="8"/>
      <c r="AL49" s="8"/>
    </row>
    <row r="50" spans="1:38" s="5" customFormat="1" ht="12.75">
      <c r="A50" s="15"/>
      <c r="B50" s="331"/>
      <c r="C50" s="138"/>
      <c r="D50" s="138"/>
      <c r="E50" s="137"/>
      <c r="F50" s="137" t="s">
        <v>44</v>
      </c>
      <c r="G50" s="138" t="s">
        <v>603</v>
      </c>
      <c r="H50" s="144" t="s">
        <v>189</v>
      </c>
      <c r="I50" s="260"/>
      <c r="J50" s="138">
        <v>0.44500000000000001</v>
      </c>
      <c r="K50" s="138">
        <v>0.47</v>
      </c>
      <c r="L50" s="138">
        <v>0.49</v>
      </c>
      <c r="M50" s="138">
        <v>0.52</v>
      </c>
      <c r="N50" s="329"/>
      <c r="O50" s="145"/>
      <c r="P50" s="143"/>
      <c r="Q50" s="143"/>
      <c r="R50" s="138"/>
      <c r="S50" s="137"/>
      <c r="T50" s="143"/>
      <c r="U50" s="143"/>
      <c r="V50" s="186"/>
      <c r="X50" s="87"/>
      <c r="Y50" s="87"/>
      <c r="Z50" s="50"/>
      <c r="AA50" s="50"/>
      <c r="AC50"/>
      <c r="AD50"/>
      <c r="AE50"/>
      <c r="AF50"/>
      <c r="AG50"/>
      <c r="AH50"/>
      <c r="AK50" s="8"/>
      <c r="AL50" s="8"/>
    </row>
    <row r="51" spans="1:38" s="5" customFormat="1" ht="12.75">
      <c r="A51" s="15"/>
      <c r="B51" s="331"/>
      <c r="C51" s="138"/>
      <c r="D51" s="138"/>
      <c r="E51" s="137"/>
      <c r="F51" s="137"/>
      <c r="G51" s="138"/>
      <c r="H51" s="144" t="s">
        <v>387</v>
      </c>
      <c r="I51" s="261" t="s">
        <v>506</v>
      </c>
      <c r="J51" s="138">
        <v>1.1299999999999999</v>
      </c>
      <c r="K51" s="138">
        <v>1.08</v>
      </c>
      <c r="L51" s="138">
        <v>1</v>
      </c>
      <c r="M51" s="138">
        <v>0.92</v>
      </c>
      <c r="N51" s="329"/>
      <c r="O51" s="145"/>
      <c r="P51" s="143"/>
      <c r="Q51" s="143"/>
      <c r="R51" s="138"/>
      <c r="S51" s="137"/>
      <c r="T51" s="143"/>
      <c r="U51" s="143"/>
      <c r="V51" s="186"/>
      <c r="X51" s="87"/>
      <c r="Y51" s="87"/>
      <c r="Z51" s="50"/>
      <c r="AA51" s="50"/>
      <c r="AC51"/>
      <c r="AD51"/>
      <c r="AE51"/>
      <c r="AF51"/>
      <c r="AG51"/>
      <c r="AH51"/>
      <c r="AK51" s="8"/>
      <c r="AL51" s="8"/>
    </row>
    <row r="52" spans="1:38" s="5" customFormat="1" ht="12.75">
      <c r="A52" s="15"/>
      <c r="B52" s="331"/>
      <c r="C52" s="138"/>
      <c r="D52" s="138"/>
      <c r="E52" s="137"/>
      <c r="F52" s="137" t="str">
        <f>F50</f>
        <v>ISCH</v>
      </c>
      <c r="G52" s="138"/>
      <c r="H52" s="143" t="s">
        <v>118</v>
      </c>
      <c r="I52" s="261" t="s">
        <v>506</v>
      </c>
      <c r="J52" s="165">
        <f>J51*J50/(1+J51*MAX(0,$U49))</f>
        <v>0.45179694519317154</v>
      </c>
      <c r="K52" s="165">
        <f>K51*K50/(1+K51*MAX(0,$U49))</f>
        <v>0.45812274368231048</v>
      </c>
      <c r="L52" s="165">
        <f>L51*L50/(1+L51*MAX(0,$U49))</f>
        <v>0.44545454545454544</v>
      </c>
      <c r="M52" s="165">
        <f>M51*M50/(1+M51*MAX(0,$U49))</f>
        <v>0.43809523809523809</v>
      </c>
      <c r="N52" s="329"/>
      <c r="O52" s="145"/>
      <c r="P52" s="143"/>
      <c r="Q52" s="143"/>
      <c r="R52" s="138"/>
      <c r="S52" s="137"/>
      <c r="T52" s="143"/>
      <c r="U52" s="143"/>
      <c r="V52" s="186"/>
      <c r="X52" s="87"/>
      <c r="Y52" s="87"/>
      <c r="Z52" s="50"/>
      <c r="AA52" s="50"/>
      <c r="AC52"/>
      <c r="AD52"/>
      <c r="AE52"/>
      <c r="AF52"/>
      <c r="AG52"/>
      <c r="AH52"/>
      <c r="AK52" s="8"/>
      <c r="AL52" s="8"/>
    </row>
    <row r="53" spans="1:38" s="5" customFormat="1" ht="12.75">
      <c r="A53" s="16"/>
      <c r="B53" s="326"/>
      <c r="C53" s="138" t="s">
        <v>225</v>
      </c>
      <c r="D53" s="138" t="s">
        <v>226</v>
      </c>
      <c r="E53" s="138" t="s">
        <v>177</v>
      </c>
      <c r="F53" s="138" t="s">
        <v>179</v>
      </c>
      <c r="G53" s="138"/>
      <c r="H53" s="144" t="s">
        <v>98</v>
      </c>
      <c r="I53" s="260"/>
      <c r="J53" s="145">
        <v>1.5871999999999999</v>
      </c>
      <c r="K53" s="138">
        <v>1.4012</v>
      </c>
      <c r="L53" s="167">
        <v>0.90243332702692269</v>
      </c>
      <c r="M53" s="167">
        <v>0.76706832797288427</v>
      </c>
      <c r="N53" s="329"/>
      <c r="O53" s="145">
        <v>2020</v>
      </c>
      <c r="P53" s="143">
        <f>3.6*8.76/1000</f>
        <v>3.1536000000000002E-2</v>
      </c>
      <c r="Q53" s="143">
        <v>0.75</v>
      </c>
      <c r="R53" s="138">
        <v>25</v>
      </c>
      <c r="S53" s="138">
        <v>5.5799999999999995E-2</v>
      </c>
      <c r="T53" s="161">
        <v>0.52833494390275915</v>
      </c>
      <c r="U53" s="143">
        <v>0.1</v>
      </c>
      <c r="V53" s="186">
        <v>1</v>
      </c>
      <c r="X53" s="86">
        <f>J54/((J55*$U53+1)/(1+J55))</f>
        <v>0.74850136239782006</v>
      </c>
      <c r="Y53" s="86">
        <f>K54/((K55*$U53+1)/(1+K55))</f>
        <v>0.8162757934863677</v>
      </c>
      <c r="Z53" s="86">
        <f>L54/((L55*$U53+1)/(1+L55))</f>
        <v>0.82458866544789755</v>
      </c>
      <c r="AA53" s="86">
        <f>M54/((M55*$U53+1)/(1+M55))</f>
        <v>0.83805147058823515</v>
      </c>
      <c r="AC53"/>
      <c r="AD53"/>
      <c r="AE53"/>
      <c r="AF53"/>
      <c r="AG53"/>
      <c r="AH53"/>
      <c r="AK53" s="8"/>
      <c r="AL53" s="8"/>
    </row>
    <row r="54" spans="1:38" s="5" customFormat="1" ht="12.75">
      <c r="A54" s="15"/>
      <c r="B54" s="331"/>
      <c r="C54" s="138"/>
      <c r="D54" s="138"/>
      <c r="E54" s="137"/>
      <c r="F54" s="137" t="s">
        <v>44</v>
      </c>
      <c r="G54" s="138" t="s">
        <v>603</v>
      </c>
      <c r="H54" s="144" t="s">
        <v>189</v>
      </c>
      <c r="I54" s="260"/>
      <c r="J54" s="138">
        <v>0.41</v>
      </c>
      <c r="K54" s="169">
        <f>1/2.2</f>
        <v>0.45454545454545453</v>
      </c>
      <c r="L54" s="169">
        <v>0.46500000000000002</v>
      </c>
      <c r="M54" s="169">
        <v>0.48499999999999999</v>
      </c>
      <c r="N54" s="329"/>
      <c r="O54" s="145"/>
      <c r="P54" s="143"/>
      <c r="Q54" s="143"/>
      <c r="R54" s="138"/>
      <c r="S54" s="137"/>
      <c r="T54" s="143"/>
      <c r="U54" s="143"/>
      <c r="V54" s="186"/>
      <c r="X54" s="87"/>
      <c r="Y54" s="87"/>
      <c r="Z54" s="50"/>
      <c r="AA54" s="50"/>
      <c r="AC54"/>
      <c r="AD54"/>
      <c r="AE54"/>
      <c r="AF54"/>
      <c r="AG54"/>
      <c r="AH54"/>
      <c r="AK54" s="8"/>
      <c r="AL54" s="8"/>
    </row>
    <row r="55" spans="1:38" s="5" customFormat="1" ht="12.75">
      <c r="A55" s="15"/>
      <c r="B55" s="331"/>
      <c r="C55" s="138"/>
      <c r="D55" s="138"/>
      <c r="E55" s="137"/>
      <c r="F55" s="137"/>
      <c r="G55" s="138"/>
      <c r="H55" s="144" t="s">
        <v>387</v>
      </c>
      <c r="I55" s="261" t="s">
        <v>506</v>
      </c>
      <c r="J55" s="138">
        <v>1.01</v>
      </c>
      <c r="K55" s="138">
        <v>0.97</v>
      </c>
      <c r="L55" s="138">
        <v>0.94</v>
      </c>
      <c r="M55" s="138">
        <v>0.88</v>
      </c>
      <c r="N55" s="329"/>
      <c r="O55" s="145"/>
      <c r="P55" s="143"/>
      <c r="Q55" s="143"/>
      <c r="R55" s="138"/>
      <c r="S55" s="137"/>
      <c r="T55" s="143"/>
      <c r="U55" s="143"/>
      <c r="V55" s="186"/>
      <c r="X55" s="87"/>
      <c r="Y55" s="87"/>
      <c r="Z55" s="50"/>
      <c r="AA55" s="50"/>
      <c r="AC55"/>
      <c r="AD55"/>
      <c r="AE55"/>
      <c r="AF55"/>
      <c r="AG55"/>
      <c r="AH55"/>
      <c r="AK55" s="8"/>
      <c r="AL55" s="8"/>
    </row>
    <row r="56" spans="1:38" s="5" customFormat="1" ht="12.75">
      <c r="A56" s="15"/>
      <c r="B56" s="331"/>
      <c r="C56" s="138"/>
      <c r="D56" s="138"/>
      <c r="E56" s="137"/>
      <c r="F56" s="137" t="str">
        <f>F54</f>
        <v>ISCH</v>
      </c>
      <c r="G56" s="138"/>
      <c r="H56" s="143" t="s">
        <v>118</v>
      </c>
      <c r="I56" s="261" t="s">
        <v>506</v>
      </c>
      <c r="J56" s="165">
        <f>J55*J54/(1+J55*MAX(0,$U53))</f>
        <v>0.37611262488646685</v>
      </c>
      <c r="K56" s="165">
        <f>K55*K54/(1+K55*MAX(0,$U53))</f>
        <v>0.40192259882323689</v>
      </c>
      <c r="L56" s="165">
        <f>L55*L54/(1+L55*MAX(0,$U53))</f>
        <v>0.39954296160877512</v>
      </c>
      <c r="M56" s="165">
        <f>M55*M54/(1+M55*MAX(0,$U53))</f>
        <v>0.39227941176470588</v>
      </c>
      <c r="N56" s="329"/>
      <c r="O56" s="145"/>
      <c r="P56" s="143"/>
      <c r="Q56" s="143"/>
      <c r="R56" s="138"/>
      <c r="S56" s="137"/>
      <c r="T56" s="143"/>
      <c r="U56" s="143"/>
      <c r="V56" s="186"/>
      <c r="X56" s="87"/>
      <c r="Y56" s="87"/>
      <c r="Z56" s="50"/>
      <c r="AA56" s="50"/>
      <c r="AC56"/>
      <c r="AD56"/>
      <c r="AE56"/>
      <c r="AF56"/>
      <c r="AG56"/>
      <c r="AH56"/>
      <c r="AK56" s="8"/>
      <c r="AL56" s="8"/>
    </row>
    <row r="57" spans="1:38" s="5" customFormat="1" ht="12.75">
      <c r="A57" s="15"/>
      <c r="B57" s="331"/>
      <c r="C57" s="138"/>
      <c r="D57" s="138"/>
      <c r="E57" s="137"/>
      <c r="F57" s="137" t="s">
        <v>194</v>
      </c>
      <c r="G57" s="138" t="s">
        <v>177</v>
      </c>
      <c r="H57" s="144" t="s">
        <v>195</v>
      </c>
      <c r="I57" s="260"/>
      <c r="J57" s="138"/>
      <c r="K57" s="335">
        <f>55.8*0.9</f>
        <v>50.22</v>
      </c>
      <c r="L57" s="138"/>
      <c r="M57" s="138"/>
      <c r="N57" s="329"/>
      <c r="O57" s="145"/>
      <c r="P57" s="143"/>
      <c r="Q57" s="143"/>
      <c r="R57" s="138"/>
      <c r="S57" s="137"/>
      <c r="T57" s="143"/>
      <c r="U57" s="143"/>
      <c r="V57" s="186"/>
      <c r="X57" s="87"/>
      <c r="Y57" s="87"/>
      <c r="Z57" s="50"/>
      <c r="AA57" s="50"/>
      <c r="AC57"/>
      <c r="AD57"/>
      <c r="AE57"/>
      <c r="AF57"/>
      <c r="AG57"/>
      <c r="AH57"/>
      <c r="AK57" s="8"/>
      <c r="AL57" s="8"/>
    </row>
    <row r="58" spans="1:38" s="5" customFormat="1" ht="12.75">
      <c r="A58" s="16"/>
      <c r="B58" s="326"/>
      <c r="C58" s="138" t="s">
        <v>227</v>
      </c>
      <c r="D58" s="138" t="s">
        <v>228</v>
      </c>
      <c r="E58" s="138" t="s">
        <v>35</v>
      </c>
      <c r="F58" s="138" t="s">
        <v>179</v>
      </c>
      <c r="G58" s="138"/>
      <c r="H58" s="144" t="s">
        <v>98</v>
      </c>
      <c r="I58" s="260"/>
      <c r="J58" s="145">
        <v>0.99199999999999999</v>
      </c>
      <c r="K58" s="138"/>
      <c r="L58" s="138"/>
      <c r="M58" s="138"/>
      <c r="N58" s="329"/>
      <c r="O58" s="145">
        <f ca="1">BaseYear+1</f>
        <v>2011</v>
      </c>
      <c r="P58" s="143">
        <f>3.6*8.76/1000</f>
        <v>3.1536000000000002E-2</v>
      </c>
      <c r="Q58" s="143">
        <v>0.75</v>
      </c>
      <c r="R58" s="138">
        <v>25</v>
      </c>
      <c r="S58" s="138">
        <v>5.5799999999999995E-2</v>
      </c>
      <c r="T58" s="161">
        <v>0.52833494390275915</v>
      </c>
      <c r="U58" s="143">
        <v>0.1</v>
      </c>
      <c r="V58" s="186">
        <v>1</v>
      </c>
      <c r="X58" s="86">
        <f>J59/((J60*$U58+1)/(1+J60))</f>
        <v>0.81899365367180432</v>
      </c>
      <c r="Y58" s="86">
        <f>K59/((K60*$U58+1)/(1+K60))</f>
        <v>0.83636363636363631</v>
      </c>
      <c r="Z58" s="86">
        <f>L59/((L60*$U58+1)/(1+L60))</f>
        <v>0.85479452054794514</v>
      </c>
      <c r="AA58" s="86">
        <f>M59/((M60*$U58+1)/(1+M60))</f>
        <v>0.8851239669421489</v>
      </c>
      <c r="AC58"/>
      <c r="AD58"/>
      <c r="AE58"/>
      <c r="AF58"/>
      <c r="AG58"/>
      <c r="AH58"/>
      <c r="AK58" s="8"/>
      <c r="AL58" s="8"/>
    </row>
    <row r="59" spans="1:38" s="5" customFormat="1" ht="12.75">
      <c r="A59" s="15"/>
      <c r="B59" s="331"/>
      <c r="C59" s="138"/>
      <c r="D59" s="138"/>
      <c r="E59" s="137"/>
      <c r="F59" s="137" t="s">
        <v>171</v>
      </c>
      <c r="G59" s="138" t="s">
        <v>603</v>
      </c>
      <c r="H59" s="144" t="s">
        <v>189</v>
      </c>
      <c r="I59" s="260"/>
      <c r="J59" s="138">
        <v>0.44500000000000001</v>
      </c>
      <c r="K59" s="138">
        <v>0.46</v>
      </c>
      <c r="L59" s="138">
        <v>0.48</v>
      </c>
      <c r="M59" s="138">
        <v>0.51</v>
      </c>
      <c r="N59" s="329"/>
      <c r="O59" s="145"/>
      <c r="P59" s="143"/>
      <c r="Q59" s="143"/>
      <c r="R59" s="138"/>
      <c r="S59" s="137"/>
      <c r="T59" s="143"/>
      <c r="U59" s="143"/>
      <c r="V59" s="186"/>
      <c r="X59" s="87"/>
      <c r="Y59" s="87"/>
      <c r="Z59" s="50"/>
      <c r="AA59" s="50"/>
      <c r="AC59"/>
      <c r="AD59"/>
      <c r="AE59"/>
      <c r="AF59"/>
      <c r="AG59"/>
      <c r="AH59"/>
      <c r="AK59" s="8"/>
      <c r="AL59" s="8"/>
    </row>
    <row r="60" spans="1:38" s="5" customFormat="1" ht="12.75">
      <c r="A60" s="15"/>
      <c r="B60" s="331"/>
      <c r="C60" s="138"/>
      <c r="D60" s="138"/>
      <c r="E60" s="137"/>
      <c r="F60" s="137"/>
      <c r="G60" s="138"/>
      <c r="H60" s="144" t="s">
        <v>387</v>
      </c>
      <c r="I60" s="261" t="s">
        <v>506</v>
      </c>
      <c r="J60" s="138">
        <v>1.03</v>
      </c>
      <c r="K60" s="138">
        <v>1</v>
      </c>
      <c r="L60" s="138">
        <v>0.95</v>
      </c>
      <c r="M60" s="138">
        <v>0.89</v>
      </c>
      <c r="N60" s="329"/>
      <c r="O60" s="145"/>
      <c r="P60" s="143"/>
      <c r="Q60" s="143"/>
      <c r="R60" s="138"/>
      <c r="S60" s="137"/>
      <c r="T60" s="143"/>
      <c r="U60" s="143"/>
      <c r="V60" s="186"/>
      <c r="X60" s="87"/>
      <c r="Y60" s="87"/>
      <c r="Z60" s="50"/>
      <c r="AA60" s="50"/>
      <c r="AC60"/>
      <c r="AD60"/>
      <c r="AE60"/>
      <c r="AF60"/>
      <c r="AG60"/>
      <c r="AH60"/>
      <c r="AK60" s="8"/>
      <c r="AL60" s="8"/>
    </row>
    <row r="61" spans="1:38" s="5" customFormat="1" ht="12.75">
      <c r="A61" s="15"/>
      <c r="B61" s="331"/>
      <c r="C61" s="138"/>
      <c r="D61" s="138"/>
      <c r="E61" s="137"/>
      <c r="F61" s="137" t="str">
        <f>F59</f>
        <v>ISIS</v>
      </c>
      <c r="G61" s="138"/>
      <c r="H61" s="143" t="s">
        <v>118</v>
      </c>
      <c r="I61" s="261" t="s">
        <v>506</v>
      </c>
      <c r="J61" s="165">
        <f>J60*J59/(1+J60*MAX(0,$U58))</f>
        <v>0.41554850407978244</v>
      </c>
      <c r="K61" s="165">
        <f>K60*K59/(1+K60*MAX(0,$U58))</f>
        <v>0.41818181818181815</v>
      </c>
      <c r="L61" s="165">
        <f>L60*L59/(1+L60*MAX(0,$U58))</f>
        <v>0.41643835616438352</v>
      </c>
      <c r="M61" s="165">
        <f>M60*M59/(1+M60*MAX(0,$U58))</f>
        <v>0.41680440771349864</v>
      </c>
      <c r="N61" s="329"/>
      <c r="O61" s="145"/>
      <c r="P61" s="143"/>
      <c r="Q61" s="143"/>
      <c r="R61" s="138"/>
      <c r="S61" s="137"/>
      <c r="T61" s="143"/>
      <c r="U61" s="143"/>
      <c r="V61" s="186"/>
      <c r="X61" s="87"/>
      <c r="Y61" s="87"/>
      <c r="Z61" s="50"/>
      <c r="AA61" s="50"/>
      <c r="AC61"/>
      <c r="AD61"/>
      <c r="AE61"/>
      <c r="AF61"/>
      <c r="AG61"/>
      <c r="AH61"/>
      <c r="AK61" s="8"/>
      <c r="AL61" s="8"/>
    </row>
    <row r="62" spans="1:38" s="5" customFormat="1" ht="12.75">
      <c r="A62" s="16"/>
      <c r="B62" s="326"/>
      <c r="C62" s="138" t="s">
        <v>125</v>
      </c>
      <c r="D62" s="138" t="s">
        <v>229</v>
      </c>
      <c r="E62" s="138" t="s">
        <v>623</v>
      </c>
      <c r="F62" s="138" t="s">
        <v>179</v>
      </c>
      <c r="G62" s="138"/>
      <c r="H62" s="144" t="s">
        <v>98</v>
      </c>
      <c r="I62" s="260"/>
      <c r="J62" s="160">
        <v>1.6017336253535568</v>
      </c>
      <c r="K62" s="138"/>
      <c r="L62" s="138"/>
      <c r="M62" s="138"/>
      <c r="N62" s="329"/>
      <c r="O62" s="145">
        <f ca="1">BaseYear+1</f>
        <v>2011</v>
      </c>
      <c r="P62" s="143">
        <f>3.6*8.76/1000</f>
        <v>3.1536000000000002E-2</v>
      </c>
      <c r="Q62" s="143">
        <v>0.75</v>
      </c>
      <c r="R62" s="138">
        <v>25</v>
      </c>
      <c r="S62" s="168">
        <v>6.9396323990432288E-2</v>
      </c>
      <c r="T62" s="161">
        <v>0.8805582398379318</v>
      </c>
      <c r="U62" s="143">
        <v>0.17</v>
      </c>
      <c r="V62" s="186">
        <v>1</v>
      </c>
      <c r="X62" s="86">
        <f>J63/((J64*$U62+1)/(1+J64))</f>
        <v>0.81750433275563261</v>
      </c>
      <c r="Y62" s="86">
        <f>K63/((K64*$U62+1)/(1+K64))</f>
        <v>0.82856251948861859</v>
      </c>
      <c r="Z62" s="88">
        <f>L63/((L64*$U62+1)/(1+L64))</f>
        <v>0.84768211920529801</v>
      </c>
      <c r="AA62" s="86">
        <f>M63/((M64*$U62+1)/(1+M64))</f>
        <v>0.88348579682233985</v>
      </c>
      <c r="AC62"/>
      <c r="AD62"/>
      <c r="AE62"/>
      <c r="AF62"/>
      <c r="AG62"/>
      <c r="AH62"/>
      <c r="AK62" s="8"/>
      <c r="AL62" s="8"/>
    </row>
    <row r="63" spans="1:38" s="5" customFormat="1" ht="12.75">
      <c r="A63" s="15"/>
      <c r="B63" s="331"/>
      <c r="C63" s="138"/>
      <c r="D63" s="138"/>
      <c r="E63" s="137"/>
      <c r="F63" s="137" t="s">
        <v>518</v>
      </c>
      <c r="G63" s="138" t="s">
        <v>603</v>
      </c>
      <c r="H63" s="144" t="s">
        <v>189</v>
      </c>
      <c r="I63" s="260"/>
      <c r="J63" s="138">
        <v>0.26700000000000002</v>
      </c>
      <c r="K63" s="138">
        <v>0.29199999999999998</v>
      </c>
      <c r="L63" s="138">
        <v>0.32</v>
      </c>
      <c r="M63" s="169">
        <v>0.35</v>
      </c>
      <c r="N63" s="329"/>
      <c r="O63" s="145"/>
      <c r="P63" s="143"/>
      <c r="Q63" s="143"/>
      <c r="R63" s="138"/>
      <c r="S63" s="347"/>
      <c r="T63" s="143"/>
      <c r="U63" s="143"/>
      <c r="V63" s="186"/>
      <c r="X63" s="87"/>
      <c r="Y63" s="87"/>
      <c r="Z63" s="50"/>
      <c r="AA63" s="50"/>
      <c r="AC63"/>
      <c r="AD63"/>
      <c r="AE63"/>
      <c r="AF63"/>
      <c r="AG63"/>
      <c r="AH63"/>
      <c r="AK63" s="8"/>
      <c r="AL63" s="8"/>
    </row>
    <row r="64" spans="1:38" s="5" customFormat="1" ht="12.75">
      <c r="A64" s="15"/>
      <c r="B64" s="331"/>
      <c r="C64" s="138"/>
      <c r="D64" s="138"/>
      <c r="E64" s="137"/>
      <c r="F64" s="137"/>
      <c r="G64" s="138"/>
      <c r="H64" s="144" t="s">
        <v>387</v>
      </c>
      <c r="I64" s="261" t="s">
        <v>506</v>
      </c>
      <c r="J64" s="138">
        <v>4.3</v>
      </c>
      <c r="K64" s="138">
        <v>3.55</v>
      </c>
      <c r="L64" s="138">
        <v>3</v>
      </c>
      <c r="M64" s="138">
        <v>2.67</v>
      </c>
      <c r="N64" s="329"/>
      <c r="O64" s="145"/>
      <c r="P64" s="143"/>
      <c r="Q64" s="143"/>
      <c r="R64" s="138"/>
      <c r="S64" s="347"/>
      <c r="T64" s="143"/>
      <c r="U64" s="143"/>
      <c r="V64" s="186"/>
      <c r="X64" s="87"/>
      <c r="Y64" s="87"/>
      <c r="Z64" s="50"/>
      <c r="AA64" s="50"/>
      <c r="AC64"/>
      <c r="AD64"/>
      <c r="AE64"/>
      <c r="AF64"/>
      <c r="AG64"/>
      <c r="AH64"/>
      <c r="AK64" s="8"/>
      <c r="AL64" s="8"/>
    </row>
    <row r="65" spans="1:38" s="5" customFormat="1" ht="12.75">
      <c r="A65" s="15"/>
      <c r="B65" s="331"/>
      <c r="C65" s="138"/>
      <c r="D65" s="138"/>
      <c r="E65" s="137"/>
      <c r="F65" s="137" t="str">
        <f>F63</f>
        <v>ISLP</v>
      </c>
      <c r="G65" s="138"/>
      <c r="H65" s="143" t="s">
        <v>118</v>
      </c>
      <c r="I65" s="261" t="s">
        <v>506</v>
      </c>
      <c r="J65" s="165">
        <f>J64*J63/(1+J64*MAX(0,$U62))</f>
        <v>0.66325823223570202</v>
      </c>
      <c r="K65" s="165">
        <f>K64*K63/(1+K64*MAX(0,$U62))</f>
        <v>0.64646086685375737</v>
      </c>
      <c r="L65" s="165">
        <f>L64*L63/(1+L64*MAX(0,$U62))</f>
        <v>0.63576158940397354</v>
      </c>
      <c r="M65" s="165">
        <f>M64*M63/(1+M64*MAX(0,$U62))</f>
        <v>0.64275397207510832</v>
      </c>
      <c r="N65" s="329"/>
      <c r="O65" s="145"/>
      <c r="P65" s="143"/>
      <c r="Q65" s="143"/>
      <c r="R65" s="138"/>
      <c r="S65" s="347"/>
      <c r="T65" s="143"/>
      <c r="U65" s="143"/>
      <c r="V65" s="186"/>
      <c r="X65" s="87"/>
      <c r="Y65" s="87"/>
      <c r="Z65" s="50"/>
      <c r="AA65" s="50"/>
      <c r="AC65"/>
      <c r="AD65"/>
      <c r="AE65"/>
      <c r="AF65"/>
      <c r="AG65"/>
      <c r="AH65"/>
      <c r="AK65" s="8"/>
      <c r="AL65" s="8"/>
    </row>
    <row r="66" spans="1:38" s="5" customFormat="1" ht="12.75">
      <c r="A66" s="15"/>
      <c r="B66" s="331"/>
      <c r="C66" s="138" t="s">
        <v>92</v>
      </c>
      <c r="D66" s="138" t="s">
        <v>93</v>
      </c>
      <c r="E66" s="138" t="s">
        <v>623</v>
      </c>
      <c r="F66" s="138" t="s">
        <v>179</v>
      </c>
      <c r="G66" s="138"/>
      <c r="H66" s="144" t="s">
        <v>98</v>
      </c>
      <c r="I66" s="260"/>
      <c r="J66" s="160">
        <v>3.2137336253535564</v>
      </c>
      <c r="K66" s="138"/>
      <c r="L66" s="138"/>
      <c r="M66" s="138"/>
      <c r="N66" s="329"/>
      <c r="O66" s="145">
        <v>2030</v>
      </c>
      <c r="P66" s="143">
        <f>3.6*8.76/1000</f>
        <v>3.1536000000000002E-2</v>
      </c>
      <c r="Q66" s="143">
        <v>0.75</v>
      </c>
      <c r="R66" s="138">
        <v>25</v>
      </c>
      <c r="S66" s="168">
        <v>0.12519632399043229</v>
      </c>
      <c r="T66" s="161">
        <v>2.7157582398379319</v>
      </c>
      <c r="U66" s="143">
        <v>0.2</v>
      </c>
      <c r="V66" s="186">
        <v>1</v>
      </c>
      <c r="X66" s="86">
        <f>J67/((J68*$U66+1)/(1+J68))</f>
        <v>0.56494465965688989</v>
      </c>
      <c r="Y66" s="86">
        <f>K67/((K68*$U66+1)/(1+K68))</f>
        <v>0.56494465965688989</v>
      </c>
      <c r="Z66" s="88">
        <f>L67/((L68*$U66+1)/(1+L68))</f>
        <v>0.59785714285714298</v>
      </c>
      <c r="AA66" s="86">
        <f>M67/((M68*$U66+1)/(1+M68))</f>
        <v>0.65144927536231889</v>
      </c>
      <c r="AC66"/>
      <c r="AD66"/>
      <c r="AE66"/>
      <c r="AF66"/>
      <c r="AG66"/>
      <c r="AH66"/>
      <c r="AK66" s="8"/>
      <c r="AL66" s="8"/>
    </row>
    <row r="67" spans="1:38" s="5" customFormat="1" ht="12.75">
      <c r="A67" s="15"/>
      <c r="B67" s="331"/>
      <c r="C67" s="138"/>
      <c r="D67" s="138"/>
      <c r="E67" s="137"/>
      <c r="F67" s="137" t="s">
        <v>518</v>
      </c>
      <c r="G67" s="138" t="s">
        <v>603</v>
      </c>
      <c r="H67" s="144" t="s">
        <v>189</v>
      </c>
      <c r="I67" s="260"/>
      <c r="J67" s="138">
        <v>0.253</v>
      </c>
      <c r="K67" s="138">
        <f>J67</f>
        <v>0.253</v>
      </c>
      <c r="L67" s="169">
        <v>0.27900000000000003</v>
      </c>
      <c r="M67" s="138">
        <v>0.31</v>
      </c>
      <c r="N67" s="329"/>
      <c r="O67" s="145"/>
      <c r="P67" s="143"/>
      <c r="Q67" s="143"/>
      <c r="R67" s="138"/>
      <c r="S67" s="347"/>
      <c r="T67" s="143"/>
      <c r="U67" s="143"/>
      <c r="V67" s="186"/>
      <c r="X67" s="87"/>
      <c r="Y67" s="87"/>
      <c r="Z67" s="50"/>
      <c r="AA67" s="50"/>
      <c r="AC67"/>
      <c r="AD67"/>
      <c r="AE67"/>
      <c r="AF67"/>
      <c r="AG67"/>
      <c r="AH67"/>
      <c r="AK67" s="8"/>
      <c r="AL67" s="8"/>
    </row>
    <row r="68" spans="1:38" s="5" customFormat="1" ht="12.75">
      <c r="A68" s="15"/>
      <c r="B68" s="331"/>
      <c r="C68" s="138"/>
      <c r="D68" s="138"/>
      <c r="E68" s="137"/>
      <c r="F68" s="137"/>
      <c r="G68" s="138"/>
      <c r="H68" s="144" t="s">
        <v>387</v>
      </c>
      <c r="I68" s="261" t="s">
        <v>506</v>
      </c>
      <c r="J68" s="138">
        <v>2.2280000000000002</v>
      </c>
      <c r="K68" s="138">
        <f>J68</f>
        <v>2.2280000000000002</v>
      </c>
      <c r="L68" s="138">
        <v>2</v>
      </c>
      <c r="M68" s="138">
        <v>1.9</v>
      </c>
      <c r="N68" s="329"/>
      <c r="O68" s="145"/>
      <c r="P68" s="143"/>
      <c r="Q68" s="143"/>
      <c r="R68" s="138"/>
      <c r="S68" s="347"/>
      <c r="T68" s="143"/>
      <c r="U68" s="143"/>
      <c r="V68" s="186"/>
      <c r="X68" s="87"/>
      <c r="Y68" s="87"/>
      <c r="Z68" s="50"/>
      <c r="AA68" s="50"/>
      <c r="AC68"/>
      <c r="AD68"/>
      <c r="AE68"/>
      <c r="AF68"/>
      <c r="AG68"/>
      <c r="AH68"/>
      <c r="AK68" s="8"/>
      <c r="AL68" s="8"/>
    </row>
    <row r="69" spans="1:38" s="5" customFormat="1" ht="12.75">
      <c r="A69" s="15"/>
      <c r="B69" s="331"/>
      <c r="C69" s="138"/>
      <c r="D69" s="138"/>
      <c r="E69" s="137"/>
      <c r="F69" s="137" t="str">
        <f>F67</f>
        <v>ISLP</v>
      </c>
      <c r="G69" s="138"/>
      <c r="H69" s="143" t="s">
        <v>118</v>
      </c>
      <c r="I69" s="261" t="s">
        <v>506</v>
      </c>
      <c r="J69" s="165">
        <f>J68*J67/(1+J68*MAX(0,$U66))</f>
        <v>0.38993082457111239</v>
      </c>
      <c r="K69" s="165">
        <f>K68*K67/(1+K68*MAX(0,$U66))</f>
        <v>0.38993082457111239</v>
      </c>
      <c r="L69" s="165">
        <f>L68*L67/(1+L68*MAX(0,$U66))</f>
        <v>0.39857142857142863</v>
      </c>
      <c r="M69" s="165">
        <f>M68*M67/(1+M68*MAX(0,$U66))</f>
        <v>0.42681159420289855</v>
      </c>
      <c r="N69" s="329"/>
      <c r="O69" s="145"/>
      <c r="P69" s="143"/>
      <c r="Q69" s="143"/>
      <c r="R69" s="138"/>
      <c r="S69" s="347"/>
      <c r="T69" s="143"/>
      <c r="U69" s="143"/>
      <c r="V69" s="186"/>
      <c r="X69" s="87"/>
      <c r="Y69" s="87"/>
      <c r="Z69" s="50"/>
      <c r="AA69" s="50"/>
      <c r="AC69"/>
      <c r="AD69"/>
      <c r="AE69"/>
      <c r="AF69"/>
      <c r="AG69"/>
      <c r="AH69"/>
      <c r="AK69" s="8"/>
      <c r="AL69" s="8"/>
    </row>
    <row r="70" spans="1:38" s="5" customFormat="1" ht="12.75">
      <c r="A70" s="15"/>
      <c r="B70" s="331"/>
      <c r="C70" s="138"/>
      <c r="D70" s="138"/>
      <c r="E70" s="137"/>
      <c r="F70" s="137" t="s">
        <v>495</v>
      </c>
      <c r="G70" s="138" t="s">
        <v>623</v>
      </c>
      <c r="H70" s="144" t="s">
        <v>195</v>
      </c>
      <c r="I70" s="260"/>
      <c r="J70" s="138">
        <v>0</v>
      </c>
      <c r="K70" s="138">
        <v>90</v>
      </c>
      <c r="L70" s="138"/>
      <c r="M70" s="138"/>
      <c r="N70" s="329"/>
      <c r="O70" s="145"/>
      <c r="P70" s="143"/>
      <c r="Q70" s="143"/>
      <c r="R70" s="138"/>
      <c r="S70" s="347"/>
      <c r="T70" s="143"/>
      <c r="U70" s="143"/>
      <c r="V70" s="186"/>
      <c r="X70" s="87"/>
      <c r="Y70" s="87"/>
      <c r="Z70" s="50"/>
      <c r="AA70" s="50"/>
      <c r="AC70"/>
      <c r="AD70"/>
      <c r="AE70"/>
      <c r="AF70"/>
      <c r="AG70"/>
      <c r="AH70"/>
      <c r="AK70" s="8"/>
      <c r="AL70" s="8"/>
    </row>
    <row r="71" spans="1:38" s="5" customFormat="1" ht="12.75">
      <c r="A71" s="16"/>
      <c r="B71" s="326"/>
      <c r="C71" s="138" t="s">
        <v>230</v>
      </c>
      <c r="D71" s="138" t="s">
        <v>231</v>
      </c>
      <c r="E71" s="138" t="s">
        <v>215</v>
      </c>
      <c r="F71" s="138" t="s">
        <v>179</v>
      </c>
      <c r="G71" s="138"/>
      <c r="H71" s="144" t="s">
        <v>98</v>
      </c>
      <c r="I71" s="260"/>
      <c r="J71" s="160">
        <v>1.9786121254367466</v>
      </c>
      <c r="K71" s="138">
        <v>1.86</v>
      </c>
      <c r="L71" s="138"/>
      <c r="M71" s="138">
        <v>1.736</v>
      </c>
      <c r="N71" s="329"/>
      <c r="O71" s="145">
        <f ca="1">MAX(2020,BaseYear+1)</f>
        <v>2020</v>
      </c>
      <c r="P71" s="143">
        <f>3.6*8.76/1000</f>
        <v>3.1536000000000002E-2</v>
      </c>
      <c r="Q71" s="143">
        <v>0.75</v>
      </c>
      <c r="R71" s="138">
        <v>25</v>
      </c>
      <c r="S71" s="168">
        <v>9.2999999999999999E-2</v>
      </c>
      <c r="T71" s="161">
        <v>1.5598281268982606</v>
      </c>
      <c r="U71" s="143">
        <v>0.1</v>
      </c>
      <c r="V71" s="186">
        <v>1</v>
      </c>
      <c r="X71" s="86">
        <f>J72/((J73*$U71+1)/(1+J73))</f>
        <v>0.8</v>
      </c>
      <c r="Y71" s="86">
        <f>K72/((K73*$U71+1)/(1+K73))</f>
        <v>0.82499999999999984</v>
      </c>
      <c r="Z71" s="86">
        <f>L72/((L73*$U71+1)/(1+L73))</f>
        <v>0.84843049327354247</v>
      </c>
      <c r="AA71" s="86">
        <f>M72/((M73*$U71+1)/(1+M73))</f>
        <v>0.8891891891891891</v>
      </c>
      <c r="AC71"/>
      <c r="AD71"/>
      <c r="AE71"/>
      <c r="AF71"/>
      <c r="AG71"/>
      <c r="AH71"/>
      <c r="AK71" s="8"/>
      <c r="AL71" s="8"/>
    </row>
    <row r="72" spans="1:38" s="5" customFormat="1" ht="12.75">
      <c r="A72" s="15"/>
      <c r="B72" s="331"/>
      <c r="C72" s="138"/>
      <c r="D72" s="138"/>
      <c r="E72" s="137"/>
      <c r="F72" s="137" t="s">
        <v>518</v>
      </c>
      <c r="G72" s="138" t="s">
        <v>603</v>
      </c>
      <c r="H72" s="144" t="s">
        <v>189</v>
      </c>
      <c r="I72" s="260"/>
      <c r="J72" s="138">
        <v>0.4</v>
      </c>
      <c r="K72" s="138">
        <v>0.42</v>
      </c>
      <c r="L72" s="138">
        <v>0.44</v>
      </c>
      <c r="M72" s="169">
        <v>0.47</v>
      </c>
      <c r="N72" s="329"/>
      <c r="O72" s="145"/>
      <c r="P72" s="143"/>
      <c r="Q72" s="143"/>
      <c r="R72" s="138"/>
      <c r="S72" s="347"/>
      <c r="T72" s="143"/>
      <c r="U72" s="143"/>
      <c r="V72" s="186"/>
      <c r="X72" s="86"/>
      <c r="Y72" s="86"/>
      <c r="Z72" s="86"/>
      <c r="AA72" s="86"/>
      <c r="AC72"/>
      <c r="AD72"/>
      <c r="AE72"/>
      <c r="AF72"/>
      <c r="AG72"/>
      <c r="AH72"/>
      <c r="AK72" s="8"/>
      <c r="AL72" s="8"/>
    </row>
    <row r="73" spans="1:38" s="5" customFormat="1" ht="12.75">
      <c r="A73" s="15"/>
      <c r="B73" s="331"/>
      <c r="C73" s="138"/>
      <c r="D73" s="138"/>
      <c r="E73" s="137"/>
      <c r="F73" s="137"/>
      <c r="G73" s="138"/>
      <c r="H73" s="144" t="s">
        <v>387</v>
      </c>
      <c r="I73" s="261" t="s">
        <v>506</v>
      </c>
      <c r="J73" s="138">
        <v>1.25</v>
      </c>
      <c r="K73" s="138">
        <v>1.2</v>
      </c>
      <c r="L73" s="138">
        <v>1.1499999999999999</v>
      </c>
      <c r="M73" s="169">
        <v>1.1000000000000001</v>
      </c>
      <c r="N73" s="329"/>
      <c r="O73" s="145"/>
      <c r="P73" s="143"/>
      <c r="Q73" s="143"/>
      <c r="R73" s="138"/>
      <c r="S73" s="347"/>
      <c r="T73" s="143"/>
      <c r="U73" s="143"/>
      <c r="V73" s="186"/>
      <c r="X73" s="86"/>
      <c r="Y73" s="86"/>
      <c r="Z73" s="86"/>
      <c r="AA73" s="86"/>
      <c r="AC73"/>
      <c r="AD73"/>
      <c r="AE73"/>
      <c r="AF73"/>
      <c r="AG73"/>
      <c r="AH73"/>
      <c r="AK73" s="8"/>
      <c r="AL73" s="8"/>
    </row>
    <row r="74" spans="1:38" s="5" customFormat="1" ht="12.75">
      <c r="A74" s="15"/>
      <c r="B74" s="331"/>
      <c r="C74" s="138"/>
      <c r="D74" s="138"/>
      <c r="E74" s="137"/>
      <c r="F74" s="137" t="str">
        <f>F72</f>
        <v>ISLP</v>
      </c>
      <c r="G74" s="138"/>
      <c r="H74" s="143" t="s">
        <v>118</v>
      </c>
      <c r="I74" s="261" t="s">
        <v>506</v>
      </c>
      <c r="J74" s="165">
        <f>J73*J72/(1+J73*MAX(0,$U71))</f>
        <v>0.44444444444444442</v>
      </c>
      <c r="K74" s="165">
        <f>K73*K72/(1+K73*MAX(0,$U71))</f>
        <v>0.44999999999999996</v>
      </c>
      <c r="L74" s="165">
        <f>L73*L72/(1+L73*MAX(0,$U71))</f>
        <v>0.45381165919282512</v>
      </c>
      <c r="M74" s="165">
        <f>M73*M72/(1+M73*MAX(0,$U71))</f>
        <v>0.46576576576576573</v>
      </c>
      <c r="N74" s="329"/>
      <c r="O74" s="145"/>
      <c r="P74" s="143"/>
      <c r="Q74" s="143"/>
      <c r="R74" s="138"/>
      <c r="S74" s="347"/>
      <c r="T74" s="143"/>
      <c r="U74" s="143"/>
      <c r="V74" s="186"/>
      <c r="X74" s="86"/>
      <c r="Y74" s="86"/>
      <c r="Z74" s="86"/>
      <c r="AA74" s="86"/>
      <c r="AC74"/>
      <c r="AD74"/>
      <c r="AE74"/>
      <c r="AF74"/>
      <c r="AG74"/>
      <c r="AH74"/>
      <c r="AK74" s="8"/>
      <c r="AL74" s="8"/>
    </row>
    <row r="75" spans="1:38" s="5" customFormat="1" ht="12.75">
      <c r="A75" s="15"/>
      <c r="B75" s="331"/>
      <c r="C75" s="138" t="s">
        <v>620</v>
      </c>
      <c r="D75" s="138" t="s">
        <v>622</v>
      </c>
      <c r="E75" s="138" t="s">
        <v>215</v>
      </c>
      <c r="F75" s="138" t="s">
        <v>179</v>
      </c>
      <c r="G75" s="138"/>
      <c r="H75" s="144" t="s">
        <v>98</v>
      </c>
      <c r="I75" s="260"/>
      <c r="J75" s="160">
        <v>2.0025999999999997</v>
      </c>
      <c r="K75" s="138"/>
      <c r="L75" s="138"/>
      <c r="M75" s="138"/>
      <c r="N75" s="329"/>
      <c r="O75" s="145">
        <f ca="1">BaseYear+1</f>
        <v>2011</v>
      </c>
      <c r="P75" s="143">
        <f>3.6*8.76/1000</f>
        <v>3.1536000000000002E-2</v>
      </c>
      <c r="Q75" s="143">
        <v>0.75</v>
      </c>
      <c r="R75" s="138">
        <v>25</v>
      </c>
      <c r="S75" s="168">
        <v>8.6764163668327579E-2</v>
      </c>
      <c r="T75" s="161">
        <v>0.8805582398379318</v>
      </c>
      <c r="U75" s="143">
        <v>0.17</v>
      </c>
      <c r="V75" s="186">
        <v>1</v>
      </c>
      <c r="X75" s="86">
        <f>J76/((J77*$U75+1)/(1+J77))</f>
        <v>0.81456350010127609</v>
      </c>
      <c r="Y75" s="86">
        <f>K76/((K77*$U75+1)/(1+K77))</f>
        <v>0.82546039570069141</v>
      </c>
      <c r="Z75" s="88">
        <f>L76/((L77*$U75+1)/(1+L77))</f>
        <v>0.8524532297917401</v>
      </c>
      <c r="AA75" s="86">
        <f>M76/((M77*$U75+1)/(1+M77))</f>
        <v>0.88297559541311388</v>
      </c>
      <c r="AC75"/>
      <c r="AD75"/>
      <c r="AE75"/>
      <c r="AF75"/>
      <c r="AG75"/>
      <c r="AH75"/>
      <c r="AK75" s="8"/>
      <c r="AL75" s="8"/>
    </row>
    <row r="76" spans="1:38" s="5" customFormat="1" ht="12.75">
      <c r="A76" s="15"/>
      <c r="B76" s="331"/>
      <c r="C76" s="138"/>
      <c r="D76" s="138"/>
      <c r="E76" s="137" t="s">
        <v>131</v>
      </c>
      <c r="F76" s="137" t="s">
        <v>518</v>
      </c>
      <c r="G76" s="138" t="s">
        <v>603</v>
      </c>
      <c r="H76" s="144" t="s">
        <v>189</v>
      </c>
      <c r="I76" s="260"/>
      <c r="J76" s="138">
        <v>0.315</v>
      </c>
      <c r="K76" s="138">
        <v>0.32500000000000001</v>
      </c>
      <c r="L76" s="138">
        <v>0.35</v>
      </c>
      <c r="M76" s="169">
        <v>0.38500000000000001</v>
      </c>
      <c r="N76" s="329"/>
      <c r="O76" s="145"/>
      <c r="P76" s="143"/>
      <c r="Q76" s="143"/>
      <c r="R76" s="138"/>
      <c r="S76" s="137"/>
      <c r="T76" s="143"/>
      <c r="U76" s="143"/>
      <c r="V76" s="186"/>
      <c r="X76" s="87"/>
      <c r="Y76" s="87"/>
      <c r="Z76" s="50"/>
      <c r="AA76" s="50"/>
      <c r="AC76"/>
      <c r="AD76"/>
      <c r="AE76"/>
      <c r="AF76"/>
      <c r="AG76"/>
      <c r="AH76"/>
      <c r="AK76" s="8"/>
      <c r="AL76" s="8"/>
    </row>
    <row r="77" spans="1:38" s="5" customFormat="1" ht="12.75">
      <c r="A77" s="15"/>
      <c r="B77" s="331"/>
      <c r="C77" s="138"/>
      <c r="D77" s="138"/>
      <c r="E77" s="137"/>
      <c r="F77" s="137"/>
      <c r="G77" s="138"/>
      <c r="H77" s="144" t="s">
        <v>387</v>
      </c>
      <c r="I77" s="261" t="s">
        <v>506</v>
      </c>
      <c r="J77" s="138">
        <v>2.83</v>
      </c>
      <c r="K77" s="138">
        <v>2.71</v>
      </c>
      <c r="L77" s="138">
        <v>2.4500000000000002</v>
      </c>
      <c r="M77" s="138">
        <v>2.12</v>
      </c>
      <c r="N77" s="329"/>
      <c r="O77" s="145"/>
      <c r="P77" s="143"/>
      <c r="Q77" s="143"/>
      <c r="R77" s="138"/>
      <c r="S77" s="137"/>
      <c r="T77" s="143"/>
      <c r="U77" s="143"/>
      <c r="V77" s="186"/>
      <c r="X77" s="87"/>
      <c r="Y77" s="87"/>
      <c r="Z77" s="50"/>
      <c r="AA77" s="50"/>
      <c r="AC77"/>
      <c r="AD77"/>
      <c r="AE77"/>
      <c r="AF77"/>
      <c r="AG77"/>
      <c r="AH77"/>
      <c r="AK77" s="8"/>
      <c r="AL77" s="8"/>
    </row>
    <row r="78" spans="1:38" s="5" customFormat="1" ht="12.75">
      <c r="A78" s="15"/>
      <c r="B78" s="331"/>
      <c r="C78" s="138"/>
      <c r="D78" s="138"/>
      <c r="E78" s="137"/>
      <c r="F78" s="137" t="str">
        <f>F76</f>
        <v>ISLP</v>
      </c>
      <c r="G78" s="138"/>
      <c r="H78" s="143" t="s">
        <v>118</v>
      </c>
      <c r="I78" s="261" t="s">
        <v>506</v>
      </c>
      <c r="J78" s="165">
        <f>J77*J76/(1+J77*MAX(0,$U75))</f>
        <v>0.60188373506177839</v>
      </c>
      <c r="K78" s="165">
        <f>K77*K76/(1+K77*MAX(0,$U75))</f>
        <v>0.60296433216950773</v>
      </c>
      <c r="L78" s="165">
        <f>L77*L76/(1+L77*MAX(0,$U75))</f>
        <v>0.60536533709848217</v>
      </c>
      <c r="M78" s="165">
        <f>M77*M76/(1+M77*MAX(0,$U75))</f>
        <v>0.59997059688326959</v>
      </c>
      <c r="N78" s="329"/>
      <c r="O78" s="145"/>
      <c r="P78" s="143"/>
      <c r="Q78" s="143"/>
      <c r="R78" s="138"/>
      <c r="S78" s="137"/>
      <c r="T78" s="143"/>
      <c r="U78" s="143"/>
      <c r="V78" s="186"/>
      <c r="X78" s="87"/>
      <c r="Y78" s="87"/>
      <c r="Z78" s="50"/>
      <c r="AA78" s="50"/>
      <c r="AC78"/>
      <c r="AD78"/>
      <c r="AE78"/>
      <c r="AF78"/>
      <c r="AG78"/>
      <c r="AH78"/>
      <c r="AK78" s="8"/>
      <c r="AL78" s="8"/>
    </row>
    <row r="79" spans="1:38" s="5" customFormat="1" ht="12.75">
      <c r="A79" s="16"/>
      <c r="B79" s="326"/>
      <c r="C79" s="138" t="s">
        <v>232</v>
      </c>
      <c r="D79" s="138" t="s">
        <v>233</v>
      </c>
      <c r="E79" s="138" t="s">
        <v>623</v>
      </c>
      <c r="F79" s="138" t="s">
        <v>179</v>
      </c>
      <c r="G79" s="138"/>
      <c r="H79" s="144" t="s">
        <v>98</v>
      </c>
      <c r="I79" s="260"/>
      <c r="J79" s="167">
        <v>3.347623276988934</v>
      </c>
      <c r="K79" s="167">
        <v>3.0191722880962</v>
      </c>
      <c r="L79" s="167">
        <v>2.7229471631010465</v>
      </c>
      <c r="M79" s="167">
        <v>2.4026004380303352</v>
      </c>
      <c r="N79" s="329"/>
      <c r="O79" s="145">
        <v>2055</v>
      </c>
      <c r="P79" s="143">
        <f>3.6*8.76/1000</f>
        <v>3.1536000000000002E-2</v>
      </c>
      <c r="Q79" s="143">
        <v>0.75</v>
      </c>
      <c r="R79" s="138">
        <v>25</v>
      </c>
      <c r="S79" s="168">
        <v>9.9199999999999997E-2</v>
      </c>
      <c r="T79" s="161">
        <v>1.5598281268982606</v>
      </c>
      <c r="U79" s="143">
        <v>0.1</v>
      </c>
      <c r="V79" s="186">
        <v>1</v>
      </c>
      <c r="X79" s="86">
        <f>J80/((J81*$U79+1)/(1+J81))</f>
        <v>0.67</v>
      </c>
      <c r="Y79" s="86">
        <f>K80/((K81*$U79+1)/(1+K81))</f>
        <v>0.71107142857142847</v>
      </c>
      <c r="Z79" s="86">
        <f>L80/((L81*$U79+1)/(1+L81))</f>
        <v>0.75201793721973087</v>
      </c>
      <c r="AA79" s="86">
        <f>M80/((M81*$U79+1)/(1+M81))</f>
        <v>0.79459459459459458</v>
      </c>
      <c r="AC79"/>
      <c r="AD79"/>
      <c r="AE79"/>
      <c r="AF79"/>
      <c r="AG79"/>
      <c r="AH79"/>
      <c r="AK79" s="8"/>
      <c r="AL79" s="8"/>
    </row>
    <row r="80" spans="1:38" s="5" customFormat="1" ht="12.75">
      <c r="A80" s="15"/>
      <c r="B80" s="331"/>
      <c r="C80" s="138"/>
      <c r="D80" s="138"/>
      <c r="E80" s="137"/>
      <c r="F80" s="137" t="s">
        <v>518</v>
      </c>
      <c r="G80" s="138" t="s">
        <v>603</v>
      </c>
      <c r="H80" s="144" t="s">
        <v>189</v>
      </c>
      <c r="I80" s="260"/>
      <c r="J80" s="138">
        <v>0.33500000000000002</v>
      </c>
      <c r="K80" s="169">
        <v>0.36199999999999999</v>
      </c>
      <c r="L80" s="138">
        <v>0.39</v>
      </c>
      <c r="M80" s="169">
        <v>0.42</v>
      </c>
      <c r="N80" s="329"/>
      <c r="O80" s="145"/>
      <c r="P80" s="143"/>
      <c r="Q80" s="143"/>
      <c r="R80" s="138"/>
      <c r="S80" s="137"/>
      <c r="T80" s="143"/>
      <c r="U80" s="143"/>
      <c r="V80" s="186"/>
      <c r="X80" s="86"/>
      <c r="Y80" s="86"/>
      <c r="Z80" s="86"/>
      <c r="AA80" s="86"/>
      <c r="AC80"/>
      <c r="AD80"/>
      <c r="AE80"/>
      <c r="AF80"/>
      <c r="AG80"/>
      <c r="AH80"/>
      <c r="AK80" s="8"/>
      <c r="AL80" s="8"/>
    </row>
    <row r="81" spans="1:38" s="5" customFormat="1" ht="12.75">
      <c r="A81" s="15"/>
      <c r="B81" s="331"/>
      <c r="C81" s="138"/>
      <c r="D81" s="138"/>
      <c r="E81" s="137"/>
      <c r="F81" s="137"/>
      <c r="G81" s="138"/>
      <c r="H81" s="144" t="s">
        <v>387</v>
      </c>
      <c r="I81" s="261" t="s">
        <v>247</v>
      </c>
      <c r="J81" s="138">
        <v>1.25</v>
      </c>
      <c r="K81" s="138">
        <v>1.2</v>
      </c>
      <c r="L81" s="138">
        <v>1.1499999999999999</v>
      </c>
      <c r="M81" s="169">
        <v>1.1000000000000001</v>
      </c>
      <c r="N81" s="329"/>
      <c r="O81" s="145"/>
      <c r="P81" s="143"/>
      <c r="Q81" s="143"/>
      <c r="R81" s="138"/>
      <c r="S81" s="137"/>
      <c r="T81" s="143"/>
      <c r="U81" s="143"/>
      <c r="V81" s="186"/>
      <c r="X81" s="86"/>
      <c r="Y81" s="86"/>
      <c r="Z81" s="86"/>
      <c r="AA81" s="86"/>
      <c r="AC81"/>
      <c r="AD81"/>
      <c r="AE81"/>
      <c r="AF81"/>
      <c r="AG81"/>
      <c r="AH81"/>
      <c r="AK81" s="8"/>
      <c r="AL81" s="8"/>
    </row>
    <row r="82" spans="1:38" s="5" customFormat="1" ht="12.75">
      <c r="A82" s="15"/>
      <c r="B82" s="331"/>
      <c r="C82" s="138"/>
      <c r="D82" s="138"/>
      <c r="E82" s="137"/>
      <c r="F82" s="137" t="str">
        <f>F80</f>
        <v>ISLP</v>
      </c>
      <c r="G82" s="138"/>
      <c r="H82" s="143" t="s">
        <v>118</v>
      </c>
      <c r="I82" s="261" t="s">
        <v>506</v>
      </c>
      <c r="J82" s="165">
        <f>J81*J80/(1+J81*MAX(0,$U79))</f>
        <v>0.37222222222222223</v>
      </c>
      <c r="K82" s="165">
        <f>K81*K80/(1+K81*MAX(0,$U79))</f>
        <v>0.38785714285714279</v>
      </c>
      <c r="L82" s="165">
        <f>L81*L80/(1+L81*MAX(0,$U79))</f>
        <v>0.40224215246636769</v>
      </c>
      <c r="M82" s="165">
        <f>M81*M80/(1+M81*MAX(0,$U79))</f>
        <v>0.41621621621621618</v>
      </c>
      <c r="N82" s="329"/>
      <c r="O82" s="145"/>
      <c r="P82" s="143"/>
      <c r="Q82" s="143"/>
      <c r="R82" s="138"/>
      <c r="S82" s="137"/>
      <c r="T82" s="143"/>
      <c r="U82" s="143"/>
      <c r="V82" s="186"/>
      <c r="X82" s="86"/>
      <c r="Y82" s="86"/>
      <c r="Z82" s="86"/>
      <c r="AA82" s="86"/>
      <c r="AC82"/>
      <c r="AD82"/>
      <c r="AE82"/>
      <c r="AF82"/>
      <c r="AG82"/>
      <c r="AH82"/>
      <c r="AK82" s="8"/>
      <c r="AL82" s="8"/>
    </row>
    <row r="83" spans="1:38" s="5" customFormat="1" ht="12.75">
      <c r="A83" s="15"/>
      <c r="B83" s="331"/>
      <c r="C83" s="138"/>
      <c r="D83" s="138"/>
      <c r="E83" s="137"/>
      <c r="F83" s="137" t="s">
        <v>495</v>
      </c>
      <c r="G83" s="138" t="s">
        <v>623</v>
      </c>
      <c r="H83" s="144" t="s">
        <v>195</v>
      </c>
      <c r="I83" s="260"/>
      <c r="J83" s="138"/>
      <c r="K83" s="335">
        <f>105*0.85</f>
        <v>89.25</v>
      </c>
      <c r="L83" s="138"/>
      <c r="M83" s="138"/>
      <c r="N83" s="329"/>
      <c r="O83" s="145"/>
      <c r="P83" s="143"/>
      <c r="Q83" s="143"/>
      <c r="R83" s="138"/>
      <c r="S83" s="137"/>
      <c r="T83" s="143"/>
      <c r="U83" s="143"/>
      <c r="V83" s="186"/>
      <c r="X83" s="86"/>
      <c r="Y83" s="86"/>
      <c r="Z83" s="86"/>
      <c r="AA83" s="86"/>
      <c r="AC83"/>
      <c r="AD83"/>
      <c r="AE83"/>
      <c r="AF83"/>
      <c r="AG83"/>
      <c r="AH83"/>
      <c r="AK83" s="8"/>
      <c r="AL83" s="8"/>
    </row>
    <row r="84" spans="1:38" s="5" customFormat="1" ht="12.75">
      <c r="A84" s="16"/>
      <c r="B84" s="326"/>
      <c r="C84" s="138" t="s">
        <v>234</v>
      </c>
      <c r="D84" s="138" t="s">
        <v>235</v>
      </c>
      <c r="E84" s="138" t="s">
        <v>177</v>
      </c>
      <c r="F84" s="138" t="s">
        <v>179</v>
      </c>
      <c r="G84" s="138"/>
      <c r="H84" s="144" t="s">
        <v>98</v>
      </c>
      <c r="I84" s="260"/>
      <c r="J84" s="145">
        <v>1.1035999999999999</v>
      </c>
      <c r="K84" s="138"/>
      <c r="L84" s="138"/>
      <c r="M84" s="169"/>
      <c r="N84" s="329"/>
      <c r="O84" s="145">
        <f ca="1">MAX(2011,BaseYear+1)</f>
        <v>2011</v>
      </c>
      <c r="P84" s="143">
        <f>3.6*8.76/1000</f>
        <v>3.1536000000000002E-2</v>
      </c>
      <c r="Q84" s="143">
        <v>0.75</v>
      </c>
      <c r="R84" s="138">
        <v>25</v>
      </c>
      <c r="S84" s="138">
        <v>3.1E-2</v>
      </c>
      <c r="T84" s="143">
        <v>0.99199999999999999</v>
      </c>
      <c r="U84" s="143">
        <v>0.1</v>
      </c>
      <c r="V84" s="186"/>
      <c r="X84" s="86">
        <f>J85/((J86*$U84+1)/(1+J86))</f>
        <v>0.83313407344150292</v>
      </c>
      <c r="Y84" s="86">
        <f>K85/((K86*$U84+1)/(1+K86))</f>
        <v>0.84407951598962849</v>
      </c>
      <c r="Z84" s="86">
        <f>L85/((L86*$U84+1)/(1+L86))</f>
        <v>0.8668407310704962</v>
      </c>
      <c r="AA84" s="86">
        <f>M85/((M86*$U84+1)/(1+M86))</f>
        <v>0.90526315789473699</v>
      </c>
      <c r="AC84"/>
      <c r="AD84"/>
      <c r="AE84"/>
      <c r="AF84"/>
      <c r="AG84"/>
      <c r="AH84"/>
      <c r="AK84" s="8"/>
      <c r="AL84" s="8"/>
    </row>
    <row r="85" spans="1:38" s="5" customFormat="1" ht="12.75">
      <c r="A85" s="15"/>
      <c r="B85" s="331"/>
      <c r="C85" s="138"/>
      <c r="D85" s="138"/>
      <c r="E85" s="137"/>
      <c r="F85" s="137" t="s">
        <v>520</v>
      </c>
      <c r="G85" s="138" t="s">
        <v>603</v>
      </c>
      <c r="H85" s="144" t="s">
        <v>189</v>
      </c>
      <c r="I85" s="260"/>
      <c r="J85" s="138">
        <v>0.36</v>
      </c>
      <c r="K85" s="138">
        <f>J85+0.02</f>
        <v>0.38</v>
      </c>
      <c r="L85" s="138">
        <f>K85+0.02</f>
        <v>0.4</v>
      </c>
      <c r="M85" s="169">
        <f>L85+0.03</f>
        <v>0.43000000000000005</v>
      </c>
      <c r="N85" s="329"/>
      <c r="O85" s="145"/>
      <c r="P85" s="143"/>
      <c r="Q85" s="143"/>
      <c r="R85" s="138"/>
      <c r="S85" s="137"/>
      <c r="T85" s="143"/>
      <c r="U85" s="143"/>
      <c r="V85" s="186"/>
      <c r="X85" s="86"/>
      <c r="Y85" s="86"/>
      <c r="Z85" s="86"/>
      <c r="AA85" s="86"/>
      <c r="AC85"/>
      <c r="AD85"/>
      <c r="AE85"/>
      <c r="AF85"/>
      <c r="AG85"/>
      <c r="AH85"/>
      <c r="AK85" s="8"/>
      <c r="AL85" s="8"/>
    </row>
    <row r="86" spans="1:38" s="5" customFormat="1" ht="12.75">
      <c r="A86" s="15"/>
      <c r="B86" s="331"/>
      <c r="C86" s="138"/>
      <c r="D86" s="138"/>
      <c r="E86" s="137"/>
      <c r="F86" s="137"/>
      <c r="G86" s="138"/>
      <c r="H86" s="144" t="s">
        <v>387</v>
      </c>
      <c r="I86" s="261" t="s">
        <v>247</v>
      </c>
      <c r="J86" s="138">
        <v>1.71</v>
      </c>
      <c r="K86" s="138">
        <v>1.57</v>
      </c>
      <c r="L86" s="138">
        <v>1.49</v>
      </c>
      <c r="M86" s="169">
        <v>1.4</v>
      </c>
      <c r="N86" s="329"/>
      <c r="O86" s="145"/>
      <c r="P86" s="143"/>
      <c r="Q86" s="143"/>
      <c r="R86" s="138"/>
      <c r="S86" s="137"/>
      <c r="T86" s="143"/>
      <c r="U86" s="143"/>
      <c r="V86" s="186"/>
      <c r="X86" s="86"/>
      <c r="Y86" s="86"/>
      <c r="Z86" s="86"/>
      <c r="AA86" s="86"/>
      <c r="AC86"/>
      <c r="AD86"/>
      <c r="AE86"/>
      <c r="AF86"/>
      <c r="AG86"/>
      <c r="AH86"/>
      <c r="AK86" s="8"/>
      <c r="AL86" s="8"/>
    </row>
    <row r="87" spans="1:38" s="5" customFormat="1" ht="12.75">
      <c r="A87" s="15"/>
      <c r="B87" s="331"/>
      <c r="C87" s="138"/>
      <c r="D87" s="138"/>
      <c r="E87" s="137"/>
      <c r="F87" s="137" t="str">
        <f>F85</f>
        <v>ISOI</v>
      </c>
      <c r="G87" s="138"/>
      <c r="H87" s="143" t="s">
        <v>118</v>
      </c>
      <c r="I87" s="261" t="s">
        <v>506</v>
      </c>
      <c r="J87" s="165">
        <f>J86*J85/(1+J86*MAX(0,$U84))</f>
        <v>0.5257045260461144</v>
      </c>
      <c r="K87" s="165">
        <f>K86*K85/(1+K86*MAX(0,$U84))</f>
        <v>0.51564390665514259</v>
      </c>
      <c r="L87" s="165">
        <f>L86*L85/(1+L86*MAX(0,$U84))</f>
        <v>0.51871192341166228</v>
      </c>
      <c r="M87" s="165">
        <f>M86*M85/(1+M86*MAX(0,$U84))</f>
        <v>0.52807017543859647</v>
      </c>
      <c r="N87" s="329"/>
      <c r="O87" s="145"/>
      <c r="P87" s="143"/>
      <c r="Q87" s="143"/>
      <c r="R87" s="138"/>
      <c r="S87" s="137"/>
      <c r="T87" s="143"/>
      <c r="U87" s="143"/>
      <c r="V87" s="186"/>
      <c r="X87" s="86"/>
      <c r="Y87" s="86"/>
      <c r="Z87" s="86"/>
      <c r="AA87" s="86"/>
      <c r="AC87"/>
      <c r="AD87"/>
      <c r="AE87"/>
      <c r="AF87"/>
      <c r="AG87"/>
      <c r="AH87"/>
      <c r="AK87" s="8"/>
      <c r="AL87" s="8"/>
    </row>
    <row r="88" spans="1:38" s="5" customFormat="1" ht="12.75">
      <c r="A88" s="16"/>
      <c r="B88" s="326"/>
      <c r="C88" s="138" t="s">
        <v>236</v>
      </c>
      <c r="D88" s="138" t="s">
        <v>237</v>
      </c>
      <c r="E88" s="137" t="s">
        <v>176</v>
      </c>
      <c r="F88" s="138" t="s">
        <v>179</v>
      </c>
      <c r="G88" s="138"/>
      <c r="H88" s="144" t="s">
        <v>98</v>
      </c>
      <c r="I88" s="260"/>
      <c r="J88" s="145">
        <v>1.054</v>
      </c>
      <c r="K88" s="138"/>
      <c r="L88" s="138"/>
      <c r="M88" s="169"/>
      <c r="N88" s="329"/>
      <c r="O88" s="145">
        <f ca="1">BaseYear+1</f>
        <v>2011</v>
      </c>
      <c r="P88" s="143">
        <f>3.6*8.76/1000</f>
        <v>3.1536000000000002E-2</v>
      </c>
      <c r="Q88" s="143">
        <v>0.75</v>
      </c>
      <c r="R88" s="138">
        <v>25</v>
      </c>
      <c r="S88" s="138">
        <v>8.0599999999999991E-2</v>
      </c>
      <c r="T88" s="143">
        <v>0.99199999999999999</v>
      </c>
      <c r="U88" s="143">
        <v>0.1</v>
      </c>
      <c r="V88" s="186"/>
      <c r="X88" s="86">
        <f>J89/((J90*$U88+1)/(1+J90))</f>
        <v>0.81116751269035547</v>
      </c>
      <c r="Y88" s="86">
        <f>K89/((K90*$U88+1)/(1+K90))</f>
        <v>0.84020442930153338</v>
      </c>
      <c r="Z88" s="86">
        <f>L89/((L90*$U88+1)/(1+L90))</f>
        <v>0.8643776824034336</v>
      </c>
      <c r="AA88" s="86">
        <f>M89/((M90*$U88+1)/(1+M90))</f>
        <v>0.89688581314878901</v>
      </c>
      <c r="AC88"/>
      <c r="AD88"/>
      <c r="AE88"/>
      <c r="AF88"/>
      <c r="AG88"/>
      <c r="AH88"/>
      <c r="AK88" s="8"/>
      <c r="AL88" s="8"/>
    </row>
    <row r="89" spans="1:38" s="5" customFormat="1" ht="12.75">
      <c r="A89" s="15"/>
      <c r="B89" s="331"/>
      <c r="C89" s="138"/>
      <c r="D89" s="138"/>
      <c r="E89" s="137"/>
      <c r="F89" s="137" t="s">
        <v>520</v>
      </c>
      <c r="G89" s="138" t="s">
        <v>603</v>
      </c>
      <c r="H89" s="144" t="s">
        <v>189</v>
      </c>
      <c r="I89" s="260"/>
      <c r="J89" s="138">
        <v>0.34</v>
      </c>
      <c r="K89" s="138">
        <f>J89+0.02</f>
        <v>0.36000000000000004</v>
      </c>
      <c r="L89" s="138">
        <f>K89+0.02</f>
        <v>0.38000000000000006</v>
      </c>
      <c r="M89" s="169">
        <f>L89+0.025</f>
        <v>0.40500000000000008</v>
      </c>
      <c r="N89" s="329"/>
      <c r="O89" s="145"/>
      <c r="P89" s="143"/>
      <c r="Q89" s="143"/>
      <c r="R89" s="138"/>
      <c r="S89" s="137"/>
      <c r="T89" s="143"/>
      <c r="U89" s="143"/>
      <c r="V89" s="186"/>
      <c r="X89" s="86"/>
      <c r="Y89" s="86"/>
      <c r="Z89" s="86"/>
      <c r="AA89" s="86"/>
      <c r="AC89"/>
      <c r="AD89"/>
      <c r="AE89"/>
      <c r="AF89"/>
      <c r="AG89"/>
      <c r="AH89"/>
      <c r="AK89" s="8"/>
      <c r="AL89" s="8"/>
    </row>
    <row r="90" spans="1:38" s="5" customFormat="1" ht="12.75">
      <c r="A90" s="15"/>
      <c r="B90" s="331"/>
      <c r="C90" s="138"/>
      <c r="D90" s="138"/>
      <c r="E90" s="137"/>
      <c r="F90" s="137"/>
      <c r="G90" s="138"/>
      <c r="H90" s="144" t="s">
        <v>387</v>
      </c>
      <c r="I90" s="261" t="s">
        <v>247</v>
      </c>
      <c r="J90" s="138">
        <v>1.82</v>
      </c>
      <c r="K90" s="138">
        <v>1.74</v>
      </c>
      <c r="L90" s="138">
        <v>1.65</v>
      </c>
      <c r="M90" s="169">
        <v>1.56</v>
      </c>
      <c r="N90" s="329"/>
      <c r="O90" s="145"/>
      <c r="P90" s="143"/>
      <c r="Q90" s="143"/>
      <c r="R90" s="138"/>
      <c r="S90" s="137"/>
      <c r="T90" s="143"/>
      <c r="U90" s="143"/>
      <c r="V90" s="186"/>
      <c r="X90" s="86"/>
      <c r="Y90" s="86"/>
      <c r="Z90" s="86"/>
      <c r="AA90" s="86"/>
      <c r="AC90"/>
      <c r="AD90"/>
      <c r="AE90"/>
      <c r="AF90"/>
      <c r="AG90"/>
      <c r="AH90"/>
      <c r="AK90" s="8"/>
      <c r="AL90" s="8"/>
    </row>
    <row r="91" spans="1:38" s="5" customFormat="1" ht="12.75">
      <c r="A91" s="15"/>
      <c r="B91" s="331"/>
      <c r="C91" s="138"/>
      <c r="D91" s="138"/>
      <c r="E91" s="137"/>
      <c r="F91" s="137" t="str">
        <f>F89</f>
        <v>ISOI</v>
      </c>
      <c r="G91" s="138"/>
      <c r="H91" s="143" t="s">
        <v>118</v>
      </c>
      <c r="I91" s="261" t="s">
        <v>506</v>
      </c>
      <c r="J91" s="165">
        <f>J90*J89/(1+J90*MAX(0,$U88))</f>
        <v>0.52351945854483928</v>
      </c>
      <c r="K91" s="165">
        <f>K90*K89/(1+K90*MAX(0,$U88))</f>
        <v>0.53356047700170361</v>
      </c>
      <c r="L91" s="165">
        <f>L90*L89/(1+L90*MAX(0,$U88))</f>
        <v>0.53819742489270395</v>
      </c>
      <c r="M91" s="165">
        <f>M90*M89/(1+M90*MAX(0,$U88))</f>
        <v>0.54653979238754336</v>
      </c>
      <c r="N91" s="329"/>
      <c r="O91" s="145"/>
      <c r="P91" s="143"/>
      <c r="Q91" s="143"/>
      <c r="R91" s="138"/>
      <c r="S91" s="137"/>
      <c r="T91" s="143"/>
      <c r="U91" s="143"/>
      <c r="V91" s="186"/>
      <c r="X91" s="86"/>
      <c r="Y91" s="86"/>
      <c r="Z91" s="86"/>
      <c r="AA91" s="86"/>
      <c r="AC91"/>
      <c r="AD91"/>
      <c r="AE91"/>
      <c r="AF91"/>
      <c r="AG91"/>
      <c r="AH91"/>
      <c r="AK91" s="8"/>
      <c r="AL91" s="8"/>
    </row>
    <row r="92" spans="1:38" s="5" customFormat="1" ht="12.75">
      <c r="A92" s="16"/>
      <c r="B92" s="326"/>
      <c r="C92" s="138" t="s">
        <v>238</v>
      </c>
      <c r="D92" s="138" t="s">
        <v>239</v>
      </c>
      <c r="E92" s="137" t="s">
        <v>178</v>
      </c>
      <c r="F92" s="138" t="s">
        <v>179</v>
      </c>
      <c r="G92" s="138"/>
      <c r="H92" s="144" t="s">
        <v>98</v>
      </c>
      <c r="I92" s="260"/>
      <c r="J92" s="145">
        <v>2.0459999999999998</v>
      </c>
      <c r="K92" s="138"/>
      <c r="L92" s="138"/>
      <c r="M92" s="169"/>
      <c r="N92" s="329"/>
      <c r="O92" s="145">
        <f ca="1">MAX(2011,BaseYear+1)</f>
        <v>2011</v>
      </c>
      <c r="P92" s="143">
        <f>3.6*8.76/1000</f>
        <v>3.1536000000000002E-2</v>
      </c>
      <c r="Q92" s="143">
        <v>0.75</v>
      </c>
      <c r="R92" s="138">
        <v>25</v>
      </c>
      <c r="S92" s="138">
        <v>6.2E-2</v>
      </c>
      <c r="T92" s="143">
        <v>2.2320000000000002</v>
      </c>
      <c r="U92" s="143">
        <v>0.16</v>
      </c>
      <c r="V92" s="186"/>
      <c r="X92" s="86">
        <f>J93/((J94*$U92+1)/(1+J94))</f>
        <v>0.8221925133689838</v>
      </c>
      <c r="Y92" s="86">
        <f>K93/((K94*$U92+1)/(1+K94))</f>
        <v>0.84283088235294124</v>
      </c>
      <c r="Z92" s="86">
        <f>L93/((L94*$U92+1)/(1+L94))</f>
        <v>0.86734271523178819</v>
      </c>
      <c r="AA92" s="86">
        <f>M93/((M94*$U92+1)/(1+M94))</f>
        <v>0.9</v>
      </c>
      <c r="AC92"/>
      <c r="AD92"/>
      <c r="AE92"/>
      <c r="AF92"/>
      <c r="AG92"/>
      <c r="AH92"/>
      <c r="AK92" s="8"/>
      <c r="AL92" s="8"/>
    </row>
    <row r="93" spans="1:38" s="5" customFormat="1" ht="12.75">
      <c r="A93" s="15"/>
      <c r="B93" s="331"/>
      <c r="C93" s="138"/>
      <c r="D93" s="138"/>
      <c r="E93" s="137"/>
      <c r="F93" s="137" t="s">
        <v>520</v>
      </c>
      <c r="G93" s="138" t="s">
        <v>603</v>
      </c>
      <c r="H93" s="144" t="s">
        <v>189</v>
      </c>
      <c r="I93" s="260"/>
      <c r="J93" s="138">
        <v>0.3</v>
      </c>
      <c r="K93" s="138">
        <f>J93+0.015</f>
        <v>0.315</v>
      </c>
      <c r="L93" s="138">
        <f>K93+0.015</f>
        <v>0.33</v>
      </c>
      <c r="M93" s="169">
        <f>L93+0.03</f>
        <v>0.36</v>
      </c>
      <c r="N93" s="329"/>
      <c r="O93" s="145"/>
      <c r="P93" s="143"/>
      <c r="Q93" s="143"/>
      <c r="R93" s="138"/>
      <c r="S93" s="137"/>
      <c r="T93" s="143"/>
      <c r="U93" s="143"/>
      <c r="V93" s="186"/>
      <c r="X93" s="86"/>
      <c r="Y93" s="86"/>
      <c r="Z93" s="86"/>
      <c r="AA93" s="86"/>
      <c r="AC93"/>
      <c r="AD93"/>
      <c r="AE93"/>
      <c r="AF93"/>
      <c r="AG93"/>
      <c r="AH93"/>
      <c r="AK93" s="8"/>
      <c r="AL93" s="8"/>
    </row>
    <row r="94" spans="1:38" s="5" customFormat="1" ht="12.75">
      <c r="A94" s="15"/>
      <c r="B94" s="331"/>
      <c r="C94" s="138"/>
      <c r="D94" s="138"/>
      <c r="E94" s="137"/>
      <c r="F94" s="137"/>
      <c r="G94" s="138"/>
      <c r="H94" s="144" t="s">
        <v>387</v>
      </c>
      <c r="I94" s="261" t="s">
        <v>247</v>
      </c>
      <c r="J94" s="138">
        <v>3.1</v>
      </c>
      <c r="K94" s="138">
        <v>2.93</v>
      </c>
      <c r="L94" s="138">
        <v>2.81</v>
      </c>
      <c r="M94" s="169">
        <v>2.5</v>
      </c>
      <c r="N94" s="329"/>
      <c r="O94" s="145"/>
      <c r="P94" s="143"/>
      <c r="Q94" s="143"/>
      <c r="R94" s="138"/>
      <c r="S94" s="137"/>
      <c r="T94" s="143"/>
      <c r="U94" s="143"/>
      <c r="V94" s="186"/>
      <c r="X94" s="86"/>
      <c r="Y94" s="86"/>
      <c r="Z94" s="86"/>
      <c r="AA94" s="86"/>
      <c r="AC94"/>
      <c r="AD94"/>
      <c r="AE94"/>
      <c r="AF94"/>
      <c r="AG94"/>
      <c r="AH94"/>
      <c r="AK94" s="8"/>
      <c r="AL94" s="8"/>
    </row>
    <row r="95" spans="1:38" s="5" customFormat="1" ht="12.75">
      <c r="A95" s="15"/>
      <c r="B95" s="331"/>
      <c r="C95" s="138"/>
      <c r="D95" s="138"/>
      <c r="E95" s="137"/>
      <c r="F95" s="137" t="str">
        <f>F93</f>
        <v>ISOI</v>
      </c>
      <c r="G95" s="138"/>
      <c r="H95" s="143" t="s">
        <v>118</v>
      </c>
      <c r="I95" s="261" t="s">
        <v>506</v>
      </c>
      <c r="J95" s="165">
        <f>J94*J93/(1+J94*MAX(0,$U92))</f>
        <v>0.62165775401069512</v>
      </c>
      <c r="K95" s="165">
        <f>K94*K93/(1+K94*MAX(0,$U92))</f>
        <v>0.62837009803921562</v>
      </c>
      <c r="L95" s="165">
        <f>L94*L93/(1+L94*MAX(0,$U92))</f>
        <v>0.63969370860927155</v>
      </c>
      <c r="M95" s="165">
        <f>M94*M93/(1+M94*MAX(0,$U92))</f>
        <v>0.64285714285714279</v>
      </c>
      <c r="N95" s="329"/>
      <c r="O95" s="145"/>
      <c r="P95" s="143"/>
      <c r="Q95" s="143"/>
      <c r="R95" s="138"/>
      <c r="S95" s="137"/>
      <c r="T95" s="143"/>
      <c r="U95" s="143"/>
      <c r="V95" s="186"/>
      <c r="X95" s="86"/>
      <c r="Y95" s="86"/>
      <c r="Z95" s="86"/>
      <c r="AA95" s="86"/>
      <c r="AC95"/>
      <c r="AD95"/>
      <c r="AE95"/>
      <c r="AF95"/>
      <c r="AG95"/>
      <c r="AH95"/>
      <c r="AK95" s="8"/>
      <c r="AL95" s="8"/>
    </row>
    <row r="96" spans="1:38" s="5" customFormat="1" ht="12.75">
      <c r="A96" s="16"/>
      <c r="B96" s="326"/>
      <c r="C96" s="138" t="s">
        <v>240</v>
      </c>
      <c r="D96" s="138" t="s">
        <v>241</v>
      </c>
      <c r="E96" s="137" t="s">
        <v>519</v>
      </c>
      <c r="F96" s="138" t="s">
        <v>179</v>
      </c>
      <c r="G96" s="138"/>
      <c r="H96" s="144" t="s">
        <v>98</v>
      </c>
      <c r="I96" s="260"/>
      <c r="J96" s="160">
        <v>2.6982399999999997</v>
      </c>
      <c r="K96" s="138"/>
      <c r="L96" s="138"/>
      <c r="M96" s="169"/>
      <c r="N96" s="329"/>
      <c r="O96" s="145">
        <f ca="1">BaseYear+1</f>
        <v>2011</v>
      </c>
      <c r="P96" s="143">
        <f>3.6*8.76/1000</f>
        <v>3.1536000000000002E-2</v>
      </c>
      <c r="Q96" s="143">
        <v>0.75</v>
      </c>
      <c r="R96" s="138">
        <v>25</v>
      </c>
      <c r="S96" s="347">
        <v>0.13699604789735934</v>
      </c>
      <c r="T96" s="143">
        <v>1.1160000000000001</v>
      </c>
      <c r="U96" s="143">
        <v>0.16</v>
      </c>
      <c r="V96" s="186"/>
      <c r="X96" s="86">
        <f>J97/((J98*$U96+1)/(1+J98))</f>
        <v>0.8084893048128341</v>
      </c>
      <c r="Y96" s="86">
        <f>K97/((K98*$U96+1)/(1+K98))</f>
        <v>0.82945261437908502</v>
      </c>
      <c r="Z96" s="86">
        <f>L97/((L98*$U96+1)/(1+L98))</f>
        <v>0.85420115894039739</v>
      </c>
      <c r="AA96" s="86">
        <f>M97/((M98*$U96+1)/(1+M98))</f>
        <v>0.88750000000000007</v>
      </c>
      <c r="AC96"/>
      <c r="AD96"/>
      <c r="AE96"/>
      <c r="AF96"/>
      <c r="AG96"/>
      <c r="AH96"/>
      <c r="AK96" s="8"/>
      <c r="AL96" s="8"/>
    </row>
    <row r="97" spans="1:38" s="5" customFormat="1" ht="12.75">
      <c r="A97" s="15"/>
      <c r="B97" s="331"/>
      <c r="C97" s="138"/>
      <c r="D97" s="138"/>
      <c r="E97" s="137" t="s">
        <v>131</v>
      </c>
      <c r="F97" s="137" t="s">
        <v>520</v>
      </c>
      <c r="G97" s="138" t="s">
        <v>603</v>
      </c>
      <c r="H97" s="144" t="s">
        <v>189</v>
      </c>
      <c r="I97" s="260"/>
      <c r="J97" s="138">
        <f>J93-0.005</f>
        <v>0.29499999999999998</v>
      </c>
      <c r="K97" s="138">
        <f>K93-0.005</f>
        <v>0.31</v>
      </c>
      <c r="L97" s="138">
        <f>L93-0.005</f>
        <v>0.32500000000000001</v>
      </c>
      <c r="M97" s="169">
        <f>M93-0.005</f>
        <v>0.35499999999999998</v>
      </c>
      <c r="N97" s="329"/>
      <c r="O97" s="145"/>
      <c r="P97" s="143"/>
      <c r="Q97" s="143"/>
      <c r="R97" s="138"/>
      <c r="S97" s="347"/>
      <c r="T97" s="143"/>
      <c r="U97" s="143"/>
      <c r="V97" s="186"/>
      <c r="X97" s="86"/>
      <c r="Y97" s="86"/>
      <c r="Z97" s="86"/>
      <c r="AA97" s="86"/>
      <c r="AC97"/>
      <c r="AD97"/>
      <c r="AE97"/>
      <c r="AF97"/>
      <c r="AG97"/>
      <c r="AH97"/>
      <c r="AK97" s="8"/>
      <c r="AL97" s="8"/>
    </row>
    <row r="98" spans="1:38" s="5" customFormat="1" ht="12.75">
      <c r="A98" s="15"/>
      <c r="B98" s="331"/>
      <c r="C98" s="138"/>
      <c r="D98" s="138"/>
      <c r="E98" s="137"/>
      <c r="F98" s="137"/>
      <c r="G98" s="138"/>
      <c r="H98" s="144" t="s">
        <v>387</v>
      </c>
      <c r="I98" s="261" t="s">
        <v>247</v>
      </c>
      <c r="J98" s="138">
        <v>3.1</v>
      </c>
      <c r="K98" s="138">
        <v>2.93</v>
      </c>
      <c r="L98" s="138">
        <v>2.81</v>
      </c>
      <c r="M98" s="169">
        <v>2.5</v>
      </c>
      <c r="N98" s="329"/>
      <c r="O98" s="145"/>
      <c r="P98" s="143"/>
      <c r="Q98" s="143"/>
      <c r="R98" s="138"/>
      <c r="S98" s="347"/>
      <c r="T98" s="143"/>
      <c r="U98" s="143"/>
      <c r="V98" s="186"/>
      <c r="X98" s="86"/>
      <c r="Y98" s="86"/>
      <c r="Z98" s="86"/>
      <c r="AA98" s="86"/>
      <c r="AC98"/>
      <c r="AD98"/>
      <c r="AE98"/>
      <c r="AF98"/>
      <c r="AG98"/>
      <c r="AH98"/>
      <c r="AK98" s="8"/>
      <c r="AL98" s="8"/>
    </row>
    <row r="99" spans="1:38" s="5" customFormat="1" ht="12.75">
      <c r="A99" s="15"/>
      <c r="B99" s="331"/>
      <c r="C99" s="138"/>
      <c r="D99" s="138"/>
      <c r="E99" s="137"/>
      <c r="F99" s="137" t="str">
        <f>F97</f>
        <v>ISOI</v>
      </c>
      <c r="G99" s="138"/>
      <c r="H99" s="143" t="s">
        <v>118</v>
      </c>
      <c r="I99" s="261" t="s">
        <v>506</v>
      </c>
      <c r="J99" s="165">
        <f>J98*J97/(1+J98*MAX(0,$U96))</f>
        <v>0.6112967914438503</v>
      </c>
      <c r="K99" s="165">
        <f>K98*K97/(1+K98*MAX(0,$U96))</f>
        <v>0.61839596949891062</v>
      </c>
      <c r="L99" s="165">
        <f>L98*L97/(1+L98*MAX(0,$U96))</f>
        <v>0.63000137969094927</v>
      </c>
      <c r="M99" s="165">
        <f>M98*M97/(1+M98*MAX(0,$U96))</f>
        <v>0.6339285714285714</v>
      </c>
      <c r="N99" s="329"/>
      <c r="O99" s="145"/>
      <c r="P99" s="143"/>
      <c r="Q99" s="143"/>
      <c r="R99" s="138"/>
      <c r="S99" s="347"/>
      <c r="T99" s="143"/>
      <c r="U99" s="143"/>
      <c r="V99" s="186"/>
      <c r="X99" s="86"/>
      <c r="Y99" s="86"/>
      <c r="Z99" s="86"/>
      <c r="AA99" s="86"/>
      <c r="AC99"/>
      <c r="AD99"/>
      <c r="AE99"/>
      <c r="AF99"/>
      <c r="AG99"/>
      <c r="AH99"/>
      <c r="AK99" s="8"/>
      <c r="AL99" s="8"/>
    </row>
    <row r="100" spans="1:38" s="5" customFormat="1" ht="12.75">
      <c r="A100" s="16"/>
      <c r="B100" s="326"/>
      <c r="C100" s="138" t="s">
        <v>433</v>
      </c>
      <c r="D100" s="138" t="s">
        <v>434</v>
      </c>
      <c r="E100" s="137" t="s">
        <v>215</v>
      </c>
      <c r="F100" s="138" t="s">
        <v>179</v>
      </c>
      <c r="G100" s="138"/>
      <c r="H100" s="144" t="s">
        <v>98</v>
      </c>
      <c r="I100" s="260"/>
      <c r="J100" s="160">
        <v>2.4241999999999999</v>
      </c>
      <c r="K100" s="138"/>
      <c r="L100" s="138"/>
      <c r="M100" s="169"/>
      <c r="N100" s="329"/>
      <c r="O100" s="145">
        <f ca="1">BaseYear+1</f>
        <v>2011</v>
      </c>
      <c r="P100" s="143">
        <f>3.6*8.76/1000</f>
        <v>3.1536000000000002E-2</v>
      </c>
      <c r="Q100" s="143">
        <v>0.75</v>
      </c>
      <c r="R100" s="138">
        <v>25</v>
      </c>
      <c r="S100" s="168">
        <v>0.11872990817771144</v>
      </c>
      <c r="T100" s="143">
        <v>1.1160000000000001</v>
      </c>
      <c r="U100" s="143">
        <v>0.16</v>
      </c>
      <c r="V100" s="186"/>
      <c r="X100" s="86">
        <f>J101/((J102*$U100+1)/(1+J102))</f>
        <v>0.8084893048128341</v>
      </c>
      <c r="Y100" s="86">
        <f>K101/((K102*$U100+1)/(1+K102))</f>
        <v>0.82945261437908502</v>
      </c>
      <c r="Z100" s="86">
        <f>L101/((L102*$U100+1)/(1+L102))</f>
        <v>0.85420115894039739</v>
      </c>
      <c r="AA100" s="86">
        <f>M101/((M102*$U100+1)/(1+M102))</f>
        <v>0.88750000000000007</v>
      </c>
      <c r="AC100"/>
      <c r="AD100"/>
      <c r="AE100"/>
      <c r="AF100"/>
      <c r="AG100"/>
      <c r="AH100"/>
      <c r="AK100" s="8"/>
      <c r="AL100" s="8"/>
    </row>
    <row r="101" spans="1:38" s="5" customFormat="1" ht="12.75">
      <c r="A101" s="15"/>
      <c r="B101" s="331"/>
      <c r="C101" s="138"/>
      <c r="D101" s="138"/>
      <c r="E101" s="137"/>
      <c r="F101" s="137" t="s">
        <v>520</v>
      </c>
      <c r="G101" s="138" t="s">
        <v>193</v>
      </c>
      <c r="H101" s="144" t="s">
        <v>189</v>
      </c>
      <c r="I101" s="260"/>
      <c r="J101" s="138">
        <f>J97</f>
        <v>0.29499999999999998</v>
      </c>
      <c r="K101" s="138">
        <f>K97</f>
        <v>0.31</v>
      </c>
      <c r="L101" s="138">
        <f>L97</f>
        <v>0.32500000000000001</v>
      </c>
      <c r="M101" s="169">
        <f>M97</f>
        <v>0.35499999999999998</v>
      </c>
      <c r="N101" s="329"/>
      <c r="O101" s="145"/>
      <c r="P101" s="143"/>
      <c r="Q101" s="143"/>
      <c r="R101" s="138"/>
      <c r="S101" s="347"/>
      <c r="T101" s="143"/>
      <c r="U101" s="143"/>
      <c r="V101" s="186"/>
      <c r="X101" s="86"/>
      <c r="Y101" s="86"/>
      <c r="Z101" s="86"/>
      <c r="AA101" s="86"/>
      <c r="AC101"/>
      <c r="AD101"/>
      <c r="AE101"/>
      <c r="AF101"/>
      <c r="AG101"/>
      <c r="AH101"/>
      <c r="AK101" s="8"/>
      <c r="AL101" s="8"/>
    </row>
    <row r="102" spans="1:38" s="5" customFormat="1" ht="12.75">
      <c r="A102" s="15"/>
      <c r="B102" s="331"/>
      <c r="C102" s="138"/>
      <c r="D102" s="138"/>
      <c r="E102" s="137"/>
      <c r="F102" s="137"/>
      <c r="G102" s="138"/>
      <c r="H102" s="144" t="s">
        <v>387</v>
      </c>
      <c r="I102" s="261" t="s">
        <v>247</v>
      </c>
      <c r="J102" s="138">
        <v>3.1</v>
      </c>
      <c r="K102" s="138">
        <v>2.93</v>
      </c>
      <c r="L102" s="138">
        <v>2.81</v>
      </c>
      <c r="M102" s="169">
        <v>2.5</v>
      </c>
      <c r="N102" s="329"/>
      <c r="O102" s="145"/>
      <c r="P102" s="143"/>
      <c r="Q102" s="143"/>
      <c r="R102" s="138"/>
      <c r="S102" s="137"/>
      <c r="T102" s="143"/>
      <c r="U102" s="143"/>
      <c r="V102" s="186"/>
      <c r="X102" s="86"/>
      <c r="Y102" s="86"/>
      <c r="Z102" s="86"/>
      <c r="AA102" s="86"/>
      <c r="AC102"/>
      <c r="AD102"/>
      <c r="AE102"/>
      <c r="AF102"/>
      <c r="AG102"/>
      <c r="AH102"/>
      <c r="AK102" s="8"/>
      <c r="AL102" s="8"/>
    </row>
    <row r="103" spans="1:38" s="5" customFormat="1" ht="12.75">
      <c r="A103" s="15"/>
      <c r="B103" s="331"/>
      <c r="C103" s="138"/>
      <c r="D103" s="138"/>
      <c r="E103" s="137"/>
      <c r="F103" s="137" t="str">
        <f>F101</f>
        <v>ISOI</v>
      </c>
      <c r="G103" s="138"/>
      <c r="H103" s="143" t="s">
        <v>118</v>
      </c>
      <c r="I103" s="261" t="s">
        <v>506</v>
      </c>
      <c r="J103" s="165">
        <f>J102*J101/(1+J102*MAX(0,$U100))</f>
        <v>0.6112967914438503</v>
      </c>
      <c r="K103" s="165">
        <f>K102*K101/(1+K102*MAX(0,$U100))</f>
        <v>0.61839596949891062</v>
      </c>
      <c r="L103" s="165">
        <f>L102*L101/(1+L102*MAX(0,$U100))</f>
        <v>0.63000137969094927</v>
      </c>
      <c r="M103" s="165">
        <f>M102*M101/(1+M102*MAX(0,$U100))</f>
        <v>0.6339285714285714</v>
      </c>
      <c r="N103" s="329"/>
      <c r="O103" s="145"/>
      <c r="P103" s="143"/>
      <c r="Q103" s="143"/>
      <c r="R103" s="138"/>
      <c r="S103" s="137"/>
      <c r="T103" s="143"/>
      <c r="U103" s="143"/>
      <c r="V103" s="186"/>
      <c r="X103" s="86"/>
      <c r="Y103" s="86"/>
      <c r="Z103" s="86"/>
      <c r="AA103" s="86"/>
      <c r="AC103"/>
      <c r="AD103"/>
      <c r="AE103"/>
      <c r="AF103"/>
      <c r="AG103"/>
      <c r="AH103"/>
      <c r="AK103" s="8"/>
      <c r="AL103" s="8"/>
    </row>
    <row r="104" spans="1:38" s="5" customFormat="1" ht="12.75">
      <c r="A104" s="15"/>
      <c r="B104" s="331"/>
      <c r="C104" s="138"/>
      <c r="D104" s="138"/>
      <c r="E104" s="137" t="s">
        <v>432</v>
      </c>
      <c r="F104" s="137"/>
      <c r="G104" s="138" t="s">
        <v>520</v>
      </c>
      <c r="H104" s="144" t="s">
        <v>46</v>
      </c>
      <c r="I104" s="260"/>
      <c r="J104" s="138">
        <v>1</v>
      </c>
      <c r="K104" s="138"/>
      <c r="L104" s="138"/>
      <c r="M104" s="169"/>
      <c r="N104" s="329"/>
      <c r="O104" s="145"/>
      <c r="P104" s="143"/>
      <c r="Q104" s="143"/>
      <c r="R104" s="138"/>
      <c r="S104" s="137"/>
      <c r="T104" s="143"/>
      <c r="U104" s="143"/>
      <c r="V104" s="186"/>
      <c r="X104" s="86"/>
      <c r="Y104" s="86"/>
      <c r="Z104" s="86"/>
      <c r="AA104" s="86"/>
      <c r="AC104"/>
      <c r="AD104"/>
      <c r="AE104"/>
      <c r="AF104"/>
      <c r="AG104"/>
      <c r="AH104"/>
      <c r="AK104" s="8"/>
      <c r="AL104" s="8"/>
    </row>
    <row r="105" spans="1:38" s="5" customFormat="1" ht="12.75">
      <c r="A105" s="16"/>
      <c r="B105" s="326"/>
      <c r="C105" s="138" t="s">
        <v>242</v>
      </c>
      <c r="D105" s="138" t="s">
        <v>243</v>
      </c>
      <c r="E105" s="138" t="s">
        <v>177</v>
      </c>
      <c r="F105" s="138" t="s">
        <v>179</v>
      </c>
      <c r="G105" s="138"/>
      <c r="H105" s="144" t="s">
        <v>98</v>
      </c>
      <c r="I105" s="260"/>
      <c r="J105" s="138">
        <v>6.82</v>
      </c>
      <c r="K105" s="138">
        <v>1.488</v>
      </c>
      <c r="L105" s="138">
        <v>1.24</v>
      </c>
      <c r="M105" s="167">
        <v>1.1160000000000001</v>
      </c>
      <c r="N105" s="329"/>
      <c r="O105" s="145">
        <v>2015</v>
      </c>
      <c r="P105" s="143">
        <f>3.6*8.76/1000</f>
        <v>3.1536000000000002E-2</v>
      </c>
      <c r="Q105" s="143">
        <v>0.75</v>
      </c>
      <c r="R105" s="138">
        <v>25</v>
      </c>
      <c r="S105" s="138">
        <v>0.496</v>
      </c>
      <c r="T105" s="143">
        <v>0.372</v>
      </c>
      <c r="U105" s="143">
        <v>0.1</v>
      </c>
      <c r="V105" s="186"/>
      <c r="X105" s="86">
        <f>J106/((J107*$U105+1)/(1+J107))</f>
        <v>0.83804143126177033</v>
      </c>
      <c r="Y105" s="86">
        <f>K106/((K107*$U105+1)/(1+K107))</f>
        <v>0.8568181818181817</v>
      </c>
      <c r="Z105" s="86">
        <f>L106/((L107*$U105+1)/(1+L107))</f>
        <v>0.86204933586337751</v>
      </c>
      <c r="AA105" s="86">
        <f>M106/((M107*$U105+1)/(1+M107))</f>
        <v>0.88571428571428568</v>
      </c>
      <c r="AC105"/>
      <c r="AD105"/>
      <c r="AE105"/>
      <c r="AF105"/>
      <c r="AG105"/>
      <c r="AH105"/>
      <c r="AK105" s="8"/>
      <c r="AL105" s="8"/>
    </row>
    <row r="106" spans="1:38" s="5" customFormat="1">
      <c r="A106" s="15"/>
      <c r="B106" s="331"/>
      <c r="C106" s="138"/>
      <c r="D106" s="138"/>
      <c r="E106" s="137"/>
      <c r="F106" s="137" t="s">
        <v>520</v>
      </c>
      <c r="G106" s="138" t="s">
        <v>603</v>
      </c>
      <c r="H106" s="144" t="s">
        <v>189</v>
      </c>
      <c r="I106" s="260"/>
      <c r="J106" s="169">
        <f>1/1.8</f>
        <v>0.55555555555555558</v>
      </c>
      <c r="K106" s="138">
        <v>0.57999999999999996</v>
      </c>
      <c r="L106" s="138">
        <v>0.59</v>
      </c>
      <c r="M106" s="169">
        <v>0.62</v>
      </c>
      <c r="N106" s="329"/>
      <c r="O106" s="145"/>
      <c r="P106" s="143"/>
      <c r="Q106" s="143"/>
      <c r="R106" s="143"/>
      <c r="S106" s="182"/>
      <c r="T106" s="143"/>
      <c r="U106" s="143"/>
      <c r="V106" s="186"/>
      <c r="X106" s="86"/>
      <c r="Y106" s="86"/>
      <c r="Z106" s="86"/>
      <c r="AA106" s="86"/>
      <c r="AC106"/>
      <c r="AD106"/>
      <c r="AE106"/>
      <c r="AF106"/>
      <c r="AG106"/>
      <c r="AH106"/>
      <c r="AK106" s="8"/>
      <c r="AL106" s="8"/>
    </row>
    <row r="107" spans="1:38" s="5" customFormat="1" ht="12.75">
      <c r="A107" s="15"/>
      <c r="B107" s="331"/>
      <c r="C107" s="138"/>
      <c r="D107" s="138"/>
      <c r="E107" s="137"/>
      <c r="F107" s="137"/>
      <c r="G107" s="138"/>
      <c r="H107" s="144" t="s">
        <v>387</v>
      </c>
      <c r="I107" s="261" t="s">
        <v>247</v>
      </c>
      <c r="J107" s="169">
        <f>1/1.67</f>
        <v>0.5988023952095809</v>
      </c>
      <c r="K107" s="138">
        <v>0.56000000000000005</v>
      </c>
      <c r="L107" s="138">
        <v>0.54</v>
      </c>
      <c r="M107" s="169">
        <v>0.5</v>
      </c>
      <c r="N107" s="329"/>
      <c r="O107" s="145"/>
      <c r="P107" s="143"/>
      <c r="Q107" s="143"/>
      <c r="R107" s="143"/>
      <c r="S107" s="143"/>
      <c r="T107" s="143"/>
      <c r="U107" s="143"/>
      <c r="V107" s="186"/>
      <c r="X107" s="86"/>
      <c r="Y107" s="86"/>
      <c r="Z107" s="86"/>
      <c r="AA107" s="86"/>
      <c r="AD107" s="8"/>
      <c r="AE107" s="8"/>
      <c r="AF107" s="8"/>
      <c r="AG107" s="6"/>
      <c r="AK107" s="8"/>
      <c r="AL107" s="8"/>
    </row>
    <row r="108" spans="1:38">
      <c r="B108" s="182"/>
      <c r="C108" s="182"/>
      <c r="D108" s="182"/>
      <c r="E108" s="182"/>
      <c r="F108" s="137" t="str">
        <f>F106</f>
        <v>ISOI</v>
      </c>
      <c r="G108" s="138"/>
      <c r="H108" s="143" t="s">
        <v>118</v>
      </c>
      <c r="I108" s="261" t="s">
        <v>506</v>
      </c>
      <c r="J108" s="165">
        <f>J107*J106/(1+J107*MAX(0,$U105))</f>
        <v>0.31387319522912743</v>
      </c>
      <c r="K108" s="165">
        <f>K107*K106/(1+K107*MAX(0,$U105))</f>
        <v>0.30757575757575761</v>
      </c>
      <c r="L108" s="165">
        <f>L107*L106/(1+L107*MAX(0,$U105))</f>
        <v>0.30227703984819732</v>
      </c>
      <c r="M108" s="165">
        <f>M107*M106/(1+M107*MAX(0,$U105))</f>
        <v>0.29523809523809524</v>
      </c>
      <c r="N108" s="332"/>
      <c r="O108" s="333"/>
      <c r="P108" s="182"/>
      <c r="Q108" s="182"/>
      <c r="R108" s="182"/>
      <c r="S108" s="182"/>
      <c r="T108" s="182"/>
      <c r="U108" s="182"/>
      <c r="V108" s="334"/>
      <c r="AB108"/>
    </row>
    <row r="109" spans="1:38" s="5" customFormat="1" ht="12.75">
      <c r="A109" s="15"/>
      <c r="B109" s="331"/>
      <c r="C109" s="138"/>
      <c r="D109" s="138"/>
      <c r="E109" s="137"/>
      <c r="F109" s="137"/>
      <c r="G109" s="138"/>
      <c r="H109" s="144" t="s">
        <v>99</v>
      </c>
      <c r="I109" s="336"/>
      <c r="J109" s="138">
        <v>0.372</v>
      </c>
      <c r="K109" s="138">
        <v>9.2999999999999999E-2</v>
      </c>
      <c r="L109" s="138">
        <v>7.4400000000000008E-2</v>
      </c>
      <c r="M109" s="167">
        <v>6.2E-2</v>
      </c>
      <c r="N109" s="329"/>
      <c r="O109" s="337"/>
      <c r="P109" s="143"/>
      <c r="Q109" s="143"/>
      <c r="R109" s="143"/>
      <c r="S109" s="143"/>
      <c r="T109" s="143"/>
      <c r="U109" s="143"/>
      <c r="V109" s="186"/>
      <c r="X109" s="86"/>
      <c r="Y109" s="86"/>
      <c r="Z109" s="86"/>
      <c r="AA109" s="86"/>
      <c r="AD109" s="8"/>
      <c r="AE109" s="8"/>
      <c r="AF109" s="8"/>
      <c r="AG109" s="6"/>
      <c r="AK109" s="8"/>
      <c r="AL109" s="8"/>
    </row>
    <row r="110" spans="1:38" s="5" customFormat="1" ht="12.75">
      <c r="A110" s="15"/>
      <c r="B110" s="89"/>
      <c r="C110" s="90"/>
      <c r="D110" s="90"/>
      <c r="E110" s="91"/>
      <c r="F110" s="91"/>
      <c r="G110" s="90"/>
      <c r="H110" s="92"/>
      <c r="I110" s="92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X110" s="90"/>
      <c r="Y110" s="90"/>
      <c r="Z110" s="90"/>
      <c r="AA110" s="90"/>
      <c r="AE110" s="8"/>
      <c r="AF110" s="8"/>
      <c r="AG110" s="8"/>
      <c r="AH110" s="6"/>
      <c r="AK110" s="8"/>
      <c r="AL110" s="8"/>
    </row>
    <row r="111" spans="1:38" s="5" customFormat="1" ht="12.75">
      <c r="A111" s="15"/>
      <c r="B111" s="15"/>
      <c r="C111" s="7"/>
      <c r="D111" s="7"/>
      <c r="E111" s="3"/>
      <c r="F111" s="3"/>
      <c r="I111" s="11"/>
      <c r="J111" s="11"/>
      <c r="M111" s="6"/>
      <c r="N111" s="6"/>
      <c r="O111" s="7"/>
      <c r="P111" s="6"/>
      <c r="Q111" s="6"/>
      <c r="R111" s="6"/>
      <c r="S111" s="6"/>
      <c r="U111" s="6"/>
      <c r="V111" s="6"/>
      <c r="W111" s="6"/>
      <c r="Z111" s="6"/>
      <c r="AA111" s="6"/>
      <c r="AD111" s="8"/>
      <c r="AE111" s="8"/>
      <c r="AF111" s="8"/>
      <c r="AG111" s="8"/>
      <c r="AH111" s="6"/>
      <c r="AK111" s="8"/>
      <c r="AL111" s="8"/>
    </row>
    <row r="112" spans="1:38" s="5" customFormat="1" ht="12.75">
      <c r="B112" s="81" t="s">
        <v>104</v>
      </c>
      <c r="C112" s="15" t="s">
        <v>244</v>
      </c>
      <c r="E112" s="7"/>
      <c r="F112" s="93">
        <f>COUNTA(C5:C109)</f>
        <v>25</v>
      </c>
      <c r="G112" s="3"/>
      <c r="I112" s="11"/>
      <c r="J112" s="11"/>
      <c r="M112" s="6"/>
      <c r="N112" s="6"/>
      <c r="O112" s="8"/>
      <c r="P112" s="6"/>
      <c r="Q112" s="6"/>
      <c r="R112" s="6"/>
      <c r="S112" s="6"/>
      <c r="T112" s="6"/>
      <c r="U112" s="6"/>
      <c r="V112" s="6"/>
      <c r="Y112" s="6"/>
      <c r="Z112" s="6"/>
      <c r="AB112" s="7"/>
      <c r="AD112" s="8"/>
      <c r="AE112" s="8"/>
      <c r="AF112" s="8"/>
      <c r="AG112" s="6"/>
      <c r="AK112" s="8"/>
      <c r="AL112" s="8"/>
    </row>
    <row r="113" spans="2:38" s="5" customFormat="1" ht="12.75">
      <c r="B113" s="81" t="s">
        <v>104</v>
      </c>
      <c r="C113" s="15" t="s">
        <v>391</v>
      </c>
      <c r="E113" s="7"/>
      <c r="F113" s="3"/>
      <c r="G113" s="3"/>
      <c r="I113" s="11"/>
      <c r="J113" s="11"/>
      <c r="M113" s="6"/>
      <c r="N113" s="6"/>
      <c r="O113" s="8"/>
      <c r="P113" s="6"/>
      <c r="Q113" s="6"/>
      <c r="R113" s="6"/>
      <c r="S113" s="6"/>
      <c r="T113" s="6"/>
      <c r="U113" s="6"/>
      <c r="V113" s="6"/>
      <c r="Y113" s="6"/>
      <c r="Z113" s="6"/>
      <c r="AB113" s="7"/>
      <c r="AD113" s="8"/>
      <c r="AE113" s="8"/>
      <c r="AF113" s="8"/>
      <c r="AG113" s="6"/>
      <c r="AK113" s="8"/>
      <c r="AL113" s="8"/>
    </row>
    <row r="114" spans="2:38" s="5" customFormat="1" ht="12.75">
      <c r="B114" s="81" t="s">
        <v>104</v>
      </c>
      <c r="C114" s="7" t="s">
        <v>245</v>
      </c>
      <c r="E114" s="7"/>
      <c r="F114" s="3"/>
      <c r="G114" s="3"/>
      <c r="I114" s="11"/>
      <c r="J114" s="11"/>
      <c r="M114" s="6"/>
      <c r="N114" s="6"/>
      <c r="O114" s="8"/>
      <c r="P114" s="6"/>
      <c r="Q114" s="6"/>
      <c r="R114" s="6"/>
      <c r="S114" s="6"/>
      <c r="T114" s="6"/>
      <c r="U114" s="6"/>
      <c r="V114" s="6"/>
      <c r="Y114" s="6"/>
      <c r="Z114" s="6"/>
      <c r="AB114" s="7"/>
      <c r="AD114" s="8"/>
      <c r="AE114" s="8"/>
      <c r="AF114" s="8"/>
      <c r="AG114" s="6"/>
      <c r="AK114" s="8"/>
      <c r="AL114" s="8"/>
    </row>
    <row r="115" spans="2:38" s="5" customFormat="1" ht="12.75">
      <c r="B115" s="81" t="s">
        <v>104</v>
      </c>
      <c r="C115" s="7" t="s">
        <v>388</v>
      </c>
      <c r="E115" s="7"/>
      <c r="F115" s="3"/>
      <c r="G115" s="3"/>
      <c r="I115" s="11"/>
      <c r="J115" s="11"/>
      <c r="M115" s="6"/>
      <c r="N115" s="6"/>
      <c r="O115" s="8"/>
      <c r="P115" s="6"/>
      <c r="Q115" s="6"/>
      <c r="R115" s="6"/>
      <c r="S115" s="6"/>
      <c r="T115" s="6"/>
      <c r="U115" s="6"/>
      <c r="V115" s="6"/>
      <c r="Y115" s="6"/>
      <c r="Z115" s="6"/>
      <c r="AB115" s="7"/>
      <c r="AD115" s="8"/>
      <c r="AE115" s="8"/>
      <c r="AF115" s="8"/>
      <c r="AG115" s="6"/>
      <c r="AK115" s="8"/>
      <c r="AL115" s="8"/>
    </row>
    <row r="116" spans="2:38" s="5" customFormat="1" ht="12.75">
      <c r="B116" s="81" t="s">
        <v>104</v>
      </c>
      <c r="C116" s="7" t="s">
        <v>246</v>
      </c>
      <c r="E116" s="7"/>
      <c r="F116" s="3"/>
      <c r="G116" s="3"/>
      <c r="I116" s="11"/>
      <c r="J116" s="11"/>
      <c r="M116" s="6"/>
      <c r="N116" s="6"/>
      <c r="O116" s="8"/>
      <c r="P116" s="6"/>
      <c r="Q116" s="6"/>
      <c r="R116" s="6"/>
      <c r="S116" s="6"/>
      <c r="T116" s="6"/>
      <c r="U116" s="6"/>
      <c r="V116" s="6"/>
      <c r="Y116" s="6"/>
      <c r="Z116" s="6"/>
      <c r="AB116" s="7"/>
      <c r="AD116" s="8"/>
      <c r="AE116" s="8"/>
      <c r="AF116" s="8"/>
      <c r="AG116" s="6"/>
      <c r="AK116" s="8"/>
      <c r="AL116" s="8"/>
    </row>
    <row r="117" spans="2:38" s="5" customFormat="1" ht="12.75">
      <c r="B117" s="81" t="s">
        <v>104</v>
      </c>
      <c r="C117" s="7" t="s">
        <v>389</v>
      </c>
      <c r="E117" s="7"/>
      <c r="F117" s="3"/>
      <c r="G117" s="3"/>
      <c r="I117" s="11"/>
      <c r="J117" s="11"/>
      <c r="M117" s="6"/>
      <c r="N117" s="6"/>
      <c r="O117" s="8"/>
      <c r="P117" s="6"/>
      <c r="Q117" s="6"/>
      <c r="R117" s="6"/>
      <c r="S117" s="6"/>
      <c r="T117" s="6"/>
      <c r="U117" s="6"/>
      <c r="V117" s="6"/>
      <c r="Y117" s="6"/>
      <c r="Z117" s="6"/>
      <c r="AB117" s="7"/>
      <c r="AD117" s="8"/>
      <c r="AE117" s="8"/>
      <c r="AF117" s="8"/>
      <c r="AG117" s="6"/>
      <c r="AK117" s="8"/>
      <c r="AL117" s="8"/>
    </row>
    <row r="118" spans="2:38" s="5" customFormat="1" ht="12.75">
      <c r="B118" s="81" t="s">
        <v>104</v>
      </c>
      <c r="C118" s="7" t="s">
        <v>390</v>
      </c>
      <c r="E118" s="7"/>
      <c r="F118" s="3"/>
      <c r="G118" s="3"/>
      <c r="I118" s="11"/>
      <c r="J118" s="11"/>
      <c r="M118" s="6"/>
      <c r="N118" s="6"/>
      <c r="O118" s="8"/>
      <c r="P118" s="6"/>
      <c r="Q118" s="6"/>
      <c r="R118" s="6"/>
      <c r="S118" s="6"/>
      <c r="T118" s="6"/>
      <c r="U118" s="6"/>
      <c r="V118" s="6"/>
      <c r="Y118" s="6"/>
      <c r="Z118" s="6"/>
      <c r="AB118" s="7"/>
      <c r="AD118" s="8"/>
      <c r="AE118" s="8"/>
      <c r="AF118" s="8"/>
      <c r="AG118" s="6"/>
      <c r="AK118" s="8"/>
      <c r="AL118" s="8"/>
    </row>
    <row r="119" spans="2:38">
      <c r="AC119"/>
    </row>
    <row r="120" spans="2:38">
      <c r="B120" s="115" t="s">
        <v>36</v>
      </c>
      <c r="C120" s="5"/>
      <c r="D120" s="5"/>
      <c r="E120" s="5"/>
      <c r="F120" s="5"/>
      <c r="G120" s="5"/>
      <c r="H120" s="5"/>
      <c r="AC120"/>
    </row>
    <row r="121" spans="2:38">
      <c r="B121" s="237" t="s">
        <v>37</v>
      </c>
      <c r="C121" s="237" t="s">
        <v>38</v>
      </c>
      <c r="D121" s="237" t="s">
        <v>39</v>
      </c>
      <c r="E121" s="237" t="s">
        <v>40</v>
      </c>
      <c r="F121" s="237" t="s">
        <v>560</v>
      </c>
      <c r="G121" s="237" t="s">
        <v>561</v>
      </c>
      <c r="H121" s="237" t="s">
        <v>562</v>
      </c>
      <c r="I121" s="237" t="s">
        <v>563</v>
      </c>
      <c r="N121"/>
      <c r="P121"/>
      <c r="Q121"/>
      <c r="R121"/>
      <c r="AC121"/>
    </row>
    <row r="122" spans="2:38" ht="14.1" customHeight="1">
      <c r="B122" s="20" t="s">
        <v>603</v>
      </c>
      <c r="C122" s="20" t="s">
        <v>179</v>
      </c>
      <c r="D122" s="20" t="s">
        <v>510</v>
      </c>
      <c r="E122" s="20" t="s">
        <v>41</v>
      </c>
      <c r="F122" s="20"/>
      <c r="G122" s="20" t="s">
        <v>564</v>
      </c>
      <c r="H122" s="20"/>
      <c r="I122" s="20" t="s">
        <v>565</v>
      </c>
      <c r="N122"/>
      <c r="P122"/>
      <c r="Q122"/>
      <c r="R122"/>
      <c r="AC122"/>
    </row>
    <row r="123" spans="2:38" ht="14.1" customHeight="1">
      <c r="B123" s="87" t="s">
        <v>603</v>
      </c>
      <c r="C123" s="87" t="s">
        <v>187</v>
      </c>
      <c r="D123" s="87" t="s">
        <v>45</v>
      </c>
      <c r="E123" s="87" t="s">
        <v>41</v>
      </c>
      <c r="F123" s="87"/>
      <c r="G123" s="87" t="s">
        <v>566</v>
      </c>
      <c r="H123" s="87"/>
      <c r="I123" s="87" t="s">
        <v>565</v>
      </c>
      <c r="N123"/>
      <c r="P123"/>
      <c r="Q123"/>
      <c r="R123"/>
      <c r="AC123"/>
    </row>
    <row r="124" spans="2:38" ht="14.1" customHeight="1">
      <c r="B124" s="20" t="s">
        <v>603</v>
      </c>
      <c r="C124" s="20" t="s">
        <v>517</v>
      </c>
      <c r="D124" s="20" t="s">
        <v>511</v>
      </c>
      <c r="E124" s="20" t="s">
        <v>41</v>
      </c>
      <c r="F124" s="20"/>
      <c r="G124" s="20" t="s">
        <v>625</v>
      </c>
      <c r="H124" s="20"/>
      <c r="I124" s="20" t="s">
        <v>248</v>
      </c>
      <c r="N124"/>
      <c r="P124"/>
      <c r="Q124"/>
      <c r="R124"/>
      <c r="AC124"/>
    </row>
    <row r="125" spans="2:38" ht="14.1" customHeight="1">
      <c r="B125" s="20" t="s">
        <v>603</v>
      </c>
      <c r="C125" s="20" t="s">
        <v>44</v>
      </c>
      <c r="D125" s="20" t="s">
        <v>44</v>
      </c>
      <c r="E125" s="20" t="s">
        <v>41</v>
      </c>
      <c r="F125" s="20"/>
      <c r="G125" s="20" t="s">
        <v>625</v>
      </c>
      <c r="H125" s="20"/>
      <c r="I125" s="20" t="s">
        <v>248</v>
      </c>
      <c r="N125"/>
      <c r="P125"/>
      <c r="Q125"/>
      <c r="R125"/>
      <c r="AC125"/>
    </row>
    <row r="126" spans="2:38" ht="14.1" customHeight="1">
      <c r="B126" s="20" t="s">
        <v>603</v>
      </c>
      <c r="C126" s="20" t="s">
        <v>171</v>
      </c>
      <c r="D126" s="20" t="s">
        <v>171</v>
      </c>
      <c r="E126" s="20" t="s">
        <v>41</v>
      </c>
      <c r="F126" s="20"/>
      <c r="G126" s="20" t="s">
        <v>625</v>
      </c>
      <c r="H126" s="20"/>
      <c r="I126" s="20" t="s">
        <v>248</v>
      </c>
      <c r="N126"/>
      <c r="P126"/>
      <c r="Q126"/>
      <c r="R126"/>
      <c r="AC126"/>
    </row>
    <row r="127" spans="2:38" ht="14.1" customHeight="1">
      <c r="B127" s="20" t="s">
        <v>603</v>
      </c>
      <c r="C127" s="20" t="s">
        <v>518</v>
      </c>
      <c r="D127" s="20" t="s">
        <v>518</v>
      </c>
      <c r="E127" s="20" t="s">
        <v>41</v>
      </c>
      <c r="F127" s="20"/>
      <c r="G127" s="20" t="s">
        <v>625</v>
      </c>
      <c r="H127" s="20"/>
      <c r="I127" s="20" t="s">
        <v>248</v>
      </c>
      <c r="N127"/>
      <c r="P127"/>
      <c r="Q127"/>
      <c r="R127"/>
      <c r="AC127"/>
    </row>
    <row r="128" spans="2:38" ht="14.1" customHeight="1">
      <c r="B128" s="20" t="s">
        <v>603</v>
      </c>
      <c r="C128" s="20" t="s">
        <v>174</v>
      </c>
      <c r="D128" s="20" t="s">
        <v>174</v>
      </c>
      <c r="E128" s="20" t="s">
        <v>41</v>
      </c>
      <c r="F128" s="20"/>
      <c r="G128" s="20" t="s">
        <v>625</v>
      </c>
      <c r="H128" s="20"/>
      <c r="I128" s="20" t="s">
        <v>248</v>
      </c>
      <c r="N128"/>
      <c r="P128"/>
      <c r="Q128"/>
      <c r="R128"/>
      <c r="AC128"/>
    </row>
    <row r="129" spans="2:29" ht="14.1" customHeight="1">
      <c r="B129" s="20" t="s">
        <v>603</v>
      </c>
      <c r="C129" s="20" t="s">
        <v>509</v>
      </c>
      <c r="D129" s="20" t="s">
        <v>509</v>
      </c>
      <c r="E129" s="20" t="s">
        <v>41</v>
      </c>
      <c r="F129" s="20"/>
      <c r="G129" s="20" t="s">
        <v>625</v>
      </c>
      <c r="H129" s="20"/>
      <c r="I129" s="20" t="s">
        <v>248</v>
      </c>
      <c r="N129"/>
      <c r="P129"/>
      <c r="Q129"/>
      <c r="R129"/>
      <c r="AC129"/>
    </row>
    <row r="130" spans="2:29" ht="14.1" customHeight="1">
      <c r="B130" s="20" t="s">
        <v>603</v>
      </c>
      <c r="C130" s="20" t="s">
        <v>520</v>
      </c>
      <c r="D130" s="20" t="s">
        <v>520</v>
      </c>
      <c r="E130" s="20" t="s">
        <v>41</v>
      </c>
      <c r="F130" s="20"/>
      <c r="G130" s="20" t="s">
        <v>625</v>
      </c>
      <c r="H130" s="20"/>
      <c r="I130" s="20" t="s">
        <v>248</v>
      </c>
      <c r="N130"/>
      <c r="P130"/>
      <c r="Q130"/>
      <c r="R130"/>
      <c r="AC130"/>
    </row>
    <row r="131" spans="2:29" ht="14.1" customHeight="1">
      <c r="B131" s="20" t="s">
        <v>603</v>
      </c>
      <c r="C131" s="20" t="s">
        <v>32</v>
      </c>
      <c r="D131" s="20" t="s">
        <v>42</v>
      </c>
      <c r="E131" s="20" t="s">
        <v>41</v>
      </c>
      <c r="F131" s="20"/>
      <c r="G131" s="20" t="s">
        <v>564</v>
      </c>
      <c r="H131" s="20"/>
      <c r="I131" s="20" t="s">
        <v>565</v>
      </c>
      <c r="N131"/>
      <c r="P131"/>
      <c r="Q131"/>
      <c r="R131"/>
      <c r="AC131"/>
    </row>
    <row r="132" spans="2:29" ht="14.1" customHeight="1">
      <c r="B132" s="20" t="s">
        <v>603</v>
      </c>
      <c r="C132" s="20" t="s">
        <v>221</v>
      </c>
      <c r="D132" s="19" t="s">
        <v>222</v>
      </c>
      <c r="E132" s="19" t="s">
        <v>41</v>
      </c>
      <c r="F132" s="20"/>
      <c r="G132" s="20"/>
      <c r="H132" s="20"/>
      <c r="I132" s="20"/>
      <c r="N132"/>
      <c r="P132"/>
      <c r="Q132"/>
      <c r="R132"/>
      <c r="AC132"/>
    </row>
    <row r="133" spans="2:29" ht="14.1" customHeight="1">
      <c r="B133" s="20" t="s">
        <v>603</v>
      </c>
      <c r="C133" s="20" t="s">
        <v>582</v>
      </c>
      <c r="D133" s="20" t="s">
        <v>254</v>
      </c>
      <c r="E133" s="19" t="s">
        <v>41</v>
      </c>
      <c r="F133" s="180"/>
      <c r="G133" s="20" t="s">
        <v>625</v>
      </c>
      <c r="H133" s="20"/>
      <c r="I133" s="20"/>
      <c r="N133"/>
      <c r="P133"/>
      <c r="Q133"/>
      <c r="R133"/>
      <c r="AC133"/>
    </row>
    <row r="134" spans="2:29" ht="14.1" customHeight="1">
      <c r="B134" s="181" t="s">
        <v>603</v>
      </c>
      <c r="C134" s="181" t="s">
        <v>214</v>
      </c>
      <c r="D134" s="181" t="s">
        <v>249</v>
      </c>
      <c r="E134" s="73" t="s">
        <v>41</v>
      </c>
      <c r="F134" s="181"/>
      <c r="G134" s="181" t="s">
        <v>250</v>
      </c>
      <c r="H134" s="181"/>
      <c r="I134" s="181" t="s">
        <v>567</v>
      </c>
      <c r="N134"/>
      <c r="P134"/>
      <c r="Q134"/>
      <c r="R134"/>
      <c r="AC134"/>
    </row>
    <row r="135" spans="2:29" ht="14.1" customHeight="1">
      <c r="B135" s="143" t="s">
        <v>43</v>
      </c>
      <c r="C135" s="143" t="s">
        <v>194</v>
      </c>
      <c r="D135" s="143" t="s">
        <v>194</v>
      </c>
      <c r="E135" s="143" t="s">
        <v>503</v>
      </c>
      <c r="F135" s="143"/>
      <c r="G135" s="143"/>
      <c r="H135" s="182"/>
      <c r="I135" s="182"/>
      <c r="N135"/>
      <c r="P135"/>
      <c r="Q135"/>
      <c r="R135"/>
      <c r="AC135"/>
    </row>
    <row r="136" spans="2:29" ht="14.1" customHeight="1">
      <c r="B136" s="143" t="s">
        <v>43</v>
      </c>
      <c r="C136" s="143" t="s">
        <v>495</v>
      </c>
      <c r="D136" s="143" t="s">
        <v>495</v>
      </c>
      <c r="E136" s="143" t="s">
        <v>503</v>
      </c>
      <c r="F136" s="143"/>
      <c r="G136" s="143"/>
      <c r="H136" s="182"/>
      <c r="I136" s="182"/>
      <c r="N136"/>
      <c r="P136"/>
      <c r="Q136"/>
      <c r="R136"/>
      <c r="AC136"/>
    </row>
    <row r="137" spans="2:29">
      <c r="AC137"/>
    </row>
    <row r="138" spans="2:29">
      <c r="AC138"/>
    </row>
    <row r="139" spans="2:29">
      <c r="B139" s="25" t="s">
        <v>526</v>
      </c>
      <c r="AC139"/>
    </row>
    <row r="140" spans="2:29">
      <c r="B140" s="94" t="s">
        <v>94</v>
      </c>
      <c r="C140" s="95" t="s">
        <v>555</v>
      </c>
      <c r="D140" s="95" t="s">
        <v>556</v>
      </c>
      <c r="E140" s="95" t="s">
        <v>527</v>
      </c>
      <c r="F140" s="95" t="s">
        <v>528</v>
      </c>
      <c r="G140" s="95" t="s">
        <v>529</v>
      </c>
      <c r="H140" s="95" t="s">
        <v>530</v>
      </c>
      <c r="I140" s="37" t="s">
        <v>531</v>
      </c>
      <c r="AC140"/>
    </row>
    <row r="141" spans="2:29">
      <c r="B141" s="96" t="s">
        <v>289</v>
      </c>
      <c r="C141" s="96" t="s">
        <v>537</v>
      </c>
      <c r="D141" s="96" t="s">
        <v>547</v>
      </c>
      <c r="E141" s="96" t="s">
        <v>41</v>
      </c>
      <c r="F141" s="96" t="s">
        <v>532</v>
      </c>
      <c r="G141" s="96" t="s">
        <v>625</v>
      </c>
      <c r="H141" s="26"/>
      <c r="I141" s="27" t="s">
        <v>533</v>
      </c>
      <c r="AC141"/>
    </row>
    <row r="142" spans="2:29">
      <c r="B142" s="96" t="s">
        <v>289</v>
      </c>
      <c r="C142" s="96" t="s">
        <v>227</v>
      </c>
      <c r="D142" s="96" t="s">
        <v>228</v>
      </c>
      <c r="E142" s="96" t="s">
        <v>41</v>
      </c>
      <c r="F142" s="96" t="s">
        <v>532</v>
      </c>
      <c r="G142" s="96" t="s">
        <v>625</v>
      </c>
      <c r="H142" s="26"/>
      <c r="I142" s="27" t="s">
        <v>533</v>
      </c>
      <c r="AC142"/>
    </row>
    <row r="143" spans="2:29">
      <c r="B143" s="96" t="s">
        <v>289</v>
      </c>
      <c r="C143" s="96" t="s">
        <v>542</v>
      </c>
      <c r="D143" s="96" t="s">
        <v>552</v>
      </c>
      <c r="E143" s="96" t="s">
        <v>41</v>
      </c>
      <c r="F143" s="96" t="s">
        <v>532</v>
      </c>
      <c r="G143" s="96" t="s">
        <v>625</v>
      </c>
      <c r="H143" s="26"/>
      <c r="I143" s="27" t="s">
        <v>533</v>
      </c>
      <c r="AC143"/>
    </row>
    <row r="144" spans="2:29">
      <c r="B144" s="96" t="s">
        <v>289</v>
      </c>
      <c r="C144" s="96" t="s">
        <v>232</v>
      </c>
      <c r="D144" s="96" t="s">
        <v>233</v>
      </c>
      <c r="E144" s="96" t="s">
        <v>41</v>
      </c>
      <c r="F144" s="96" t="s">
        <v>532</v>
      </c>
      <c r="G144" s="96" t="s">
        <v>625</v>
      </c>
      <c r="H144" s="26"/>
      <c r="I144" s="27" t="s">
        <v>533</v>
      </c>
      <c r="AC144"/>
    </row>
    <row r="145" spans="2:29">
      <c r="B145" s="96" t="s">
        <v>289</v>
      </c>
      <c r="C145" s="96" t="s">
        <v>230</v>
      </c>
      <c r="D145" s="96" t="s">
        <v>231</v>
      </c>
      <c r="E145" s="96" t="s">
        <v>41</v>
      </c>
      <c r="F145" s="96" t="s">
        <v>532</v>
      </c>
      <c r="G145" s="96" t="s">
        <v>625</v>
      </c>
      <c r="H145" s="26"/>
      <c r="I145" s="27" t="s">
        <v>533</v>
      </c>
      <c r="AC145"/>
    </row>
    <row r="146" spans="2:29">
      <c r="B146" s="96" t="s">
        <v>289</v>
      </c>
      <c r="C146" s="96" t="s">
        <v>125</v>
      </c>
      <c r="D146" s="96" t="s">
        <v>624</v>
      </c>
      <c r="E146" s="96" t="s">
        <v>41</v>
      </c>
      <c r="F146" s="96" t="s">
        <v>532</v>
      </c>
      <c r="G146" s="96" t="s">
        <v>625</v>
      </c>
      <c r="H146" s="26"/>
      <c r="I146" s="27" t="s">
        <v>533</v>
      </c>
      <c r="AC146"/>
    </row>
    <row r="147" spans="2:29">
      <c r="B147" s="96" t="s">
        <v>289</v>
      </c>
      <c r="C147" s="96" t="s">
        <v>92</v>
      </c>
      <c r="D147" s="96" t="s">
        <v>93</v>
      </c>
      <c r="E147" s="96" t="s">
        <v>41</v>
      </c>
      <c r="F147" s="96" t="s">
        <v>532</v>
      </c>
      <c r="G147" s="96" t="s">
        <v>625</v>
      </c>
      <c r="H147" s="26"/>
      <c r="I147" s="27" t="s">
        <v>533</v>
      </c>
      <c r="AC147"/>
    </row>
    <row r="148" spans="2:29">
      <c r="B148" s="96" t="s">
        <v>289</v>
      </c>
      <c r="C148" s="96" t="s">
        <v>620</v>
      </c>
      <c r="D148" s="96" t="s">
        <v>229</v>
      </c>
      <c r="E148" s="96" t="s">
        <v>41</v>
      </c>
      <c r="F148" s="96" t="s">
        <v>532</v>
      </c>
      <c r="G148" s="96" t="s">
        <v>625</v>
      </c>
      <c r="H148" s="26"/>
      <c r="I148" s="27" t="s">
        <v>533</v>
      </c>
      <c r="AC148"/>
    </row>
    <row r="149" spans="2:29">
      <c r="B149" s="96" t="s">
        <v>289</v>
      </c>
      <c r="C149" s="96" t="s">
        <v>535</v>
      </c>
      <c r="D149" s="96" t="s">
        <v>545</v>
      </c>
      <c r="E149" s="96" t="s">
        <v>41</v>
      </c>
      <c r="F149" s="96" t="s">
        <v>532</v>
      </c>
      <c r="G149" s="96" t="s">
        <v>625</v>
      </c>
      <c r="H149" s="26"/>
      <c r="I149" s="27" t="s">
        <v>533</v>
      </c>
      <c r="AC149"/>
    </row>
    <row r="150" spans="2:29">
      <c r="B150" s="96" t="s">
        <v>289</v>
      </c>
      <c r="C150" s="96" t="s">
        <v>536</v>
      </c>
      <c r="D150" s="96" t="s">
        <v>546</v>
      </c>
      <c r="E150" s="96" t="s">
        <v>41</v>
      </c>
      <c r="F150" s="96" t="s">
        <v>532</v>
      </c>
      <c r="G150" s="96" t="s">
        <v>625</v>
      </c>
      <c r="H150" s="26"/>
      <c r="I150" s="27" t="s">
        <v>533</v>
      </c>
      <c r="AC150"/>
    </row>
    <row r="151" spans="2:29">
      <c r="B151" s="96" t="s">
        <v>289</v>
      </c>
      <c r="C151" s="96" t="s">
        <v>627</v>
      </c>
      <c r="D151" s="96" t="s">
        <v>628</v>
      </c>
      <c r="E151" s="96" t="s">
        <v>41</v>
      </c>
      <c r="F151" s="96" t="s">
        <v>532</v>
      </c>
      <c r="G151" s="96" t="s">
        <v>625</v>
      </c>
      <c r="H151" s="26"/>
      <c r="I151" s="27" t="s">
        <v>533</v>
      </c>
      <c r="AC151"/>
    </row>
    <row r="152" spans="2:29">
      <c r="B152" s="96" t="s">
        <v>289</v>
      </c>
      <c r="C152" s="96" t="s">
        <v>540</v>
      </c>
      <c r="D152" s="96" t="s">
        <v>550</v>
      </c>
      <c r="E152" s="96" t="s">
        <v>41</v>
      </c>
      <c r="F152" s="96" t="s">
        <v>532</v>
      </c>
      <c r="G152" s="96" t="s">
        <v>625</v>
      </c>
      <c r="H152" s="26"/>
      <c r="I152" s="27" t="s">
        <v>533</v>
      </c>
      <c r="AC152"/>
    </row>
    <row r="153" spans="2:29">
      <c r="B153" s="96" t="s">
        <v>289</v>
      </c>
      <c r="C153" s="96" t="s">
        <v>543</v>
      </c>
      <c r="D153" s="96" t="s">
        <v>553</v>
      </c>
      <c r="E153" s="96" t="s">
        <v>41</v>
      </c>
      <c r="F153" s="96" t="s">
        <v>532</v>
      </c>
      <c r="G153" s="96" t="s">
        <v>625</v>
      </c>
      <c r="H153" s="26"/>
      <c r="I153" s="27" t="s">
        <v>533</v>
      </c>
      <c r="AC153"/>
    </row>
    <row r="154" spans="2:29">
      <c r="B154" s="96" t="s">
        <v>289</v>
      </c>
      <c r="C154" s="96" t="s">
        <v>538</v>
      </c>
      <c r="D154" s="96" t="s">
        <v>548</v>
      </c>
      <c r="E154" s="96" t="s">
        <v>41</v>
      </c>
      <c r="F154" s="96" t="s">
        <v>532</v>
      </c>
      <c r="G154" s="96" t="s">
        <v>625</v>
      </c>
      <c r="H154" s="26"/>
      <c r="I154" s="27" t="s">
        <v>533</v>
      </c>
      <c r="AC154"/>
    </row>
    <row r="155" spans="2:29">
      <c r="B155" s="96" t="s">
        <v>289</v>
      </c>
      <c r="C155" s="96" t="s">
        <v>544</v>
      </c>
      <c r="D155" s="96" t="s">
        <v>554</v>
      </c>
      <c r="E155" s="96" t="s">
        <v>41</v>
      </c>
      <c r="F155" s="96" t="s">
        <v>532</v>
      </c>
      <c r="G155" s="96" t="s">
        <v>625</v>
      </c>
      <c r="H155" s="26"/>
      <c r="I155" s="27" t="s">
        <v>533</v>
      </c>
      <c r="AC155"/>
    </row>
    <row r="156" spans="2:29">
      <c r="B156" s="96" t="s">
        <v>289</v>
      </c>
      <c r="C156" s="96" t="s">
        <v>223</v>
      </c>
      <c r="D156" s="96" t="s">
        <v>224</v>
      </c>
      <c r="E156" s="96" t="s">
        <v>41</v>
      </c>
      <c r="F156" s="96" t="s">
        <v>532</v>
      </c>
      <c r="G156" s="96" t="s">
        <v>625</v>
      </c>
      <c r="H156" s="26"/>
      <c r="I156" s="27" t="s">
        <v>533</v>
      </c>
      <c r="AC156"/>
    </row>
    <row r="157" spans="2:29">
      <c r="B157" s="96" t="s">
        <v>289</v>
      </c>
      <c r="C157" s="96" t="s">
        <v>225</v>
      </c>
      <c r="D157" s="96" t="s">
        <v>226</v>
      </c>
      <c r="E157" s="96" t="s">
        <v>41</v>
      </c>
      <c r="F157" s="96" t="s">
        <v>532</v>
      </c>
      <c r="G157" s="96" t="s">
        <v>625</v>
      </c>
      <c r="H157" s="26"/>
      <c r="I157" s="27" t="s">
        <v>533</v>
      </c>
      <c r="AC157"/>
    </row>
    <row r="158" spans="2:29">
      <c r="B158" s="96" t="s">
        <v>289</v>
      </c>
      <c r="C158" s="96" t="s">
        <v>539</v>
      </c>
      <c r="D158" s="96" t="s">
        <v>549</v>
      </c>
      <c r="E158" s="96" t="s">
        <v>41</v>
      </c>
      <c r="F158" s="96" t="s">
        <v>532</v>
      </c>
      <c r="G158" s="96" t="s">
        <v>625</v>
      </c>
      <c r="H158" s="26"/>
      <c r="I158" s="27" t="s">
        <v>533</v>
      </c>
      <c r="AC158"/>
    </row>
    <row r="159" spans="2:29">
      <c r="B159" s="96" t="s">
        <v>289</v>
      </c>
      <c r="C159" s="96" t="s">
        <v>541</v>
      </c>
      <c r="D159" s="96" t="s">
        <v>551</v>
      </c>
      <c r="E159" s="96" t="s">
        <v>41</v>
      </c>
      <c r="F159" s="96" t="s">
        <v>532</v>
      </c>
      <c r="G159" s="96" t="s">
        <v>625</v>
      </c>
      <c r="H159" s="26"/>
      <c r="I159" s="27" t="s">
        <v>533</v>
      </c>
      <c r="AC159"/>
    </row>
    <row r="160" spans="2:29">
      <c r="B160" s="96" t="s">
        <v>289</v>
      </c>
      <c r="C160" s="96" t="s">
        <v>240</v>
      </c>
      <c r="D160" s="96" t="s">
        <v>241</v>
      </c>
      <c r="E160" s="96" t="s">
        <v>41</v>
      </c>
      <c r="F160" s="96" t="s">
        <v>532</v>
      </c>
      <c r="G160" s="96" t="s">
        <v>625</v>
      </c>
      <c r="H160" s="26"/>
      <c r="I160" s="27" t="s">
        <v>533</v>
      </c>
      <c r="AC160"/>
    </row>
    <row r="161" spans="2:29">
      <c r="B161" s="96" t="s">
        <v>289</v>
      </c>
      <c r="C161" s="96" t="s">
        <v>238</v>
      </c>
      <c r="D161" s="96" t="s">
        <v>239</v>
      </c>
      <c r="E161" s="96" t="s">
        <v>41</v>
      </c>
      <c r="F161" s="96" t="s">
        <v>532</v>
      </c>
      <c r="G161" s="96" t="s">
        <v>625</v>
      </c>
      <c r="H161" s="26"/>
      <c r="I161" s="27" t="s">
        <v>533</v>
      </c>
      <c r="AC161"/>
    </row>
    <row r="162" spans="2:29">
      <c r="B162" s="96" t="s">
        <v>289</v>
      </c>
      <c r="C162" s="96" t="s">
        <v>236</v>
      </c>
      <c r="D162" s="96" t="s">
        <v>237</v>
      </c>
      <c r="E162" s="96" t="s">
        <v>41</v>
      </c>
      <c r="F162" s="96" t="s">
        <v>532</v>
      </c>
      <c r="G162" s="96" t="s">
        <v>625</v>
      </c>
      <c r="H162" s="26"/>
      <c r="I162" s="27" t="s">
        <v>533</v>
      </c>
      <c r="AC162"/>
    </row>
    <row r="163" spans="2:29">
      <c r="B163" s="96" t="s">
        <v>289</v>
      </c>
      <c r="C163" s="96" t="s">
        <v>242</v>
      </c>
      <c r="D163" s="96" t="s">
        <v>243</v>
      </c>
      <c r="E163" s="96" t="s">
        <v>41</v>
      </c>
      <c r="F163" s="96" t="s">
        <v>532</v>
      </c>
      <c r="G163" s="96" t="s">
        <v>625</v>
      </c>
      <c r="H163" s="26"/>
      <c r="I163" s="27" t="s">
        <v>533</v>
      </c>
      <c r="AC163"/>
    </row>
    <row r="164" spans="2:29">
      <c r="B164" s="96" t="s">
        <v>289</v>
      </c>
      <c r="C164" s="96" t="s">
        <v>234</v>
      </c>
      <c r="D164" s="96" t="s">
        <v>235</v>
      </c>
      <c r="E164" s="96" t="s">
        <v>41</v>
      </c>
      <c r="F164" s="96" t="s">
        <v>532</v>
      </c>
      <c r="G164" s="96" t="s">
        <v>625</v>
      </c>
      <c r="H164" s="26"/>
      <c r="I164" s="27" t="s">
        <v>533</v>
      </c>
      <c r="AC164"/>
    </row>
    <row r="165" spans="2:29">
      <c r="B165" s="96" t="s">
        <v>289</v>
      </c>
      <c r="C165" s="96" t="s">
        <v>433</v>
      </c>
      <c r="D165" s="96" t="s">
        <v>434</v>
      </c>
      <c r="E165" s="96" t="s">
        <v>41</v>
      </c>
      <c r="F165" s="96" t="s">
        <v>532</v>
      </c>
      <c r="G165" s="96" t="s">
        <v>625</v>
      </c>
      <c r="H165" s="26"/>
      <c r="I165" s="27" t="s">
        <v>533</v>
      </c>
      <c r="AC165"/>
    </row>
    <row r="166" spans="2:29">
      <c r="AC166"/>
    </row>
    <row r="167" spans="2:29">
      <c r="AC167"/>
    </row>
    <row r="168" spans="2:29">
      <c r="AC168"/>
    </row>
    <row r="169" spans="2:29">
      <c r="AC169"/>
    </row>
    <row r="170" spans="2:29">
      <c r="AC17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B1:AE253"/>
  <sheetViews>
    <sheetView zoomScale="75" workbookViewId="0">
      <selection activeCell="B1" sqref="B1"/>
    </sheetView>
  </sheetViews>
  <sheetFormatPr defaultColWidth="8.85546875" defaultRowHeight="12.75"/>
  <cols>
    <col min="1" max="1" width="9.140625" customWidth="1"/>
    <col min="2" max="2" width="10.28515625" customWidth="1"/>
    <col min="3" max="3" width="16.42578125" customWidth="1"/>
    <col min="4" max="4" width="44.140625" customWidth="1"/>
    <col min="5" max="5" width="9.42578125" customWidth="1"/>
    <col min="6" max="6" width="8.42578125" customWidth="1"/>
    <col min="7" max="7" width="9.7109375" customWidth="1"/>
    <col min="8" max="8" width="9" customWidth="1"/>
    <col min="9" max="9" width="9.5703125" customWidth="1"/>
    <col min="10" max="10" width="8.42578125" customWidth="1"/>
    <col min="11" max="11" width="7.85546875" customWidth="1"/>
    <col min="12" max="12" width="6.42578125" bestFit="1" customWidth="1"/>
    <col min="13" max="13" width="7.7109375" customWidth="1"/>
    <col min="14" max="14" width="8" customWidth="1"/>
    <col min="15" max="15" width="8.85546875" customWidth="1"/>
    <col min="16" max="16" width="9.7109375" bestFit="1" customWidth="1"/>
    <col min="17" max="22" width="8.85546875" customWidth="1"/>
    <col min="23" max="24" width="9.42578125" bestFit="1" customWidth="1"/>
    <col min="25" max="26" width="8.85546875" customWidth="1"/>
    <col min="27" max="27" width="9.7109375" bestFit="1" customWidth="1"/>
  </cols>
  <sheetData>
    <row r="1" spans="2:3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2:31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2:31">
      <c r="B3" s="1"/>
      <c r="C3" s="1"/>
      <c r="D3" s="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"/>
      <c r="AD3" s="1"/>
      <c r="AE3" s="1"/>
    </row>
    <row r="4" spans="2:31">
      <c r="B4" s="1"/>
      <c r="C4" s="1"/>
      <c r="D4" s="1"/>
      <c r="E4" s="1"/>
      <c r="F4" s="1"/>
      <c r="G4" s="1"/>
      <c r="H4" s="15" t="s">
        <v>516</v>
      </c>
      <c r="AC4" s="1"/>
      <c r="AD4" s="1"/>
      <c r="AE4" s="1"/>
    </row>
    <row r="5" spans="2:31" ht="24.75" thickBot="1">
      <c r="B5" s="28" t="s">
        <v>33</v>
      </c>
      <c r="C5" s="28" t="s">
        <v>555</v>
      </c>
      <c r="D5" s="28" t="s">
        <v>556</v>
      </c>
      <c r="E5" s="28" t="s">
        <v>557</v>
      </c>
      <c r="F5" s="28" t="s">
        <v>48</v>
      </c>
      <c r="G5" s="28" t="s">
        <v>138</v>
      </c>
      <c r="H5" s="28" t="s">
        <v>95</v>
      </c>
      <c r="I5" s="29" t="s">
        <v>559</v>
      </c>
      <c r="J5" s="28" t="s">
        <v>558</v>
      </c>
      <c r="K5" s="28" t="s">
        <v>101</v>
      </c>
      <c r="L5" s="28" t="s">
        <v>97</v>
      </c>
      <c r="M5" s="28" t="s">
        <v>96</v>
      </c>
      <c r="N5" s="28" t="s">
        <v>139</v>
      </c>
      <c r="O5" s="28" t="s">
        <v>103</v>
      </c>
      <c r="P5" s="28" t="s">
        <v>98</v>
      </c>
      <c r="Q5" s="28" t="s">
        <v>99</v>
      </c>
      <c r="R5" s="28" t="s">
        <v>100</v>
      </c>
      <c r="S5" s="28" t="s">
        <v>173</v>
      </c>
      <c r="T5" s="28" t="s">
        <v>102</v>
      </c>
      <c r="AC5" s="10"/>
      <c r="AD5" s="10"/>
      <c r="AE5" s="10"/>
    </row>
    <row r="6" spans="2:31">
      <c r="B6" s="30" t="s">
        <v>162</v>
      </c>
      <c r="C6" s="31"/>
      <c r="D6" s="31"/>
      <c r="E6" s="32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AB6" s="6"/>
    </row>
    <row r="7" spans="2:31" ht="21" customHeight="1">
      <c r="B7" s="248" t="s">
        <v>621</v>
      </c>
      <c r="C7" s="31" t="s">
        <v>523</v>
      </c>
      <c r="D7" s="31" t="s">
        <v>524</v>
      </c>
      <c r="E7" s="32" t="s">
        <v>163</v>
      </c>
      <c r="F7" s="32" t="s">
        <v>164</v>
      </c>
      <c r="G7" s="31"/>
      <c r="H7" s="31">
        <v>2010</v>
      </c>
      <c r="I7" s="31">
        <v>1</v>
      </c>
      <c r="J7" s="31"/>
      <c r="K7" s="31"/>
      <c r="L7" s="31">
        <f ca="1">BaseYear</f>
        <v>2010</v>
      </c>
      <c r="M7" s="31"/>
      <c r="N7" s="31">
        <v>20</v>
      </c>
      <c r="O7" s="31"/>
      <c r="P7" s="31">
        <v>0</v>
      </c>
      <c r="Q7" s="31">
        <v>0</v>
      </c>
      <c r="R7" s="219">
        <v>0.01</v>
      </c>
      <c r="S7" s="31"/>
      <c r="T7" s="31"/>
      <c r="AB7" s="6"/>
    </row>
    <row r="8" spans="2:31" s="6" customFormat="1">
      <c r="B8" s="111"/>
      <c r="C8" s="33"/>
      <c r="D8" s="33"/>
      <c r="E8" s="112"/>
      <c r="F8" s="112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/>
      <c r="V8"/>
      <c r="W8"/>
      <c r="X8"/>
      <c r="Y8"/>
      <c r="Z8"/>
      <c r="AA8"/>
      <c r="AB8" s="4"/>
    </row>
    <row r="9" spans="2:31" s="6" customFormat="1"/>
    <row r="10" spans="2:31" s="4" customFormat="1"/>
    <row r="11" spans="2:31" s="4" customFormat="1">
      <c r="B11" s="111"/>
      <c r="C11" s="33"/>
      <c r="D11" s="33"/>
      <c r="E11" s="112"/>
      <c r="F11" s="112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 spans="2:31" s="4" customFormat="1" ht="18">
      <c r="B12"/>
      <c r="C12" s="38" t="s">
        <v>29</v>
      </c>
      <c r="D12" s="39"/>
      <c r="E12" s="40"/>
      <c r="G12" s="5"/>
      <c r="H12" s="22" t="s">
        <v>516</v>
      </c>
      <c r="I12" s="33"/>
      <c r="J12" s="33"/>
      <c r="K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AA12" s="33"/>
    </row>
    <row r="13" spans="2:31" s="4" customFormat="1" ht="38.25">
      <c r="B13" s="41" t="s">
        <v>33</v>
      </c>
      <c r="C13" s="41" t="s">
        <v>555</v>
      </c>
      <c r="D13" s="41" t="s">
        <v>556</v>
      </c>
      <c r="E13" s="41" t="s">
        <v>557</v>
      </c>
      <c r="F13" s="41" t="s">
        <v>153</v>
      </c>
      <c r="G13" s="41" t="s">
        <v>569</v>
      </c>
      <c r="H13" s="41" t="s">
        <v>385</v>
      </c>
      <c r="I13" s="114" t="s">
        <v>97</v>
      </c>
      <c r="J13" s="41">
        <v>2015</v>
      </c>
      <c r="K13" s="41">
        <v>2030</v>
      </c>
      <c r="L13" s="41">
        <v>2040</v>
      </c>
      <c r="M13" s="41">
        <v>2050</v>
      </c>
      <c r="N13" s="113" t="s">
        <v>559</v>
      </c>
      <c r="O13" s="41" t="s">
        <v>558</v>
      </c>
      <c r="P13" s="113" t="s">
        <v>141</v>
      </c>
      <c r="Q13" s="41" t="s">
        <v>102</v>
      </c>
      <c r="R13" s="41" t="s">
        <v>139</v>
      </c>
      <c r="S13" s="42" t="s">
        <v>98</v>
      </c>
      <c r="T13" s="42" t="s">
        <v>99</v>
      </c>
      <c r="U13" s="42" t="s">
        <v>100</v>
      </c>
      <c r="V13" s="42" t="s">
        <v>173</v>
      </c>
      <c r="W13" s="42" t="s">
        <v>280</v>
      </c>
      <c r="X13" s="42" t="s">
        <v>279</v>
      </c>
    </row>
    <row r="14" spans="2:31" s="4" customFormat="1">
      <c r="B14" s="248" t="s">
        <v>621</v>
      </c>
      <c r="C14" s="125" t="s">
        <v>213</v>
      </c>
      <c r="D14" s="125" t="s">
        <v>212</v>
      </c>
      <c r="E14" s="126" t="s">
        <v>181</v>
      </c>
      <c r="F14" s="125"/>
      <c r="G14" s="126" t="s">
        <v>185</v>
      </c>
      <c r="H14" s="125"/>
      <c r="I14" s="256">
        <v>2010</v>
      </c>
      <c r="J14" s="19"/>
      <c r="K14" s="19"/>
      <c r="L14" s="19"/>
      <c r="M14" s="19"/>
      <c r="N14" s="338">
        <v>1.05</v>
      </c>
      <c r="O14" s="125"/>
      <c r="P14" s="128"/>
      <c r="Q14" s="125"/>
      <c r="R14" s="125"/>
      <c r="S14" s="125"/>
      <c r="T14" s="125"/>
      <c r="U14" s="125">
        <v>2.17</v>
      </c>
      <c r="V14" s="125"/>
      <c r="W14" s="125"/>
      <c r="X14" s="125"/>
    </row>
    <row r="15" spans="2:31" s="4" customFormat="1">
      <c r="B15" s="248" t="s">
        <v>621</v>
      </c>
      <c r="C15" s="125" t="s">
        <v>10</v>
      </c>
      <c r="D15" s="125" t="s">
        <v>132</v>
      </c>
      <c r="E15" s="126" t="s">
        <v>15</v>
      </c>
      <c r="F15" s="125"/>
      <c r="G15" s="126" t="s">
        <v>168</v>
      </c>
      <c r="H15" s="125"/>
      <c r="I15" s="256">
        <f t="shared" ref="I15:I22" ca="1" si="0">BaseYear+1</f>
        <v>2011</v>
      </c>
      <c r="J15" s="19"/>
      <c r="K15" s="19"/>
      <c r="L15" s="19"/>
      <c r="M15" s="19"/>
      <c r="N15" s="338">
        <v>1</v>
      </c>
      <c r="O15" s="125"/>
      <c r="P15" s="128"/>
      <c r="Q15" s="125"/>
      <c r="R15" s="125"/>
      <c r="S15" s="125"/>
      <c r="T15" s="125"/>
      <c r="U15" s="125">
        <v>3.968</v>
      </c>
      <c r="V15" s="125"/>
      <c r="W15" s="125"/>
      <c r="X15" s="125"/>
    </row>
    <row r="16" spans="2:31" s="4" customFormat="1">
      <c r="B16" s="248" t="s">
        <v>621</v>
      </c>
      <c r="C16" s="125" t="s">
        <v>11</v>
      </c>
      <c r="D16" s="125" t="s">
        <v>134</v>
      </c>
      <c r="E16" s="126" t="s">
        <v>512</v>
      </c>
      <c r="F16" s="125"/>
      <c r="G16" s="126" t="s">
        <v>168</v>
      </c>
      <c r="H16" s="125"/>
      <c r="I16" s="256">
        <f t="shared" ca="1" si="0"/>
        <v>2011</v>
      </c>
      <c r="J16" s="19"/>
      <c r="K16" s="19"/>
      <c r="L16" s="19"/>
      <c r="M16" s="19"/>
      <c r="N16" s="338">
        <v>1</v>
      </c>
      <c r="O16" s="125"/>
      <c r="P16" s="128"/>
      <c r="Q16" s="125"/>
      <c r="R16" s="125"/>
      <c r="S16" s="125"/>
      <c r="T16" s="125"/>
      <c r="U16" s="125">
        <v>4.4640000000000004</v>
      </c>
      <c r="V16" s="125"/>
      <c r="W16" s="125"/>
      <c r="X16" s="125"/>
    </row>
    <row r="17" spans="2:24" s="4" customFormat="1">
      <c r="B17" s="248" t="s">
        <v>621</v>
      </c>
      <c r="C17" s="125" t="s">
        <v>12</v>
      </c>
      <c r="D17" s="125" t="s">
        <v>135</v>
      </c>
      <c r="E17" s="126" t="s">
        <v>15</v>
      </c>
      <c r="F17" s="125"/>
      <c r="G17" s="126" t="s">
        <v>168</v>
      </c>
      <c r="H17" s="125"/>
      <c r="I17" s="256">
        <f t="shared" ca="1" si="0"/>
        <v>2011</v>
      </c>
      <c r="J17" s="19"/>
      <c r="K17" s="19"/>
      <c r="L17" s="19"/>
      <c r="M17" s="19"/>
      <c r="N17" s="338">
        <v>1</v>
      </c>
      <c r="O17" s="125"/>
      <c r="P17" s="128"/>
      <c r="Q17" s="125"/>
      <c r="R17" s="125"/>
      <c r="S17" s="125"/>
      <c r="T17" s="125"/>
      <c r="U17" s="420">
        <f>4.96*1.18</f>
        <v>5.8527999999999993</v>
      </c>
      <c r="V17" s="125"/>
      <c r="W17" s="125"/>
      <c r="X17" s="125"/>
    </row>
    <row r="18" spans="2:24" s="4" customFormat="1">
      <c r="B18" s="248" t="s">
        <v>621</v>
      </c>
      <c r="C18" s="125" t="s">
        <v>13</v>
      </c>
      <c r="D18" s="125" t="s">
        <v>137</v>
      </c>
      <c r="E18" s="126" t="s">
        <v>15</v>
      </c>
      <c r="F18" s="125"/>
      <c r="G18" s="126" t="s">
        <v>168</v>
      </c>
      <c r="H18" s="125"/>
      <c r="I18" s="256">
        <f t="shared" ca="1" si="0"/>
        <v>2011</v>
      </c>
      <c r="J18" s="19"/>
      <c r="K18" s="19"/>
      <c r="L18" s="19"/>
      <c r="M18" s="19"/>
      <c r="N18" s="338">
        <v>1</v>
      </c>
      <c r="O18" s="125"/>
      <c r="P18" s="128"/>
      <c r="Q18" s="125"/>
      <c r="R18" s="125"/>
      <c r="S18" s="125"/>
      <c r="T18" s="125"/>
      <c r="U18" s="125">
        <v>5.58</v>
      </c>
      <c r="V18" s="125"/>
      <c r="W18" s="125"/>
      <c r="X18" s="125"/>
    </row>
    <row r="19" spans="2:24" s="4" customFormat="1">
      <c r="B19" s="248" t="s">
        <v>621</v>
      </c>
      <c r="C19" s="125" t="s">
        <v>14</v>
      </c>
      <c r="D19" s="125" t="s">
        <v>133</v>
      </c>
      <c r="E19" s="126" t="s">
        <v>512</v>
      </c>
      <c r="F19" s="125"/>
      <c r="G19" s="126" t="s">
        <v>168</v>
      </c>
      <c r="H19" s="125"/>
      <c r="I19" s="256">
        <f t="shared" ca="1" si="0"/>
        <v>2011</v>
      </c>
      <c r="J19" s="19"/>
      <c r="K19" s="19"/>
      <c r="L19" s="19"/>
      <c r="M19" s="19"/>
      <c r="N19" s="338">
        <v>1</v>
      </c>
      <c r="O19" s="125"/>
      <c r="P19" s="128"/>
      <c r="Q19" s="125"/>
      <c r="R19" s="125"/>
      <c r="S19" s="125"/>
      <c r="T19" s="125"/>
      <c r="U19" s="130">
        <v>6.1379999999999999</v>
      </c>
      <c r="V19" s="125"/>
      <c r="W19" s="125"/>
      <c r="X19" s="125"/>
    </row>
    <row r="20" spans="2:24" s="4" customFormat="1">
      <c r="B20" s="248" t="s">
        <v>621</v>
      </c>
      <c r="C20" s="125" t="s">
        <v>205</v>
      </c>
      <c r="D20" s="125" t="s">
        <v>136</v>
      </c>
      <c r="E20" s="126" t="s">
        <v>15</v>
      </c>
      <c r="F20" s="125"/>
      <c r="G20" s="126" t="s">
        <v>168</v>
      </c>
      <c r="H20" s="125"/>
      <c r="I20" s="256">
        <v>2030</v>
      </c>
      <c r="J20" s="19"/>
      <c r="K20" s="19"/>
      <c r="L20" s="19"/>
      <c r="M20" s="19"/>
      <c r="N20" s="338">
        <v>1</v>
      </c>
      <c r="O20" s="125"/>
      <c r="P20" s="128"/>
      <c r="Q20" s="125"/>
      <c r="R20" s="125"/>
      <c r="S20" s="125"/>
      <c r="T20" s="125"/>
      <c r="U20" s="130">
        <f>6.882*10</f>
        <v>68.819999999999993</v>
      </c>
      <c r="V20" s="125"/>
      <c r="W20" s="125"/>
      <c r="X20" s="125"/>
    </row>
    <row r="21" spans="2:24" s="4" customFormat="1">
      <c r="B21" s="248" t="s">
        <v>621</v>
      </c>
      <c r="C21" s="125" t="s">
        <v>282</v>
      </c>
      <c r="D21" s="125" t="s">
        <v>283</v>
      </c>
      <c r="E21" s="126" t="s">
        <v>199</v>
      </c>
      <c r="F21" s="125"/>
      <c r="G21" s="126" t="s">
        <v>168</v>
      </c>
      <c r="H21" s="125"/>
      <c r="I21" s="256">
        <v>2200</v>
      </c>
      <c r="J21" s="19"/>
      <c r="K21" s="19"/>
      <c r="L21" s="19"/>
      <c r="M21" s="19"/>
      <c r="N21" s="339">
        <f>1/7.4</f>
        <v>0.13513513513513511</v>
      </c>
      <c r="O21" s="125"/>
      <c r="P21" s="128"/>
      <c r="Q21" s="125"/>
      <c r="R21" s="125"/>
      <c r="S21" s="125"/>
      <c r="T21" s="125"/>
      <c r="U21" s="130">
        <v>8.7135135135135891E-2</v>
      </c>
      <c r="V21" s="125"/>
      <c r="W21" s="125"/>
      <c r="X21" s="125"/>
    </row>
    <row r="22" spans="2:24" s="4" customFormat="1">
      <c r="B22" s="248" t="s">
        <v>621</v>
      </c>
      <c r="C22" s="125" t="s">
        <v>22</v>
      </c>
      <c r="D22" s="125" t="s">
        <v>21</v>
      </c>
      <c r="E22" s="126" t="s">
        <v>23</v>
      </c>
      <c r="F22" s="125"/>
      <c r="G22" s="126" t="s">
        <v>24</v>
      </c>
      <c r="H22" s="125"/>
      <c r="I22" s="256">
        <f t="shared" ca="1" si="0"/>
        <v>2011</v>
      </c>
      <c r="J22" s="19"/>
      <c r="K22" s="19"/>
      <c r="L22" s="19"/>
      <c r="M22" s="19"/>
      <c r="N22" s="338">
        <v>1.05</v>
      </c>
      <c r="O22" s="125"/>
      <c r="P22" s="128"/>
      <c r="Q22" s="125"/>
      <c r="R22" s="125"/>
      <c r="S22" s="125"/>
      <c r="T22" s="125"/>
      <c r="U22" s="125">
        <v>2.48</v>
      </c>
      <c r="V22" s="125"/>
      <c r="W22" s="125"/>
      <c r="X22" s="125"/>
    </row>
    <row r="23" spans="2:24" s="4" customFormat="1">
      <c r="B23" s="248" t="s">
        <v>621</v>
      </c>
      <c r="C23" s="125" t="s">
        <v>27</v>
      </c>
      <c r="D23" s="125" t="s">
        <v>28</v>
      </c>
      <c r="E23" s="126" t="s">
        <v>168</v>
      </c>
      <c r="F23" s="125"/>
      <c r="G23" s="126" t="s">
        <v>26</v>
      </c>
      <c r="H23" s="125"/>
      <c r="I23" s="256">
        <f ca="1">BaseYear</f>
        <v>2010</v>
      </c>
      <c r="J23" s="79"/>
      <c r="K23" s="79"/>
      <c r="L23" s="79"/>
      <c r="M23" s="79"/>
      <c r="N23" s="338"/>
      <c r="O23" s="125"/>
      <c r="P23" s="178">
        <v>1.02</v>
      </c>
      <c r="Q23" s="125"/>
      <c r="R23" s="148">
        <v>25</v>
      </c>
      <c r="S23" s="125">
        <v>9.6</v>
      </c>
      <c r="T23" s="130">
        <f>S23*0.025</f>
        <v>0.24</v>
      </c>
      <c r="U23" s="130">
        <v>0.73</v>
      </c>
      <c r="V23" s="125"/>
      <c r="W23" s="125"/>
      <c r="X23" s="125"/>
    </row>
    <row r="24" spans="2:24" s="4" customFormat="1">
      <c r="B24" s="148"/>
      <c r="C24" s="125"/>
      <c r="D24" s="125"/>
      <c r="E24" s="126" t="s">
        <v>167</v>
      </c>
      <c r="F24" s="125"/>
      <c r="G24" s="126"/>
      <c r="H24" s="125"/>
      <c r="I24" s="256"/>
      <c r="J24" s="79"/>
      <c r="K24" s="79"/>
      <c r="L24" s="79"/>
      <c r="M24" s="79"/>
      <c r="N24" s="338"/>
      <c r="O24" s="125"/>
      <c r="P24" s="179">
        <v>1.01</v>
      </c>
      <c r="Q24" s="125"/>
      <c r="R24" s="125"/>
      <c r="S24" s="125"/>
      <c r="T24" s="125"/>
      <c r="U24" s="129"/>
      <c r="V24" s="125"/>
      <c r="W24" s="125"/>
      <c r="X24" s="125"/>
    </row>
    <row r="25" spans="2:24" s="4" customFormat="1">
      <c r="B25" s="148"/>
      <c r="C25" s="125"/>
      <c r="D25" s="125"/>
      <c r="E25" s="126" t="s">
        <v>4</v>
      </c>
      <c r="F25" s="125"/>
      <c r="G25" s="126"/>
      <c r="H25" s="125"/>
      <c r="I25" s="256"/>
      <c r="J25" s="79"/>
      <c r="K25" s="79"/>
      <c r="L25" s="79"/>
      <c r="M25" s="79"/>
      <c r="N25" s="338"/>
      <c r="O25" s="125"/>
      <c r="P25" s="178">
        <v>1</v>
      </c>
      <c r="Q25" s="125"/>
      <c r="R25" s="125"/>
      <c r="S25" s="125"/>
      <c r="T25" s="125"/>
      <c r="U25" s="129"/>
      <c r="V25" s="125"/>
      <c r="W25" s="125"/>
      <c r="X25" s="125"/>
    </row>
    <row r="26" spans="2:24" s="4" customFormat="1">
      <c r="B26" s="148"/>
      <c r="C26" s="125"/>
      <c r="D26" s="125"/>
      <c r="E26" s="126"/>
      <c r="F26" s="134" t="s">
        <v>574</v>
      </c>
      <c r="G26" s="126"/>
      <c r="H26" s="125" t="s">
        <v>190</v>
      </c>
      <c r="I26" s="256"/>
      <c r="J26" s="142">
        <v>3.1578947368421047E-2</v>
      </c>
      <c r="K26" s="79"/>
      <c r="L26" s="79"/>
      <c r="M26" s="79"/>
      <c r="N26" s="341">
        <v>0</v>
      </c>
      <c r="O26" s="125"/>
      <c r="P26" s="128"/>
      <c r="Q26" s="125"/>
      <c r="R26" s="125"/>
      <c r="S26" s="125"/>
      <c r="T26" s="125"/>
      <c r="U26" s="125"/>
      <c r="V26" s="125"/>
      <c r="W26" s="125"/>
      <c r="X26" s="125"/>
    </row>
    <row r="27" spans="2:24" s="4" customFormat="1">
      <c r="B27" s="248" t="s">
        <v>621</v>
      </c>
      <c r="C27" s="125" t="s">
        <v>8</v>
      </c>
      <c r="D27" s="125" t="s">
        <v>9</v>
      </c>
      <c r="E27" s="126" t="s">
        <v>168</v>
      </c>
      <c r="F27" s="125"/>
      <c r="G27" s="126"/>
      <c r="H27" s="125" t="s">
        <v>101</v>
      </c>
      <c r="I27" s="256">
        <v>2015</v>
      </c>
      <c r="J27" s="131">
        <v>0.84499999999999997</v>
      </c>
      <c r="K27" s="131">
        <v>0.88</v>
      </c>
      <c r="L27" s="131">
        <v>0.89</v>
      </c>
      <c r="M27" s="131">
        <v>0.9</v>
      </c>
      <c r="N27" s="338"/>
      <c r="O27" s="125"/>
      <c r="P27" s="128"/>
      <c r="Q27" s="125">
        <v>0.9</v>
      </c>
      <c r="R27" s="148">
        <v>25</v>
      </c>
      <c r="S27" s="130">
        <v>16.533333333333335</v>
      </c>
      <c r="T27" s="129">
        <v>0.67166666666666675</v>
      </c>
      <c r="U27" s="130">
        <v>0.20666666666666669</v>
      </c>
      <c r="V27" s="129"/>
      <c r="W27" s="129"/>
      <c r="X27" s="129"/>
    </row>
    <row r="28" spans="2:24" s="4" customFormat="1">
      <c r="B28" s="148"/>
      <c r="C28" s="125"/>
      <c r="D28" s="125"/>
      <c r="E28" s="126"/>
      <c r="F28" s="134" t="s">
        <v>574</v>
      </c>
      <c r="G28" s="126" t="s">
        <v>6</v>
      </c>
      <c r="H28" s="125"/>
      <c r="I28" s="256"/>
      <c r="J28" s="79"/>
      <c r="K28" s="79"/>
      <c r="L28" s="79"/>
      <c r="M28" s="79"/>
      <c r="N28" s="339">
        <v>2.9716981132075472E-2</v>
      </c>
      <c r="O28" s="125"/>
      <c r="P28" s="128"/>
      <c r="Q28" s="125"/>
      <c r="R28" s="148"/>
      <c r="S28" s="125"/>
      <c r="T28" s="125"/>
      <c r="U28" s="125"/>
      <c r="V28" s="125"/>
      <c r="W28" s="125"/>
      <c r="X28" s="125"/>
    </row>
    <row r="29" spans="2:24" s="4" customFormat="1">
      <c r="B29" s="248" t="s">
        <v>621</v>
      </c>
      <c r="C29" s="134" t="s">
        <v>477</v>
      </c>
      <c r="D29" s="134" t="s">
        <v>478</v>
      </c>
      <c r="E29" s="134" t="s">
        <v>6</v>
      </c>
      <c r="F29" s="134"/>
      <c r="G29" s="133" t="s">
        <v>191</v>
      </c>
      <c r="H29" s="134" t="s">
        <v>479</v>
      </c>
      <c r="I29" s="343"/>
      <c r="J29" s="135">
        <v>0.01</v>
      </c>
      <c r="K29" s="135">
        <v>0.2</v>
      </c>
      <c r="L29" s="152">
        <v>0.27</v>
      </c>
      <c r="M29" s="152">
        <v>0.33300000000000002</v>
      </c>
      <c r="N29" s="342">
        <f>1/0.6/0.7</f>
        <v>2.3809523809523814</v>
      </c>
      <c r="O29" s="134"/>
      <c r="P29" s="136"/>
      <c r="Q29" s="134"/>
      <c r="R29" s="134"/>
      <c r="S29" s="134"/>
      <c r="T29" s="134"/>
      <c r="U29" s="134">
        <v>0.74399999999999999</v>
      </c>
      <c r="V29" s="134"/>
      <c r="W29" s="134"/>
      <c r="X29" s="134"/>
    </row>
    <row r="30" spans="2:24" s="4" customFormat="1">
      <c r="B30" s="149"/>
      <c r="C30" s="134"/>
      <c r="D30" s="134"/>
      <c r="E30" s="134"/>
      <c r="F30" s="134"/>
      <c r="G30" s="133" t="s">
        <v>192</v>
      </c>
      <c r="H30" s="134"/>
      <c r="I30" s="343">
        <v>2070</v>
      </c>
      <c r="J30" s="135"/>
      <c r="K30" s="135"/>
      <c r="L30" s="135"/>
      <c r="M30" s="135"/>
      <c r="N30" s="340"/>
      <c r="O30" s="384">
        <f>2/3</f>
        <v>0.66666666666666663</v>
      </c>
      <c r="P30" s="136"/>
      <c r="Q30" s="134"/>
      <c r="R30" s="134"/>
      <c r="S30" s="134"/>
      <c r="T30" s="134"/>
      <c r="U30" s="134"/>
      <c r="V30" s="134"/>
      <c r="W30" s="134"/>
      <c r="X30" s="134"/>
    </row>
    <row r="31" spans="2:24" s="4" customFormat="1">
      <c r="B31" s="248" t="s">
        <v>621</v>
      </c>
      <c r="C31" s="134" t="s">
        <v>689</v>
      </c>
      <c r="D31" s="134" t="s">
        <v>726</v>
      </c>
      <c r="E31" s="134" t="s">
        <v>691</v>
      </c>
      <c r="F31" s="134"/>
      <c r="G31" s="133" t="s">
        <v>601</v>
      </c>
      <c r="H31" s="134"/>
      <c r="I31" s="343">
        <v>2033</v>
      </c>
      <c r="J31" s="135"/>
      <c r="K31" s="135"/>
      <c r="L31" s="135"/>
      <c r="M31" s="135"/>
      <c r="N31" s="342">
        <f>1/24</f>
        <v>4.1666666666666664E-2</v>
      </c>
      <c r="O31" s="134"/>
      <c r="P31" s="136"/>
      <c r="Q31" s="134"/>
      <c r="R31" s="134"/>
      <c r="S31" s="134"/>
      <c r="T31" s="134"/>
      <c r="U31" s="134"/>
      <c r="V31" s="154">
        <v>320</v>
      </c>
      <c r="W31" s="153"/>
      <c r="X31" s="154"/>
    </row>
    <row r="32" spans="2:24" s="4" customFormat="1">
      <c r="B32" s="149"/>
      <c r="C32" s="134"/>
      <c r="D32" s="134"/>
      <c r="E32" s="134"/>
      <c r="F32" s="134"/>
      <c r="G32" s="133" t="s">
        <v>25</v>
      </c>
      <c r="H32" s="134"/>
      <c r="I32" s="343"/>
      <c r="J32" s="135"/>
      <c r="K32" s="135"/>
      <c r="L32" s="135"/>
      <c r="M32" s="135"/>
      <c r="N32" s="340"/>
      <c r="O32" s="134"/>
      <c r="P32" s="136"/>
      <c r="Q32" s="134"/>
      <c r="R32" s="134"/>
      <c r="S32" s="134"/>
      <c r="T32" s="134"/>
      <c r="U32" s="134"/>
      <c r="V32" s="153"/>
      <c r="W32" s="153"/>
      <c r="X32" s="154"/>
    </row>
    <row r="36" spans="2:24" ht="18">
      <c r="C36" s="38" t="s">
        <v>803</v>
      </c>
      <c r="D36" s="39"/>
      <c r="E36" s="40"/>
      <c r="F36" s="4"/>
      <c r="G36" s="5"/>
      <c r="I36" s="22" t="s">
        <v>516</v>
      </c>
    </row>
    <row r="37" spans="2:24" ht="25.5">
      <c r="B37" s="41" t="s">
        <v>33</v>
      </c>
      <c r="C37" s="41" t="s">
        <v>555</v>
      </c>
      <c r="D37" s="41" t="s">
        <v>556</v>
      </c>
      <c r="E37" s="41" t="s">
        <v>557</v>
      </c>
      <c r="F37" s="41" t="s">
        <v>153</v>
      </c>
      <c r="G37" s="41" t="s">
        <v>569</v>
      </c>
      <c r="H37" s="41" t="s">
        <v>604</v>
      </c>
      <c r="I37" s="114" t="s">
        <v>385</v>
      </c>
      <c r="J37" s="41">
        <v>2020</v>
      </c>
      <c r="K37" s="41">
        <v>2030</v>
      </c>
      <c r="L37" s="41">
        <v>2040</v>
      </c>
      <c r="M37" s="41">
        <v>2050</v>
      </c>
      <c r="N37" s="113" t="s">
        <v>559</v>
      </c>
      <c r="O37" s="41" t="s">
        <v>558</v>
      </c>
      <c r="P37" s="113" t="s">
        <v>97</v>
      </c>
      <c r="Q37" s="41" t="s">
        <v>96</v>
      </c>
      <c r="R37" s="42" t="s">
        <v>139</v>
      </c>
      <c r="S37" s="42" t="s">
        <v>103</v>
      </c>
      <c r="T37" s="42" t="s">
        <v>99</v>
      </c>
      <c r="U37" s="42" t="s">
        <v>100</v>
      </c>
      <c r="V37" s="42" t="s">
        <v>152</v>
      </c>
      <c r="W37" s="41" t="s">
        <v>258</v>
      </c>
      <c r="X37" s="41" t="s">
        <v>195</v>
      </c>
    </row>
    <row r="38" spans="2:24">
      <c r="B38" s="248" t="s">
        <v>792</v>
      </c>
      <c r="C38" s="19" t="s">
        <v>812</v>
      </c>
      <c r="D38" s="19" t="s">
        <v>109</v>
      </c>
      <c r="E38" s="19" t="s">
        <v>514</v>
      </c>
      <c r="F38" s="19" t="s">
        <v>108</v>
      </c>
      <c r="G38" s="19" t="s">
        <v>634</v>
      </c>
      <c r="H38" s="19" t="s">
        <v>108</v>
      </c>
      <c r="I38" s="277" t="s">
        <v>98</v>
      </c>
      <c r="J38" s="372">
        <v>49.861491897055373</v>
      </c>
      <c r="K38" s="372">
        <v>44.99714299509715</v>
      </c>
      <c r="L38" s="372">
        <v>42.752184212197953</v>
      </c>
      <c r="M38" s="372">
        <v>40.619228983334743</v>
      </c>
      <c r="N38" s="348" t="s">
        <v>108</v>
      </c>
      <c r="O38" s="366" t="s">
        <v>108</v>
      </c>
      <c r="P38" s="128">
        <v>2020</v>
      </c>
      <c r="Q38" s="19">
        <v>1</v>
      </c>
      <c r="R38" s="19">
        <v>20</v>
      </c>
      <c r="S38" s="19" t="s">
        <v>108</v>
      </c>
      <c r="T38" s="79">
        <v>2.0195435906693762</v>
      </c>
      <c r="U38" s="79" t="s">
        <v>108</v>
      </c>
      <c r="V38" s="19" t="s">
        <v>108</v>
      </c>
      <c r="W38" s="19">
        <v>0.9</v>
      </c>
      <c r="X38" s="19" t="s">
        <v>108</v>
      </c>
    </row>
    <row r="39" spans="2:24">
      <c r="B39" s="19"/>
      <c r="C39" s="19" t="s">
        <v>108</v>
      </c>
      <c r="D39" s="19" t="s">
        <v>108</v>
      </c>
      <c r="E39" s="19" t="s">
        <v>4</v>
      </c>
      <c r="F39" s="19"/>
      <c r="G39" s="19" t="s">
        <v>108</v>
      </c>
      <c r="H39" s="19" t="s">
        <v>603</v>
      </c>
      <c r="I39" s="277" t="s">
        <v>189</v>
      </c>
      <c r="J39" s="372">
        <v>0.59037037037037032</v>
      </c>
      <c r="K39" s="372">
        <v>0.59037037037037032</v>
      </c>
      <c r="L39" s="372">
        <v>0.59037037037037032</v>
      </c>
      <c r="M39" s="372">
        <v>0.59037037037037032</v>
      </c>
      <c r="N39" s="348"/>
      <c r="O39" s="366" t="s">
        <v>108</v>
      </c>
      <c r="P39" s="128" t="s">
        <v>108</v>
      </c>
      <c r="Q39" s="19" t="s">
        <v>108</v>
      </c>
      <c r="R39" s="19" t="s">
        <v>108</v>
      </c>
      <c r="S39" s="19" t="s">
        <v>108</v>
      </c>
      <c r="T39" s="79" t="s">
        <v>108</v>
      </c>
      <c r="U39" s="79" t="s">
        <v>108</v>
      </c>
      <c r="V39" s="19" t="s">
        <v>108</v>
      </c>
      <c r="W39" s="19" t="s">
        <v>108</v>
      </c>
      <c r="X39" s="19" t="s">
        <v>108</v>
      </c>
    </row>
    <row r="40" spans="2:24">
      <c r="B40" s="19"/>
      <c r="C40" s="19" t="s">
        <v>108</v>
      </c>
      <c r="D40" s="19" t="s">
        <v>108</v>
      </c>
      <c r="E40" s="19" t="s">
        <v>108</v>
      </c>
      <c r="F40" s="19" t="s">
        <v>493</v>
      </c>
      <c r="G40" s="19" t="s">
        <v>108</v>
      </c>
      <c r="H40" s="19" t="s">
        <v>634</v>
      </c>
      <c r="I40" s="277" t="s">
        <v>108</v>
      </c>
      <c r="J40" s="372" t="s">
        <v>108</v>
      </c>
      <c r="K40" s="372" t="s">
        <v>108</v>
      </c>
      <c r="L40" s="372" t="s">
        <v>108</v>
      </c>
      <c r="M40" s="372" t="s">
        <v>108</v>
      </c>
      <c r="N40" s="348" t="s">
        <v>108</v>
      </c>
      <c r="O40" s="366" t="s">
        <v>108</v>
      </c>
      <c r="P40" s="128" t="s">
        <v>108</v>
      </c>
      <c r="Q40" s="19" t="s">
        <v>108</v>
      </c>
      <c r="R40" s="19" t="s">
        <v>108</v>
      </c>
      <c r="S40" s="19" t="s">
        <v>108</v>
      </c>
      <c r="T40" s="79" t="s">
        <v>108</v>
      </c>
      <c r="U40" s="79" t="s">
        <v>108</v>
      </c>
      <c r="V40" s="19" t="s">
        <v>108</v>
      </c>
      <c r="W40" s="19" t="s">
        <v>108</v>
      </c>
      <c r="X40" s="131">
        <v>0.01</v>
      </c>
    </row>
    <row r="41" spans="2:24">
      <c r="B41" s="19"/>
      <c r="C41" s="19" t="s">
        <v>108</v>
      </c>
      <c r="D41" s="19" t="s">
        <v>108</v>
      </c>
      <c r="E41" s="19" t="s">
        <v>108</v>
      </c>
      <c r="F41" s="19" t="s">
        <v>493</v>
      </c>
      <c r="G41" s="19" t="s">
        <v>108</v>
      </c>
      <c r="H41" s="19" t="s">
        <v>514</v>
      </c>
      <c r="I41" s="277" t="s">
        <v>108</v>
      </c>
      <c r="J41" s="372" t="s">
        <v>108</v>
      </c>
      <c r="K41" s="372" t="s">
        <v>108</v>
      </c>
      <c r="L41" s="372" t="s">
        <v>108</v>
      </c>
      <c r="M41" s="372" t="s">
        <v>108</v>
      </c>
      <c r="N41" s="348" t="s">
        <v>108</v>
      </c>
      <c r="O41" s="366" t="s">
        <v>108</v>
      </c>
      <c r="P41" s="128" t="s">
        <v>108</v>
      </c>
      <c r="Q41" s="19" t="s">
        <v>108</v>
      </c>
      <c r="R41" s="19" t="s">
        <v>108</v>
      </c>
      <c r="S41" s="19" t="s">
        <v>108</v>
      </c>
      <c r="T41" s="79" t="s">
        <v>108</v>
      </c>
      <c r="U41" s="79" t="s">
        <v>108</v>
      </c>
      <c r="V41" s="19" t="s">
        <v>108</v>
      </c>
      <c r="W41" s="19" t="s">
        <v>108</v>
      </c>
      <c r="X41" s="131">
        <v>2.3614814814814814E-2</v>
      </c>
    </row>
    <row r="42" spans="2:24">
      <c r="B42" s="19"/>
      <c r="C42" s="19"/>
      <c r="D42" s="19"/>
      <c r="E42" s="19"/>
      <c r="F42" s="19" t="s">
        <v>651</v>
      </c>
      <c r="G42" s="19"/>
      <c r="H42" s="19"/>
      <c r="I42" s="277"/>
      <c r="J42" s="372"/>
      <c r="K42" s="372"/>
      <c r="L42" s="372"/>
      <c r="M42" s="372"/>
      <c r="N42" s="348">
        <v>2.8500926364796616E-2</v>
      </c>
      <c r="O42" s="366"/>
      <c r="P42" s="128"/>
      <c r="Q42" s="19"/>
      <c r="R42" s="19"/>
      <c r="S42" s="19"/>
      <c r="T42" s="79"/>
      <c r="U42" s="79"/>
      <c r="V42" s="19"/>
      <c r="W42" s="19"/>
      <c r="X42" s="131"/>
    </row>
    <row r="43" spans="2:24">
      <c r="B43" s="248" t="s">
        <v>792</v>
      </c>
      <c r="C43" s="19" t="s">
        <v>811</v>
      </c>
      <c r="D43" s="19" t="s">
        <v>781</v>
      </c>
      <c r="E43" s="19" t="s">
        <v>634</v>
      </c>
      <c r="F43" s="19" t="s">
        <v>108</v>
      </c>
      <c r="G43" s="19" t="s">
        <v>253</v>
      </c>
      <c r="H43" s="19" t="s">
        <v>108</v>
      </c>
      <c r="I43" s="277" t="s">
        <v>98</v>
      </c>
      <c r="J43" s="372">
        <v>12.608830724070447</v>
      </c>
      <c r="K43" s="372">
        <v>11.711411233424274</v>
      </c>
      <c r="L43" s="372">
        <v>11.1120401827619</v>
      </c>
      <c r="M43" s="372">
        <v>10.543343971297967</v>
      </c>
      <c r="N43" s="348">
        <v>1</v>
      </c>
      <c r="O43" s="366" t="s">
        <v>108</v>
      </c>
      <c r="P43" s="128">
        <v>2010</v>
      </c>
      <c r="Q43" s="19">
        <v>1</v>
      </c>
      <c r="R43" s="19">
        <v>15</v>
      </c>
      <c r="S43" s="19" t="s">
        <v>108</v>
      </c>
      <c r="T43" s="79">
        <v>0.47952234971500962</v>
      </c>
      <c r="U43" s="79" t="s">
        <v>108</v>
      </c>
      <c r="V43" s="19" t="s">
        <v>108</v>
      </c>
      <c r="W43" s="19">
        <v>0.9</v>
      </c>
      <c r="X43" s="19" t="s">
        <v>108</v>
      </c>
    </row>
    <row r="44" spans="2:24">
      <c r="B44" s="19"/>
      <c r="C44" s="19" t="s">
        <v>108</v>
      </c>
      <c r="D44" s="19" t="s">
        <v>108</v>
      </c>
      <c r="E44" s="19" t="s">
        <v>108</v>
      </c>
      <c r="F44" s="19" t="s">
        <v>651</v>
      </c>
      <c r="G44" s="19" t="s">
        <v>108</v>
      </c>
      <c r="H44" s="19" t="s">
        <v>108</v>
      </c>
      <c r="I44" s="277" t="s">
        <v>190</v>
      </c>
      <c r="J44" s="372">
        <v>5.3696442863945378E-2</v>
      </c>
      <c r="K44" s="372">
        <v>3.159478435305918E-2</v>
      </c>
      <c r="L44" s="372">
        <v>3.159478435305918E-2</v>
      </c>
      <c r="M44" s="372">
        <v>3.159478435305918E-2</v>
      </c>
      <c r="N44" s="348" t="s">
        <v>108</v>
      </c>
      <c r="O44" s="366" t="s">
        <v>108</v>
      </c>
      <c r="P44" s="128" t="s">
        <v>108</v>
      </c>
      <c r="Q44" s="19" t="s">
        <v>108</v>
      </c>
      <c r="R44" s="19" t="s">
        <v>108</v>
      </c>
      <c r="S44" s="19" t="s">
        <v>108</v>
      </c>
      <c r="T44" s="79" t="s">
        <v>108</v>
      </c>
      <c r="U44" s="79" t="s">
        <v>108</v>
      </c>
      <c r="V44" s="19" t="s">
        <v>108</v>
      </c>
      <c r="W44" s="19" t="s">
        <v>108</v>
      </c>
      <c r="X44" s="19" t="s">
        <v>108</v>
      </c>
    </row>
    <row r="45" spans="2:24">
      <c r="B45" s="19"/>
      <c r="C45" s="19" t="s">
        <v>108</v>
      </c>
      <c r="D45" s="19" t="s">
        <v>108</v>
      </c>
      <c r="E45" s="19" t="s">
        <v>108</v>
      </c>
      <c r="F45" s="19" t="s">
        <v>108</v>
      </c>
      <c r="G45" s="19" t="s">
        <v>493</v>
      </c>
      <c r="H45" s="19" t="s">
        <v>108</v>
      </c>
      <c r="I45" s="277" t="s">
        <v>782</v>
      </c>
      <c r="J45" s="372">
        <v>5.3535353535353533E-2</v>
      </c>
      <c r="K45" s="372">
        <v>3.159478435305918E-2</v>
      </c>
      <c r="L45" s="372">
        <v>3.159478435305918E-2</v>
      </c>
      <c r="M45" s="372">
        <v>3.159478435305918E-2</v>
      </c>
      <c r="N45" s="348" t="s">
        <v>108</v>
      </c>
      <c r="O45" s="366" t="s">
        <v>108</v>
      </c>
      <c r="P45" s="128" t="s">
        <v>108</v>
      </c>
      <c r="Q45" s="19" t="s">
        <v>108</v>
      </c>
      <c r="R45" s="19" t="s">
        <v>108</v>
      </c>
      <c r="S45" s="19" t="s">
        <v>108</v>
      </c>
      <c r="T45" s="79" t="s">
        <v>108</v>
      </c>
      <c r="U45" s="79" t="s">
        <v>108</v>
      </c>
      <c r="V45" s="19" t="s">
        <v>108</v>
      </c>
      <c r="W45" s="19" t="s">
        <v>108</v>
      </c>
      <c r="X45" s="19" t="s">
        <v>108</v>
      </c>
    </row>
    <row r="46" spans="2:24">
      <c r="B46" s="248" t="s">
        <v>792</v>
      </c>
      <c r="C46" s="19" t="s">
        <v>810</v>
      </c>
      <c r="D46" s="19" t="s">
        <v>783</v>
      </c>
      <c r="E46" s="19" t="s">
        <v>784</v>
      </c>
      <c r="F46" s="19" t="s">
        <v>108</v>
      </c>
      <c r="G46" s="19" t="s">
        <v>634</v>
      </c>
      <c r="H46" s="19" t="s">
        <v>108</v>
      </c>
      <c r="I46" s="277" t="s">
        <v>98</v>
      </c>
      <c r="J46" s="372">
        <v>54.963639438525284</v>
      </c>
      <c r="K46" s="372">
        <v>49.417857637035716</v>
      </c>
      <c r="L46" s="372">
        <v>45.571775567475605</v>
      </c>
      <c r="M46" s="372">
        <v>42.025025520651866</v>
      </c>
      <c r="N46" s="348" t="s">
        <v>108</v>
      </c>
      <c r="O46" s="366" t="s">
        <v>108</v>
      </c>
      <c r="P46" s="128">
        <v>2020</v>
      </c>
      <c r="Q46" s="19">
        <v>1</v>
      </c>
      <c r="R46" s="19">
        <v>20</v>
      </c>
      <c r="S46" s="19" t="s">
        <v>108</v>
      </c>
      <c r="T46" s="79">
        <v>0.74126786455553562</v>
      </c>
      <c r="U46" s="79">
        <v>0.61111111111111116</v>
      </c>
      <c r="V46" s="19" t="s">
        <v>108</v>
      </c>
      <c r="W46" s="19" t="s">
        <v>108</v>
      </c>
      <c r="X46" s="19" t="s">
        <v>108</v>
      </c>
    </row>
    <row r="47" spans="2:24">
      <c r="B47" s="19"/>
      <c r="C47" s="19" t="s">
        <v>108</v>
      </c>
      <c r="D47" s="19" t="s">
        <v>108</v>
      </c>
      <c r="E47" s="19" t="s">
        <v>168</v>
      </c>
      <c r="F47" s="19" t="s">
        <v>108</v>
      </c>
      <c r="G47" s="19" t="s">
        <v>108</v>
      </c>
      <c r="H47" s="19" t="s">
        <v>603</v>
      </c>
      <c r="I47" s="277" t="s">
        <v>189</v>
      </c>
      <c r="J47" s="372">
        <v>0.75</v>
      </c>
      <c r="K47" s="372">
        <v>0.77</v>
      </c>
      <c r="L47" s="372">
        <v>0.79943730210692576</v>
      </c>
      <c r="M47" s="372">
        <v>0.83</v>
      </c>
      <c r="N47" s="348" t="s">
        <v>108</v>
      </c>
      <c r="O47" s="366" t="s">
        <v>108</v>
      </c>
      <c r="P47" s="128" t="s">
        <v>108</v>
      </c>
      <c r="Q47" s="19" t="s">
        <v>108</v>
      </c>
      <c r="R47" s="19" t="s">
        <v>108</v>
      </c>
      <c r="S47" s="19" t="s">
        <v>108</v>
      </c>
      <c r="T47" s="79" t="s">
        <v>108</v>
      </c>
      <c r="U47" s="79" t="s">
        <v>108</v>
      </c>
      <c r="V47" s="19" t="s">
        <v>108</v>
      </c>
      <c r="W47" s="19" t="s">
        <v>108</v>
      </c>
      <c r="X47" s="19" t="s">
        <v>108</v>
      </c>
    </row>
    <row r="48" spans="2:24">
      <c r="B48" s="19"/>
      <c r="C48" s="19" t="s">
        <v>108</v>
      </c>
      <c r="D48" s="19" t="s">
        <v>108</v>
      </c>
      <c r="E48" s="19" t="s">
        <v>108</v>
      </c>
      <c r="F48" s="19" t="s">
        <v>651</v>
      </c>
      <c r="G48" s="19" t="s">
        <v>108</v>
      </c>
      <c r="H48" s="19" t="s">
        <v>108</v>
      </c>
      <c r="I48" s="277" t="s">
        <v>190</v>
      </c>
      <c r="J48" s="372">
        <v>2.6666666666666668E-2</v>
      </c>
      <c r="K48" s="372">
        <v>2.5974025974025976E-2</v>
      </c>
      <c r="L48" s="372">
        <v>2.5017596686181372E-2</v>
      </c>
      <c r="M48" s="372">
        <v>2.4096385542168676E-2</v>
      </c>
      <c r="N48" s="348" t="s">
        <v>108</v>
      </c>
      <c r="O48" s="366" t="s">
        <v>108</v>
      </c>
      <c r="P48" s="128" t="s">
        <v>108</v>
      </c>
      <c r="Q48" s="19" t="s">
        <v>108</v>
      </c>
      <c r="R48" s="19" t="s">
        <v>108</v>
      </c>
      <c r="S48" s="19" t="s">
        <v>108</v>
      </c>
      <c r="T48" s="79" t="s">
        <v>108</v>
      </c>
      <c r="U48" s="79" t="s">
        <v>108</v>
      </c>
      <c r="V48" s="19" t="s">
        <v>108</v>
      </c>
      <c r="W48" s="19" t="s">
        <v>108</v>
      </c>
      <c r="X48" s="19" t="s">
        <v>108</v>
      </c>
    </row>
    <row r="49" spans="2:24">
      <c r="B49" s="19"/>
      <c r="C49" s="19" t="s">
        <v>108</v>
      </c>
      <c r="D49" s="19" t="s">
        <v>108</v>
      </c>
      <c r="E49" s="19" t="s">
        <v>108</v>
      </c>
      <c r="F49" s="19" t="s">
        <v>108</v>
      </c>
      <c r="G49" s="19" t="s">
        <v>155</v>
      </c>
      <c r="H49" s="19" t="s">
        <v>108</v>
      </c>
      <c r="I49" s="277" t="s">
        <v>782</v>
      </c>
      <c r="J49" s="372">
        <v>0.13333333333333333</v>
      </c>
      <c r="K49" s="372">
        <v>0.11688311688311688</v>
      </c>
      <c r="L49" s="372">
        <v>8.3911570235962532E-2</v>
      </c>
      <c r="M49" s="372">
        <v>6.0240963855421693E-2</v>
      </c>
      <c r="N49" s="348" t="s">
        <v>108</v>
      </c>
      <c r="O49" s="366" t="s">
        <v>108</v>
      </c>
      <c r="P49" s="128" t="s">
        <v>108</v>
      </c>
      <c r="Q49" s="19" t="s">
        <v>108</v>
      </c>
      <c r="R49" s="19" t="s">
        <v>108</v>
      </c>
      <c r="S49" s="19" t="s">
        <v>108</v>
      </c>
      <c r="T49" s="79" t="s">
        <v>108</v>
      </c>
      <c r="U49" s="79" t="s">
        <v>108</v>
      </c>
      <c r="V49" s="19" t="s">
        <v>108</v>
      </c>
      <c r="W49" s="19" t="s">
        <v>108</v>
      </c>
      <c r="X49" s="19" t="s">
        <v>108</v>
      </c>
    </row>
    <row r="50" spans="2:24">
      <c r="B50" s="248" t="s">
        <v>792</v>
      </c>
      <c r="C50" s="19" t="s">
        <v>809</v>
      </c>
      <c r="D50" s="19" t="s">
        <v>786</v>
      </c>
      <c r="E50" s="19" t="s">
        <v>108</v>
      </c>
      <c r="F50" s="19" t="s">
        <v>108</v>
      </c>
      <c r="G50" s="19" t="s">
        <v>253</v>
      </c>
      <c r="H50" s="19" t="s">
        <v>108</v>
      </c>
      <c r="I50" s="277" t="s">
        <v>98</v>
      </c>
      <c r="J50" s="372">
        <v>80.532805038132281</v>
      </c>
      <c r="K50" s="372">
        <v>73.97410496192343</v>
      </c>
      <c r="L50" s="372">
        <v>67.949554250924109</v>
      </c>
      <c r="M50" s="372">
        <v>60.608198049502441</v>
      </c>
      <c r="N50" s="348" t="s">
        <v>108</v>
      </c>
      <c r="O50" s="366" t="s">
        <v>108</v>
      </c>
      <c r="P50" s="128">
        <v>2020</v>
      </c>
      <c r="Q50" s="19">
        <v>1</v>
      </c>
      <c r="R50" s="19">
        <v>25</v>
      </c>
      <c r="S50" s="19" t="s">
        <v>108</v>
      </c>
      <c r="T50" s="79">
        <v>1.3187246824994161</v>
      </c>
      <c r="U50" s="79">
        <v>0.634920634920635</v>
      </c>
      <c r="V50" s="19" t="s">
        <v>108</v>
      </c>
      <c r="W50" s="19">
        <v>0.9</v>
      </c>
      <c r="X50" s="19" t="s">
        <v>108</v>
      </c>
    </row>
    <row r="51" spans="2:24">
      <c r="B51" s="19"/>
      <c r="C51" s="19" t="s">
        <v>108</v>
      </c>
      <c r="D51" s="19" t="s">
        <v>108</v>
      </c>
      <c r="E51" s="19" t="s">
        <v>168</v>
      </c>
      <c r="F51" s="19" t="s">
        <v>108</v>
      </c>
      <c r="G51" s="19" t="s">
        <v>108</v>
      </c>
      <c r="H51" s="19" t="s">
        <v>108</v>
      </c>
      <c r="I51" s="277" t="s">
        <v>190</v>
      </c>
      <c r="J51" s="372">
        <v>1.6666666666666667</v>
      </c>
      <c r="K51" s="372">
        <v>1.5873015873015872</v>
      </c>
      <c r="L51" s="372">
        <v>1.5058465048420855</v>
      </c>
      <c r="M51" s="372">
        <v>1.4285714285714286</v>
      </c>
      <c r="N51" s="348" t="s">
        <v>108</v>
      </c>
      <c r="O51" s="366" t="s">
        <v>108</v>
      </c>
      <c r="P51" s="128" t="s">
        <v>108</v>
      </c>
      <c r="Q51" s="19" t="s">
        <v>108</v>
      </c>
      <c r="R51" s="19" t="s">
        <v>108</v>
      </c>
      <c r="S51" s="19" t="s">
        <v>108</v>
      </c>
      <c r="T51" s="79" t="s">
        <v>108</v>
      </c>
      <c r="U51" s="79" t="s">
        <v>108</v>
      </c>
      <c r="V51" s="19" t="s">
        <v>108</v>
      </c>
      <c r="W51" s="19" t="s">
        <v>108</v>
      </c>
      <c r="X51" s="19" t="s">
        <v>108</v>
      </c>
    </row>
    <row r="52" spans="2:24">
      <c r="B52" s="19"/>
      <c r="C52" s="19" t="s">
        <v>108</v>
      </c>
      <c r="D52" s="19" t="s">
        <v>108</v>
      </c>
      <c r="E52" s="19" t="s">
        <v>108</v>
      </c>
      <c r="F52" s="19" t="s">
        <v>108</v>
      </c>
      <c r="G52" s="19" t="s">
        <v>155</v>
      </c>
      <c r="H52" s="19" t="s">
        <v>108</v>
      </c>
      <c r="I52" s="277" t="s">
        <v>782</v>
      </c>
      <c r="J52" s="372">
        <v>0.33333333333333337</v>
      </c>
      <c r="K52" s="372">
        <v>0.34920634920634919</v>
      </c>
      <c r="L52" s="372">
        <v>0.31586902765289521</v>
      </c>
      <c r="M52" s="372">
        <v>0.28571428571428575</v>
      </c>
      <c r="N52" s="348" t="s">
        <v>108</v>
      </c>
      <c r="O52" s="366" t="s">
        <v>108</v>
      </c>
      <c r="P52" s="128" t="s">
        <v>108</v>
      </c>
      <c r="Q52" s="19" t="s">
        <v>108</v>
      </c>
      <c r="R52" s="19" t="s">
        <v>108</v>
      </c>
      <c r="S52" s="19" t="s">
        <v>108</v>
      </c>
      <c r="T52" s="79" t="s">
        <v>108</v>
      </c>
      <c r="U52" s="79" t="s">
        <v>108</v>
      </c>
      <c r="V52" s="19" t="s">
        <v>108</v>
      </c>
      <c r="W52" s="19" t="s">
        <v>108</v>
      </c>
      <c r="X52" s="19" t="s">
        <v>108</v>
      </c>
    </row>
    <row r="53" spans="2:24">
      <c r="B53" s="248" t="s">
        <v>792</v>
      </c>
      <c r="C53" s="19" t="s">
        <v>785</v>
      </c>
      <c r="D53" s="19" t="s">
        <v>808</v>
      </c>
      <c r="E53" s="19" t="s">
        <v>651</v>
      </c>
      <c r="F53" s="19" t="s">
        <v>108</v>
      </c>
      <c r="G53" s="19" t="s">
        <v>253</v>
      </c>
      <c r="H53" s="19" t="s">
        <v>108</v>
      </c>
      <c r="I53" s="277" t="s">
        <v>98</v>
      </c>
      <c r="J53" s="372">
        <v>88.523169288009626</v>
      </c>
      <c r="K53" s="372">
        <v>80.532805038132281</v>
      </c>
      <c r="L53" s="372">
        <v>73.97410496192343</v>
      </c>
      <c r="M53" s="372">
        <v>65.508252900591515</v>
      </c>
      <c r="N53" s="348">
        <v>3.3147632311977718E-2</v>
      </c>
      <c r="O53" s="366" t="s">
        <v>108</v>
      </c>
      <c r="P53" s="128">
        <v>2020</v>
      </c>
      <c r="Q53" s="19">
        <v>1</v>
      </c>
      <c r="R53" s="19">
        <v>25</v>
      </c>
      <c r="S53" s="19" t="s">
        <v>108</v>
      </c>
      <c r="T53" s="79">
        <v>1.3187246824994161</v>
      </c>
      <c r="U53" s="79">
        <v>0.634920634920635</v>
      </c>
      <c r="V53" s="19" t="s">
        <v>108</v>
      </c>
      <c r="W53" s="19">
        <v>0.9</v>
      </c>
      <c r="X53" s="19" t="s">
        <v>108</v>
      </c>
    </row>
    <row r="54" spans="2:24">
      <c r="B54" s="19"/>
      <c r="C54" s="19" t="s">
        <v>108</v>
      </c>
      <c r="D54" s="19" t="s">
        <v>108</v>
      </c>
      <c r="E54" s="19" t="s">
        <v>168</v>
      </c>
      <c r="F54" s="19" t="s">
        <v>108</v>
      </c>
      <c r="G54" s="19" t="s">
        <v>108</v>
      </c>
      <c r="H54" s="19" t="s">
        <v>108</v>
      </c>
      <c r="I54" s="277" t="s">
        <v>190</v>
      </c>
      <c r="J54" s="372">
        <v>1.6666666666666667</v>
      </c>
      <c r="K54" s="372">
        <v>1.5873015873015872</v>
      </c>
      <c r="L54" s="372">
        <v>1.5058465048420855</v>
      </c>
      <c r="M54" s="372">
        <v>1.4285714285714286</v>
      </c>
      <c r="N54" s="348" t="s">
        <v>108</v>
      </c>
      <c r="O54" s="366" t="s">
        <v>108</v>
      </c>
      <c r="P54" s="128" t="s">
        <v>108</v>
      </c>
      <c r="Q54" s="19" t="s">
        <v>108</v>
      </c>
      <c r="R54" s="19" t="s">
        <v>108</v>
      </c>
      <c r="S54" s="19" t="s">
        <v>108</v>
      </c>
      <c r="T54" s="79" t="s">
        <v>108</v>
      </c>
      <c r="U54" s="79" t="s">
        <v>108</v>
      </c>
      <c r="V54" s="19" t="s">
        <v>108</v>
      </c>
      <c r="W54" s="19" t="s">
        <v>108</v>
      </c>
      <c r="X54" s="19" t="s">
        <v>108</v>
      </c>
    </row>
    <row r="55" spans="2:24">
      <c r="B55" s="19"/>
      <c r="C55" s="19" t="s">
        <v>108</v>
      </c>
      <c r="D55" s="19" t="s">
        <v>108</v>
      </c>
      <c r="E55" s="19" t="s">
        <v>108</v>
      </c>
      <c r="F55" s="19" t="s">
        <v>108</v>
      </c>
      <c r="G55" s="19" t="s">
        <v>155</v>
      </c>
      <c r="H55" s="19" t="s">
        <v>108</v>
      </c>
      <c r="I55" s="277" t="s">
        <v>782</v>
      </c>
      <c r="J55" s="372">
        <v>0.33333333333333337</v>
      </c>
      <c r="K55" s="372">
        <v>0.34920634920634919</v>
      </c>
      <c r="L55" s="372">
        <v>0.31586902765289521</v>
      </c>
      <c r="M55" s="372">
        <v>0.28571428571428575</v>
      </c>
      <c r="N55" s="348" t="s">
        <v>108</v>
      </c>
      <c r="O55" s="366" t="s">
        <v>108</v>
      </c>
      <c r="P55" s="128" t="s">
        <v>108</v>
      </c>
      <c r="Q55" s="19" t="s">
        <v>108</v>
      </c>
      <c r="R55" s="19" t="s">
        <v>108</v>
      </c>
      <c r="S55" s="19" t="s">
        <v>108</v>
      </c>
      <c r="T55" s="79" t="s">
        <v>108</v>
      </c>
      <c r="U55" s="79" t="s">
        <v>108</v>
      </c>
      <c r="V55" s="19" t="s">
        <v>108</v>
      </c>
      <c r="W55" s="19" t="s">
        <v>108</v>
      </c>
      <c r="X55" s="19" t="s">
        <v>108</v>
      </c>
    </row>
    <row r="56" spans="2:24">
      <c r="B56" s="248" t="s">
        <v>792</v>
      </c>
      <c r="C56" s="19" t="s">
        <v>31</v>
      </c>
      <c r="D56" s="19" t="s">
        <v>787</v>
      </c>
      <c r="E56" s="19" t="s">
        <v>651</v>
      </c>
      <c r="F56" s="19" t="s">
        <v>108</v>
      </c>
      <c r="G56" s="19" t="s">
        <v>25</v>
      </c>
      <c r="H56" s="19" t="s">
        <v>108</v>
      </c>
      <c r="I56" s="277" t="s">
        <v>98</v>
      </c>
      <c r="J56" s="372">
        <v>31.581585277630765</v>
      </c>
      <c r="K56" s="372">
        <v>26.923408288102006</v>
      </c>
      <c r="L56" s="372">
        <v>21.952932911837021</v>
      </c>
      <c r="M56" s="372">
        <v>21.952932911837021</v>
      </c>
      <c r="N56" s="348">
        <v>2.5000000000000001E-2</v>
      </c>
      <c r="O56" s="366" t="s">
        <v>108</v>
      </c>
      <c r="P56" s="128">
        <v>2011</v>
      </c>
      <c r="Q56" s="19">
        <v>1</v>
      </c>
      <c r="R56" s="19">
        <v>25</v>
      </c>
      <c r="S56" s="19" t="s">
        <v>108</v>
      </c>
      <c r="T56" s="79">
        <v>2.1743857360295711</v>
      </c>
      <c r="U56" s="79">
        <v>0.75</v>
      </c>
      <c r="V56" s="19" t="s">
        <v>108</v>
      </c>
      <c r="W56" s="19">
        <v>0.9</v>
      </c>
      <c r="X56" s="19" t="s">
        <v>108</v>
      </c>
    </row>
    <row r="57" spans="2:24">
      <c r="B57" s="19"/>
      <c r="C57" s="19" t="s">
        <v>108</v>
      </c>
      <c r="D57" s="19" t="s">
        <v>108</v>
      </c>
      <c r="E57" s="19" t="s">
        <v>168</v>
      </c>
      <c r="F57" s="19" t="s">
        <v>108</v>
      </c>
      <c r="G57" s="19" t="s">
        <v>32</v>
      </c>
      <c r="H57" s="19" t="s">
        <v>108</v>
      </c>
      <c r="I57" s="277" t="s">
        <v>190</v>
      </c>
      <c r="J57" s="372">
        <v>1.6666666666666667</v>
      </c>
      <c r="K57" s="372">
        <v>1.6129032258064517</v>
      </c>
      <c r="L57" s="372">
        <v>1.5625</v>
      </c>
      <c r="M57" s="372">
        <v>1.5384615384615383</v>
      </c>
      <c r="N57" s="348" t="s">
        <v>108</v>
      </c>
      <c r="O57" s="366">
        <v>2.5000000000000001E-2</v>
      </c>
      <c r="P57" s="128" t="s">
        <v>108</v>
      </c>
      <c r="Q57" s="19" t="s">
        <v>108</v>
      </c>
      <c r="R57" s="19" t="s">
        <v>108</v>
      </c>
      <c r="S57" s="19" t="s">
        <v>108</v>
      </c>
      <c r="T57" s="79" t="s">
        <v>108</v>
      </c>
      <c r="U57" s="79" t="s">
        <v>108</v>
      </c>
      <c r="V57" s="19" t="s">
        <v>108</v>
      </c>
      <c r="W57" s="19" t="s">
        <v>108</v>
      </c>
      <c r="X57" s="19" t="s">
        <v>108</v>
      </c>
    </row>
    <row r="58" spans="2:24">
      <c r="B58" s="19"/>
      <c r="C58" s="19" t="s">
        <v>108</v>
      </c>
      <c r="D58" s="19" t="s">
        <v>108</v>
      </c>
      <c r="E58" s="19" t="s">
        <v>108</v>
      </c>
      <c r="F58" s="19" t="s">
        <v>108</v>
      </c>
      <c r="G58" s="19" t="s">
        <v>155</v>
      </c>
      <c r="H58" s="19" t="s">
        <v>108</v>
      </c>
      <c r="I58" s="277" t="s">
        <v>782</v>
      </c>
      <c r="J58" s="372">
        <v>0.38666666666666671</v>
      </c>
      <c r="K58" s="372">
        <v>0.38708310907779653</v>
      </c>
      <c r="L58" s="372">
        <v>0.38750000000000001</v>
      </c>
      <c r="M58" s="372">
        <v>0.38153846153846155</v>
      </c>
      <c r="N58" s="348" t="s">
        <v>108</v>
      </c>
      <c r="O58" s="366" t="s">
        <v>108</v>
      </c>
      <c r="P58" s="128" t="s">
        <v>108</v>
      </c>
      <c r="Q58" s="19" t="s">
        <v>108</v>
      </c>
      <c r="R58" s="19" t="s">
        <v>108</v>
      </c>
      <c r="S58" s="19" t="s">
        <v>108</v>
      </c>
      <c r="T58" s="79" t="s">
        <v>108</v>
      </c>
      <c r="U58" s="79" t="s">
        <v>108</v>
      </c>
      <c r="V58" s="19" t="s">
        <v>108</v>
      </c>
      <c r="W58" s="19" t="s">
        <v>108</v>
      </c>
      <c r="X58" s="19" t="s">
        <v>108</v>
      </c>
    </row>
    <row r="59" spans="2:24">
      <c r="B59" s="248" t="s">
        <v>792</v>
      </c>
      <c r="C59" s="19" t="s">
        <v>788</v>
      </c>
      <c r="D59" s="19" t="s">
        <v>789</v>
      </c>
      <c r="E59" s="19" t="s">
        <v>25</v>
      </c>
      <c r="F59" s="19" t="s">
        <v>108</v>
      </c>
      <c r="G59" s="19" t="s">
        <v>790</v>
      </c>
      <c r="H59" s="19" t="s">
        <v>108</v>
      </c>
      <c r="I59" s="277" t="s">
        <v>98</v>
      </c>
      <c r="J59" s="372">
        <v>23.975558785091536</v>
      </c>
      <c r="K59" s="372">
        <v>20.216396306060062</v>
      </c>
      <c r="L59" s="372">
        <v>18.975139523084732</v>
      </c>
      <c r="M59" s="372">
        <v>18.334250835658231</v>
      </c>
      <c r="N59" s="348">
        <v>1.0364705882352943</v>
      </c>
      <c r="O59" s="366" t="s">
        <v>108</v>
      </c>
      <c r="P59" s="128">
        <v>2020</v>
      </c>
      <c r="Q59" s="19">
        <v>1</v>
      </c>
      <c r="R59" s="19">
        <v>25</v>
      </c>
      <c r="S59" s="19" t="s">
        <v>108</v>
      </c>
      <c r="T59" s="79">
        <v>1.1282615898866604</v>
      </c>
      <c r="U59" s="79">
        <v>2.3559018760526529</v>
      </c>
      <c r="V59" s="19" t="s">
        <v>108</v>
      </c>
      <c r="W59" s="19">
        <v>0.9</v>
      </c>
      <c r="X59" s="19" t="s">
        <v>108</v>
      </c>
    </row>
    <row r="60" spans="2:24">
      <c r="B60" s="19"/>
      <c r="C60" s="19" t="s">
        <v>108</v>
      </c>
      <c r="D60" s="19" t="s">
        <v>108</v>
      </c>
      <c r="E60" s="19" t="s">
        <v>582</v>
      </c>
      <c r="F60" s="19" t="s">
        <v>108</v>
      </c>
      <c r="G60" s="19" t="s">
        <v>493</v>
      </c>
      <c r="H60" s="19" t="s">
        <v>108</v>
      </c>
      <c r="I60" s="277" t="s">
        <v>108</v>
      </c>
      <c r="J60" s="372" t="s">
        <v>108</v>
      </c>
      <c r="K60" s="372" t="s">
        <v>108</v>
      </c>
      <c r="L60" s="372" t="s">
        <v>108</v>
      </c>
      <c r="M60" s="372" t="s">
        <v>108</v>
      </c>
      <c r="N60" s="348">
        <v>0.12352941176470589</v>
      </c>
      <c r="O60" s="366">
        <v>0.14688564705882354</v>
      </c>
      <c r="P60" s="128" t="s">
        <v>108</v>
      </c>
      <c r="Q60" s="19" t="s">
        <v>108</v>
      </c>
      <c r="R60" s="19" t="s">
        <v>108</v>
      </c>
      <c r="S60" s="19" t="s">
        <v>108</v>
      </c>
      <c r="T60" s="79" t="s">
        <v>108</v>
      </c>
      <c r="U60" s="79" t="s">
        <v>108</v>
      </c>
      <c r="V60" s="19" t="s">
        <v>108</v>
      </c>
      <c r="W60" s="19" t="s">
        <v>108</v>
      </c>
      <c r="X60" s="19" t="s">
        <v>108</v>
      </c>
    </row>
    <row r="61" spans="2:24">
      <c r="B61" s="19"/>
      <c r="C61" s="19" t="s">
        <v>108</v>
      </c>
      <c r="D61" s="19" t="s">
        <v>108</v>
      </c>
      <c r="E61" s="19" t="s">
        <v>651</v>
      </c>
      <c r="F61" s="19" t="s">
        <v>108</v>
      </c>
      <c r="G61" s="19" t="s">
        <v>108</v>
      </c>
      <c r="H61" s="19" t="s">
        <v>108</v>
      </c>
      <c r="I61" s="277" t="s">
        <v>108</v>
      </c>
      <c r="J61" s="372" t="s">
        <v>108</v>
      </c>
      <c r="K61" s="372" t="s">
        <v>108</v>
      </c>
      <c r="L61" s="372" t="s">
        <v>108</v>
      </c>
      <c r="M61" s="372" t="s">
        <v>108</v>
      </c>
      <c r="N61" s="348">
        <v>9.4117647058823539E-3</v>
      </c>
      <c r="O61" s="366" t="s">
        <v>108</v>
      </c>
      <c r="P61" s="128" t="s">
        <v>108</v>
      </c>
      <c r="Q61" s="19" t="s">
        <v>108</v>
      </c>
      <c r="R61" s="19" t="s">
        <v>108</v>
      </c>
      <c r="S61" s="19" t="s">
        <v>108</v>
      </c>
      <c r="T61" s="79" t="s">
        <v>108</v>
      </c>
      <c r="U61" s="79" t="s">
        <v>108</v>
      </c>
      <c r="V61" s="19" t="s">
        <v>108</v>
      </c>
      <c r="W61" s="19" t="s">
        <v>108</v>
      </c>
      <c r="X61" s="19" t="s">
        <v>108</v>
      </c>
    </row>
    <row r="62" spans="2:24">
      <c r="B62" s="19"/>
      <c r="C62" s="19" t="s">
        <v>108</v>
      </c>
      <c r="D62" s="19" t="s">
        <v>108</v>
      </c>
      <c r="E62" s="19" t="s">
        <v>791</v>
      </c>
      <c r="F62" s="19" t="s">
        <v>108</v>
      </c>
      <c r="G62" s="19" t="s">
        <v>108</v>
      </c>
      <c r="H62" s="19" t="s">
        <v>108</v>
      </c>
      <c r="I62" s="277" t="s">
        <v>108</v>
      </c>
      <c r="J62" s="372" t="s">
        <v>108</v>
      </c>
      <c r="K62" s="372" t="s">
        <v>108</v>
      </c>
      <c r="L62" s="372" t="s">
        <v>108</v>
      </c>
      <c r="M62" s="372" t="s">
        <v>108</v>
      </c>
      <c r="N62" s="348">
        <v>8.2352941176470594E-3</v>
      </c>
      <c r="O62" s="366" t="s">
        <v>108</v>
      </c>
      <c r="P62" s="128" t="s">
        <v>108</v>
      </c>
      <c r="Q62" s="19" t="s">
        <v>108</v>
      </c>
      <c r="R62" s="19" t="s">
        <v>108</v>
      </c>
      <c r="S62" s="19" t="s">
        <v>108</v>
      </c>
      <c r="T62" s="79" t="s">
        <v>108</v>
      </c>
      <c r="U62" s="79" t="s">
        <v>108</v>
      </c>
      <c r="V62" s="19" t="s">
        <v>108</v>
      </c>
      <c r="W62" s="19" t="s">
        <v>108</v>
      </c>
      <c r="X62" s="19" t="s">
        <v>108</v>
      </c>
    </row>
    <row r="63" spans="2:24">
      <c r="B63" s="44"/>
      <c r="C63" s="43" t="s">
        <v>586</v>
      </c>
      <c r="D63" s="44"/>
      <c r="E63" s="44"/>
      <c r="F63" s="19"/>
      <c r="G63" s="44"/>
      <c r="H63" s="44"/>
      <c r="I63" s="269"/>
      <c r="J63" s="370"/>
      <c r="K63" s="370"/>
      <c r="L63" s="370"/>
      <c r="M63" s="370"/>
      <c r="N63" s="263"/>
      <c r="O63" s="45"/>
      <c r="P63" s="263"/>
      <c r="Q63" s="44"/>
      <c r="R63" s="45"/>
      <c r="S63" s="45"/>
      <c r="T63" s="45"/>
      <c r="U63" s="45"/>
      <c r="V63" s="45"/>
      <c r="W63" s="45"/>
      <c r="X63" s="44"/>
    </row>
    <row r="64" spans="2:24">
      <c r="B64" s="248" t="s">
        <v>621</v>
      </c>
      <c r="C64" s="20" t="s">
        <v>614</v>
      </c>
      <c r="D64" s="211" t="s">
        <v>593</v>
      </c>
      <c r="E64" s="72" t="s">
        <v>182</v>
      </c>
      <c r="F64" s="19"/>
      <c r="G64" s="19"/>
      <c r="H64" s="19"/>
      <c r="I64" s="277" t="s">
        <v>98</v>
      </c>
      <c r="J64" s="373">
        <v>49.6</v>
      </c>
      <c r="K64" s="373"/>
      <c r="L64" s="373">
        <v>49.6</v>
      </c>
      <c r="M64" s="372"/>
      <c r="N64" s="348">
        <f>1/0.581</f>
        <v>1.7211703958691911</v>
      </c>
      <c r="O64" s="367"/>
      <c r="P64" s="378">
        <v>2010</v>
      </c>
      <c r="Q64" s="19">
        <v>1</v>
      </c>
      <c r="R64" s="349">
        <v>25</v>
      </c>
      <c r="S64" s="349">
        <v>0.1</v>
      </c>
      <c r="T64" s="19">
        <v>1.86</v>
      </c>
      <c r="U64" s="19"/>
      <c r="V64" s="20"/>
      <c r="W64" s="20">
        <v>0.85</v>
      </c>
      <c r="X64" s="19"/>
    </row>
    <row r="65" spans="2:24">
      <c r="B65" s="350"/>
      <c r="C65" s="350"/>
      <c r="D65" s="351"/>
      <c r="E65" s="350"/>
      <c r="F65" s="19"/>
      <c r="G65" s="54" t="s">
        <v>598</v>
      </c>
      <c r="H65" s="350"/>
      <c r="I65" s="352"/>
      <c r="J65" s="374"/>
      <c r="K65" s="374"/>
      <c r="L65" s="374"/>
      <c r="M65" s="372"/>
      <c r="N65" s="369"/>
      <c r="O65" s="367">
        <v>1</v>
      </c>
      <c r="P65" s="379"/>
      <c r="Q65" s="350"/>
      <c r="R65" s="353"/>
      <c r="S65" s="353"/>
      <c r="T65" s="353"/>
      <c r="U65" s="350"/>
      <c r="V65" s="350"/>
      <c r="W65" s="54"/>
      <c r="X65" s="350"/>
    </row>
    <row r="66" spans="2:24">
      <c r="B66" s="248" t="s">
        <v>621</v>
      </c>
      <c r="C66" s="46" t="s">
        <v>613</v>
      </c>
      <c r="D66" s="46" t="s">
        <v>588</v>
      </c>
      <c r="E66" s="47" t="s">
        <v>182</v>
      </c>
      <c r="F66" s="19"/>
      <c r="G66" s="48"/>
      <c r="H66" s="48"/>
      <c r="I66" s="271" t="s">
        <v>98</v>
      </c>
      <c r="J66" s="375">
        <v>59.52</v>
      </c>
      <c r="K66" s="375"/>
      <c r="L66" s="375">
        <v>59.52</v>
      </c>
      <c r="M66" s="376"/>
      <c r="N66" s="354">
        <v>1.7857142857142856</v>
      </c>
      <c r="O66" s="47"/>
      <c r="P66" s="378">
        <v>2010</v>
      </c>
      <c r="Q66" s="19">
        <v>1</v>
      </c>
      <c r="R66" s="47">
        <v>25</v>
      </c>
      <c r="S66" s="47">
        <v>0.1</v>
      </c>
      <c r="T66" s="47">
        <v>2.48</v>
      </c>
      <c r="U66" s="51"/>
      <c r="V66" s="51"/>
      <c r="W66" s="47">
        <v>0.85</v>
      </c>
      <c r="X66" s="20"/>
    </row>
    <row r="67" spans="2:24">
      <c r="B67" s="197"/>
      <c r="C67" s="47"/>
      <c r="D67" s="47"/>
      <c r="E67" s="47"/>
      <c r="F67" s="19"/>
      <c r="G67" s="47" t="s">
        <v>598</v>
      </c>
      <c r="H67" s="47"/>
      <c r="I67" s="271"/>
      <c r="J67" s="375"/>
      <c r="K67" s="375"/>
      <c r="L67" s="375"/>
      <c r="M67" s="210"/>
      <c r="N67" s="355"/>
      <c r="O67" s="47"/>
      <c r="P67" s="355"/>
      <c r="Q67" s="47"/>
      <c r="R67" s="47"/>
      <c r="S67" s="47"/>
      <c r="T67" s="47"/>
      <c r="U67" s="51"/>
      <c r="V67" s="51"/>
      <c r="W67" s="47"/>
      <c r="X67" s="20"/>
    </row>
    <row r="68" spans="2:24">
      <c r="B68" s="248" t="s">
        <v>621</v>
      </c>
      <c r="C68" s="47" t="s">
        <v>616</v>
      </c>
      <c r="D68" s="47" t="s">
        <v>802</v>
      </c>
      <c r="E68" s="356" t="s">
        <v>180</v>
      </c>
      <c r="F68" s="19"/>
      <c r="G68" s="356"/>
      <c r="H68" s="357"/>
      <c r="I68" s="358" t="s">
        <v>98</v>
      </c>
      <c r="J68" s="210">
        <v>14.26</v>
      </c>
      <c r="K68" s="210"/>
      <c r="L68" s="210">
        <v>14.26</v>
      </c>
      <c r="M68" s="377"/>
      <c r="N68" s="360"/>
      <c r="O68" s="361"/>
      <c r="P68" s="378">
        <v>2010</v>
      </c>
      <c r="Q68" s="19">
        <v>1</v>
      </c>
      <c r="R68" s="359">
        <v>20</v>
      </c>
      <c r="S68" s="20">
        <v>0.1</v>
      </c>
      <c r="T68" s="359"/>
      <c r="U68" s="359">
        <v>0.62</v>
      </c>
      <c r="V68" s="359"/>
      <c r="W68" s="359">
        <v>0.9</v>
      </c>
      <c r="X68" s="20"/>
    </row>
    <row r="69" spans="2:24">
      <c r="B69" s="47"/>
      <c r="C69" s="47"/>
      <c r="D69" s="47"/>
      <c r="E69" s="356" t="s">
        <v>574</v>
      </c>
      <c r="F69" s="19"/>
      <c r="G69" s="356"/>
      <c r="H69" s="362"/>
      <c r="I69" s="363"/>
      <c r="J69" s="210"/>
      <c r="K69" s="210"/>
      <c r="L69" s="210"/>
      <c r="M69" s="370"/>
      <c r="N69" s="364">
        <v>2.7E-2</v>
      </c>
      <c r="O69" s="361"/>
      <c r="P69" s="380"/>
      <c r="Q69" s="362"/>
      <c r="R69" s="359"/>
      <c r="S69" s="359"/>
      <c r="T69" s="359"/>
      <c r="U69" s="359"/>
      <c r="V69" s="359"/>
      <c r="W69" s="359"/>
      <c r="X69" s="20"/>
    </row>
    <row r="70" spans="2:24">
      <c r="B70" s="48"/>
      <c r="C70" s="48"/>
      <c r="D70" s="47"/>
      <c r="E70" s="356"/>
      <c r="F70" s="19"/>
      <c r="G70" s="47" t="s">
        <v>598</v>
      </c>
      <c r="H70" s="47"/>
      <c r="I70" s="271"/>
      <c r="J70" s="210"/>
      <c r="K70" s="210"/>
      <c r="L70" s="210"/>
      <c r="M70" s="210"/>
      <c r="N70" s="360"/>
      <c r="O70" s="361">
        <v>0.69750000000000001</v>
      </c>
      <c r="P70" s="380"/>
      <c r="Q70" s="47"/>
      <c r="R70" s="359"/>
      <c r="S70" s="359"/>
      <c r="T70" s="359"/>
      <c r="U70" s="359"/>
      <c r="V70" s="359"/>
      <c r="W70" s="359"/>
      <c r="X70" s="20"/>
    </row>
    <row r="71" spans="2:24">
      <c r="B71" s="248" t="s">
        <v>621</v>
      </c>
      <c r="C71" s="47" t="s">
        <v>157</v>
      </c>
      <c r="D71" s="47" t="s">
        <v>587</v>
      </c>
      <c r="E71" s="47" t="s">
        <v>601</v>
      </c>
      <c r="F71" s="19"/>
      <c r="G71" s="48"/>
      <c r="H71" s="48"/>
      <c r="I71" s="271" t="s">
        <v>98</v>
      </c>
      <c r="J71" s="210">
        <v>61.119599999999998</v>
      </c>
      <c r="K71" s="210"/>
      <c r="L71" s="210">
        <v>61.119599999999998</v>
      </c>
      <c r="M71" s="376"/>
      <c r="N71" s="354">
        <f>2.94117647058824</f>
        <v>2.9411764705882399</v>
      </c>
      <c r="O71" s="47"/>
      <c r="P71" s="381">
        <v>2015</v>
      </c>
      <c r="Q71" s="19">
        <v>1</v>
      </c>
      <c r="R71" s="47">
        <v>25</v>
      </c>
      <c r="S71" s="47">
        <v>0.1</v>
      </c>
      <c r="T71" s="122">
        <v>2.7403999999999997</v>
      </c>
      <c r="U71" s="51"/>
      <c r="V71" s="51"/>
      <c r="W71" s="47">
        <v>0.85</v>
      </c>
      <c r="X71" s="51"/>
    </row>
    <row r="72" spans="2:24">
      <c r="B72" s="251"/>
      <c r="C72" s="54"/>
      <c r="D72" s="54"/>
      <c r="E72" s="47" t="s">
        <v>601</v>
      </c>
      <c r="F72" s="19"/>
      <c r="G72" s="54" t="s">
        <v>597</v>
      </c>
      <c r="H72" s="54"/>
      <c r="I72" s="274" t="s">
        <v>190</v>
      </c>
      <c r="J72" s="210">
        <f>2.94117647058824</f>
        <v>2.9411764705882399</v>
      </c>
      <c r="K72" s="210"/>
      <c r="L72" s="210">
        <f>SQRT(M72*J72)</f>
        <v>2.6586531558652244</v>
      </c>
      <c r="M72" s="210">
        <f>1/0.292/1.5/0.95</f>
        <v>2.4032684450853163</v>
      </c>
      <c r="N72" s="355"/>
      <c r="O72" s="47"/>
      <c r="P72" s="365"/>
      <c r="Q72" s="54"/>
      <c r="R72" s="54"/>
      <c r="S72" s="54"/>
      <c r="T72" s="54"/>
      <c r="U72" s="56"/>
      <c r="V72" s="56"/>
      <c r="W72" s="54"/>
      <c r="X72" s="56"/>
    </row>
    <row r="73" spans="2:24">
      <c r="B73" s="248" t="s">
        <v>792</v>
      </c>
      <c r="C73" s="362" t="s">
        <v>793</v>
      </c>
      <c r="D73" s="20" t="s">
        <v>794</v>
      </c>
      <c r="E73" s="44" t="s">
        <v>108</v>
      </c>
      <c r="F73" s="44" t="s">
        <v>108</v>
      </c>
      <c r="G73" s="19" t="s">
        <v>597</v>
      </c>
      <c r="H73" s="44" t="s">
        <v>108</v>
      </c>
      <c r="I73" s="269" t="s">
        <v>98</v>
      </c>
      <c r="J73" s="370">
        <v>130.85500312506929</v>
      </c>
      <c r="K73" s="370">
        <v>81.220346767284397</v>
      </c>
      <c r="L73" s="370">
        <v>71.293415495727402</v>
      </c>
      <c r="M73" s="370">
        <v>67.683622306070319</v>
      </c>
      <c r="N73" s="368" t="s">
        <v>108</v>
      </c>
      <c r="O73" s="45" t="s">
        <v>108</v>
      </c>
      <c r="P73" s="263">
        <v>2011</v>
      </c>
      <c r="Q73" s="45">
        <v>1</v>
      </c>
      <c r="R73" s="44" t="s">
        <v>108</v>
      </c>
      <c r="S73" s="47">
        <v>0.1</v>
      </c>
      <c r="T73" s="45">
        <v>2.7073448922428129</v>
      </c>
      <c r="U73" s="45">
        <v>3.7644986120709589</v>
      </c>
      <c r="V73" s="45" t="s">
        <v>108</v>
      </c>
      <c r="W73" s="45">
        <v>0.9</v>
      </c>
      <c r="X73" s="45" t="s">
        <v>108</v>
      </c>
    </row>
    <row r="74" spans="2:24">
      <c r="B74" s="248" t="s">
        <v>792</v>
      </c>
      <c r="C74" s="44" t="s">
        <v>108</v>
      </c>
      <c r="D74" s="43" t="s">
        <v>108</v>
      </c>
      <c r="E74" s="419" t="s">
        <v>4</v>
      </c>
      <c r="F74" s="44" t="s">
        <v>108</v>
      </c>
      <c r="G74" s="19" t="s">
        <v>32</v>
      </c>
      <c r="H74" s="44" t="s">
        <v>108</v>
      </c>
      <c r="I74" s="363" t="s">
        <v>99</v>
      </c>
      <c r="J74" s="370">
        <v>2.7073448922428129</v>
      </c>
      <c r="K74" s="370">
        <v>1.804896594828542</v>
      </c>
      <c r="L74" s="370">
        <v>1.8179820951410486</v>
      </c>
      <c r="M74" s="370">
        <v>1.804896594828542</v>
      </c>
      <c r="N74" s="368" t="s">
        <v>108</v>
      </c>
      <c r="O74" s="45">
        <v>0.14396551724137932</v>
      </c>
      <c r="P74" s="263" t="s">
        <v>108</v>
      </c>
      <c r="Q74" s="45" t="s">
        <v>108</v>
      </c>
      <c r="R74" s="44" t="s">
        <v>108</v>
      </c>
      <c r="S74" s="45" t="s">
        <v>108</v>
      </c>
      <c r="T74" s="45" t="s">
        <v>108</v>
      </c>
      <c r="U74" s="45" t="s">
        <v>108</v>
      </c>
      <c r="V74" s="45" t="s">
        <v>108</v>
      </c>
      <c r="W74" s="45" t="s">
        <v>108</v>
      </c>
      <c r="X74" s="45" t="s">
        <v>108</v>
      </c>
    </row>
    <row r="75" spans="2:24">
      <c r="B75" s="19"/>
      <c r="C75" s="44" t="s">
        <v>108</v>
      </c>
      <c r="D75" s="43" t="s">
        <v>108</v>
      </c>
      <c r="E75" s="419" t="s">
        <v>4</v>
      </c>
      <c r="F75" s="44" t="s">
        <v>108</v>
      </c>
      <c r="G75" s="19" t="s">
        <v>108</v>
      </c>
      <c r="H75" s="44" t="s">
        <v>108</v>
      </c>
      <c r="I75" s="363" t="s">
        <v>190</v>
      </c>
      <c r="J75" s="370">
        <v>3.4482758620689657</v>
      </c>
      <c r="K75" s="370">
        <v>2.7027027027027026</v>
      </c>
      <c r="L75" s="370">
        <v>2.5641025641025639</v>
      </c>
      <c r="M75" s="370">
        <v>2.5</v>
      </c>
      <c r="N75" s="368" t="s">
        <v>108</v>
      </c>
      <c r="O75" s="45" t="s">
        <v>108</v>
      </c>
      <c r="P75" s="263" t="s">
        <v>108</v>
      </c>
      <c r="Q75" s="45" t="s">
        <v>108</v>
      </c>
      <c r="R75" s="44" t="s">
        <v>108</v>
      </c>
      <c r="S75" s="45" t="s">
        <v>108</v>
      </c>
      <c r="T75" s="45" t="s">
        <v>108</v>
      </c>
      <c r="U75" s="45" t="s">
        <v>108</v>
      </c>
      <c r="V75" s="45" t="s">
        <v>108</v>
      </c>
      <c r="W75" s="45" t="s">
        <v>108</v>
      </c>
      <c r="X75" s="45" t="s">
        <v>108</v>
      </c>
    </row>
    <row r="76" spans="2:24">
      <c r="B76" s="248" t="s">
        <v>792</v>
      </c>
      <c r="C76" s="19" t="s">
        <v>795</v>
      </c>
      <c r="D76" s="19" t="s">
        <v>796</v>
      </c>
      <c r="E76" s="19" t="s">
        <v>108</v>
      </c>
      <c r="F76" s="19" t="s">
        <v>108</v>
      </c>
      <c r="G76" s="19" t="s">
        <v>598</v>
      </c>
      <c r="H76" s="19" t="s">
        <v>108</v>
      </c>
      <c r="I76" s="277" t="s">
        <v>98</v>
      </c>
      <c r="J76" s="372">
        <v>129.67977247498663</v>
      </c>
      <c r="K76" s="372">
        <v>92.628408910704735</v>
      </c>
      <c r="L76" s="372">
        <v>67.263195117076393</v>
      </c>
      <c r="M76" s="372">
        <v>46.314204455352368</v>
      </c>
      <c r="N76" s="128" t="s">
        <v>108</v>
      </c>
      <c r="O76" s="297" t="s">
        <v>108</v>
      </c>
      <c r="P76" s="128">
        <v>2011</v>
      </c>
      <c r="Q76" s="19">
        <v>1</v>
      </c>
      <c r="R76" s="19" t="s">
        <v>108</v>
      </c>
      <c r="S76" s="47">
        <v>0.1</v>
      </c>
      <c r="T76" s="19">
        <v>1.5438068151784119</v>
      </c>
      <c r="U76" s="19">
        <v>3.7785754770451536</v>
      </c>
      <c r="V76" s="19" t="s">
        <v>108</v>
      </c>
      <c r="W76" s="19">
        <v>0.9</v>
      </c>
      <c r="X76" s="19" t="s">
        <v>108</v>
      </c>
    </row>
    <row r="77" spans="2:24">
      <c r="B77" s="248" t="s">
        <v>792</v>
      </c>
      <c r="C77" s="19" t="s">
        <v>108</v>
      </c>
      <c r="D77" s="19" t="s">
        <v>108</v>
      </c>
      <c r="E77" s="19" t="s">
        <v>4</v>
      </c>
      <c r="F77" s="19" t="s">
        <v>108</v>
      </c>
      <c r="G77" s="19" t="s">
        <v>32</v>
      </c>
      <c r="H77" s="19" t="s">
        <v>108</v>
      </c>
      <c r="I77" s="277" t="s">
        <v>99</v>
      </c>
      <c r="J77" s="372">
        <v>1.5438068151784119</v>
      </c>
      <c r="K77" s="372">
        <v>1.2350454521427299</v>
      </c>
      <c r="L77" s="372">
        <v>1.2163326422617793</v>
      </c>
      <c r="M77" s="372">
        <v>1.2350454521427296</v>
      </c>
      <c r="N77" s="128" t="s">
        <v>108</v>
      </c>
      <c r="O77" s="297">
        <v>3.4482758620689662E-2</v>
      </c>
      <c r="P77" s="128" t="s">
        <v>108</v>
      </c>
      <c r="Q77" s="19" t="s">
        <v>108</v>
      </c>
      <c r="R77" s="19" t="s">
        <v>108</v>
      </c>
      <c r="S77" s="19" t="s">
        <v>108</v>
      </c>
      <c r="T77" s="19" t="s">
        <v>108</v>
      </c>
      <c r="U77" s="19" t="s">
        <v>108</v>
      </c>
      <c r="V77" s="19" t="s">
        <v>108</v>
      </c>
      <c r="W77" s="19" t="s">
        <v>108</v>
      </c>
      <c r="X77" s="19" t="s">
        <v>108</v>
      </c>
    </row>
    <row r="78" spans="2:24">
      <c r="B78" s="19"/>
      <c r="C78" s="19" t="s">
        <v>108</v>
      </c>
      <c r="D78" s="19" t="s">
        <v>108</v>
      </c>
      <c r="E78" s="19" t="s">
        <v>4</v>
      </c>
      <c r="F78" s="19" t="s">
        <v>108</v>
      </c>
      <c r="G78" s="19" t="s">
        <v>493</v>
      </c>
      <c r="H78" s="19" t="s">
        <v>108</v>
      </c>
      <c r="I78" s="277" t="s">
        <v>190</v>
      </c>
      <c r="J78" s="372">
        <v>1.7241379310344829</v>
      </c>
      <c r="K78" s="372">
        <v>1.639344262295082</v>
      </c>
      <c r="L78" s="372">
        <v>1.5873015873015872</v>
      </c>
      <c r="M78" s="372">
        <v>1.5384615384615383</v>
      </c>
      <c r="N78" s="128" t="s">
        <v>108</v>
      </c>
      <c r="O78" s="297">
        <v>0.33846153846153842</v>
      </c>
      <c r="P78" s="128" t="s">
        <v>108</v>
      </c>
      <c r="Q78" s="19" t="s">
        <v>108</v>
      </c>
      <c r="R78" s="19" t="s">
        <v>108</v>
      </c>
      <c r="S78" s="19" t="s">
        <v>108</v>
      </c>
      <c r="T78" s="19" t="s">
        <v>108</v>
      </c>
      <c r="U78" s="19" t="s">
        <v>108</v>
      </c>
      <c r="V78" s="19" t="s">
        <v>108</v>
      </c>
      <c r="W78" s="19" t="s">
        <v>108</v>
      </c>
      <c r="X78" s="19" t="s">
        <v>108</v>
      </c>
    </row>
    <row r="79" spans="2:24">
      <c r="B79" s="248" t="s">
        <v>792</v>
      </c>
      <c r="C79" s="19" t="s">
        <v>797</v>
      </c>
      <c r="D79" s="19" t="s">
        <v>798</v>
      </c>
      <c r="E79" s="19" t="s">
        <v>108</v>
      </c>
      <c r="F79" s="19" t="s">
        <v>108</v>
      </c>
      <c r="G79" s="19" t="s">
        <v>598</v>
      </c>
      <c r="H79" s="19" t="s">
        <v>108</v>
      </c>
      <c r="I79" s="277" t="s">
        <v>98</v>
      </c>
      <c r="J79" s="372">
        <v>143.12001635657327</v>
      </c>
      <c r="K79" s="372">
        <v>95.413344237715506</v>
      </c>
      <c r="L79" s="372">
        <v>71.560008178286651</v>
      </c>
      <c r="M79" s="372">
        <v>47.70667211885776</v>
      </c>
      <c r="N79" s="128" t="s">
        <v>108</v>
      </c>
      <c r="O79" s="297" t="s">
        <v>108</v>
      </c>
      <c r="P79" s="128">
        <v>2025</v>
      </c>
      <c r="Q79" s="19">
        <v>1</v>
      </c>
      <c r="R79" s="19">
        <v>20</v>
      </c>
      <c r="S79" s="47">
        <v>0.1</v>
      </c>
      <c r="T79" s="19">
        <v>1.6697335241600217</v>
      </c>
      <c r="U79" s="19">
        <v>1.7412935323383085</v>
      </c>
      <c r="V79" s="19" t="s">
        <v>108</v>
      </c>
      <c r="W79" s="19">
        <v>0.9</v>
      </c>
      <c r="X79" s="19" t="s">
        <v>108</v>
      </c>
    </row>
    <row r="80" spans="2:24">
      <c r="B80" s="19"/>
      <c r="C80" s="19" t="s">
        <v>108</v>
      </c>
      <c r="D80" s="19" t="s">
        <v>108</v>
      </c>
      <c r="E80" s="19" t="s">
        <v>651</v>
      </c>
      <c r="F80" s="19" t="s">
        <v>108</v>
      </c>
      <c r="G80" s="19" t="s">
        <v>108</v>
      </c>
      <c r="H80" s="19" t="s">
        <v>108</v>
      </c>
      <c r="I80" s="277" t="s">
        <v>190</v>
      </c>
      <c r="J80" s="372">
        <v>1.7241379310344829</v>
      </c>
      <c r="K80" s="372">
        <v>1.639344262295082</v>
      </c>
      <c r="L80" s="372">
        <v>1.5873015873015872</v>
      </c>
      <c r="M80" s="372">
        <v>1.5384615384615383</v>
      </c>
      <c r="N80" s="128" t="s">
        <v>108</v>
      </c>
      <c r="O80" s="297" t="s">
        <v>108</v>
      </c>
      <c r="P80" s="128" t="s">
        <v>108</v>
      </c>
      <c r="Q80" s="19" t="s">
        <v>108</v>
      </c>
      <c r="R80" s="19" t="s">
        <v>108</v>
      </c>
      <c r="S80" s="19" t="s">
        <v>108</v>
      </c>
      <c r="T80" s="19" t="s">
        <v>108</v>
      </c>
      <c r="U80" s="19" t="s">
        <v>108</v>
      </c>
      <c r="V80" s="19" t="s">
        <v>108</v>
      </c>
      <c r="W80" s="19" t="s">
        <v>108</v>
      </c>
      <c r="X80" s="19" t="s">
        <v>108</v>
      </c>
    </row>
    <row r="81" spans="2:26">
      <c r="B81" s="19"/>
      <c r="C81" s="19" t="s">
        <v>108</v>
      </c>
      <c r="D81" s="19" t="s">
        <v>108</v>
      </c>
      <c r="E81" s="19"/>
      <c r="F81" s="19" t="s">
        <v>799</v>
      </c>
      <c r="G81" s="19" t="s">
        <v>493</v>
      </c>
      <c r="H81" s="19" t="s">
        <v>108</v>
      </c>
      <c r="I81" s="277" t="s">
        <v>782</v>
      </c>
      <c r="J81" s="372">
        <v>0.43103448275862072</v>
      </c>
      <c r="K81" s="372">
        <v>0.4098360655737705</v>
      </c>
      <c r="L81" s="372">
        <v>0.3968253968253968</v>
      </c>
      <c r="M81" s="372">
        <v>0.38461538461538458</v>
      </c>
      <c r="N81" s="371">
        <v>68.159203980099505</v>
      </c>
      <c r="O81" s="297" t="s">
        <v>108</v>
      </c>
      <c r="P81" s="128" t="s">
        <v>108</v>
      </c>
      <c r="Q81" s="19" t="s">
        <v>108</v>
      </c>
      <c r="R81" s="19" t="s">
        <v>108</v>
      </c>
      <c r="S81" s="19" t="s">
        <v>108</v>
      </c>
      <c r="T81" s="19" t="s">
        <v>108</v>
      </c>
      <c r="U81" s="19" t="s">
        <v>108</v>
      </c>
      <c r="V81" s="19" t="s">
        <v>108</v>
      </c>
      <c r="W81" s="19" t="s">
        <v>108</v>
      </c>
      <c r="X81" s="19" t="s">
        <v>108</v>
      </c>
    </row>
    <row r="82" spans="2:26">
      <c r="B82" s="248" t="s">
        <v>792</v>
      </c>
      <c r="C82" s="19" t="s">
        <v>800</v>
      </c>
      <c r="D82" s="19" t="s">
        <v>801</v>
      </c>
      <c r="E82" s="19" t="s">
        <v>651</v>
      </c>
      <c r="F82" s="19" t="s">
        <v>108</v>
      </c>
      <c r="G82" s="19" t="s">
        <v>172</v>
      </c>
      <c r="H82" s="19" t="s">
        <v>108</v>
      </c>
      <c r="I82" s="277" t="s">
        <v>98</v>
      </c>
      <c r="J82" s="372">
        <v>101.47133434804667</v>
      </c>
      <c r="K82" s="372">
        <v>79.274479959411465</v>
      </c>
      <c r="L82" s="372">
        <v>60.248604769152713</v>
      </c>
      <c r="M82" s="372">
        <v>50.735667174023334</v>
      </c>
      <c r="N82" s="128" t="s">
        <v>108</v>
      </c>
      <c r="O82" s="297" t="s">
        <v>108</v>
      </c>
      <c r="P82" s="128">
        <v>2020</v>
      </c>
      <c r="Q82" s="19">
        <v>1</v>
      </c>
      <c r="R82" s="19">
        <v>25</v>
      </c>
      <c r="S82" s="47">
        <v>0.1</v>
      </c>
      <c r="T82" s="19">
        <v>6.7224759005580923</v>
      </c>
      <c r="U82" s="19">
        <v>2.3611111111111112</v>
      </c>
      <c r="V82" s="19" t="s">
        <v>108</v>
      </c>
      <c r="W82" s="19" t="s">
        <v>108</v>
      </c>
      <c r="X82" s="19" t="s">
        <v>108</v>
      </c>
    </row>
    <row r="83" spans="2:26">
      <c r="B83" s="248" t="s">
        <v>792</v>
      </c>
      <c r="C83" s="19" t="s">
        <v>108</v>
      </c>
      <c r="D83" s="19" t="s">
        <v>108</v>
      </c>
      <c r="E83" s="19" t="s">
        <v>108</v>
      </c>
      <c r="F83" s="19" t="s">
        <v>108</v>
      </c>
      <c r="G83" s="19" t="s">
        <v>493</v>
      </c>
      <c r="H83" s="19" t="s">
        <v>108</v>
      </c>
      <c r="I83" s="277" t="s">
        <v>99</v>
      </c>
      <c r="J83" s="372">
        <v>6.7224759005580923</v>
      </c>
      <c r="K83" s="372">
        <v>4.0334855403348557</v>
      </c>
      <c r="L83" s="372">
        <v>2.6889903602232366</v>
      </c>
      <c r="M83" s="372">
        <v>1.3444951801116183</v>
      </c>
      <c r="N83" s="128" t="s">
        <v>108</v>
      </c>
      <c r="O83" s="297" t="s">
        <v>108</v>
      </c>
      <c r="P83" s="128" t="s">
        <v>108</v>
      </c>
      <c r="Q83" s="19" t="s">
        <v>108</v>
      </c>
      <c r="R83" s="19" t="s">
        <v>108</v>
      </c>
      <c r="S83" s="19" t="s">
        <v>108</v>
      </c>
      <c r="T83" s="19" t="s">
        <v>108</v>
      </c>
      <c r="U83" s="19" t="s">
        <v>108</v>
      </c>
      <c r="V83" s="19" t="s">
        <v>108</v>
      </c>
      <c r="W83" s="19" t="s">
        <v>108</v>
      </c>
      <c r="X83" s="19" t="s">
        <v>108</v>
      </c>
    </row>
    <row r="84" spans="2:26">
      <c r="B84" s="248" t="s">
        <v>792</v>
      </c>
      <c r="C84" s="19" t="s">
        <v>108</v>
      </c>
      <c r="D84" s="19" t="s">
        <v>108</v>
      </c>
      <c r="E84" s="19" t="s">
        <v>108</v>
      </c>
      <c r="F84" s="19" t="s">
        <v>108</v>
      </c>
      <c r="G84" s="19" t="s">
        <v>493</v>
      </c>
      <c r="H84" s="19" t="s">
        <v>108</v>
      </c>
      <c r="I84" s="277" t="s">
        <v>100</v>
      </c>
      <c r="J84" s="372">
        <v>2.3611111111111112</v>
      </c>
      <c r="K84" s="372">
        <v>1.4722222222222221</v>
      </c>
      <c r="L84" s="372">
        <v>0.88888888888888895</v>
      </c>
      <c r="M84" s="372">
        <v>0.58333333333333337</v>
      </c>
      <c r="N84" s="128" t="s">
        <v>108</v>
      </c>
      <c r="O84" s="297" t="s">
        <v>108</v>
      </c>
      <c r="P84" s="128" t="s">
        <v>108</v>
      </c>
      <c r="Q84" s="19" t="s">
        <v>108</v>
      </c>
      <c r="R84" s="19" t="s">
        <v>108</v>
      </c>
      <c r="S84" s="19" t="s">
        <v>108</v>
      </c>
      <c r="T84" s="19" t="s">
        <v>108</v>
      </c>
      <c r="U84" s="19" t="s">
        <v>108</v>
      </c>
      <c r="V84" s="19" t="s">
        <v>108</v>
      </c>
      <c r="W84" s="19" t="s">
        <v>108</v>
      </c>
      <c r="X84" s="19" t="s">
        <v>108</v>
      </c>
    </row>
    <row r="85" spans="2:26">
      <c r="B85" s="19"/>
      <c r="C85" s="19"/>
      <c r="D85" s="19"/>
      <c r="E85" s="19" t="s">
        <v>651</v>
      </c>
      <c r="F85" s="19"/>
      <c r="G85" s="19"/>
      <c r="H85" s="19"/>
      <c r="I85" s="277" t="s">
        <v>190</v>
      </c>
      <c r="J85" s="372">
        <v>2.7027027027027026</v>
      </c>
      <c r="K85" s="372">
        <v>2.5</v>
      </c>
      <c r="L85" s="372">
        <v>2</v>
      </c>
      <c r="M85" s="372">
        <v>1.8181818181818181</v>
      </c>
      <c r="N85" s="128"/>
      <c r="O85" s="297"/>
      <c r="P85" s="128"/>
      <c r="Q85" s="19"/>
      <c r="R85" s="19"/>
      <c r="S85" s="19"/>
      <c r="T85" s="19"/>
      <c r="U85" s="19"/>
      <c r="V85" s="19"/>
      <c r="W85" s="19"/>
      <c r="X85" s="19"/>
    </row>
    <row r="86" spans="2:26">
      <c r="B86" s="19"/>
      <c r="C86" s="19" t="s">
        <v>108</v>
      </c>
      <c r="D86" s="19" t="s">
        <v>108</v>
      </c>
      <c r="E86" s="19" t="s">
        <v>108</v>
      </c>
      <c r="F86" s="19" t="s">
        <v>108</v>
      </c>
      <c r="G86" s="19" t="s">
        <v>493</v>
      </c>
      <c r="H86" s="19" t="s">
        <v>108</v>
      </c>
      <c r="I86" s="277" t="s">
        <v>782</v>
      </c>
      <c r="J86" s="372">
        <v>1.1621621621621621</v>
      </c>
      <c r="K86" s="372">
        <v>1</v>
      </c>
      <c r="L86" s="372">
        <v>0.6</v>
      </c>
      <c r="M86" s="372">
        <v>0.45454545454545453</v>
      </c>
      <c r="N86" s="128" t="s">
        <v>108</v>
      </c>
      <c r="O86" s="297" t="s">
        <v>108</v>
      </c>
      <c r="P86" s="128" t="s">
        <v>108</v>
      </c>
      <c r="Q86" s="19" t="s">
        <v>108</v>
      </c>
      <c r="R86" s="19" t="s">
        <v>108</v>
      </c>
      <c r="S86" s="19" t="s">
        <v>108</v>
      </c>
      <c r="T86" s="19" t="s">
        <v>108</v>
      </c>
      <c r="U86" s="19" t="s">
        <v>108</v>
      </c>
      <c r="V86" s="19" t="s">
        <v>108</v>
      </c>
      <c r="W86" s="19" t="s">
        <v>108</v>
      </c>
      <c r="X86" s="19" t="s">
        <v>108</v>
      </c>
    </row>
    <row r="87" spans="2:26">
      <c r="B87" s="19"/>
      <c r="C87" s="19" t="s">
        <v>108</v>
      </c>
      <c r="D87" s="19" t="s">
        <v>108</v>
      </c>
      <c r="E87" s="19" t="s">
        <v>108</v>
      </c>
      <c r="F87" s="19" t="s">
        <v>799</v>
      </c>
      <c r="G87" s="19"/>
      <c r="H87" s="19" t="s">
        <v>108</v>
      </c>
      <c r="I87" s="277" t="s">
        <v>190</v>
      </c>
      <c r="J87" s="372">
        <v>100</v>
      </c>
      <c r="K87" s="372">
        <v>90.697674418604649</v>
      </c>
      <c r="L87" s="372">
        <v>83.720930232558132</v>
      </c>
      <c r="M87" s="372">
        <v>76.744186046511615</v>
      </c>
      <c r="N87" s="128" t="s">
        <v>108</v>
      </c>
      <c r="O87" s="297" t="s">
        <v>108</v>
      </c>
      <c r="P87" s="128" t="s">
        <v>108</v>
      </c>
      <c r="Q87" s="19" t="s">
        <v>108</v>
      </c>
      <c r="R87" s="19" t="s">
        <v>108</v>
      </c>
      <c r="S87" s="19" t="s">
        <v>108</v>
      </c>
      <c r="T87" s="19" t="s">
        <v>108</v>
      </c>
      <c r="U87" s="19" t="s">
        <v>108</v>
      </c>
      <c r="V87" s="19" t="s">
        <v>108</v>
      </c>
      <c r="W87" s="19" t="s">
        <v>108</v>
      </c>
      <c r="X87" s="19" t="s">
        <v>108</v>
      </c>
    </row>
    <row r="88" spans="2:26">
      <c r="B88" s="248" t="s">
        <v>621</v>
      </c>
      <c r="C88" s="27" t="s">
        <v>615</v>
      </c>
      <c r="D88" s="57" t="s">
        <v>594</v>
      </c>
      <c r="E88" s="58" t="s">
        <v>595</v>
      </c>
      <c r="F88" s="24"/>
      <c r="G88" s="24"/>
      <c r="H88" s="24"/>
      <c r="I88" s="275" t="s">
        <v>98</v>
      </c>
      <c r="J88" s="170">
        <v>77.5</v>
      </c>
      <c r="K88" s="170"/>
      <c r="L88" s="170">
        <v>77.5</v>
      </c>
      <c r="M88" s="170"/>
      <c r="N88" s="267">
        <v>1</v>
      </c>
      <c r="O88" s="59"/>
      <c r="P88" s="382">
        <v>2010</v>
      </c>
      <c r="Q88" s="24"/>
      <c r="R88" s="65">
        <v>25</v>
      </c>
      <c r="S88" s="24">
        <v>0.1</v>
      </c>
      <c r="T88" s="24">
        <v>2.48</v>
      </c>
      <c r="U88" s="59">
        <v>4.96</v>
      </c>
      <c r="V88" s="24"/>
      <c r="W88" s="24">
        <v>0.85</v>
      </c>
      <c r="X88" s="24"/>
    </row>
    <row r="89" spans="2:26">
      <c r="B89" s="253"/>
      <c r="C89" s="66"/>
      <c r="D89" s="61"/>
      <c r="E89" s="60"/>
      <c r="F89" s="24"/>
      <c r="G89" s="62" t="s">
        <v>598</v>
      </c>
      <c r="H89" s="62"/>
      <c r="I89" s="276"/>
      <c r="J89" s="252"/>
      <c r="K89" s="252"/>
      <c r="L89" s="252"/>
      <c r="M89" s="253"/>
      <c r="N89" s="268"/>
      <c r="O89" s="63">
        <v>1</v>
      </c>
      <c r="P89" s="383"/>
      <c r="Q89" s="62"/>
      <c r="R89" s="64"/>
      <c r="S89" s="60"/>
      <c r="T89" s="60"/>
      <c r="U89" s="63"/>
      <c r="V89" s="60"/>
      <c r="W89" s="60"/>
      <c r="X89" s="60"/>
    </row>
    <row r="94" spans="2:26" ht="18">
      <c r="C94" s="38" t="s">
        <v>568</v>
      </c>
      <c r="D94" s="39"/>
      <c r="E94" s="40"/>
      <c r="F94" s="5"/>
      <c r="G94" s="22"/>
      <c r="I94" s="22" t="s">
        <v>516</v>
      </c>
      <c r="J94" s="5"/>
      <c r="K94" s="5"/>
      <c r="L94" s="5"/>
      <c r="M94" s="5"/>
      <c r="N94" s="5"/>
      <c r="O94" s="5"/>
      <c r="P94" s="5"/>
      <c r="Q94" s="5"/>
      <c r="R94" s="5"/>
    </row>
    <row r="95" spans="2:26" ht="39" thickBot="1">
      <c r="B95" s="41" t="s">
        <v>33</v>
      </c>
      <c r="C95" s="41" t="s">
        <v>555</v>
      </c>
      <c r="D95" s="41" t="s">
        <v>556</v>
      </c>
      <c r="E95" s="41" t="s">
        <v>557</v>
      </c>
      <c r="F95" s="41" t="s">
        <v>48</v>
      </c>
      <c r="G95" s="41" t="s">
        <v>430</v>
      </c>
      <c r="H95" s="41" t="s">
        <v>604</v>
      </c>
      <c r="I95" s="114" t="s">
        <v>385</v>
      </c>
      <c r="J95" s="41">
        <v>2020</v>
      </c>
      <c r="K95" s="41">
        <v>2035</v>
      </c>
      <c r="L95" s="41">
        <v>2050</v>
      </c>
      <c r="M95" s="113" t="s">
        <v>559</v>
      </c>
      <c r="N95" s="41" t="s">
        <v>558</v>
      </c>
      <c r="O95" s="41" t="s">
        <v>97</v>
      </c>
      <c r="P95" s="41" t="s">
        <v>96</v>
      </c>
      <c r="Q95" s="42" t="s">
        <v>139</v>
      </c>
      <c r="R95" s="42" t="s">
        <v>103</v>
      </c>
      <c r="S95" s="42" t="s">
        <v>99</v>
      </c>
      <c r="T95" s="42" t="s">
        <v>100</v>
      </c>
      <c r="U95" s="42" t="s">
        <v>152</v>
      </c>
      <c r="V95" s="41" t="s">
        <v>258</v>
      </c>
      <c r="W95" s="41" t="s">
        <v>428</v>
      </c>
      <c r="X95" s="41" t="s">
        <v>195</v>
      </c>
      <c r="Y95" s="41" t="s">
        <v>636</v>
      </c>
      <c r="Z95" s="28" t="s">
        <v>173</v>
      </c>
    </row>
    <row r="96" spans="2:26">
      <c r="B96" s="44"/>
      <c r="C96" s="43" t="s">
        <v>570</v>
      </c>
      <c r="D96" s="44"/>
      <c r="E96" s="44"/>
      <c r="F96" s="44"/>
      <c r="G96" s="44"/>
      <c r="H96" s="44"/>
      <c r="I96" s="269"/>
      <c r="J96" s="44"/>
      <c r="K96" s="44"/>
      <c r="L96" s="44"/>
      <c r="M96" s="263"/>
      <c r="N96" s="45"/>
      <c r="O96" s="45"/>
      <c r="P96" s="44"/>
      <c r="Q96" s="45"/>
      <c r="R96" s="45"/>
      <c r="S96" s="45"/>
      <c r="T96" s="45"/>
      <c r="U96" s="45"/>
      <c r="V96" s="45"/>
      <c r="W96" s="44"/>
      <c r="X96" s="44"/>
      <c r="Y96" s="19"/>
      <c r="Z96" s="19"/>
    </row>
    <row r="97" spans="2:26">
      <c r="B97" s="248" t="s">
        <v>621</v>
      </c>
      <c r="C97" s="46" t="s">
        <v>606</v>
      </c>
      <c r="D97" s="46" t="s">
        <v>571</v>
      </c>
      <c r="E97" s="47" t="s">
        <v>180</v>
      </c>
      <c r="F97" s="48"/>
      <c r="G97" s="48"/>
      <c r="H97" s="48"/>
      <c r="I97" s="271" t="s">
        <v>98</v>
      </c>
      <c r="J97" s="47">
        <v>19.84</v>
      </c>
      <c r="K97" s="47">
        <v>19.84</v>
      </c>
      <c r="L97" s="48"/>
      <c r="M97" s="264">
        <v>1.5873015873015872</v>
      </c>
      <c r="N97" s="50"/>
      <c r="O97" s="47">
        <v>2010</v>
      </c>
      <c r="P97" s="48"/>
      <c r="Q97" s="50">
        <v>25</v>
      </c>
      <c r="R97" s="50">
        <v>0.1</v>
      </c>
      <c r="S97" s="47">
        <v>0.79359999999999997</v>
      </c>
      <c r="T97" s="51"/>
      <c r="U97" s="51"/>
      <c r="V97" s="47">
        <v>0.85</v>
      </c>
      <c r="W97" s="51"/>
      <c r="X97" s="51"/>
      <c r="Y97" s="19"/>
      <c r="Z97" s="19"/>
    </row>
    <row r="98" spans="2:26">
      <c r="B98" s="197"/>
      <c r="C98" s="47"/>
      <c r="D98" s="47"/>
      <c r="E98" s="47"/>
      <c r="F98" s="47" t="s">
        <v>184</v>
      </c>
      <c r="G98" s="47"/>
      <c r="H98" s="47"/>
      <c r="I98" s="271"/>
      <c r="J98" s="47"/>
      <c r="K98" s="47"/>
      <c r="L98" s="47"/>
      <c r="M98" s="264"/>
      <c r="N98" s="49"/>
      <c r="O98" s="47"/>
      <c r="P98" s="47"/>
      <c r="Q98" s="50"/>
      <c r="R98" s="50"/>
      <c r="S98" s="47"/>
      <c r="T98" s="51"/>
      <c r="U98" s="51"/>
      <c r="V98" s="47"/>
      <c r="W98" s="51"/>
      <c r="X98" s="51"/>
      <c r="Y98" s="19"/>
      <c r="Z98" s="19"/>
    </row>
    <row r="99" spans="2:26">
      <c r="B99" s="248" t="s">
        <v>621</v>
      </c>
      <c r="C99" s="46" t="s">
        <v>607</v>
      </c>
      <c r="D99" s="46" t="s">
        <v>572</v>
      </c>
      <c r="E99" s="47" t="s">
        <v>182</v>
      </c>
      <c r="F99" s="48"/>
      <c r="G99" s="48"/>
      <c r="H99" s="48"/>
      <c r="I99" s="271" t="s">
        <v>98</v>
      </c>
      <c r="J99" s="52">
        <v>99.2</v>
      </c>
      <c r="K99" s="52">
        <v>99.2</v>
      </c>
      <c r="L99" s="48"/>
      <c r="M99" s="264">
        <v>1.7857142857142856</v>
      </c>
      <c r="N99" s="49"/>
      <c r="O99" s="47">
        <v>2010</v>
      </c>
      <c r="P99" s="48"/>
      <c r="Q99" s="50">
        <v>25</v>
      </c>
      <c r="R99" s="50">
        <v>0.1</v>
      </c>
      <c r="S99" s="47">
        <v>1.24</v>
      </c>
      <c r="T99" s="51"/>
      <c r="U99" s="51"/>
      <c r="V99" s="47">
        <v>0.85</v>
      </c>
      <c r="W99" s="51"/>
      <c r="X99" s="51"/>
      <c r="Y99" s="19"/>
      <c r="Z99" s="19"/>
    </row>
    <row r="100" spans="2:26">
      <c r="B100" s="197"/>
      <c r="C100" s="47"/>
      <c r="D100" s="47"/>
      <c r="E100" s="47"/>
      <c r="F100" s="47" t="s">
        <v>184</v>
      </c>
      <c r="G100" s="47"/>
      <c r="H100" s="47"/>
      <c r="I100" s="271"/>
      <c r="J100" s="52"/>
      <c r="K100" s="52"/>
      <c r="L100" s="47"/>
      <c r="M100" s="264"/>
      <c r="N100" s="49"/>
      <c r="O100" s="47"/>
      <c r="P100" s="47"/>
      <c r="Q100" s="50"/>
      <c r="R100" s="50"/>
      <c r="S100" s="47"/>
      <c r="T100" s="51"/>
      <c r="U100" s="51"/>
      <c r="V100" s="47"/>
      <c r="W100" s="51"/>
      <c r="X100" s="51"/>
      <c r="Y100" s="19"/>
      <c r="Z100" s="19"/>
    </row>
    <row r="101" spans="2:26">
      <c r="B101" s="248" t="s">
        <v>621</v>
      </c>
      <c r="C101" s="46" t="s">
        <v>608</v>
      </c>
      <c r="D101" s="46" t="s">
        <v>573</v>
      </c>
      <c r="E101" s="47" t="s">
        <v>182</v>
      </c>
      <c r="F101" s="48"/>
      <c r="G101" s="48"/>
      <c r="H101" s="48"/>
      <c r="I101" s="271" t="s">
        <v>98</v>
      </c>
      <c r="J101" s="52">
        <v>124</v>
      </c>
      <c r="K101" s="52">
        <v>124</v>
      </c>
      <c r="L101" s="48"/>
      <c r="M101" s="264">
        <v>2.0833333333333335</v>
      </c>
      <c r="N101" s="50"/>
      <c r="O101" s="47">
        <v>2010</v>
      </c>
      <c r="P101" s="48"/>
      <c r="Q101" s="50">
        <v>25</v>
      </c>
      <c r="R101" s="50">
        <v>0.1</v>
      </c>
      <c r="S101" s="47">
        <v>2.48</v>
      </c>
      <c r="T101" s="51"/>
      <c r="U101" s="51"/>
      <c r="V101" s="47">
        <v>0.85</v>
      </c>
      <c r="W101" s="51"/>
      <c r="X101" s="51"/>
      <c r="Y101" s="19"/>
      <c r="Z101" s="19"/>
    </row>
    <row r="102" spans="2:26">
      <c r="B102" s="197"/>
      <c r="C102" s="47"/>
      <c r="D102" s="47"/>
      <c r="E102" s="47" t="s">
        <v>574</v>
      </c>
      <c r="F102" s="47"/>
      <c r="G102" s="47"/>
      <c r="H102" s="47"/>
      <c r="I102" s="271"/>
      <c r="J102" s="52"/>
      <c r="K102" s="52"/>
      <c r="L102" s="47"/>
      <c r="M102" s="265">
        <v>9.8000000000000004E-2</v>
      </c>
      <c r="N102" s="50"/>
      <c r="O102" s="47"/>
      <c r="P102" s="47"/>
      <c r="Q102" s="50"/>
      <c r="R102" s="50"/>
      <c r="S102" s="47"/>
      <c r="T102" s="51"/>
      <c r="U102" s="51"/>
      <c r="V102" s="47"/>
      <c r="W102" s="51"/>
      <c r="X102" s="51"/>
      <c r="Y102" s="19"/>
      <c r="Z102" s="19"/>
    </row>
    <row r="103" spans="2:26">
      <c r="B103" s="197"/>
      <c r="C103" s="47"/>
      <c r="D103" s="47"/>
      <c r="E103" s="47"/>
      <c r="F103" s="47" t="s">
        <v>184</v>
      </c>
      <c r="G103" s="47"/>
      <c r="H103" s="47"/>
      <c r="I103" s="271"/>
      <c r="J103" s="52"/>
      <c r="K103" s="52"/>
      <c r="L103" s="47"/>
      <c r="M103" s="265"/>
      <c r="N103" s="50"/>
      <c r="O103" s="47"/>
      <c r="P103" s="47"/>
      <c r="Q103" s="50"/>
      <c r="R103" s="50"/>
      <c r="S103" s="47"/>
      <c r="T103" s="51"/>
      <c r="U103" s="51"/>
      <c r="V103" s="47"/>
      <c r="W103" s="51"/>
      <c r="X103" s="51"/>
      <c r="Y103" s="19"/>
      <c r="Z103" s="19"/>
    </row>
    <row r="104" spans="2:26">
      <c r="B104" s="248" t="s">
        <v>621</v>
      </c>
      <c r="C104" s="46" t="s">
        <v>525</v>
      </c>
      <c r="D104" s="46" t="s">
        <v>522</v>
      </c>
      <c r="E104" s="47" t="s">
        <v>521</v>
      </c>
      <c r="F104" s="48"/>
      <c r="G104" s="48"/>
      <c r="H104" s="48"/>
      <c r="I104" s="271" t="s">
        <v>98</v>
      </c>
      <c r="J104" s="52">
        <v>124</v>
      </c>
      <c r="K104" s="52">
        <v>105.4</v>
      </c>
      <c r="L104" s="48"/>
      <c r="M104" s="264">
        <v>2.0408163265306123</v>
      </c>
      <c r="N104" s="50"/>
      <c r="O104" s="47">
        <v>2025</v>
      </c>
      <c r="P104" s="48"/>
      <c r="Q104" s="50">
        <v>25</v>
      </c>
      <c r="R104" s="50">
        <v>0.1</v>
      </c>
      <c r="S104" s="147">
        <v>3.1619999999999999</v>
      </c>
      <c r="T104" s="51"/>
      <c r="U104" s="51"/>
      <c r="V104" s="47">
        <v>0.9</v>
      </c>
      <c r="W104" s="51"/>
      <c r="X104" s="51"/>
      <c r="Y104" s="19"/>
      <c r="Z104" s="19"/>
    </row>
    <row r="105" spans="2:26">
      <c r="B105" s="197"/>
      <c r="C105" s="47"/>
      <c r="D105" s="47"/>
      <c r="E105" s="47" t="s">
        <v>574</v>
      </c>
      <c r="F105" s="47"/>
      <c r="G105" s="47"/>
      <c r="H105" s="47"/>
      <c r="I105" s="271"/>
      <c r="J105" s="52"/>
      <c r="K105" s="52"/>
      <c r="L105" s="47"/>
      <c r="M105" s="266">
        <f>0.00044*I191*M104</f>
        <v>5.4348979591836738E-2</v>
      </c>
      <c r="N105" s="50"/>
      <c r="O105" s="47"/>
      <c r="P105" s="47"/>
      <c r="Q105" s="50"/>
      <c r="R105" s="50"/>
      <c r="S105" s="47"/>
      <c r="T105" s="51"/>
      <c r="U105" s="51"/>
      <c r="V105" s="47"/>
      <c r="W105" s="51"/>
      <c r="X105" s="51"/>
      <c r="Y105" s="19"/>
      <c r="Z105" s="19"/>
    </row>
    <row r="106" spans="2:26">
      <c r="B106" s="197"/>
      <c r="C106" s="47"/>
      <c r="D106" s="47"/>
      <c r="E106" s="47"/>
      <c r="F106" s="52" t="s">
        <v>155</v>
      </c>
      <c r="G106" s="52"/>
      <c r="H106" s="47"/>
      <c r="I106" s="271"/>
      <c r="J106" s="52"/>
      <c r="K106" s="52"/>
      <c r="L106" s="47"/>
      <c r="M106" s="265"/>
      <c r="N106" s="49">
        <f>0.2*M104</f>
        <v>0.40816326530612246</v>
      </c>
      <c r="O106" s="47"/>
      <c r="P106" s="47"/>
      <c r="Q106" s="50"/>
      <c r="R106" s="50"/>
      <c r="S106" s="47"/>
      <c r="T106" s="51"/>
      <c r="U106" s="51"/>
      <c r="V106" s="47"/>
      <c r="W106" s="51"/>
      <c r="X106" s="51"/>
      <c r="Y106" s="19"/>
      <c r="Z106" s="19"/>
    </row>
    <row r="107" spans="2:26">
      <c r="B107" s="197"/>
      <c r="C107" s="47"/>
      <c r="D107" s="47"/>
      <c r="E107" s="47"/>
      <c r="F107" s="47" t="s">
        <v>184</v>
      </c>
      <c r="G107" s="47"/>
      <c r="H107" s="47"/>
      <c r="I107" s="271"/>
      <c r="J107" s="52"/>
      <c r="K107" s="52"/>
      <c r="L107" s="47"/>
      <c r="M107" s="265"/>
      <c r="N107" s="50"/>
      <c r="O107" s="47"/>
      <c r="P107" s="47"/>
      <c r="Q107" s="50"/>
      <c r="R107" s="50"/>
      <c r="S107" s="47"/>
      <c r="T107" s="51"/>
      <c r="U107" s="51"/>
      <c r="V107" s="47"/>
      <c r="W107" s="51"/>
      <c r="X107" s="51"/>
      <c r="Y107" s="19"/>
      <c r="Z107" s="19"/>
    </row>
    <row r="108" spans="2:26">
      <c r="B108" s="248" t="s">
        <v>621</v>
      </c>
      <c r="C108" s="46" t="s">
        <v>609</v>
      </c>
      <c r="D108" s="46" t="s">
        <v>575</v>
      </c>
      <c r="E108" s="47" t="s">
        <v>182</v>
      </c>
      <c r="F108" s="48"/>
      <c r="G108" s="48"/>
      <c r="H108" s="48"/>
      <c r="I108" s="344" t="s">
        <v>98</v>
      </c>
      <c r="J108" s="52">
        <v>124</v>
      </c>
      <c r="K108" s="52">
        <v>124</v>
      </c>
      <c r="L108" s="48"/>
      <c r="M108" s="264">
        <v>2.0833333333333335</v>
      </c>
      <c r="N108" s="50"/>
      <c r="O108" s="47">
        <v>2025</v>
      </c>
      <c r="P108" s="48"/>
      <c r="Q108" s="50">
        <v>25</v>
      </c>
      <c r="R108" s="50">
        <v>0.1</v>
      </c>
      <c r="S108" s="47">
        <v>2.48</v>
      </c>
      <c r="T108" s="51"/>
      <c r="U108" s="51"/>
      <c r="V108" s="47">
        <v>0.85</v>
      </c>
      <c r="W108" s="51"/>
      <c r="X108" s="51"/>
      <c r="Y108" s="19"/>
      <c r="Z108" s="19"/>
    </row>
    <row r="109" spans="2:26">
      <c r="B109" s="197"/>
      <c r="C109" s="47"/>
      <c r="D109" s="47"/>
      <c r="E109" s="47" t="s">
        <v>574</v>
      </c>
      <c r="F109" s="47"/>
      <c r="G109" s="47"/>
      <c r="H109" s="47"/>
      <c r="I109" s="271"/>
      <c r="J109" s="52"/>
      <c r="K109" s="52"/>
      <c r="L109" s="47"/>
      <c r="M109" s="265">
        <v>9.8000000000000004E-2</v>
      </c>
      <c r="N109" s="50"/>
      <c r="O109" s="47"/>
      <c r="P109" s="47"/>
      <c r="Q109" s="50"/>
      <c r="R109" s="50"/>
      <c r="S109" s="47"/>
      <c r="T109" s="51"/>
      <c r="U109" s="51"/>
      <c r="V109" s="47"/>
      <c r="W109" s="51"/>
      <c r="X109" s="51"/>
      <c r="Y109" s="19"/>
      <c r="Z109" s="19"/>
    </row>
    <row r="110" spans="2:26">
      <c r="B110" s="197"/>
      <c r="C110" s="47"/>
      <c r="D110" s="47"/>
      <c r="E110" s="47"/>
      <c r="F110" s="47" t="s">
        <v>576</v>
      </c>
      <c r="G110" s="47"/>
      <c r="H110" s="47"/>
      <c r="I110" s="271"/>
      <c r="J110" s="52"/>
      <c r="K110" s="52"/>
      <c r="L110" s="47"/>
      <c r="M110" s="265"/>
      <c r="N110" s="50"/>
      <c r="O110" s="47"/>
      <c r="P110" s="47"/>
      <c r="Q110" s="50"/>
      <c r="R110" s="50"/>
      <c r="S110" s="47"/>
      <c r="T110" s="51"/>
      <c r="U110" s="51"/>
      <c r="V110" s="47"/>
      <c r="W110" s="51"/>
      <c r="X110" s="51"/>
      <c r="Y110" s="19"/>
      <c r="Z110" s="19"/>
    </row>
    <row r="111" spans="2:26">
      <c r="B111" s="248" t="s">
        <v>621</v>
      </c>
      <c r="C111" s="46" t="s">
        <v>610</v>
      </c>
      <c r="D111" s="46" t="s">
        <v>579</v>
      </c>
      <c r="E111" s="47" t="s">
        <v>182</v>
      </c>
      <c r="F111" s="48"/>
      <c r="G111" s="48"/>
      <c r="H111" s="48"/>
      <c r="I111" s="344" t="s">
        <v>98</v>
      </c>
      <c r="J111" s="52">
        <v>124</v>
      </c>
      <c r="K111" s="52">
        <v>124</v>
      </c>
      <c r="L111" s="48"/>
      <c r="M111" s="264">
        <v>2.0833333333333335</v>
      </c>
      <c r="N111" s="50"/>
      <c r="O111" s="47">
        <v>2025</v>
      </c>
      <c r="P111" s="48"/>
      <c r="Q111" s="50">
        <v>25</v>
      </c>
      <c r="R111" s="50">
        <v>0.1</v>
      </c>
      <c r="S111" s="47">
        <v>2.48</v>
      </c>
      <c r="T111" s="51"/>
      <c r="U111" s="51"/>
      <c r="V111" s="47">
        <v>0.85</v>
      </c>
      <c r="W111" s="51"/>
      <c r="X111" s="51"/>
      <c r="Y111" s="19"/>
      <c r="Z111" s="19"/>
    </row>
    <row r="112" spans="2:26">
      <c r="B112" s="197"/>
      <c r="C112" s="47"/>
      <c r="D112" s="47"/>
      <c r="E112" s="47" t="s">
        <v>574</v>
      </c>
      <c r="F112" s="47"/>
      <c r="G112" s="47"/>
      <c r="H112" s="47"/>
      <c r="I112" s="271"/>
      <c r="J112" s="52"/>
      <c r="K112" s="52"/>
      <c r="L112" s="47"/>
      <c r="M112" s="265">
        <v>9.8000000000000004E-2</v>
      </c>
      <c r="N112" s="50"/>
      <c r="O112" s="47"/>
      <c r="P112" s="47"/>
      <c r="Q112" s="50"/>
      <c r="R112" s="50"/>
      <c r="S112" s="47"/>
      <c r="T112" s="51"/>
      <c r="U112" s="51"/>
      <c r="V112" s="47"/>
      <c r="W112" s="51"/>
      <c r="X112" s="51"/>
      <c r="Y112" s="19"/>
      <c r="Z112" s="19"/>
    </row>
    <row r="113" spans="2:26">
      <c r="B113" s="197"/>
      <c r="C113" s="47"/>
      <c r="D113" s="47"/>
      <c r="E113" s="47"/>
      <c r="F113" s="47" t="s">
        <v>183</v>
      </c>
      <c r="G113" s="47"/>
      <c r="H113" s="47"/>
      <c r="I113" s="271"/>
      <c r="J113" s="52"/>
      <c r="K113" s="52"/>
      <c r="L113" s="47"/>
      <c r="M113" s="265"/>
      <c r="N113" s="50"/>
      <c r="O113" s="47"/>
      <c r="P113" s="47"/>
      <c r="Q113" s="50"/>
      <c r="R113" s="50"/>
      <c r="S113" s="47"/>
      <c r="T113" s="51"/>
      <c r="U113" s="51"/>
      <c r="V113" s="47"/>
      <c r="W113" s="51"/>
      <c r="X113" s="51"/>
      <c r="Y113" s="19"/>
      <c r="Z113" s="19"/>
    </row>
    <row r="114" spans="2:26">
      <c r="B114" s="248" t="s">
        <v>621</v>
      </c>
      <c r="C114" s="46" t="s">
        <v>611</v>
      </c>
      <c r="D114" s="46" t="s">
        <v>150</v>
      </c>
      <c r="E114" s="47" t="s">
        <v>601</v>
      </c>
      <c r="F114" s="48"/>
      <c r="G114" s="132"/>
      <c r="H114" s="48"/>
      <c r="I114" s="271" t="s">
        <v>98</v>
      </c>
      <c r="J114" s="345">
        <f>K114*1.33</f>
        <v>90.44</v>
      </c>
      <c r="K114" s="346">
        <v>68</v>
      </c>
      <c r="L114" s="48"/>
      <c r="M114" s="264">
        <v>1.76</v>
      </c>
      <c r="N114" s="50"/>
      <c r="O114" s="47">
        <v>2020</v>
      </c>
      <c r="P114" s="48"/>
      <c r="Q114" s="50">
        <v>25</v>
      </c>
      <c r="R114" s="50">
        <v>0.1</v>
      </c>
      <c r="S114" s="123">
        <f>K114*0.041</f>
        <v>2.7880000000000003</v>
      </c>
      <c r="T114" s="51"/>
      <c r="U114" s="51"/>
      <c r="V114" s="47">
        <v>0.9</v>
      </c>
      <c r="W114" s="51"/>
      <c r="X114" s="51"/>
      <c r="Y114" s="19"/>
      <c r="Z114" s="19"/>
    </row>
    <row r="115" spans="2:26">
      <c r="B115" s="249"/>
      <c r="C115" s="46"/>
      <c r="D115" s="46"/>
      <c r="E115" s="47" t="s">
        <v>574</v>
      </c>
      <c r="F115" s="48"/>
      <c r="G115" s="132" t="s">
        <v>493</v>
      </c>
      <c r="H115" s="48"/>
      <c r="I115" s="270"/>
      <c r="J115" s="52"/>
      <c r="K115" s="52"/>
      <c r="L115" s="48"/>
      <c r="M115" s="264">
        <v>0.15</v>
      </c>
      <c r="N115" s="50">
        <v>0.4</v>
      </c>
      <c r="O115" s="47"/>
      <c r="P115" s="48"/>
      <c r="Q115" s="50"/>
      <c r="R115" s="50"/>
      <c r="S115" s="47"/>
      <c r="T115" s="51"/>
      <c r="U115" s="51"/>
      <c r="V115" s="47"/>
      <c r="W115" s="51"/>
      <c r="X115" s="51"/>
      <c r="Y115" s="19"/>
      <c r="Z115" s="19"/>
    </row>
    <row r="116" spans="2:26">
      <c r="B116" s="249"/>
      <c r="C116" s="46"/>
      <c r="D116" s="46"/>
      <c r="E116" s="47" t="s">
        <v>179</v>
      </c>
      <c r="F116" s="48"/>
      <c r="G116" s="132"/>
      <c r="H116" s="132" t="s">
        <v>198</v>
      </c>
      <c r="I116" s="272"/>
      <c r="J116" s="52"/>
      <c r="K116" s="52"/>
      <c r="L116" s="132"/>
      <c r="M116" s="264"/>
      <c r="N116" s="50"/>
      <c r="O116" s="47"/>
      <c r="P116" s="48"/>
      <c r="Q116" s="50"/>
      <c r="R116" s="50"/>
      <c r="S116" s="47"/>
      <c r="T116" s="51"/>
      <c r="U116" s="51"/>
      <c r="V116" s="47"/>
      <c r="W116" s="51"/>
      <c r="X116" s="140">
        <v>-0.14000000000000001</v>
      </c>
      <c r="Y116" s="19"/>
      <c r="Z116" s="19"/>
    </row>
    <row r="117" spans="2:26">
      <c r="B117" s="249"/>
      <c r="C117" s="46"/>
      <c r="D117" s="46"/>
      <c r="E117" s="47"/>
      <c r="F117" s="52" t="s">
        <v>580</v>
      </c>
      <c r="G117" s="52"/>
      <c r="H117" s="132"/>
      <c r="I117" s="272"/>
      <c r="J117" s="52"/>
      <c r="K117" s="52"/>
      <c r="L117" s="132"/>
      <c r="M117" s="264"/>
      <c r="N117" s="49"/>
      <c r="O117" s="47"/>
      <c r="P117" s="48"/>
      <c r="Q117" s="50"/>
      <c r="R117" s="50"/>
      <c r="S117" s="47"/>
      <c r="T117" s="51"/>
      <c r="U117" s="122">
        <v>1</v>
      </c>
      <c r="V117" s="47"/>
      <c r="W117" s="51"/>
      <c r="X117" s="51"/>
      <c r="Y117" s="19"/>
      <c r="Z117" s="19"/>
    </row>
    <row r="118" spans="2:26">
      <c r="B118" s="197"/>
      <c r="C118" s="47"/>
      <c r="D118" s="47"/>
      <c r="E118" s="47"/>
      <c r="F118" s="52" t="s">
        <v>172</v>
      </c>
      <c r="G118" s="47"/>
      <c r="H118" s="47"/>
      <c r="I118" s="271"/>
      <c r="J118" s="52"/>
      <c r="K118" s="52"/>
      <c r="L118" s="47"/>
      <c r="M118" s="264"/>
      <c r="N118" s="50"/>
      <c r="O118" s="47"/>
      <c r="P118" s="47"/>
      <c r="Q118" s="50"/>
      <c r="R118" s="50"/>
      <c r="S118" s="47"/>
      <c r="T118" s="51"/>
      <c r="U118" s="122">
        <v>0.95</v>
      </c>
      <c r="V118" s="47"/>
      <c r="W118" s="51"/>
      <c r="X118" s="51"/>
      <c r="Y118" s="19"/>
      <c r="Z118" s="19"/>
    </row>
    <row r="119" spans="2:26">
      <c r="B119" s="248" t="s">
        <v>621</v>
      </c>
      <c r="C119" s="46" t="s">
        <v>635</v>
      </c>
      <c r="D119" s="46" t="s">
        <v>151</v>
      </c>
      <c r="E119" s="47" t="s">
        <v>601</v>
      </c>
      <c r="F119" s="48"/>
      <c r="G119" s="48"/>
      <c r="H119" s="48"/>
      <c r="I119" s="271" t="s">
        <v>98</v>
      </c>
      <c r="J119" s="139">
        <f>K114*(M114/M119)^0.64</f>
        <v>94.640247789571589</v>
      </c>
      <c r="K119" s="139">
        <f>K114*(M114/M119)^0.5</f>
        <v>88.038086995940347</v>
      </c>
      <c r="L119" s="48"/>
      <c r="M119" s="264">
        <v>1.05</v>
      </c>
      <c r="N119" s="50"/>
      <c r="O119" s="47">
        <v>2020</v>
      </c>
      <c r="P119" s="48"/>
      <c r="Q119" s="50">
        <v>25</v>
      </c>
      <c r="R119" s="50">
        <v>0.1</v>
      </c>
      <c r="S119" s="123">
        <f>K119*0.04</f>
        <v>3.5215234798376138</v>
      </c>
      <c r="T119" s="51"/>
      <c r="U119" s="122"/>
      <c r="V119" s="47">
        <v>0.9</v>
      </c>
      <c r="W119" s="51"/>
      <c r="X119" s="51"/>
      <c r="Y119" s="19"/>
      <c r="Z119" s="19"/>
    </row>
    <row r="120" spans="2:26">
      <c r="B120" s="249"/>
      <c r="C120" s="46"/>
      <c r="D120" s="46"/>
      <c r="E120" s="47" t="s">
        <v>574</v>
      </c>
      <c r="F120" s="48"/>
      <c r="G120" s="48"/>
      <c r="H120" s="48"/>
      <c r="I120" s="270"/>
      <c r="J120" s="52"/>
      <c r="K120" s="52"/>
      <c r="L120" s="48"/>
      <c r="M120" s="264">
        <v>0.19500000000000001</v>
      </c>
      <c r="N120" s="50"/>
      <c r="O120" s="47"/>
      <c r="P120" s="48"/>
      <c r="Q120" s="50"/>
      <c r="R120" s="50"/>
      <c r="S120" s="47"/>
      <c r="T120" s="51"/>
      <c r="U120" s="122"/>
      <c r="V120" s="47"/>
      <c r="W120" s="51"/>
      <c r="X120" s="51"/>
      <c r="Y120" s="19"/>
      <c r="Z120" s="19"/>
    </row>
    <row r="121" spans="2:26">
      <c r="B121" s="249"/>
      <c r="C121" s="46"/>
      <c r="D121" s="46"/>
      <c r="E121" s="47"/>
      <c r="F121" s="52" t="s">
        <v>580</v>
      </c>
      <c r="G121" s="52"/>
      <c r="H121" s="48"/>
      <c r="I121" s="270"/>
      <c r="J121" s="52"/>
      <c r="K121" s="52"/>
      <c r="L121" s="48"/>
      <c r="M121" s="264"/>
      <c r="N121" s="49"/>
      <c r="O121" s="47"/>
      <c r="P121" s="48"/>
      <c r="Q121" s="50"/>
      <c r="R121" s="50"/>
      <c r="S121" s="47"/>
      <c r="T121" s="51"/>
      <c r="U121" s="122">
        <v>1</v>
      </c>
      <c r="V121" s="47"/>
      <c r="W121" s="51"/>
      <c r="X121" s="51"/>
      <c r="Y121" s="19"/>
      <c r="Z121" s="19"/>
    </row>
    <row r="122" spans="2:26">
      <c r="B122" s="197"/>
      <c r="C122" s="47"/>
      <c r="D122" s="47"/>
      <c r="E122" s="47"/>
      <c r="F122" s="52" t="s">
        <v>172</v>
      </c>
      <c r="G122" s="47"/>
      <c r="H122" s="47"/>
      <c r="I122" s="271"/>
      <c r="J122" s="52"/>
      <c r="K122" s="52"/>
      <c r="L122" s="47"/>
      <c r="M122" s="264"/>
      <c r="N122" s="50"/>
      <c r="O122" s="47"/>
      <c r="P122" s="47"/>
      <c r="Q122" s="50"/>
      <c r="R122" s="50"/>
      <c r="S122" s="47"/>
      <c r="T122" s="51"/>
      <c r="U122" s="122">
        <v>0.95</v>
      </c>
      <c r="V122" s="47"/>
      <c r="W122" s="51"/>
      <c r="X122" s="51"/>
      <c r="Y122" s="19"/>
      <c r="Z122" s="19"/>
    </row>
    <row r="123" spans="2:26">
      <c r="B123" s="248" t="s">
        <v>621</v>
      </c>
      <c r="C123" s="46" t="s">
        <v>426</v>
      </c>
      <c r="D123" s="46" t="s">
        <v>427</v>
      </c>
      <c r="E123" s="47" t="s">
        <v>601</v>
      </c>
      <c r="F123" s="48"/>
      <c r="G123" s="48"/>
      <c r="H123" s="47" t="s">
        <v>650</v>
      </c>
      <c r="I123" s="271" t="s">
        <v>98</v>
      </c>
      <c r="J123" s="139">
        <f>J114*1.112</f>
        <v>100.56928000000001</v>
      </c>
      <c r="K123" s="146">
        <f>K114*1.157</f>
        <v>78.676000000000002</v>
      </c>
      <c r="L123" s="47"/>
      <c r="M123" s="264">
        <f>M114*1.12</f>
        <v>1.9712000000000003</v>
      </c>
      <c r="N123" s="50"/>
      <c r="O123" s="47">
        <v>2025</v>
      </c>
      <c r="P123" s="48"/>
      <c r="Q123" s="50">
        <v>25</v>
      </c>
      <c r="R123" s="50">
        <v>0.1</v>
      </c>
      <c r="S123" s="123">
        <f>K123*0.042</f>
        <v>3.3043920000000004</v>
      </c>
      <c r="T123" s="122">
        <f>M123*$K$196/1000*7.4</f>
        <v>0.94460112000000029</v>
      </c>
      <c r="U123" s="51"/>
      <c r="V123" s="122">
        <v>0.9</v>
      </c>
      <c r="W123" s="51"/>
      <c r="X123" s="51"/>
      <c r="Y123" s="19"/>
      <c r="Z123" s="19"/>
    </row>
    <row r="124" spans="2:26">
      <c r="B124" s="249"/>
      <c r="C124" s="46"/>
      <c r="D124" s="46"/>
      <c r="E124" s="47" t="s">
        <v>574</v>
      </c>
      <c r="F124" s="52"/>
      <c r="G124" s="52" t="s">
        <v>155</v>
      </c>
      <c r="H124" s="48"/>
      <c r="I124" s="270"/>
      <c r="J124" s="52"/>
      <c r="K124" s="52"/>
      <c r="L124" s="48"/>
      <c r="M124" s="264">
        <f>M115+X116+0.041</f>
        <v>5.0999999999999983E-2</v>
      </c>
      <c r="N124" s="50"/>
      <c r="O124" s="47"/>
      <c r="P124" s="48"/>
      <c r="Q124" s="50"/>
      <c r="R124" s="50"/>
      <c r="S124" s="47"/>
      <c r="T124" s="51"/>
      <c r="U124" s="51"/>
      <c r="V124" s="47"/>
      <c r="W124" s="123"/>
      <c r="X124" s="123"/>
      <c r="Y124" s="19"/>
      <c r="Z124" s="19"/>
    </row>
    <row r="125" spans="2:26">
      <c r="B125" s="197"/>
      <c r="C125" s="46"/>
      <c r="D125" s="46"/>
      <c r="E125" s="47"/>
      <c r="F125" s="52" t="s">
        <v>580</v>
      </c>
      <c r="G125" s="48"/>
      <c r="H125" s="47" t="str">
        <f>F125</f>
        <v>BIODST</v>
      </c>
      <c r="I125" s="271"/>
      <c r="J125" s="52"/>
      <c r="K125" s="52"/>
      <c r="L125" s="47"/>
      <c r="M125" s="264"/>
      <c r="N125" s="50"/>
      <c r="O125" s="47"/>
      <c r="P125" s="48"/>
      <c r="Q125" s="50"/>
      <c r="R125" s="50"/>
      <c r="S125" s="47"/>
      <c r="T125" s="51"/>
      <c r="U125" s="51"/>
      <c r="V125" s="47"/>
      <c r="W125" s="49">
        <f>0.2*M123</f>
        <v>0.39424000000000009</v>
      </c>
      <c r="X125" s="49"/>
      <c r="Y125" s="19"/>
      <c r="Z125" s="19"/>
    </row>
    <row r="126" spans="2:26">
      <c r="B126" s="197"/>
      <c r="C126" s="46"/>
      <c r="D126" s="46"/>
      <c r="E126" s="47"/>
      <c r="F126" s="52" t="s">
        <v>172</v>
      </c>
      <c r="G126" s="47"/>
      <c r="H126" s="47" t="str">
        <f>F126</f>
        <v>BIOJTK</v>
      </c>
      <c r="I126" s="271"/>
      <c r="J126" s="52"/>
      <c r="K126" s="52"/>
      <c r="L126" s="47"/>
      <c r="M126" s="264"/>
      <c r="N126" s="49"/>
      <c r="O126" s="47"/>
      <c r="P126" s="48"/>
      <c r="Q126" s="50"/>
      <c r="R126" s="50"/>
      <c r="S126" s="47"/>
      <c r="T126" s="51"/>
      <c r="U126" s="51"/>
      <c r="V126" s="47"/>
      <c r="W126" s="49">
        <f>0.165*M123</f>
        <v>0.32524800000000004</v>
      </c>
      <c r="X126" s="49"/>
      <c r="Y126" s="19"/>
      <c r="Z126" s="19"/>
    </row>
    <row r="127" spans="2:26">
      <c r="B127" s="248" t="s">
        <v>621</v>
      </c>
      <c r="C127" s="46" t="s">
        <v>637</v>
      </c>
      <c r="D127" s="46" t="s">
        <v>638</v>
      </c>
      <c r="E127" s="47" t="s">
        <v>601</v>
      </c>
      <c r="F127" s="52" t="s">
        <v>640</v>
      </c>
      <c r="G127" s="47"/>
      <c r="H127" s="47"/>
      <c r="I127" s="271" t="s">
        <v>98</v>
      </c>
      <c r="J127" s="345">
        <f>K127*1.35</f>
        <v>105.25987528469183</v>
      </c>
      <c r="K127" s="146">
        <v>77.970277988660612</v>
      </c>
      <c r="L127" s="47"/>
      <c r="M127" s="264">
        <v>1.742767514813524</v>
      </c>
      <c r="N127" s="49">
        <v>0.11740443824793775</v>
      </c>
      <c r="O127" s="47"/>
      <c r="P127" s="47"/>
      <c r="Q127" s="50">
        <v>25</v>
      </c>
      <c r="R127" s="50">
        <v>0.1</v>
      </c>
      <c r="S127" s="123">
        <f>K127*0.042</f>
        <v>3.274751675523746</v>
      </c>
      <c r="T127" s="51"/>
      <c r="U127" s="51"/>
      <c r="V127" s="122">
        <v>0.9</v>
      </c>
      <c r="W127" s="47"/>
      <c r="X127" s="47"/>
      <c r="Y127" s="19"/>
      <c r="Z127" s="19"/>
    </row>
    <row r="128" spans="2:26">
      <c r="B128" s="197"/>
      <c r="C128" s="47"/>
      <c r="D128" s="47"/>
      <c r="E128" s="47" t="s">
        <v>574</v>
      </c>
      <c r="F128" s="52"/>
      <c r="G128" s="132" t="s">
        <v>493</v>
      </c>
      <c r="H128" s="47"/>
      <c r="I128" s="271"/>
      <c r="J128" s="52"/>
      <c r="K128" s="52"/>
      <c r="L128" s="47"/>
      <c r="M128" s="264">
        <f>4.2/52</f>
        <v>8.0769230769230774E-2</v>
      </c>
      <c r="N128" s="49">
        <v>0.24</v>
      </c>
      <c r="O128" s="47"/>
      <c r="P128" s="47"/>
      <c r="Q128" s="50"/>
      <c r="R128" s="50"/>
      <c r="S128" s="47"/>
      <c r="T128" s="51"/>
      <c r="U128" s="51"/>
      <c r="V128" s="47"/>
      <c r="W128" s="47"/>
      <c r="X128" s="47"/>
      <c r="Y128" s="19"/>
      <c r="Z128" s="19"/>
    </row>
    <row r="129" spans="2:26">
      <c r="B129" s="197"/>
      <c r="C129" s="47"/>
      <c r="D129" s="47"/>
      <c r="E129" s="47"/>
      <c r="F129" s="52" t="s">
        <v>639</v>
      </c>
      <c r="G129" s="47"/>
      <c r="H129" s="47"/>
      <c r="I129" s="271"/>
      <c r="J129" s="52"/>
      <c r="K129" s="52"/>
      <c r="L129" s="47"/>
      <c r="M129" s="264"/>
      <c r="N129" s="49"/>
      <c r="O129" s="47"/>
      <c r="P129" s="47"/>
      <c r="Q129" s="50"/>
      <c r="R129" s="50"/>
      <c r="S129" s="47"/>
      <c r="T129" s="51"/>
      <c r="U129" s="51"/>
      <c r="V129" s="47"/>
      <c r="W129" s="47"/>
      <c r="X129" s="47"/>
      <c r="Y129" s="19"/>
      <c r="Z129" s="19"/>
    </row>
    <row r="130" spans="2:26">
      <c r="B130" s="248" t="s">
        <v>621</v>
      </c>
      <c r="C130" s="47" t="s">
        <v>119</v>
      </c>
      <c r="D130" s="46" t="s">
        <v>120</v>
      </c>
      <c r="E130" s="47" t="s">
        <v>601</v>
      </c>
      <c r="F130" s="52" t="s">
        <v>640</v>
      </c>
      <c r="G130" s="47"/>
      <c r="H130" s="47"/>
      <c r="I130" s="271" t="s">
        <v>98</v>
      </c>
      <c r="J130" s="345">
        <f>K130*1.35</f>
        <v>65.258547268784838</v>
      </c>
      <c r="K130" s="146">
        <v>48.339664643544324</v>
      </c>
      <c r="L130" s="47"/>
      <c r="M130" s="264">
        <v>0.74610161904051331</v>
      </c>
      <c r="N130" s="49">
        <v>0.11788405580840111</v>
      </c>
      <c r="O130" s="47">
        <v>2025</v>
      </c>
      <c r="P130" s="47"/>
      <c r="Q130" s="50">
        <v>25</v>
      </c>
      <c r="R130" s="50">
        <v>0.1</v>
      </c>
      <c r="S130" s="123">
        <f>K130*0.04</f>
        <v>1.9335865857417731</v>
      </c>
      <c r="T130" s="51"/>
      <c r="U130" s="51"/>
      <c r="V130" s="122">
        <v>0.9</v>
      </c>
      <c r="W130" s="47"/>
      <c r="X130" s="47"/>
      <c r="Y130" s="19"/>
      <c r="Z130" s="19"/>
    </row>
    <row r="131" spans="2:26">
      <c r="B131" s="197"/>
      <c r="C131" s="47"/>
      <c r="D131" s="47"/>
      <c r="E131" s="47" t="s">
        <v>651</v>
      </c>
      <c r="F131" s="52"/>
      <c r="G131" s="132" t="s">
        <v>155</v>
      </c>
      <c r="H131" s="47"/>
      <c r="I131" s="271"/>
      <c r="J131" s="52"/>
      <c r="K131" s="52"/>
      <c r="L131" s="47"/>
      <c r="M131" s="264">
        <v>5.7000000000000002E-2</v>
      </c>
      <c r="N131" s="49">
        <v>0.22200819440380393</v>
      </c>
      <c r="O131" s="47"/>
      <c r="P131" s="47"/>
      <c r="Q131" s="50"/>
      <c r="R131" s="50"/>
      <c r="S131" s="47"/>
      <c r="T131" s="51"/>
      <c r="U131" s="51"/>
      <c r="V131" s="47"/>
      <c r="W131" s="47"/>
      <c r="X131" s="47"/>
      <c r="Y131" s="19"/>
      <c r="Z131" s="19"/>
    </row>
    <row r="132" spans="2:26">
      <c r="B132" s="197"/>
      <c r="C132" s="47"/>
      <c r="D132" s="47"/>
      <c r="E132" s="47" t="s">
        <v>582</v>
      </c>
      <c r="F132" s="52" t="s">
        <v>639</v>
      </c>
      <c r="G132" s="47"/>
      <c r="H132" s="47"/>
      <c r="I132" s="271"/>
      <c r="J132" s="52"/>
      <c r="K132" s="52"/>
      <c r="L132" s="47"/>
      <c r="M132" s="264">
        <v>0.85417921360889371</v>
      </c>
      <c r="N132" s="49"/>
      <c r="O132" s="47"/>
      <c r="P132" s="47"/>
      <c r="Q132" s="50"/>
      <c r="R132" s="50"/>
      <c r="S132" s="47"/>
      <c r="T132" s="51"/>
      <c r="U132" s="51"/>
      <c r="V132" s="47"/>
      <c r="W132" s="47"/>
      <c r="X132" s="47"/>
      <c r="Y132" s="19"/>
      <c r="Z132" s="19"/>
    </row>
    <row r="133" spans="2:26">
      <c r="B133" s="248" t="s">
        <v>621</v>
      </c>
      <c r="C133" s="47" t="s">
        <v>121</v>
      </c>
      <c r="D133" s="46" t="s">
        <v>122</v>
      </c>
      <c r="E133" s="47" t="s">
        <v>601</v>
      </c>
      <c r="F133" s="126" t="s">
        <v>253</v>
      </c>
      <c r="G133" s="47"/>
      <c r="H133" s="47"/>
      <c r="I133" s="271" t="s">
        <v>98</v>
      </c>
      <c r="J133" s="345">
        <f>K133*1.35</f>
        <v>36.020531718553663</v>
      </c>
      <c r="K133" s="146">
        <v>26.681875347076787</v>
      </c>
      <c r="L133" s="47"/>
      <c r="M133" s="264">
        <v>0.48685491723466406</v>
      </c>
      <c r="N133" s="49"/>
      <c r="O133" s="47">
        <v>2025</v>
      </c>
      <c r="P133" s="47"/>
      <c r="Q133" s="50">
        <v>25</v>
      </c>
      <c r="R133" s="50">
        <v>0.1</v>
      </c>
      <c r="S133" s="123">
        <f>K133*0.04</f>
        <v>1.0672750138830716</v>
      </c>
      <c r="T133" s="51"/>
      <c r="U133" s="51"/>
      <c r="V133" s="122">
        <v>0.9</v>
      </c>
      <c r="W133" s="47"/>
      <c r="X133" s="47"/>
      <c r="Y133" s="19"/>
      <c r="Z133" s="19"/>
    </row>
    <row r="134" spans="2:26">
      <c r="B134" s="197"/>
      <c r="C134" s="47"/>
      <c r="D134" s="47"/>
      <c r="E134" s="47" t="s">
        <v>651</v>
      </c>
      <c r="F134" s="52"/>
      <c r="G134" s="132"/>
      <c r="H134" s="132" t="s">
        <v>198</v>
      </c>
      <c r="I134" s="272"/>
      <c r="J134" s="52"/>
      <c r="K134" s="52"/>
      <c r="L134" s="132"/>
      <c r="M134" s="264"/>
      <c r="N134" s="49"/>
      <c r="O134" s="47"/>
      <c r="P134" s="47"/>
      <c r="Q134" s="50"/>
      <c r="R134" s="50"/>
      <c r="S134" s="47"/>
      <c r="T134" s="51"/>
      <c r="U134" s="51"/>
      <c r="V134" s="47"/>
      <c r="W134" s="47"/>
      <c r="X134" s="140">
        <v>-3.6299999999999999E-2</v>
      </c>
      <c r="Y134" s="19"/>
      <c r="Z134" s="19"/>
    </row>
    <row r="135" spans="2:26">
      <c r="B135" s="197"/>
      <c r="C135" s="47"/>
      <c r="D135" s="47"/>
      <c r="E135" s="47" t="s">
        <v>582</v>
      </c>
      <c r="F135" s="52"/>
      <c r="G135" s="132" t="s">
        <v>155</v>
      </c>
      <c r="H135" s="132"/>
      <c r="I135" s="272"/>
      <c r="J135" s="52"/>
      <c r="K135" s="52"/>
      <c r="L135" s="132"/>
      <c r="M135" s="264">
        <v>0.82560077896786765</v>
      </c>
      <c r="N135" s="49">
        <v>0.22200819440380393</v>
      </c>
      <c r="O135" s="47"/>
      <c r="P135" s="47"/>
      <c r="Q135" s="50"/>
      <c r="R135" s="50"/>
      <c r="S135" s="47"/>
      <c r="T135" s="51"/>
      <c r="U135" s="51"/>
      <c r="V135" s="47"/>
      <c r="W135" s="47"/>
      <c r="X135" s="47"/>
      <c r="Y135" s="19"/>
      <c r="Z135" s="19"/>
    </row>
    <row r="136" spans="2:26">
      <c r="B136" s="248" t="s">
        <v>621</v>
      </c>
      <c r="C136" s="47" t="s">
        <v>123</v>
      </c>
      <c r="D136" s="46" t="s">
        <v>124</v>
      </c>
      <c r="E136" s="47" t="s">
        <v>601</v>
      </c>
      <c r="F136" s="47" t="s">
        <v>598</v>
      </c>
      <c r="G136" s="47"/>
      <c r="H136" s="47"/>
      <c r="I136" s="271" t="s">
        <v>98</v>
      </c>
      <c r="J136" s="139">
        <v>53.204606793596248</v>
      </c>
      <c r="K136" s="139">
        <v>41.56609905749707</v>
      </c>
      <c r="L136" s="47"/>
      <c r="M136" s="264">
        <v>0.64516129032258063</v>
      </c>
      <c r="N136" s="49"/>
      <c r="O136" s="47">
        <v>2030</v>
      </c>
      <c r="P136" s="47"/>
      <c r="Q136" s="50">
        <v>25</v>
      </c>
      <c r="R136" s="50">
        <v>0.1</v>
      </c>
      <c r="S136" s="122">
        <v>1.6418609127711343</v>
      </c>
      <c r="T136" s="51"/>
      <c r="U136" s="51"/>
      <c r="V136" s="47">
        <v>0.9</v>
      </c>
      <c r="W136" s="47"/>
      <c r="X136" s="47"/>
      <c r="Y136" s="19"/>
      <c r="Z136" s="19"/>
    </row>
    <row r="137" spans="2:26">
      <c r="B137" s="197"/>
      <c r="C137" s="47"/>
      <c r="D137" s="47"/>
      <c r="E137" s="47" t="s">
        <v>651</v>
      </c>
      <c r="F137" s="47"/>
      <c r="G137" s="132" t="s">
        <v>155</v>
      </c>
      <c r="H137" s="132"/>
      <c r="I137" s="272"/>
      <c r="J137" s="52"/>
      <c r="K137" s="52"/>
      <c r="L137" s="132"/>
      <c r="M137" s="264">
        <v>4.9290322580645071E-2</v>
      </c>
      <c r="N137" s="49">
        <v>0.2</v>
      </c>
      <c r="O137" s="47"/>
      <c r="P137" s="47"/>
      <c r="Q137" s="50"/>
      <c r="R137" s="50"/>
      <c r="S137" s="47"/>
      <c r="T137" s="51"/>
      <c r="U137" s="51"/>
      <c r="V137" s="47"/>
      <c r="W137" s="47"/>
      <c r="X137" s="140"/>
      <c r="Y137" s="19"/>
      <c r="Z137" s="19"/>
    </row>
    <row r="138" spans="2:26">
      <c r="B138" s="197"/>
      <c r="C138" s="47"/>
      <c r="D138" s="47"/>
      <c r="E138" s="47" t="s">
        <v>582</v>
      </c>
      <c r="F138" s="52"/>
      <c r="G138" s="47"/>
      <c r="H138" s="47"/>
      <c r="I138" s="271"/>
      <c r="J138" s="52"/>
      <c r="K138" s="52"/>
      <c r="L138" s="47"/>
      <c r="M138" s="264">
        <v>0.73861703225806463</v>
      </c>
      <c r="N138" s="49"/>
      <c r="O138" s="47"/>
      <c r="P138" s="47"/>
      <c r="Q138" s="50"/>
      <c r="R138" s="50"/>
      <c r="S138" s="47"/>
      <c r="T138" s="51"/>
      <c r="U138" s="51"/>
      <c r="V138" s="47"/>
      <c r="W138" s="47"/>
      <c r="X138" s="47"/>
      <c r="Y138" s="19"/>
      <c r="Z138" s="19"/>
    </row>
    <row r="139" spans="2:26">
      <c r="B139" s="248" t="s">
        <v>621</v>
      </c>
      <c r="C139" s="46" t="s">
        <v>612</v>
      </c>
      <c r="D139" s="46" t="s">
        <v>581</v>
      </c>
      <c r="E139" s="47" t="s">
        <v>601</v>
      </c>
      <c r="F139" s="48"/>
      <c r="G139" s="48"/>
      <c r="H139" s="48"/>
      <c r="I139" s="271" t="s">
        <v>98</v>
      </c>
      <c r="J139" s="52">
        <v>111.6</v>
      </c>
      <c r="K139" s="52">
        <v>111.6</v>
      </c>
      <c r="L139" s="48"/>
      <c r="M139" s="265">
        <v>1.3560000000000001</v>
      </c>
      <c r="N139" s="50"/>
      <c r="O139" s="47">
        <v>2010</v>
      </c>
      <c r="P139" s="48"/>
      <c r="Q139" s="50">
        <v>25</v>
      </c>
      <c r="R139" s="50">
        <v>0.1</v>
      </c>
      <c r="S139" s="47">
        <v>4.34</v>
      </c>
      <c r="T139" s="51"/>
      <c r="U139" s="51"/>
      <c r="V139" s="47">
        <v>0.85</v>
      </c>
      <c r="W139" s="51"/>
      <c r="X139" s="51"/>
      <c r="Y139" s="19"/>
      <c r="Z139" s="19"/>
    </row>
    <row r="140" spans="2:26">
      <c r="B140" s="249"/>
      <c r="C140" s="46"/>
      <c r="D140" s="46"/>
      <c r="E140" s="47" t="s">
        <v>574</v>
      </c>
      <c r="F140" s="48"/>
      <c r="G140" s="48"/>
      <c r="H140" s="48"/>
      <c r="I140" s="270"/>
      <c r="J140" s="52"/>
      <c r="K140" s="52"/>
      <c r="L140" s="48"/>
      <c r="M140" s="265">
        <v>1.2999999999999999E-2</v>
      </c>
      <c r="N140" s="50"/>
      <c r="O140" s="47"/>
      <c r="P140" s="48"/>
      <c r="Q140" s="50"/>
      <c r="R140" s="50"/>
      <c r="S140" s="47"/>
      <c r="T140" s="51"/>
      <c r="U140" s="51"/>
      <c r="V140" s="47"/>
      <c r="W140" s="51"/>
      <c r="X140" s="51"/>
      <c r="Y140" s="19"/>
      <c r="Z140" s="19"/>
    </row>
    <row r="141" spans="2:26">
      <c r="B141" s="249"/>
      <c r="C141" s="46"/>
      <c r="D141" s="46"/>
      <c r="E141" s="47" t="s">
        <v>582</v>
      </c>
      <c r="F141" s="48"/>
      <c r="G141" s="48"/>
      <c r="H141" s="48"/>
      <c r="I141" s="270"/>
      <c r="J141" s="52"/>
      <c r="K141" s="52"/>
      <c r="L141" s="48"/>
      <c r="M141" s="265">
        <v>0.215</v>
      </c>
      <c r="N141" s="50"/>
      <c r="O141" s="47"/>
      <c r="P141" s="48"/>
      <c r="Q141" s="50"/>
      <c r="R141" s="50"/>
      <c r="S141" s="47"/>
      <c r="T141" s="51"/>
      <c r="U141" s="51"/>
      <c r="V141" s="47"/>
      <c r="W141" s="51"/>
      <c r="X141" s="51"/>
      <c r="Y141" s="19"/>
      <c r="Z141" s="19"/>
    </row>
    <row r="142" spans="2:26">
      <c r="B142" s="197"/>
      <c r="C142" s="47"/>
      <c r="D142" s="47"/>
      <c r="E142" s="47"/>
      <c r="F142" s="52" t="s">
        <v>580</v>
      </c>
      <c r="G142" s="47"/>
      <c r="H142" s="47"/>
      <c r="I142" s="271"/>
      <c r="J142" s="52"/>
      <c r="K142" s="52"/>
      <c r="L142" s="47"/>
      <c r="M142" s="264"/>
      <c r="N142" s="50"/>
      <c r="O142" s="47"/>
      <c r="P142" s="47"/>
      <c r="Q142" s="50"/>
      <c r="R142" s="50"/>
      <c r="S142" s="47"/>
      <c r="T142" s="51"/>
      <c r="U142" s="51"/>
      <c r="V142" s="47"/>
      <c r="W142" s="51"/>
      <c r="X142" s="51"/>
      <c r="Y142" s="19"/>
      <c r="Z142" s="19"/>
    </row>
    <row r="143" spans="2:26">
      <c r="B143" s="248" t="s">
        <v>621</v>
      </c>
      <c r="C143" s="47" t="s">
        <v>578</v>
      </c>
      <c r="D143" s="46" t="s">
        <v>577</v>
      </c>
      <c r="E143" s="47" t="s">
        <v>601</v>
      </c>
      <c r="F143" s="52"/>
      <c r="G143" s="47"/>
      <c r="H143" s="47"/>
      <c r="I143" s="271" t="s">
        <v>98</v>
      </c>
      <c r="J143" s="139">
        <v>130.4894767307978</v>
      </c>
      <c r="K143" s="139">
        <v>130.4894767307978</v>
      </c>
      <c r="L143" s="47"/>
      <c r="M143" s="265">
        <v>1.95</v>
      </c>
      <c r="N143" s="50"/>
      <c r="O143" s="47">
        <v>2150</v>
      </c>
      <c r="P143" s="47"/>
      <c r="Q143" s="265">
        <v>25</v>
      </c>
      <c r="R143" s="50">
        <v>0.1</v>
      </c>
      <c r="S143" s="147">
        <v>5.2195790692319131</v>
      </c>
      <c r="T143" s="51"/>
      <c r="U143" s="51"/>
      <c r="V143" s="122">
        <v>0.91324200913242004</v>
      </c>
      <c r="W143" s="51"/>
      <c r="X143" s="51"/>
      <c r="Y143" s="19"/>
      <c r="Z143" s="19"/>
    </row>
    <row r="144" spans="2:26">
      <c r="B144" s="197"/>
      <c r="C144" s="47"/>
      <c r="D144" s="47"/>
      <c r="E144" s="47" t="s">
        <v>651</v>
      </c>
      <c r="F144" s="52"/>
      <c r="G144" s="47" t="s">
        <v>493</v>
      </c>
      <c r="H144" s="47"/>
      <c r="I144" s="271"/>
      <c r="J144" s="52"/>
      <c r="K144" s="52"/>
      <c r="L144" s="47"/>
      <c r="M144" s="265">
        <v>4.4999999999999998E-2</v>
      </c>
      <c r="N144" s="50">
        <v>0.6</v>
      </c>
      <c r="O144" s="47"/>
      <c r="P144" s="47"/>
      <c r="Q144" s="265"/>
      <c r="R144" s="50"/>
      <c r="S144" s="47"/>
      <c r="T144" s="51"/>
      <c r="U144" s="51"/>
      <c r="V144" s="47"/>
      <c r="W144" s="51"/>
      <c r="X144" s="51"/>
      <c r="Y144" s="19"/>
      <c r="Z144" s="19"/>
    </row>
    <row r="145" spans="2:26">
      <c r="B145" s="197"/>
      <c r="C145" s="47"/>
      <c r="D145" s="47"/>
      <c r="E145" s="47"/>
      <c r="F145" s="52" t="s">
        <v>580</v>
      </c>
      <c r="G145" s="47"/>
      <c r="H145" s="47"/>
      <c r="I145" s="271"/>
      <c r="J145" s="52"/>
      <c r="K145" s="52"/>
      <c r="L145" s="47"/>
      <c r="M145" s="265"/>
      <c r="N145" s="50"/>
      <c r="O145" s="47"/>
      <c r="P145" s="47"/>
      <c r="Q145" s="265"/>
      <c r="R145" s="50"/>
      <c r="S145" s="47"/>
      <c r="T145" s="51"/>
      <c r="U145" s="51">
        <v>1</v>
      </c>
      <c r="V145" s="47"/>
      <c r="W145" s="51"/>
      <c r="X145" s="51"/>
      <c r="Y145" s="19"/>
      <c r="Z145" s="19"/>
    </row>
    <row r="146" spans="2:26">
      <c r="B146" s="248" t="s">
        <v>621</v>
      </c>
      <c r="C146" s="138" t="s">
        <v>759</v>
      </c>
      <c r="D146" s="138" t="s">
        <v>760</v>
      </c>
      <c r="E146" s="138" t="s">
        <v>215</v>
      </c>
      <c r="F146" s="166"/>
      <c r="G146" s="138"/>
      <c r="H146" s="138"/>
      <c r="I146" s="273" t="s">
        <v>190</v>
      </c>
      <c r="J146" s="169">
        <f>2.13*0+1/0.55*1-J147</f>
        <v>0.71818181818181803</v>
      </c>
      <c r="K146" s="169"/>
      <c r="L146" s="169"/>
      <c r="M146" s="264"/>
      <c r="N146" s="50"/>
      <c r="O146" s="138">
        <v>2030</v>
      </c>
      <c r="P146" s="138"/>
      <c r="Q146" s="50">
        <v>25</v>
      </c>
      <c r="R146" s="50">
        <v>0.1</v>
      </c>
      <c r="S146" s="282">
        <v>4.6688159508119984</v>
      </c>
      <c r="T146" s="165">
        <v>0.72716049382715964</v>
      </c>
      <c r="U146" s="168"/>
      <c r="V146" s="138">
        <v>0.9</v>
      </c>
      <c r="W146" s="168"/>
      <c r="X146" s="168"/>
      <c r="Y146" s="21"/>
      <c r="Z146" s="21"/>
    </row>
    <row r="147" spans="2:26">
      <c r="B147" s="250"/>
      <c r="C147" s="138"/>
      <c r="D147" s="138"/>
      <c r="E147" s="138" t="s">
        <v>761</v>
      </c>
      <c r="F147" s="166" t="s">
        <v>580</v>
      </c>
      <c r="G147" s="138"/>
      <c r="H147" s="138"/>
      <c r="I147" s="273" t="s">
        <v>190</v>
      </c>
      <c r="J147" s="169">
        <v>1.1000000000000001</v>
      </c>
      <c r="K147" s="169"/>
      <c r="L147" s="169"/>
      <c r="M147" s="264"/>
      <c r="N147" s="50"/>
      <c r="O147" s="138"/>
      <c r="P147" s="138"/>
      <c r="Q147" s="50"/>
      <c r="R147" s="50"/>
      <c r="S147" s="143"/>
      <c r="T147" s="143"/>
      <c r="U147" s="168"/>
      <c r="V147" s="138"/>
      <c r="W147" s="168"/>
      <c r="X147" s="168"/>
      <c r="Y147" s="21"/>
      <c r="Z147" s="21"/>
    </row>
    <row r="148" spans="2:26">
      <c r="B148" s="248" t="s">
        <v>621</v>
      </c>
      <c r="C148" s="138"/>
      <c r="D148" s="138"/>
      <c r="E148" s="138"/>
      <c r="F148" s="166" t="s">
        <v>518</v>
      </c>
      <c r="G148" s="138"/>
      <c r="H148" s="138"/>
      <c r="I148" s="273" t="s">
        <v>98</v>
      </c>
      <c r="J148" s="167">
        <v>108.36033301586437</v>
      </c>
      <c r="K148" s="167">
        <f>J148*0.92</f>
        <v>99.691506374595221</v>
      </c>
      <c r="L148" s="167">
        <f>K148*0.94</f>
        <v>93.710015992119509</v>
      </c>
      <c r="M148" s="264"/>
      <c r="N148" s="169">
        <f>0.4*(SUM(J146:J147)-1)</f>
        <v>0.32727272727272727</v>
      </c>
      <c r="O148" s="138"/>
      <c r="P148" s="138"/>
      <c r="Q148" s="50"/>
      <c r="R148" s="50"/>
      <c r="S148" s="143"/>
      <c r="T148" s="143"/>
      <c r="U148" s="168"/>
      <c r="V148" s="138"/>
      <c r="W148" s="168"/>
      <c r="X148" s="168"/>
      <c r="Y148" s="21"/>
      <c r="Z148" s="21"/>
    </row>
    <row r="149" spans="2:26">
      <c r="B149" s="248" t="s">
        <v>621</v>
      </c>
      <c r="C149" s="138" t="s">
        <v>110</v>
      </c>
      <c r="D149" s="138" t="s">
        <v>762</v>
      </c>
      <c r="E149" s="138" t="s">
        <v>140</v>
      </c>
      <c r="F149" s="166"/>
      <c r="G149" s="138"/>
      <c r="H149" s="138"/>
      <c r="I149" s="273" t="s">
        <v>190</v>
      </c>
      <c r="J149" s="169"/>
      <c r="K149" s="169">
        <f>125/119</f>
        <v>1.0504201680672269</v>
      </c>
      <c r="L149" s="169"/>
      <c r="M149" s="264"/>
      <c r="N149" s="50"/>
      <c r="O149" s="138">
        <v>2040</v>
      </c>
      <c r="P149" s="138"/>
      <c r="Q149" s="50">
        <v>25</v>
      </c>
      <c r="R149" s="50">
        <v>0.1</v>
      </c>
      <c r="S149" s="143"/>
      <c r="T149" s="165">
        <v>0.95985185185185073</v>
      </c>
      <c r="U149" s="168"/>
      <c r="V149" s="138">
        <v>0.9</v>
      </c>
      <c r="W149" s="168"/>
      <c r="X149" s="168"/>
      <c r="Y149" s="21"/>
      <c r="Z149" s="21"/>
    </row>
    <row r="150" spans="2:26">
      <c r="B150" s="248" t="s">
        <v>621</v>
      </c>
      <c r="C150" s="138"/>
      <c r="D150" s="138"/>
      <c r="E150" s="138" t="s">
        <v>623</v>
      </c>
      <c r="F150" s="166" t="s">
        <v>580</v>
      </c>
      <c r="G150" s="138"/>
      <c r="H150" s="138"/>
      <c r="I150" s="273" t="s">
        <v>98</v>
      </c>
      <c r="J150" s="167"/>
      <c r="K150" s="281">
        <v>101.432</v>
      </c>
      <c r="L150" s="167">
        <f>K150*0.92</f>
        <v>93.317440000000005</v>
      </c>
      <c r="M150" s="264">
        <f>0.5*(260/119-1)</f>
        <v>0.59243697478991586</v>
      </c>
      <c r="N150" s="50"/>
      <c r="O150" s="138"/>
      <c r="P150" s="138"/>
      <c r="Q150" s="50"/>
      <c r="R150" s="50"/>
      <c r="S150" s="282"/>
      <c r="T150" s="165"/>
      <c r="U150" s="168"/>
      <c r="V150" s="138"/>
      <c r="W150" s="168"/>
      <c r="X150" s="168"/>
      <c r="Y150" s="21"/>
      <c r="Z150" s="21"/>
    </row>
    <row r="151" spans="2:26">
      <c r="B151" s="248" t="s">
        <v>621</v>
      </c>
      <c r="C151" s="138"/>
      <c r="D151" s="138"/>
      <c r="E151" s="138" t="s">
        <v>763</v>
      </c>
      <c r="F151" s="166" t="s">
        <v>518</v>
      </c>
      <c r="G151" s="138"/>
      <c r="H151" s="138"/>
      <c r="I151" s="273" t="s">
        <v>99</v>
      </c>
      <c r="J151" s="282"/>
      <c r="K151" s="282">
        <v>4.5644399999999994</v>
      </c>
      <c r="L151" s="169"/>
      <c r="M151" s="264">
        <f>9/119+0.05</f>
        <v>0.12563025210084033</v>
      </c>
      <c r="N151" s="50">
        <f>M150*(131/151)</f>
        <v>0.5139685013078078</v>
      </c>
      <c r="O151" s="138"/>
      <c r="P151" s="138"/>
      <c r="Q151" s="50"/>
      <c r="R151" s="50"/>
      <c r="S151" s="143"/>
      <c r="T151" s="143"/>
      <c r="U151" s="168"/>
      <c r="V151" s="138"/>
      <c r="W151" s="168"/>
      <c r="X151" s="168"/>
      <c r="Y151" s="21"/>
      <c r="Z151" s="21"/>
    </row>
    <row r="152" spans="2:26">
      <c r="B152" s="248" t="s">
        <v>621</v>
      </c>
      <c r="C152" s="138" t="s">
        <v>764</v>
      </c>
      <c r="D152" s="138" t="s">
        <v>765</v>
      </c>
      <c r="E152" s="138" t="s">
        <v>140</v>
      </c>
      <c r="F152" s="166"/>
      <c r="G152" s="138"/>
      <c r="H152" s="138"/>
      <c r="I152" s="273" t="s">
        <v>190</v>
      </c>
      <c r="J152" s="278"/>
      <c r="K152" s="279">
        <f>L152^1.1</f>
        <v>1.7540162985815426</v>
      </c>
      <c r="L152" s="279">
        <f>1/0.6</f>
        <v>1.6666666666666667</v>
      </c>
      <c r="M152" s="264"/>
      <c r="N152" s="50"/>
      <c r="O152" s="67">
        <v>2100</v>
      </c>
      <c r="P152" s="138"/>
      <c r="Q152" s="50">
        <v>20</v>
      </c>
      <c r="R152" s="50">
        <v>0.1</v>
      </c>
      <c r="S152" s="282">
        <v>1.7222222222222223</v>
      </c>
      <c r="T152" s="143">
        <v>0.62</v>
      </c>
      <c r="U152" s="168"/>
      <c r="V152" s="138">
        <v>0.9</v>
      </c>
      <c r="W152" s="168"/>
      <c r="X152" s="168"/>
      <c r="Y152" s="21"/>
      <c r="Z152" s="21"/>
    </row>
    <row r="153" spans="2:26">
      <c r="B153" s="250"/>
      <c r="C153" s="138"/>
      <c r="D153" s="138"/>
      <c r="E153" s="138" t="s">
        <v>140</v>
      </c>
      <c r="F153" s="166"/>
      <c r="G153" s="138"/>
      <c r="H153" s="138"/>
      <c r="I153" s="273" t="s">
        <v>479</v>
      </c>
      <c r="J153" s="278"/>
      <c r="K153" s="279">
        <v>0.05</v>
      </c>
      <c r="L153" s="279">
        <v>0.15</v>
      </c>
      <c r="M153" s="264"/>
      <c r="N153" s="50"/>
      <c r="O153" s="138"/>
      <c r="P153" s="138"/>
      <c r="Q153" s="50"/>
      <c r="R153" s="50"/>
      <c r="S153" s="282"/>
      <c r="T153" s="143"/>
      <c r="U153" s="168"/>
      <c r="V153" s="138"/>
      <c r="W153" s="168"/>
      <c r="X153" s="168"/>
      <c r="Y153" s="21"/>
      <c r="Z153" s="21"/>
    </row>
    <row r="154" spans="2:26">
      <c r="B154" s="248" t="s">
        <v>621</v>
      </c>
      <c r="C154" s="138"/>
      <c r="D154" s="138"/>
      <c r="E154" s="138" t="s">
        <v>763</v>
      </c>
      <c r="F154" s="166" t="s">
        <v>580</v>
      </c>
      <c r="G154" s="138"/>
      <c r="H154" s="138"/>
      <c r="I154" s="273" t="s">
        <v>98</v>
      </c>
      <c r="J154" s="278"/>
      <c r="K154" s="278">
        <v>49.206349206349209</v>
      </c>
      <c r="L154" s="280"/>
      <c r="M154" s="264">
        <f>0.036/0.5+0.05</f>
        <v>0.122</v>
      </c>
      <c r="N154" s="50"/>
      <c r="O154" s="138"/>
      <c r="P154" s="138"/>
      <c r="Q154" s="50"/>
      <c r="R154" s="50"/>
      <c r="S154" s="138"/>
      <c r="T154" s="168"/>
      <c r="U154" s="168"/>
      <c r="V154" s="138"/>
      <c r="W154" s="168"/>
      <c r="X154" s="168"/>
      <c r="Y154" s="21"/>
      <c r="Z154" s="21"/>
    </row>
    <row r="155" spans="2:26">
      <c r="B155" s="141"/>
      <c r="C155" s="19" t="s">
        <v>644</v>
      </c>
      <c r="D155" s="71" t="s">
        <v>649</v>
      </c>
      <c r="E155" s="72" t="s">
        <v>642</v>
      </c>
      <c r="F155" s="19" t="s">
        <v>495</v>
      </c>
      <c r="G155" s="19"/>
      <c r="H155" s="19"/>
      <c r="I155" s="277"/>
      <c r="J155" s="19"/>
      <c r="K155" s="19"/>
      <c r="L155" s="19"/>
      <c r="M155" s="128">
        <v>1</v>
      </c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2:26">
      <c r="B156" s="248" t="s">
        <v>621</v>
      </c>
      <c r="C156" s="19"/>
      <c r="D156" s="71"/>
      <c r="E156" s="72" t="s">
        <v>645</v>
      </c>
      <c r="F156" s="19" t="s">
        <v>495</v>
      </c>
      <c r="G156" s="19"/>
      <c r="H156" s="19" t="s">
        <v>645</v>
      </c>
      <c r="I156" s="277"/>
      <c r="J156" s="19"/>
      <c r="K156" s="19"/>
      <c r="L156" s="19"/>
      <c r="M156" s="128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41">
        <v>1</v>
      </c>
      <c r="Y156" s="141">
        <v>2</v>
      </c>
      <c r="Z156" s="19">
        <f>0.005</f>
        <v>5.0000000000000001E-3</v>
      </c>
    </row>
    <row r="157" spans="2:26">
      <c r="B157" s="248" t="s">
        <v>621</v>
      </c>
      <c r="C157" s="19"/>
      <c r="D157" s="71"/>
      <c r="E157" s="72" t="s">
        <v>646</v>
      </c>
      <c r="F157" s="19" t="s">
        <v>495</v>
      </c>
      <c r="G157" s="19"/>
      <c r="H157" s="19" t="s">
        <v>646</v>
      </c>
      <c r="I157" s="277"/>
      <c r="J157" s="19"/>
      <c r="K157" s="19"/>
      <c r="L157" s="19"/>
      <c r="M157" s="128"/>
      <c r="N157" s="19"/>
      <c r="O157" s="19"/>
      <c r="P157" s="19"/>
      <c r="Q157" s="19"/>
      <c r="R157" s="19"/>
      <c r="S157" s="19"/>
      <c r="T157" s="142"/>
      <c r="U157" s="19"/>
      <c r="V157" s="19"/>
      <c r="W157" s="19"/>
      <c r="X157" s="141">
        <v>1</v>
      </c>
      <c r="Y157" s="141"/>
      <c r="Z157" s="142">
        <f>0.011</f>
        <v>1.0999999999999999E-2</v>
      </c>
    </row>
    <row r="158" spans="2:26">
      <c r="B158" s="248" t="s">
        <v>621</v>
      </c>
      <c r="C158" s="19"/>
      <c r="D158" s="71"/>
      <c r="E158" s="72" t="s">
        <v>647</v>
      </c>
      <c r="F158" s="19" t="s">
        <v>495</v>
      </c>
      <c r="G158" s="19"/>
      <c r="H158" s="19" t="s">
        <v>647</v>
      </c>
      <c r="I158" s="277"/>
      <c r="J158" s="19"/>
      <c r="K158" s="19"/>
      <c r="L158" s="19"/>
      <c r="M158" s="128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41">
        <v>1</v>
      </c>
      <c r="Y158" s="141"/>
      <c r="Z158" s="142">
        <f>0.019</f>
        <v>1.9E-2</v>
      </c>
    </row>
    <row r="162" spans="2:9">
      <c r="B162" s="15" t="s">
        <v>36</v>
      </c>
    </row>
    <row r="163" spans="2:9">
      <c r="B163" s="18" t="s">
        <v>37</v>
      </c>
      <c r="C163" s="18" t="s">
        <v>38</v>
      </c>
      <c r="D163" s="18" t="s">
        <v>39</v>
      </c>
      <c r="E163" s="18" t="s">
        <v>40</v>
      </c>
      <c r="F163" s="18" t="s">
        <v>560</v>
      </c>
      <c r="G163" s="18" t="s">
        <v>561</v>
      </c>
      <c r="H163" s="18" t="s">
        <v>562</v>
      </c>
      <c r="I163" s="18" t="s">
        <v>563</v>
      </c>
    </row>
    <row r="164" spans="2:9">
      <c r="B164" s="116" t="s">
        <v>603</v>
      </c>
      <c r="C164" s="50" t="s">
        <v>651</v>
      </c>
      <c r="D164" s="50" t="s">
        <v>758</v>
      </c>
      <c r="E164" s="117" t="s">
        <v>41</v>
      </c>
      <c r="F164" s="34"/>
      <c r="G164" s="34" t="s">
        <v>625</v>
      </c>
      <c r="H164" s="34"/>
      <c r="I164" s="34" t="s">
        <v>565</v>
      </c>
    </row>
    <row r="165" spans="2:9">
      <c r="B165" s="116" t="s">
        <v>603</v>
      </c>
      <c r="C165" s="50" t="s">
        <v>574</v>
      </c>
      <c r="D165" s="50" t="s">
        <v>757</v>
      </c>
      <c r="E165" s="117" t="s">
        <v>41</v>
      </c>
      <c r="F165" s="34"/>
      <c r="G165" s="34" t="s">
        <v>250</v>
      </c>
      <c r="H165" s="34"/>
      <c r="I165" s="34" t="s">
        <v>565</v>
      </c>
    </row>
    <row r="166" spans="2:9">
      <c r="B166" s="116" t="s">
        <v>603</v>
      </c>
      <c r="C166" s="118" t="s">
        <v>617</v>
      </c>
      <c r="D166" s="118" t="s">
        <v>618</v>
      </c>
      <c r="E166" s="118" t="s">
        <v>41</v>
      </c>
      <c r="F166" s="34"/>
      <c r="G166" s="34" t="s">
        <v>566</v>
      </c>
      <c r="H166" s="34"/>
      <c r="I166" s="34" t="s">
        <v>567</v>
      </c>
    </row>
    <row r="167" spans="2:9">
      <c r="B167" s="116" t="s">
        <v>603</v>
      </c>
      <c r="C167" s="118" t="s">
        <v>155</v>
      </c>
      <c r="D167" s="118" t="s">
        <v>156</v>
      </c>
      <c r="E167" s="118" t="s">
        <v>41</v>
      </c>
      <c r="F167" s="34"/>
      <c r="G167" s="34" t="s">
        <v>625</v>
      </c>
      <c r="H167" s="34"/>
      <c r="I167" s="34" t="s">
        <v>248</v>
      </c>
    </row>
    <row r="168" spans="2:9">
      <c r="B168" s="48" t="s">
        <v>603</v>
      </c>
      <c r="C168" s="47" t="s">
        <v>164</v>
      </c>
      <c r="D168" s="47" t="s">
        <v>169</v>
      </c>
      <c r="E168" s="70" t="s">
        <v>41</v>
      </c>
      <c r="F168" s="19"/>
      <c r="G168" s="19"/>
      <c r="H168" s="19"/>
      <c r="I168" s="19"/>
    </row>
    <row r="169" spans="2:9">
      <c r="B169" s="48" t="s">
        <v>603</v>
      </c>
      <c r="C169" s="47" t="s">
        <v>26</v>
      </c>
      <c r="D169" s="47" t="s">
        <v>30</v>
      </c>
      <c r="E169" s="70" t="s">
        <v>41</v>
      </c>
      <c r="F169" s="19"/>
      <c r="G169" s="19"/>
      <c r="H169" s="19"/>
      <c r="I169" s="19"/>
    </row>
    <row r="170" spans="2:9">
      <c r="B170" s="48" t="s">
        <v>603</v>
      </c>
      <c r="C170" s="47" t="s">
        <v>790</v>
      </c>
      <c r="D170" s="47" t="s">
        <v>807</v>
      </c>
      <c r="E170" s="70" t="s">
        <v>41</v>
      </c>
      <c r="F170" s="19"/>
      <c r="G170" s="19"/>
      <c r="H170" s="19"/>
      <c r="I170" s="19"/>
    </row>
    <row r="171" spans="2:9">
      <c r="B171" s="48" t="s">
        <v>603</v>
      </c>
      <c r="C171" s="47" t="s">
        <v>514</v>
      </c>
      <c r="D171" s="47" t="s">
        <v>515</v>
      </c>
      <c r="E171" s="70" t="s">
        <v>41</v>
      </c>
      <c r="F171" s="19"/>
      <c r="G171" s="19"/>
      <c r="H171" s="19"/>
      <c r="I171" s="19"/>
    </row>
    <row r="172" spans="2:9">
      <c r="B172" s="48" t="s">
        <v>603</v>
      </c>
      <c r="C172" s="47" t="s">
        <v>4</v>
      </c>
      <c r="D172" s="47" t="s">
        <v>5</v>
      </c>
      <c r="E172" s="70" t="s">
        <v>41</v>
      </c>
      <c r="F172" s="19"/>
      <c r="G172" s="19"/>
      <c r="H172" s="19"/>
      <c r="I172" s="19"/>
    </row>
    <row r="173" spans="2:9">
      <c r="B173" s="48" t="s">
        <v>603</v>
      </c>
      <c r="C173" s="70" t="s">
        <v>6</v>
      </c>
      <c r="D173" s="70" t="s">
        <v>7</v>
      </c>
      <c r="E173" s="70" t="s">
        <v>41</v>
      </c>
      <c r="F173" s="19"/>
      <c r="G173" s="19"/>
      <c r="H173" s="19"/>
      <c r="I173" s="19"/>
    </row>
    <row r="174" spans="2:9">
      <c r="B174" s="48" t="s">
        <v>196</v>
      </c>
      <c r="C174" s="47" t="s">
        <v>512</v>
      </c>
      <c r="D174" s="47" t="s">
        <v>513</v>
      </c>
      <c r="E174" s="70" t="s">
        <v>41</v>
      </c>
      <c r="F174" s="19"/>
      <c r="G174" s="19" t="s">
        <v>250</v>
      </c>
      <c r="H174" s="19"/>
      <c r="I174" s="19"/>
    </row>
    <row r="175" spans="2:9">
      <c r="B175" s="48" t="s">
        <v>196</v>
      </c>
      <c r="C175" s="71" t="s">
        <v>691</v>
      </c>
      <c r="D175" s="19" t="s">
        <v>755</v>
      </c>
      <c r="E175" s="20" t="s">
        <v>756</v>
      </c>
      <c r="F175" s="19"/>
      <c r="G175" s="19"/>
      <c r="H175" s="19"/>
      <c r="I175" s="19"/>
    </row>
    <row r="176" spans="2:9">
      <c r="B176" s="48" t="s">
        <v>43</v>
      </c>
      <c r="C176" s="70" t="s">
        <v>642</v>
      </c>
      <c r="D176" s="70" t="s">
        <v>643</v>
      </c>
      <c r="E176" s="70" t="s">
        <v>503</v>
      </c>
      <c r="F176" s="19"/>
      <c r="G176" s="19"/>
      <c r="H176" s="19"/>
      <c r="I176" s="19"/>
    </row>
    <row r="177" spans="2:13">
      <c r="B177" s="48" t="s">
        <v>499</v>
      </c>
      <c r="C177" s="70" t="s">
        <v>645</v>
      </c>
      <c r="D177" s="70" t="s">
        <v>648</v>
      </c>
      <c r="E177" s="70" t="s">
        <v>41</v>
      </c>
      <c r="F177" s="141" t="s">
        <v>506</v>
      </c>
      <c r="G177" s="19"/>
      <c r="H177" s="19"/>
      <c r="I177" s="19"/>
    </row>
    <row r="178" spans="2:13">
      <c r="B178" s="48" t="s">
        <v>499</v>
      </c>
      <c r="C178" s="70" t="s">
        <v>646</v>
      </c>
      <c r="D178" s="70" t="s">
        <v>648</v>
      </c>
      <c r="E178" s="70" t="s">
        <v>41</v>
      </c>
      <c r="F178" s="141" t="s">
        <v>506</v>
      </c>
      <c r="G178" s="19"/>
      <c r="H178" s="19"/>
      <c r="I178" s="19"/>
    </row>
    <row r="179" spans="2:13">
      <c r="B179" s="48" t="s">
        <v>499</v>
      </c>
      <c r="C179" s="70" t="s">
        <v>647</v>
      </c>
      <c r="D179" s="70" t="s">
        <v>648</v>
      </c>
      <c r="E179" s="70" t="s">
        <v>41</v>
      </c>
      <c r="F179" s="141" t="s">
        <v>506</v>
      </c>
      <c r="G179" s="19"/>
      <c r="H179" s="19"/>
      <c r="I179" s="19"/>
    </row>
    <row r="184" spans="2:13" ht="18">
      <c r="C184" s="74" t="s">
        <v>605</v>
      </c>
      <c r="D184" s="74"/>
      <c r="E184" s="15" t="s">
        <v>429</v>
      </c>
    </row>
    <row r="185" spans="2:13" ht="23.25" thickBot="1">
      <c r="C185" s="77" t="s">
        <v>555</v>
      </c>
      <c r="D185" s="77" t="s">
        <v>556</v>
      </c>
      <c r="E185" s="75" t="s">
        <v>604</v>
      </c>
      <c r="F185" s="76" t="s">
        <v>602</v>
      </c>
      <c r="G185" s="76" t="s">
        <v>591</v>
      </c>
      <c r="H185" s="76" t="s">
        <v>592</v>
      </c>
      <c r="I185" s="76" t="s">
        <v>589</v>
      </c>
      <c r="J185" s="76" t="s">
        <v>590</v>
      </c>
      <c r="K185" s="76" t="s">
        <v>642</v>
      </c>
      <c r="L185" s="76" t="s">
        <v>641</v>
      </c>
    </row>
    <row r="186" spans="2:13">
      <c r="C186" s="19" t="s">
        <v>606</v>
      </c>
      <c r="D186" s="19"/>
      <c r="E186" s="19" t="s">
        <v>180</v>
      </c>
      <c r="F186" s="19">
        <v>12</v>
      </c>
      <c r="G186" s="19"/>
      <c r="H186" s="19"/>
      <c r="I186" s="19"/>
      <c r="J186" s="19"/>
      <c r="K186" s="19"/>
      <c r="L186" s="19"/>
    </row>
    <row r="187" spans="2:13">
      <c r="C187" s="19" t="s">
        <v>607</v>
      </c>
      <c r="D187" s="19"/>
      <c r="E187" s="19" t="s">
        <v>182</v>
      </c>
      <c r="F187" s="72">
        <f>(94-74/M99)</f>
        <v>52.559999999999995</v>
      </c>
      <c r="G187" s="19"/>
      <c r="H187" s="19"/>
      <c r="I187" s="19"/>
      <c r="J187" s="19"/>
      <c r="K187" s="19"/>
      <c r="L187" s="19"/>
    </row>
    <row r="188" spans="2:13">
      <c r="C188" s="19" t="s">
        <v>608</v>
      </c>
      <c r="D188" s="19"/>
      <c r="E188" s="19" t="s">
        <v>182</v>
      </c>
      <c r="F188" s="79">
        <f>(93-75/M101)*0.1</f>
        <v>5.7</v>
      </c>
      <c r="G188" s="19"/>
      <c r="H188" s="19"/>
      <c r="I188" s="72">
        <f>(93-75/M101)-F188</f>
        <v>51.3</v>
      </c>
      <c r="J188" s="72">
        <f>I188</f>
        <v>51.3</v>
      </c>
      <c r="K188" s="19"/>
      <c r="L188" s="19"/>
      <c r="M188" s="78"/>
    </row>
    <row r="189" spans="2:13">
      <c r="C189" s="19" t="s">
        <v>609</v>
      </c>
      <c r="D189" s="19"/>
      <c r="E189" s="19" t="s">
        <v>182</v>
      </c>
      <c r="F189" s="79">
        <f>F188</f>
        <v>5.7</v>
      </c>
      <c r="G189" s="19"/>
      <c r="H189" s="19"/>
      <c r="I189" s="72">
        <f>I188</f>
        <v>51.3</v>
      </c>
      <c r="J189" s="72">
        <f>I189</f>
        <v>51.3</v>
      </c>
      <c r="K189" s="19"/>
      <c r="L189" s="19"/>
    </row>
    <row r="190" spans="2:13">
      <c r="C190" s="19" t="s">
        <v>610</v>
      </c>
      <c r="D190" s="19"/>
      <c r="E190" s="19" t="s">
        <v>182</v>
      </c>
      <c r="F190" s="79">
        <f>(93-77/$M111)*0.1</f>
        <v>5.6040000000000001</v>
      </c>
      <c r="G190" s="19"/>
      <c r="H190" s="19"/>
      <c r="I190" s="72">
        <f>(93-77/$M111)-F190</f>
        <v>50.436</v>
      </c>
      <c r="J190" s="72">
        <f>I190</f>
        <v>50.436</v>
      </c>
      <c r="K190" s="19"/>
      <c r="L190" s="19"/>
    </row>
    <row r="191" spans="2:13">
      <c r="C191" s="46" t="s">
        <v>525</v>
      </c>
      <c r="D191" s="19"/>
      <c r="E191" s="47" t="s">
        <v>521</v>
      </c>
      <c r="F191" s="79">
        <f>(104-75/M104)</f>
        <v>67.25</v>
      </c>
      <c r="G191" s="19"/>
      <c r="H191" s="19"/>
      <c r="I191" s="72">
        <f>F191*0.9</f>
        <v>60.524999999999999</v>
      </c>
      <c r="J191" s="72"/>
      <c r="K191" s="19"/>
      <c r="L191" s="19"/>
    </row>
    <row r="192" spans="2:13">
      <c r="C192" s="19" t="s">
        <v>635</v>
      </c>
      <c r="D192" s="19"/>
      <c r="E192" s="19" t="s">
        <v>601</v>
      </c>
      <c r="F192" s="79"/>
      <c r="G192" s="19"/>
      <c r="H192" s="19"/>
      <c r="I192" s="72"/>
      <c r="J192" s="72"/>
      <c r="K192" s="72"/>
      <c r="L192" s="72"/>
    </row>
    <row r="193" spans="2:12">
      <c r="C193" s="19" t="s">
        <v>613</v>
      </c>
      <c r="D193" s="19"/>
      <c r="E193" s="19" t="s">
        <v>182</v>
      </c>
      <c r="F193" s="19">
        <f>44/32/0.02/N66</f>
        <v>38.5</v>
      </c>
      <c r="G193" s="19">
        <v>0.54</v>
      </c>
      <c r="H193" s="19">
        <v>1</v>
      </c>
      <c r="I193" s="19">
        <f>93-F193</f>
        <v>54.5</v>
      </c>
      <c r="J193" s="19">
        <f>I193</f>
        <v>54.5</v>
      </c>
      <c r="K193" s="19"/>
      <c r="L193" s="19"/>
    </row>
    <row r="194" spans="2:12">
      <c r="C194" s="19" t="s">
        <v>614</v>
      </c>
      <c r="D194" s="19"/>
      <c r="E194" s="19" t="s">
        <v>182</v>
      </c>
      <c r="F194" s="19">
        <v>93</v>
      </c>
      <c r="G194" s="19">
        <v>0.54</v>
      </c>
      <c r="H194" s="19">
        <v>1</v>
      </c>
      <c r="I194" s="19"/>
      <c r="J194" s="19"/>
      <c r="K194" s="19"/>
      <c r="L194" s="19"/>
    </row>
    <row r="195" spans="2:12">
      <c r="C195" s="19" t="s">
        <v>616</v>
      </c>
      <c r="D195" s="19"/>
      <c r="E195" s="19" t="s">
        <v>180</v>
      </c>
      <c r="F195" s="19">
        <v>56.1</v>
      </c>
      <c r="G195" s="19">
        <v>1.1000000000000001</v>
      </c>
      <c r="H195" s="19">
        <v>1</v>
      </c>
      <c r="I195" s="19"/>
      <c r="J195" s="19"/>
      <c r="K195" s="19"/>
      <c r="L195" s="19"/>
    </row>
    <row r="196" spans="2:12">
      <c r="C196" s="46" t="s">
        <v>426</v>
      </c>
      <c r="D196" s="19"/>
      <c r="E196" s="47" t="s">
        <v>601</v>
      </c>
      <c r="F196" s="79"/>
      <c r="G196" s="19"/>
      <c r="H196" s="19"/>
      <c r="I196" s="72"/>
      <c r="J196" s="72"/>
      <c r="K196" s="72">
        <f>(110-75/M123)*0.9</f>
        <v>64.756899350649363</v>
      </c>
      <c r="L196" s="72"/>
    </row>
    <row r="197" spans="2:12">
      <c r="C197" s="46" t="s">
        <v>637</v>
      </c>
      <c r="D197" s="19"/>
      <c r="E197" s="47" t="s">
        <v>640</v>
      </c>
      <c r="F197" s="79"/>
      <c r="G197" s="19"/>
      <c r="H197" s="19"/>
      <c r="I197" s="72"/>
      <c r="J197" s="72"/>
      <c r="K197" s="72"/>
      <c r="L197" s="72">
        <f>-63</f>
        <v>-63</v>
      </c>
    </row>
    <row r="198" spans="2:12">
      <c r="C198" s="46" t="s">
        <v>785</v>
      </c>
      <c r="D198" s="19"/>
      <c r="E198" s="47" t="s">
        <v>168</v>
      </c>
      <c r="F198" s="79"/>
      <c r="G198" s="19"/>
      <c r="H198" s="19"/>
      <c r="I198" s="72"/>
      <c r="J198" s="72"/>
      <c r="K198" s="72">
        <f>(110-56/M51)*0.92</f>
        <v>65.13600000000001</v>
      </c>
      <c r="L198" s="72"/>
    </row>
    <row r="199" spans="2:12">
      <c r="C199" s="46" t="s">
        <v>110</v>
      </c>
      <c r="D199" s="19"/>
      <c r="E199" s="47" t="s">
        <v>140</v>
      </c>
      <c r="F199" s="79"/>
      <c r="G199" s="19"/>
      <c r="H199" s="19"/>
      <c r="I199" s="72"/>
      <c r="J199" s="72"/>
      <c r="K199" s="72">
        <f>(110-75/(125/119))*0.95</f>
        <v>36.670000000000009</v>
      </c>
      <c r="L199" s="72"/>
    </row>
    <row r="200" spans="2:12">
      <c r="C200" s="46"/>
      <c r="D200" s="19"/>
      <c r="E200" s="47" t="s">
        <v>623</v>
      </c>
      <c r="F200" s="79"/>
      <c r="G200" s="19"/>
      <c r="H200" s="19"/>
      <c r="I200" s="72"/>
      <c r="J200" s="72"/>
      <c r="K200" s="72">
        <f>(110)*0.9</f>
        <v>99</v>
      </c>
      <c r="L200" s="72"/>
    </row>
    <row r="203" spans="2:12">
      <c r="B203" s="15" t="s">
        <v>526</v>
      </c>
    </row>
    <row r="204" spans="2:12">
      <c r="B204" s="35" t="s">
        <v>94</v>
      </c>
      <c r="C204" s="36" t="s">
        <v>555</v>
      </c>
      <c r="D204" s="36" t="s">
        <v>556</v>
      </c>
      <c r="E204" s="36" t="s">
        <v>527</v>
      </c>
      <c r="F204" s="36" t="s">
        <v>528</v>
      </c>
      <c r="G204" s="36" t="s">
        <v>529</v>
      </c>
      <c r="H204" s="36" t="s">
        <v>530</v>
      </c>
      <c r="I204" s="37" t="s">
        <v>531</v>
      </c>
    </row>
    <row r="205" spans="2:12">
      <c r="B205" s="24" t="s">
        <v>468</v>
      </c>
      <c r="C205" s="24" t="s">
        <v>523</v>
      </c>
      <c r="D205" s="24" t="s">
        <v>170</v>
      </c>
      <c r="E205" s="24" t="s">
        <v>41</v>
      </c>
      <c r="F205" s="24" t="s">
        <v>534</v>
      </c>
      <c r="G205" s="24"/>
      <c r="H205" s="24"/>
      <c r="I205" s="24" t="s">
        <v>533</v>
      </c>
    </row>
    <row r="206" spans="2:12">
      <c r="B206" s="24" t="s">
        <v>468</v>
      </c>
      <c r="C206" s="24" t="s">
        <v>812</v>
      </c>
      <c r="D206" s="24" t="s">
        <v>109</v>
      </c>
      <c r="E206" s="24" t="s">
        <v>41</v>
      </c>
      <c r="F206" s="24" t="s">
        <v>534</v>
      </c>
      <c r="G206" s="24"/>
      <c r="H206" s="24" t="s">
        <v>634</v>
      </c>
      <c r="I206" s="24" t="s">
        <v>533</v>
      </c>
    </row>
    <row r="207" spans="2:12">
      <c r="B207" s="24" t="s">
        <v>468</v>
      </c>
      <c r="C207" s="24" t="s">
        <v>811</v>
      </c>
      <c r="D207" s="24" t="s">
        <v>781</v>
      </c>
      <c r="E207" s="24" t="s">
        <v>41</v>
      </c>
      <c r="F207" s="24" t="s">
        <v>534</v>
      </c>
      <c r="G207" s="24"/>
      <c r="H207" s="27" t="s">
        <v>253</v>
      </c>
      <c r="I207" s="24" t="s">
        <v>533</v>
      </c>
    </row>
    <row r="208" spans="2:12">
      <c r="B208" s="24" t="s">
        <v>468</v>
      </c>
      <c r="C208" s="24" t="s">
        <v>810</v>
      </c>
      <c r="D208" s="24" t="s">
        <v>783</v>
      </c>
      <c r="E208" s="24" t="s">
        <v>41</v>
      </c>
      <c r="F208" s="24" t="s">
        <v>534</v>
      </c>
      <c r="G208" s="24"/>
      <c r="H208" s="24" t="s">
        <v>634</v>
      </c>
      <c r="I208" s="24" t="s">
        <v>533</v>
      </c>
    </row>
    <row r="209" spans="2:9">
      <c r="B209" s="24" t="s">
        <v>468</v>
      </c>
      <c r="C209" s="24" t="s">
        <v>809</v>
      </c>
      <c r="D209" s="24" t="s">
        <v>786</v>
      </c>
      <c r="E209" s="24" t="s">
        <v>41</v>
      </c>
      <c r="F209" s="24" t="s">
        <v>534</v>
      </c>
      <c r="G209" s="24"/>
      <c r="H209" s="27" t="s">
        <v>253</v>
      </c>
      <c r="I209" s="24" t="s">
        <v>533</v>
      </c>
    </row>
    <row r="210" spans="2:9">
      <c r="B210" s="24" t="s">
        <v>468</v>
      </c>
      <c r="C210" s="24" t="s">
        <v>785</v>
      </c>
      <c r="D210" s="24" t="s">
        <v>808</v>
      </c>
      <c r="E210" s="24" t="s">
        <v>41</v>
      </c>
      <c r="F210" s="24" t="s">
        <v>534</v>
      </c>
      <c r="G210" s="24"/>
      <c r="H210" s="27" t="s">
        <v>253</v>
      </c>
      <c r="I210" s="24" t="s">
        <v>533</v>
      </c>
    </row>
    <row r="211" spans="2:9">
      <c r="B211" s="24" t="s">
        <v>468</v>
      </c>
      <c r="C211" s="24" t="s">
        <v>31</v>
      </c>
      <c r="D211" s="24" t="s">
        <v>787</v>
      </c>
      <c r="E211" s="24" t="s">
        <v>41</v>
      </c>
      <c r="F211" s="24" t="s">
        <v>534</v>
      </c>
      <c r="G211" s="24"/>
      <c r="H211" s="24" t="s">
        <v>25</v>
      </c>
      <c r="I211" s="24" t="s">
        <v>533</v>
      </c>
    </row>
    <row r="212" spans="2:9">
      <c r="B212" s="24" t="s">
        <v>468</v>
      </c>
      <c r="C212" s="24" t="s">
        <v>788</v>
      </c>
      <c r="D212" s="24" t="s">
        <v>789</v>
      </c>
      <c r="E212" s="24" t="s">
        <v>41</v>
      </c>
      <c r="F212" s="24" t="s">
        <v>534</v>
      </c>
      <c r="G212" s="24"/>
      <c r="H212" s="24" t="s">
        <v>790</v>
      </c>
      <c r="I212" s="24" t="s">
        <v>533</v>
      </c>
    </row>
    <row r="213" spans="2:9">
      <c r="B213" s="24" t="s">
        <v>468</v>
      </c>
      <c r="C213" s="24" t="s">
        <v>793</v>
      </c>
      <c r="D213" s="24" t="s">
        <v>794</v>
      </c>
      <c r="E213" s="24" t="s">
        <v>41</v>
      </c>
      <c r="F213" s="24" t="s">
        <v>534</v>
      </c>
      <c r="G213" s="24"/>
      <c r="H213" s="27" t="s">
        <v>597</v>
      </c>
      <c r="I213" s="24" t="s">
        <v>533</v>
      </c>
    </row>
    <row r="214" spans="2:9">
      <c r="B214" s="24" t="s">
        <v>468</v>
      </c>
      <c r="C214" s="24" t="s">
        <v>795</v>
      </c>
      <c r="D214" s="24" t="s">
        <v>796</v>
      </c>
      <c r="E214" s="24" t="s">
        <v>41</v>
      </c>
      <c r="F214" s="24" t="s">
        <v>534</v>
      </c>
      <c r="G214" s="24"/>
      <c r="H214" s="27" t="s">
        <v>598</v>
      </c>
      <c r="I214" s="24" t="s">
        <v>533</v>
      </c>
    </row>
    <row r="215" spans="2:9">
      <c r="B215" s="24" t="s">
        <v>468</v>
      </c>
      <c r="C215" s="24" t="s">
        <v>797</v>
      </c>
      <c r="D215" s="24" t="s">
        <v>798</v>
      </c>
      <c r="E215" s="24" t="s">
        <v>41</v>
      </c>
      <c r="F215" s="24" t="s">
        <v>534</v>
      </c>
      <c r="G215" s="27" t="s">
        <v>566</v>
      </c>
      <c r="H215" s="27" t="s">
        <v>598</v>
      </c>
      <c r="I215" s="24" t="s">
        <v>533</v>
      </c>
    </row>
    <row r="216" spans="2:9">
      <c r="B216" s="24" t="s">
        <v>468</v>
      </c>
      <c r="C216" s="24" t="s">
        <v>800</v>
      </c>
      <c r="D216" s="24" t="s">
        <v>801</v>
      </c>
      <c r="E216" s="24" t="s">
        <v>41</v>
      </c>
      <c r="F216" s="24" t="s">
        <v>534</v>
      </c>
      <c r="G216" s="27" t="s">
        <v>566</v>
      </c>
      <c r="H216" s="24" t="s">
        <v>172</v>
      </c>
      <c r="I216" s="24" t="s">
        <v>533</v>
      </c>
    </row>
    <row r="217" spans="2:9">
      <c r="B217" s="24" t="s">
        <v>468</v>
      </c>
      <c r="C217" s="67" t="s">
        <v>157</v>
      </c>
      <c r="D217" s="67" t="s">
        <v>587</v>
      </c>
      <c r="E217" s="24" t="s">
        <v>41</v>
      </c>
      <c r="F217" s="24" t="s">
        <v>534</v>
      </c>
      <c r="G217" s="24"/>
      <c r="H217" s="27" t="s">
        <v>597</v>
      </c>
      <c r="I217" s="24" t="s">
        <v>533</v>
      </c>
    </row>
    <row r="218" spans="2:9">
      <c r="B218" s="24" t="s">
        <v>468</v>
      </c>
      <c r="C218" s="67" t="s">
        <v>615</v>
      </c>
      <c r="D218" s="57" t="s">
        <v>594</v>
      </c>
      <c r="E218" s="24" t="s">
        <v>41</v>
      </c>
      <c r="F218" s="24" t="s">
        <v>534</v>
      </c>
      <c r="G218" s="24"/>
      <c r="H218" s="27" t="s">
        <v>598</v>
      </c>
      <c r="I218" s="24" t="s">
        <v>533</v>
      </c>
    </row>
    <row r="219" spans="2:9">
      <c r="B219" s="24" t="s">
        <v>468</v>
      </c>
      <c r="C219" s="67" t="s">
        <v>614</v>
      </c>
      <c r="D219" s="57" t="s">
        <v>593</v>
      </c>
      <c r="E219" s="24" t="s">
        <v>41</v>
      </c>
      <c r="F219" s="24" t="s">
        <v>534</v>
      </c>
      <c r="G219" s="24"/>
      <c r="H219" s="27" t="s">
        <v>598</v>
      </c>
      <c r="I219" s="24" t="s">
        <v>533</v>
      </c>
    </row>
    <row r="220" spans="2:9">
      <c r="B220" s="24" t="s">
        <v>468</v>
      </c>
      <c r="C220" s="67" t="s">
        <v>613</v>
      </c>
      <c r="D220" s="68" t="s">
        <v>588</v>
      </c>
      <c r="E220" s="24" t="s">
        <v>41</v>
      </c>
      <c r="F220" s="24" t="s">
        <v>534</v>
      </c>
      <c r="G220" s="24"/>
      <c r="H220" s="27" t="s">
        <v>598</v>
      </c>
      <c r="I220" s="24" t="s">
        <v>533</v>
      </c>
    </row>
    <row r="221" spans="2:9">
      <c r="B221" s="24" t="s">
        <v>468</v>
      </c>
      <c r="C221" s="67" t="s">
        <v>616</v>
      </c>
      <c r="D221" s="67" t="s">
        <v>596</v>
      </c>
      <c r="E221" s="24" t="s">
        <v>41</v>
      </c>
      <c r="F221" s="24" t="s">
        <v>534</v>
      </c>
      <c r="G221" s="24"/>
      <c r="H221" s="27" t="s">
        <v>180</v>
      </c>
      <c r="I221" s="24" t="s">
        <v>533</v>
      </c>
    </row>
    <row r="222" spans="2:9">
      <c r="B222" s="24" t="s">
        <v>468</v>
      </c>
      <c r="C222" s="27" t="s">
        <v>611</v>
      </c>
      <c r="D222" s="27" t="s">
        <v>150</v>
      </c>
      <c r="E222" s="27" t="s">
        <v>41</v>
      </c>
      <c r="F222" s="27" t="s">
        <v>534</v>
      </c>
      <c r="G222" s="27" t="s">
        <v>250</v>
      </c>
      <c r="H222" s="27"/>
      <c r="I222" s="27" t="s">
        <v>533</v>
      </c>
    </row>
    <row r="223" spans="2:9">
      <c r="B223" s="24" t="s">
        <v>468</v>
      </c>
      <c r="C223" s="27" t="s">
        <v>635</v>
      </c>
      <c r="D223" s="27" t="s">
        <v>151</v>
      </c>
      <c r="E223" s="27" t="s">
        <v>41</v>
      </c>
      <c r="F223" s="27" t="s">
        <v>534</v>
      </c>
      <c r="G223" s="27" t="s">
        <v>250</v>
      </c>
      <c r="H223" s="27"/>
      <c r="I223" s="27" t="s">
        <v>533</v>
      </c>
    </row>
    <row r="224" spans="2:9">
      <c r="B224" s="24" t="s">
        <v>468</v>
      </c>
      <c r="C224" s="27" t="s">
        <v>426</v>
      </c>
      <c r="D224" s="27" t="s">
        <v>427</v>
      </c>
      <c r="E224" s="27" t="s">
        <v>41</v>
      </c>
      <c r="F224" s="27" t="s">
        <v>534</v>
      </c>
      <c r="G224" s="27" t="s">
        <v>250</v>
      </c>
      <c r="H224" s="27"/>
      <c r="I224" s="27" t="s">
        <v>533</v>
      </c>
    </row>
    <row r="225" spans="2:9">
      <c r="B225" s="24" t="s">
        <v>468</v>
      </c>
      <c r="C225" s="27" t="s">
        <v>637</v>
      </c>
      <c r="D225" s="27" t="s">
        <v>638</v>
      </c>
      <c r="E225" s="27" t="s">
        <v>41</v>
      </c>
      <c r="F225" s="27" t="s">
        <v>534</v>
      </c>
      <c r="G225" s="27" t="s">
        <v>250</v>
      </c>
      <c r="H225" s="27" t="s">
        <v>639</v>
      </c>
      <c r="I225" s="27" t="s">
        <v>533</v>
      </c>
    </row>
    <row r="226" spans="2:9">
      <c r="B226" s="24" t="s">
        <v>468</v>
      </c>
      <c r="C226" s="27" t="s">
        <v>119</v>
      </c>
      <c r="D226" s="27" t="s">
        <v>120</v>
      </c>
      <c r="E226" s="27" t="s">
        <v>41</v>
      </c>
      <c r="F226" s="27" t="s">
        <v>534</v>
      </c>
      <c r="G226" s="27" t="s">
        <v>566</v>
      </c>
      <c r="H226" s="27" t="s">
        <v>639</v>
      </c>
      <c r="I226" s="27" t="s">
        <v>533</v>
      </c>
    </row>
    <row r="227" spans="2:9">
      <c r="B227" s="24" t="s">
        <v>468</v>
      </c>
      <c r="C227" s="27" t="s">
        <v>121</v>
      </c>
      <c r="D227" s="27" t="s">
        <v>122</v>
      </c>
      <c r="E227" s="27" t="s">
        <v>41</v>
      </c>
      <c r="F227" s="27" t="s">
        <v>534</v>
      </c>
      <c r="G227" s="27" t="s">
        <v>566</v>
      </c>
      <c r="H227" s="27" t="s">
        <v>253</v>
      </c>
      <c r="I227" s="27" t="s">
        <v>533</v>
      </c>
    </row>
    <row r="228" spans="2:9">
      <c r="B228" s="24" t="s">
        <v>468</v>
      </c>
      <c r="C228" s="27" t="s">
        <v>123</v>
      </c>
      <c r="D228" s="27" t="s">
        <v>124</v>
      </c>
      <c r="E228" s="27" t="s">
        <v>41</v>
      </c>
      <c r="F228" s="27" t="s">
        <v>534</v>
      </c>
      <c r="G228" s="27" t="s">
        <v>566</v>
      </c>
      <c r="H228" s="27" t="s">
        <v>598</v>
      </c>
      <c r="I228" s="27" t="s">
        <v>533</v>
      </c>
    </row>
    <row r="229" spans="2:9">
      <c r="B229" s="24" t="s">
        <v>468</v>
      </c>
      <c r="C229" s="27" t="s">
        <v>578</v>
      </c>
      <c r="D229" s="27" t="s">
        <v>577</v>
      </c>
      <c r="E229" s="27" t="s">
        <v>41</v>
      </c>
      <c r="F229" s="27" t="s">
        <v>534</v>
      </c>
      <c r="G229" s="27" t="s">
        <v>566</v>
      </c>
      <c r="H229" s="27" t="s">
        <v>580</v>
      </c>
      <c r="I229" s="27" t="s">
        <v>533</v>
      </c>
    </row>
    <row r="230" spans="2:9">
      <c r="B230" s="24" t="s">
        <v>468</v>
      </c>
      <c r="C230" s="27" t="s">
        <v>525</v>
      </c>
      <c r="D230" s="27" t="s">
        <v>522</v>
      </c>
      <c r="E230" s="27" t="s">
        <v>41</v>
      </c>
      <c r="F230" s="27" t="s">
        <v>534</v>
      </c>
      <c r="G230" s="27"/>
      <c r="H230" s="27" t="s">
        <v>184</v>
      </c>
      <c r="I230" s="27" t="s">
        <v>533</v>
      </c>
    </row>
    <row r="231" spans="2:9">
      <c r="B231" s="24" t="s">
        <v>468</v>
      </c>
      <c r="C231" s="27" t="s">
        <v>612</v>
      </c>
      <c r="D231" s="27" t="s">
        <v>581</v>
      </c>
      <c r="E231" s="27" t="s">
        <v>41</v>
      </c>
      <c r="F231" s="27" t="s">
        <v>534</v>
      </c>
      <c r="G231" s="27"/>
      <c r="H231" s="27" t="s">
        <v>580</v>
      </c>
      <c r="I231" s="27" t="s">
        <v>533</v>
      </c>
    </row>
    <row r="232" spans="2:9">
      <c r="B232" s="24" t="s">
        <v>468</v>
      </c>
      <c r="C232" s="27" t="s">
        <v>607</v>
      </c>
      <c r="D232" s="27" t="s">
        <v>572</v>
      </c>
      <c r="E232" s="27" t="s">
        <v>41</v>
      </c>
      <c r="F232" s="27" t="s">
        <v>534</v>
      </c>
      <c r="G232" s="27"/>
      <c r="H232" s="27" t="s">
        <v>184</v>
      </c>
      <c r="I232" s="27" t="s">
        <v>533</v>
      </c>
    </row>
    <row r="233" spans="2:9">
      <c r="B233" s="24" t="s">
        <v>468</v>
      </c>
      <c r="C233" s="27" t="s">
        <v>608</v>
      </c>
      <c r="D233" s="27" t="s">
        <v>573</v>
      </c>
      <c r="E233" s="27" t="s">
        <v>41</v>
      </c>
      <c r="F233" s="27" t="s">
        <v>534</v>
      </c>
      <c r="G233" s="27"/>
      <c r="H233" s="27" t="s">
        <v>184</v>
      </c>
      <c r="I233" s="27" t="s">
        <v>533</v>
      </c>
    </row>
    <row r="234" spans="2:9">
      <c r="B234" s="24" t="s">
        <v>468</v>
      </c>
      <c r="C234" s="27" t="s">
        <v>606</v>
      </c>
      <c r="D234" s="27" t="s">
        <v>571</v>
      </c>
      <c r="E234" s="27" t="s">
        <v>41</v>
      </c>
      <c r="F234" s="27" t="s">
        <v>534</v>
      </c>
      <c r="G234" s="27"/>
      <c r="H234" s="27" t="s">
        <v>184</v>
      </c>
      <c r="I234" s="27" t="s">
        <v>533</v>
      </c>
    </row>
    <row r="235" spans="2:9">
      <c r="B235" s="69" t="s">
        <v>468</v>
      </c>
      <c r="C235" s="53" t="s">
        <v>759</v>
      </c>
      <c r="D235" s="53" t="s">
        <v>760</v>
      </c>
      <c r="E235" s="69" t="s">
        <v>41</v>
      </c>
      <c r="F235" s="69" t="s">
        <v>534</v>
      </c>
      <c r="G235" s="69"/>
      <c r="H235" s="69" t="s">
        <v>580</v>
      </c>
      <c r="I235" s="69" t="s">
        <v>533</v>
      </c>
    </row>
    <row r="236" spans="2:9">
      <c r="B236" s="69" t="s">
        <v>468</v>
      </c>
      <c r="C236" s="53" t="s">
        <v>110</v>
      </c>
      <c r="D236" s="53" t="s">
        <v>766</v>
      </c>
      <c r="E236" s="69" t="s">
        <v>41</v>
      </c>
      <c r="F236" s="69" t="s">
        <v>534</v>
      </c>
      <c r="G236" s="69"/>
      <c r="H236" s="69" t="s">
        <v>580</v>
      </c>
      <c r="I236" s="69" t="s">
        <v>533</v>
      </c>
    </row>
    <row r="237" spans="2:9">
      <c r="B237" s="69" t="s">
        <v>468</v>
      </c>
      <c r="C237" s="53" t="s">
        <v>764</v>
      </c>
      <c r="D237" s="53" t="s">
        <v>765</v>
      </c>
      <c r="E237" s="69" t="s">
        <v>41</v>
      </c>
      <c r="F237" s="69" t="s">
        <v>534</v>
      </c>
      <c r="G237" s="69"/>
      <c r="H237" s="69" t="s">
        <v>580</v>
      </c>
      <c r="I237" s="69" t="s">
        <v>533</v>
      </c>
    </row>
    <row r="238" spans="2:9">
      <c r="B238" s="69" t="s">
        <v>468</v>
      </c>
      <c r="C238" s="53" t="s">
        <v>609</v>
      </c>
      <c r="D238" s="53" t="s">
        <v>599</v>
      </c>
      <c r="E238" s="69" t="s">
        <v>41</v>
      </c>
      <c r="F238" s="69" t="s">
        <v>534</v>
      </c>
      <c r="G238" s="69"/>
      <c r="H238" s="69" t="s">
        <v>576</v>
      </c>
      <c r="I238" s="69" t="s">
        <v>533</v>
      </c>
    </row>
    <row r="239" spans="2:9">
      <c r="B239" s="69" t="s">
        <v>468</v>
      </c>
      <c r="C239" s="53" t="s">
        <v>610</v>
      </c>
      <c r="D239" s="53" t="s">
        <v>600</v>
      </c>
      <c r="E239" s="69" t="s">
        <v>41</v>
      </c>
      <c r="F239" s="69" t="s">
        <v>534</v>
      </c>
      <c r="G239" s="69"/>
      <c r="H239" s="69" t="s">
        <v>183</v>
      </c>
      <c r="I239" s="69" t="s">
        <v>533</v>
      </c>
    </row>
    <row r="240" spans="2:9">
      <c r="B240" s="69" t="s">
        <v>468</v>
      </c>
      <c r="C240" s="53" t="s">
        <v>213</v>
      </c>
      <c r="D240" s="53" t="s">
        <v>212</v>
      </c>
      <c r="E240" s="69" t="s">
        <v>41</v>
      </c>
      <c r="F240" s="69" t="s">
        <v>534</v>
      </c>
      <c r="G240" s="69"/>
      <c r="H240" s="69" t="s">
        <v>185</v>
      </c>
      <c r="I240" s="69" t="s">
        <v>533</v>
      </c>
    </row>
    <row r="241" spans="2:9">
      <c r="B241" s="69" t="s">
        <v>468</v>
      </c>
      <c r="C241" s="53" t="s">
        <v>10</v>
      </c>
      <c r="D241" s="53" t="s">
        <v>16</v>
      </c>
      <c r="E241" s="69" t="s">
        <v>41</v>
      </c>
      <c r="F241" s="69" t="s">
        <v>534</v>
      </c>
      <c r="G241" s="69"/>
      <c r="H241" s="69"/>
      <c r="I241" s="69" t="s">
        <v>533</v>
      </c>
    </row>
    <row r="242" spans="2:9">
      <c r="B242" s="69" t="s">
        <v>468</v>
      </c>
      <c r="C242" s="53" t="s">
        <v>11</v>
      </c>
      <c r="D242" s="53" t="s">
        <v>17</v>
      </c>
      <c r="E242" s="69" t="s">
        <v>41</v>
      </c>
      <c r="F242" s="69" t="s">
        <v>534</v>
      </c>
      <c r="G242" s="69"/>
      <c r="H242" s="69"/>
      <c r="I242" s="69" t="s">
        <v>533</v>
      </c>
    </row>
    <row r="243" spans="2:9">
      <c r="B243" s="69" t="s">
        <v>468</v>
      </c>
      <c r="C243" s="53" t="s">
        <v>12</v>
      </c>
      <c r="D243" s="53" t="s">
        <v>18</v>
      </c>
      <c r="E243" s="69" t="s">
        <v>41</v>
      </c>
      <c r="F243" s="69" t="s">
        <v>534</v>
      </c>
      <c r="G243" s="69"/>
      <c r="H243" s="69"/>
      <c r="I243" s="69" t="s">
        <v>533</v>
      </c>
    </row>
    <row r="244" spans="2:9">
      <c r="B244" s="69" t="s">
        <v>468</v>
      </c>
      <c r="C244" s="53" t="s">
        <v>13</v>
      </c>
      <c r="D244" s="53" t="s">
        <v>19</v>
      </c>
      <c r="E244" s="69" t="s">
        <v>41</v>
      </c>
      <c r="F244" s="69" t="s">
        <v>534</v>
      </c>
      <c r="G244" s="69"/>
      <c r="H244" s="69"/>
      <c r="I244" s="69" t="s">
        <v>533</v>
      </c>
    </row>
    <row r="245" spans="2:9">
      <c r="B245" s="69" t="s">
        <v>468</v>
      </c>
      <c r="C245" s="53" t="s">
        <v>14</v>
      </c>
      <c r="D245" s="53" t="s">
        <v>20</v>
      </c>
      <c r="E245" s="69" t="s">
        <v>41</v>
      </c>
      <c r="F245" s="69" t="s">
        <v>534</v>
      </c>
      <c r="G245" s="69"/>
      <c r="H245" s="69"/>
      <c r="I245" s="69" t="s">
        <v>533</v>
      </c>
    </row>
    <row r="246" spans="2:9">
      <c r="B246" s="69" t="s">
        <v>468</v>
      </c>
      <c r="C246" s="53" t="s">
        <v>205</v>
      </c>
      <c r="D246" s="53" t="s">
        <v>204</v>
      </c>
      <c r="E246" s="69" t="s">
        <v>41</v>
      </c>
      <c r="F246" s="69" t="s">
        <v>534</v>
      </c>
      <c r="G246" s="69"/>
      <c r="H246" s="69"/>
      <c r="I246" s="69" t="s">
        <v>533</v>
      </c>
    </row>
    <row r="247" spans="2:9">
      <c r="B247" s="69" t="s">
        <v>468</v>
      </c>
      <c r="C247" s="53" t="s">
        <v>22</v>
      </c>
      <c r="D247" s="53" t="s">
        <v>21</v>
      </c>
      <c r="E247" s="69" t="s">
        <v>41</v>
      </c>
      <c r="F247" s="69" t="s">
        <v>534</v>
      </c>
      <c r="G247" s="69"/>
      <c r="H247" s="69"/>
      <c r="I247" s="69" t="s">
        <v>533</v>
      </c>
    </row>
    <row r="248" spans="2:9">
      <c r="B248" s="69" t="s">
        <v>468</v>
      </c>
      <c r="C248" s="53" t="s">
        <v>27</v>
      </c>
      <c r="D248" s="53" t="s">
        <v>28</v>
      </c>
      <c r="E248" s="69" t="s">
        <v>41</v>
      </c>
      <c r="F248" s="69" t="s">
        <v>534</v>
      </c>
      <c r="G248" s="69"/>
      <c r="H248" s="69"/>
      <c r="I248" s="69" t="s">
        <v>126</v>
      </c>
    </row>
    <row r="249" spans="2:9">
      <c r="B249" s="69" t="s">
        <v>468</v>
      </c>
      <c r="C249" s="53" t="s">
        <v>8</v>
      </c>
      <c r="D249" s="53" t="s">
        <v>9</v>
      </c>
      <c r="E249" s="69" t="s">
        <v>41</v>
      </c>
      <c r="F249" s="69" t="s">
        <v>534</v>
      </c>
      <c r="G249" s="69"/>
      <c r="H249" s="69"/>
      <c r="I249" s="69" t="s">
        <v>533</v>
      </c>
    </row>
    <row r="250" spans="2:9">
      <c r="B250" s="69" t="s">
        <v>468</v>
      </c>
      <c r="C250" s="53" t="str">
        <f>C$21</f>
        <v>UBIOWOD15</v>
      </c>
      <c r="D250" s="53" t="str">
        <f>D$21</f>
        <v>Stemwood biomass</v>
      </c>
      <c r="E250" s="69" t="s">
        <v>41</v>
      </c>
      <c r="F250" s="69" t="s">
        <v>534</v>
      </c>
      <c r="G250" s="69"/>
      <c r="H250" s="69"/>
      <c r="I250" s="69" t="s">
        <v>533</v>
      </c>
    </row>
    <row r="251" spans="2:9">
      <c r="B251" s="69" t="s">
        <v>468</v>
      </c>
      <c r="C251" s="53" t="s">
        <v>689</v>
      </c>
      <c r="D251" s="53" t="s">
        <v>690</v>
      </c>
      <c r="E251" s="69" t="s">
        <v>41</v>
      </c>
      <c r="F251" s="69" t="s">
        <v>534</v>
      </c>
      <c r="G251" s="69"/>
      <c r="H251" s="69" t="s">
        <v>724</v>
      </c>
      <c r="I251" s="69" t="s">
        <v>533</v>
      </c>
    </row>
    <row r="252" spans="2:9">
      <c r="B252" s="69" t="s">
        <v>468</v>
      </c>
      <c r="C252" s="53" t="s">
        <v>477</v>
      </c>
      <c r="D252" s="53" t="s">
        <v>478</v>
      </c>
      <c r="E252" s="69" t="s">
        <v>41</v>
      </c>
      <c r="F252" s="69" t="s">
        <v>534</v>
      </c>
      <c r="G252" s="69"/>
      <c r="H252" s="69" t="s">
        <v>191</v>
      </c>
      <c r="I252" s="69" t="s">
        <v>533</v>
      </c>
    </row>
    <row r="253" spans="2:9">
      <c r="B253" s="69" t="s">
        <v>468</v>
      </c>
      <c r="C253" s="53" t="s">
        <v>644</v>
      </c>
      <c r="D253" s="53" t="s">
        <v>649</v>
      </c>
      <c r="E253" s="69" t="s">
        <v>41</v>
      </c>
      <c r="F253" s="69" t="s">
        <v>534</v>
      </c>
      <c r="G253" s="69"/>
      <c r="H253" s="69" t="s">
        <v>495</v>
      </c>
      <c r="I253" s="69" t="s">
        <v>533</v>
      </c>
    </row>
  </sheetData>
  <phoneticPr fontId="0" type="noConversion"/>
  <pageMargins left="0.75" right="0.75" top="1" bottom="1" header="0.5" footer="0.5"/>
  <pageSetup scale="30" fitToWidth="7" orientation="portrait" horizontalDpi="4294967292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2:AW155"/>
  <sheetViews>
    <sheetView tabSelected="1" topLeftCell="A46" zoomScale="80" workbookViewId="0">
      <selection activeCell="E92" sqref="E92"/>
    </sheetView>
  </sheetViews>
  <sheetFormatPr defaultColWidth="8.85546875" defaultRowHeight="12.75"/>
  <cols>
    <col min="1" max="2" width="8.5703125" style="5" customWidth="1"/>
    <col min="3" max="3" width="19.140625" style="5" customWidth="1"/>
    <col min="4" max="4" width="25" style="5" customWidth="1"/>
    <col min="5" max="5" width="15" style="5" customWidth="1"/>
    <col min="6" max="6" width="10.28515625" style="5" customWidth="1"/>
    <col min="7" max="7" width="10.42578125" style="5" customWidth="1"/>
    <col min="8" max="8" width="11.5703125" style="5" customWidth="1"/>
    <col min="9" max="9" width="10.5703125" style="5" customWidth="1"/>
    <col min="10" max="12" width="8.42578125" style="5" customWidth="1"/>
    <col min="13" max="13" width="9.7109375" style="5" customWidth="1"/>
    <col min="14" max="16" width="8.85546875" style="5" customWidth="1"/>
    <col min="17" max="17" width="8.5703125" style="5" customWidth="1"/>
    <col min="18" max="18" width="9.85546875" style="5" customWidth="1"/>
    <col min="19" max="16384" width="8.85546875" style="5"/>
  </cols>
  <sheetData>
    <row r="2" spans="2:49">
      <c r="F2" s="188"/>
    </row>
    <row r="3" spans="2:49">
      <c r="F3" s="188"/>
    </row>
    <row r="4" spans="2:49" ht="18">
      <c r="B4" s="38" t="s">
        <v>652</v>
      </c>
      <c r="C4" s="39"/>
      <c r="D4" s="40"/>
      <c r="F4" s="22"/>
      <c r="I4" s="22" t="s">
        <v>516</v>
      </c>
    </row>
    <row r="5" spans="2:49" ht="26.25" thickBot="1">
      <c r="B5" s="83" t="s">
        <v>33</v>
      </c>
      <c r="C5" s="83" t="s">
        <v>555</v>
      </c>
      <c r="D5" s="83" t="s">
        <v>556</v>
      </c>
      <c r="E5" s="83" t="s">
        <v>557</v>
      </c>
      <c r="F5" s="83" t="s">
        <v>569</v>
      </c>
      <c r="G5" s="83" t="s">
        <v>430</v>
      </c>
      <c r="H5" s="83" t="s">
        <v>604</v>
      </c>
      <c r="I5" s="387" t="s">
        <v>385</v>
      </c>
      <c r="J5" s="83">
        <v>2010</v>
      </c>
      <c r="K5" s="83">
        <v>2020</v>
      </c>
      <c r="L5" s="83">
        <v>2030</v>
      </c>
      <c r="M5" s="83">
        <v>2050</v>
      </c>
      <c r="N5" s="386" t="s">
        <v>97</v>
      </c>
      <c r="O5" s="83" t="s">
        <v>139</v>
      </c>
      <c r="P5" s="83" t="s">
        <v>103</v>
      </c>
      <c r="Q5" s="83" t="s">
        <v>98</v>
      </c>
      <c r="R5" s="83" t="s">
        <v>99</v>
      </c>
      <c r="S5" s="83" t="s">
        <v>100</v>
      </c>
      <c r="T5" s="83" t="s">
        <v>96</v>
      </c>
      <c r="U5" s="83" t="s">
        <v>102</v>
      </c>
      <c r="V5" s="189" t="s">
        <v>653</v>
      </c>
      <c r="W5" s="189" t="s">
        <v>654</v>
      </c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</row>
    <row r="6" spans="2:49">
      <c r="B6" s="48" t="s">
        <v>792</v>
      </c>
      <c r="C6" s="46" t="s">
        <v>655</v>
      </c>
      <c r="D6" s="46" t="s">
        <v>804</v>
      </c>
      <c r="E6" s="47"/>
      <c r="F6" s="54" t="s">
        <v>582</v>
      </c>
      <c r="G6" s="47"/>
      <c r="H6" s="47"/>
      <c r="I6" s="271" t="s">
        <v>98</v>
      </c>
      <c r="J6" s="196"/>
      <c r="K6" s="196">
        <v>943.39622641509425</v>
      </c>
      <c r="L6" s="385">
        <v>770.00616004928031</v>
      </c>
      <c r="M6" s="385">
        <v>625</v>
      </c>
      <c r="N6" s="389">
        <v>2011</v>
      </c>
      <c r="O6" s="50">
        <v>22</v>
      </c>
      <c r="P6" s="50">
        <v>0.1</v>
      </c>
      <c r="Q6" s="147">
        <f>K6</f>
        <v>943.39622641509425</v>
      </c>
      <c r="R6" s="147">
        <f>K7</f>
        <v>47.169811320754711</v>
      </c>
      <c r="S6" s="51"/>
      <c r="T6" s="51">
        <v>31.536000000000001</v>
      </c>
      <c r="U6" s="47">
        <v>0.95</v>
      </c>
      <c r="V6" s="47"/>
      <c r="W6" s="47"/>
    </row>
    <row r="7" spans="2:49">
      <c r="B7" s="48" t="s">
        <v>792</v>
      </c>
      <c r="C7" s="192"/>
      <c r="D7" s="192"/>
      <c r="E7" s="47"/>
      <c r="F7" s="54"/>
      <c r="G7" s="47"/>
      <c r="H7" s="47"/>
      <c r="I7" s="271" t="s">
        <v>99</v>
      </c>
      <c r="J7" s="196"/>
      <c r="K7" s="196">
        <v>47.169811320754711</v>
      </c>
      <c r="L7" s="196">
        <v>38.500308002464017</v>
      </c>
      <c r="M7" s="196">
        <v>31.25</v>
      </c>
      <c r="N7" s="390"/>
      <c r="O7" s="50"/>
      <c r="P7" s="50"/>
      <c r="Q7" s="54"/>
      <c r="R7" s="54"/>
      <c r="S7" s="56"/>
      <c r="T7" s="56"/>
      <c r="U7" s="54"/>
      <c r="V7" s="54"/>
      <c r="W7" s="54"/>
    </row>
    <row r="8" spans="2:49">
      <c r="B8" s="20"/>
      <c r="C8" s="47"/>
      <c r="D8" s="47"/>
      <c r="E8" s="47" t="s">
        <v>651</v>
      </c>
      <c r="F8" s="54"/>
      <c r="G8" s="47"/>
      <c r="H8" s="47"/>
      <c r="I8" s="271" t="s">
        <v>190</v>
      </c>
      <c r="J8" s="159"/>
      <c r="K8" s="159">
        <v>1.5723270440251571</v>
      </c>
      <c r="L8" s="159">
        <v>1.4000112000896006</v>
      </c>
      <c r="M8" s="159">
        <v>1.25</v>
      </c>
      <c r="N8" s="389"/>
      <c r="O8" s="50"/>
      <c r="P8" s="50"/>
      <c r="Q8" s="47"/>
      <c r="R8" s="47"/>
      <c r="S8" s="51"/>
      <c r="T8" s="51"/>
      <c r="U8" s="47"/>
      <c r="V8" s="47"/>
      <c r="W8" s="47"/>
    </row>
    <row r="9" spans="2:49">
      <c r="B9" s="20"/>
      <c r="C9" s="47"/>
      <c r="D9" s="47"/>
      <c r="E9" s="47"/>
      <c r="F9" s="47" t="s">
        <v>493</v>
      </c>
      <c r="G9" s="47"/>
      <c r="H9" s="47"/>
      <c r="I9" s="271" t="s">
        <v>782</v>
      </c>
      <c r="J9" s="159"/>
      <c r="K9" s="159">
        <v>0.21412578616352201</v>
      </c>
      <c r="L9" s="159">
        <v>0.16800134401075206</v>
      </c>
      <c r="M9" s="159">
        <v>0.1</v>
      </c>
      <c r="N9" s="389"/>
      <c r="O9" s="55"/>
      <c r="P9" s="55"/>
      <c r="Q9" s="47"/>
      <c r="R9" s="47"/>
      <c r="S9" s="51"/>
      <c r="T9" s="51"/>
      <c r="U9" s="47"/>
      <c r="V9" s="47"/>
      <c r="W9" s="47"/>
    </row>
    <row r="10" spans="2:49">
      <c r="B10" s="48" t="s">
        <v>792</v>
      </c>
      <c r="C10" s="46" t="s">
        <v>841</v>
      </c>
      <c r="D10" s="46" t="s">
        <v>835</v>
      </c>
      <c r="E10" s="47"/>
      <c r="F10" s="54" t="s">
        <v>672</v>
      </c>
      <c r="G10" s="47"/>
      <c r="H10" s="47"/>
      <c r="I10" s="271" t="s">
        <v>98</v>
      </c>
      <c r="J10" s="196"/>
      <c r="K10" s="196">
        <v>1158.6038272344745</v>
      </c>
      <c r="L10" s="196">
        <v>939.91596311505953</v>
      </c>
      <c r="M10" s="196">
        <v>758.1522319828938</v>
      </c>
      <c r="N10" s="389">
        <v>2011</v>
      </c>
      <c r="O10" s="50">
        <v>20</v>
      </c>
      <c r="P10" s="50">
        <v>0.1</v>
      </c>
      <c r="Q10" s="147">
        <f>K10</f>
        <v>1158.6038272344745</v>
      </c>
      <c r="R10" s="147">
        <f>K11</f>
        <v>57.930191361723729</v>
      </c>
      <c r="S10" s="51"/>
      <c r="T10" s="51">
        <v>31.536000000000001</v>
      </c>
      <c r="U10" s="47">
        <v>0.95</v>
      </c>
      <c r="V10" s="47"/>
      <c r="W10" s="47"/>
    </row>
    <row r="11" spans="2:49">
      <c r="B11" s="48" t="s">
        <v>792</v>
      </c>
      <c r="C11" s="192"/>
      <c r="D11" s="192"/>
      <c r="E11" s="47"/>
      <c r="F11" s="54"/>
      <c r="G11" s="47"/>
      <c r="H11" s="47"/>
      <c r="I11" s="271" t="s">
        <v>99</v>
      </c>
      <c r="J11" s="196"/>
      <c r="K11" s="196">
        <f>K10*0.05</f>
        <v>57.930191361723729</v>
      </c>
      <c r="L11" s="196">
        <f>L10*0.05</f>
        <v>46.995798155752979</v>
      </c>
      <c r="M11" s="196">
        <f>M10*0.05</f>
        <v>37.907611599144694</v>
      </c>
      <c r="N11" s="390"/>
      <c r="O11" s="50"/>
      <c r="P11" s="50"/>
      <c r="Q11" s="54"/>
      <c r="R11" s="54"/>
      <c r="S11" s="56"/>
      <c r="T11" s="56"/>
      <c r="U11" s="54"/>
      <c r="V11" s="54"/>
      <c r="W11" s="54"/>
    </row>
    <row r="12" spans="2:49">
      <c r="B12" s="20"/>
      <c r="C12" s="47"/>
      <c r="D12" s="47"/>
      <c r="E12" s="47" t="s">
        <v>651</v>
      </c>
      <c r="F12" s="54"/>
      <c r="G12" s="47"/>
      <c r="H12" s="47"/>
      <c r="I12" s="271" t="s">
        <v>190</v>
      </c>
      <c r="J12" s="159"/>
      <c r="K12" s="159">
        <v>1.62</v>
      </c>
      <c r="L12" s="159">
        <v>1.5723270440251571</v>
      </c>
      <c r="M12" s="159">
        <v>1.4000112000896006</v>
      </c>
      <c r="N12" s="389"/>
      <c r="O12" s="55"/>
      <c r="P12" s="55"/>
      <c r="Q12" s="47"/>
      <c r="R12" s="47"/>
      <c r="S12" s="51"/>
      <c r="T12" s="51"/>
      <c r="U12" s="47"/>
      <c r="V12" s="47"/>
      <c r="W12" s="47"/>
    </row>
    <row r="13" spans="2:49">
      <c r="B13" s="48" t="s">
        <v>792</v>
      </c>
      <c r="C13" s="46" t="s">
        <v>805</v>
      </c>
      <c r="D13" s="46" t="s">
        <v>806</v>
      </c>
      <c r="E13" s="47" t="s">
        <v>108</v>
      </c>
      <c r="F13" s="47" t="s">
        <v>582</v>
      </c>
      <c r="G13" s="47"/>
      <c r="H13" s="47" t="s">
        <v>108</v>
      </c>
      <c r="I13" s="271" t="s">
        <v>98</v>
      </c>
      <c r="J13" s="196"/>
      <c r="K13" s="196">
        <v>2894.7368421052633</v>
      </c>
      <c r="L13" s="385">
        <v>759.49367088607596</v>
      </c>
      <c r="M13" s="385">
        <v>506.32911392405066</v>
      </c>
      <c r="N13" s="389">
        <v>2030</v>
      </c>
      <c r="O13" s="50">
        <v>20</v>
      </c>
      <c r="P13" s="50">
        <v>0.1</v>
      </c>
      <c r="Q13" s="47"/>
      <c r="R13" s="47"/>
      <c r="S13" s="51"/>
      <c r="T13" s="51">
        <v>31.536000000000001</v>
      </c>
      <c r="U13" s="47">
        <v>0.95</v>
      </c>
      <c r="V13" s="47"/>
      <c r="W13" s="47"/>
    </row>
    <row r="14" spans="2:49">
      <c r="B14" s="48" t="s">
        <v>792</v>
      </c>
      <c r="C14" s="46" t="s">
        <v>108</v>
      </c>
      <c r="D14" s="46" t="s">
        <v>108</v>
      </c>
      <c r="E14" s="47" t="s">
        <v>108</v>
      </c>
      <c r="F14" s="54" t="s">
        <v>108</v>
      </c>
      <c r="G14" s="47"/>
      <c r="H14" s="47" t="s">
        <v>108</v>
      </c>
      <c r="I14" s="271" t="s">
        <v>99</v>
      </c>
      <c r="J14" s="196"/>
      <c r="K14" s="196">
        <v>86.842105263157904</v>
      </c>
      <c r="L14" s="385">
        <v>22.784810126582279</v>
      </c>
      <c r="M14" s="385">
        <v>15.18987341772152</v>
      </c>
      <c r="N14" s="389"/>
      <c r="O14" s="50"/>
      <c r="P14" s="50"/>
      <c r="Q14" s="47"/>
      <c r="R14" s="47"/>
      <c r="S14" s="51"/>
      <c r="T14" s="51"/>
      <c r="U14" s="47"/>
      <c r="V14" s="47"/>
      <c r="W14" s="47"/>
    </row>
    <row r="15" spans="2:49">
      <c r="B15" s="20"/>
      <c r="C15" s="46" t="s">
        <v>108</v>
      </c>
      <c r="D15" s="46" t="s">
        <v>108</v>
      </c>
      <c r="E15" s="47" t="s">
        <v>651</v>
      </c>
      <c r="F15" s="47" t="s">
        <v>493</v>
      </c>
      <c r="G15" s="47"/>
      <c r="H15" s="47" t="s">
        <v>108</v>
      </c>
      <c r="I15" s="271" t="s">
        <v>190</v>
      </c>
      <c r="J15" s="196"/>
      <c r="K15" s="159">
        <v>1.118421052631579</v>
      </c>
      <c r="L15" s="187">
        <v>1.0759493670886076</v>
      </c>
      <c r="M15" s="187">
        <v>1.0759493670886076</v>
      </c>
      <c r="N15" s="389"/>
      <c r="O15" s="50"/>
      <c r="P15" s="50"/>
      <c r="Q15" s="47"/>
      <c r="R15" s="47"/>
      <c r="S15" s="51"/>
      <c r="T15" s="51"/>
      <c r="U15" s="47"/>
      <c r="V15" s="122">
        <v>1.8987341772151899E-2</v>
      </c>
      <c r="W15" s="47"/>
    </row>
    <row r="16" spans="2:49">
      <c r="B16" s="20"/>
      <c r="C16" s="46" t="s">
        <v>108</v>
      </c>
      <c r="D16" s="46" t="s">
        <v>108</v>
      </c>
      <c r="E16" s="47" t="s">
        <v>155</v>
      </c>
      <c r="F16" s="54" t="s">
        <v>108</v>
      </c>
      <c r="G16" s="47" t="s">
        <v>108</v>
      </c>
      <c r="H16" s="47" t="s">
        <v>108</v>
      </c>
      <c r="I16" s="271" t="s">
        <v>190</v>
      </c>
      <c r="J16" s="196"/>
      <c r="K16" s="159">
        <v>0.19736842105263158</v>
      </c>
      <c r="L16" s="187">
        <v>0.189873417721519</v>
      </c>
      <c r="M16" s="187">
        <v>0.189873417721519</v>
      </c>
      <c r="N16" s="389"/>
      <c r="O16" s="50"/>
      <c r="P16" s="50"/>
      <c r="Q16" s="47"/>
      <c r="R16" s="47"/>
      <c r="S16" s="51"/>
      <c r="T16" s="51"/>
      <c r="U16" s="47"/>
      <c r="V16" s="47"/>
      <c r="W16" s="47"/>
    </row>
    <row r="17" spans="2:49">
      <c r="B17" s="20"/>
      <c r="C17" s="46" t="s">
        <v>108</v>
      </c>
      <c r="D17" s="46" t="s">
        <v>108</v>
      </c>
      <c r="E17" s="47" t="s">
        <v>108</v>
      </c>
      <c r="F17" s="54" t="s">
        <v>108</v>
      </c>
      <c r="G17" s="47" t="s">
        <v>108</v>
      </c>
      <c r="H17" s="47" t="s">
        <v>108</v>
      </c>
      <c r="I17" s="271" t="s">
        <v>139</v>
      </c>
      <c r="J17" s="196"/>
      <c r="K17" s="196">
        <v>20</v>
      </c>
      <c r="L17" s="385">
        <v>20</v>
      </c>
      <c r="M17" s="385">
        <v>30</v>
      </c>
      <c r="N17" s="389"/>
      <c r="O17" s="55"/>
      <c r="P17" s="55"/>
      <c r="Q17" s="47"/>
      <c r="R17" s="47"/>
      <c r="S17" s="51"/>
      <c r="T17" s="51"/>
      <c r="U17" s="47"/>
      <c r="V17" s="47"/>
      <c r="W17" s="47"/>
    </row>
    <row r="18" spans="2:49">
      <c r="B18" s="48" t="s">
        <v>621</v>
      </c>
      <c r="C18" s="46" t="s">
        <v>658</v>
      </c>
      <c r="D18" s="46" t="s">
        <v>727</v>
      </c>
      <c r="E18" s="47" t="s">
        <v>336</v>
      </c>
      <c r="F18" s="47"/>
      <c r="G18" s="47"/>
      <c r="H18" s="47"/>
      <c r="I18" s="271" t="s">
        <v>98</v>
      </c>
      <c r="J18" s="159"/>
      <c r="K18" s="196">
        <v>1526.1538461538462</v>
      </c>
      <c r="L18" s="196">
        <v>791.69230769230762</v>
      </c>
      <c r="M18" s="196">
        <v>629.53846153846155</v>
      </c>
      <c r="N18" s="389">
        <v>2030</v>
      </c>
      <c r="O18" s="50">
        <v>20</v>
      </c>
      <c r="P18" s="50">
        <v>0.1</v>
      </c>
      <c r="Q18" s="47">
        <v>1860</v>
      </c>
      <c r="R18" s="47">
        <v>74.400000000000006</v>
      </c>
      <c r="S18" s="123">
        <v>0.99199999999999999</v>
      </c>
      <c r="T18" s="51">
        <f>3.6*8.76</f>
        <v>31.536000000000001</v>
      </c>
      <c r="U18" s="47">
        <v>0.95</v>
      </c>
      <c r="V18" s="49"/>
      <c r="W18" s="49">
        <v>-2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2:49">
      <c r="B19" s="48" t="s">
        <v>621</v>
      </c>
      <c r="C19" s="194"/>
      <c r="D19" s="195"/>
      <c r="E19" s="47" t="s">
        <v>651</v>
      </c>
      <c r="F19" s="47"/>
      <c r="G19" s="47"/>
      <c r="H19" s="47"/>
      <c r="I19" s="271" t="s">
        <v>99</v>
      </c>
      <c r="J19" s="159"/>
      <c r="K19" s="191">
        <v>61.046153846153842</v>
      </c>
      <c r="L19" s="191">
        <v>37.209538461538457</v>
      </c>
      <c r="M19" s="191">
        <v>29.588307692307694</v>
      </c>
      <c r="N19" s="389"/>
      <c r="O19" s="50"/>
      <c r="P19" s="50"/>
      <c r="Q19" s="47"/>
      <c r="R19" s="47"/>
      <c r="S19" s="51"/>
      <c r="T19" s="51"/>
      <c r="U19" s="47"/>
      <c r="V19" s="49"/>
      <c r="W19" s="49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</row>
    <row r="20" spans="2:49">
      <c r="B20" s="20"/>
      <c r="C20" s="194"/>
      <c r="D20" s="195"/>
      <c r="E20" s="47"/>
      <c r="F20" s="47"/>
      <c r="G20" s="47" t="s">
        <v>493</v>
      </c>
      <c r="H20" s="47" t="str">
        <f>F21</f>
        <v>ELCC</v>
      </c>
      <c r="I20" s="271" t="s">
        <v>46</v>
      </c>
      <c r="J20" s="159"/>
      <c r="K20" s="159">
        <v>0.72</v>
      </c>
      <c r="L20" s="159">
        <v>0.63636363636363624</v>
      </c>
      <c r="M20" s="159">
        <v>0.56666666666666676</v>
      </c>
      <c r="N20" s="389"/>
      <c r="O20" s="50"/>
      <c r="P20" s="50"/>
      <c r="Q20" s="47"/>
      <c r="R20" s="47"/>
      <c r="S20" s="51"/>
      <c r="T20" s="51"/>
      <c r="U20" s="47"/>
      <c r="V20" s="49"/>
      <c r="W20" s="49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 spans="2:49">
      <c r="B21" s="20"/>
      <c r="C21" s="194"/>
      <c r="D21" s="195"/>
      <c r="E21" s="47"/>
      <c r="F21" s="47" t="s">
        <v>32</v>
      </c>
      <c r="G21" s="47"/>
      <c r="H21" s="47" t="s">
        <v>336</v>
      </c>
      <c r="I21" s="271" t="s">
        <v>46</v>
      </c>
      <c r="J21" s="159">
        <v>0.45</v>
      </c>
      <c r="K21" s="159">
        <v>0.5</v>
      </c>
      <c r="L21" s="159">
        <v>0.55000000000000004</v>
      </c>
      <c r="M21" s="159">
        <v>0.6</v>
      </c>
      <c r="N21" s="389"/>
      <c r="O21" s="50"/>
      <c r="P21" s="50"/>
      <c r="Q21" s="47"/>
      <c r="R21" s="47"/>
      <c r="S21" s="51"/>
      <c r="T21" s="51"/>
      <c r="U21" s="47"/>
      <c r="V21" s="49"/>
      <c r="W21" s="49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2:49">
      <c r="B22" s="20"/>
      <c r="C22" s="194"/>
      <c r="D22" s="195"/>
      <c r="E22" s="47"/>
      <c r="F22" s="47" t="s">
        <v>582</v>
      </c>
      <c r="G22" s="47"/>
      <c r="H22" s="47" t="str">
        <f>E19</f>
        <v>SUPELC</v>
      </c>
      <c r="I22" s="271" t="s">
        <v>46</v>
      </c>
      <c r="J22" s="159">
        <v>0.73</v>
      </c>
      <c r="K22" s="159">
        <v>0.76</v>
      </c>
      <c r="L22" s="159">
        <v>0.82</v>
      </c>
      <c r="M22" s="159">
        <v>0.86</v>
      </c>
      <c r="N22" s="389"/>
      <c r="O22" s="55"/>
      <c r="P22" s="55"/>
      <c r="Q22" s="47"/>
      <c r="R22" s="47"/>
      <c r="S22" s="51"/>
      <c r="T22" s="51"/>
      <c r="U22" s="47"/>
      <c r="V22" s="49"/>
      <c r="W22" s="49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2:49">
      <c r="B23" s="48" t="s">
        <v>621</v>
      </c>
      <c r="C23" s="46" t="s">
        <v>656</v>
      </c>
      <c r="D23" s="46" t="s">
        <v>657</v>
      </c>
      <c r="E23" s="47"/>
      <c r="F23" s="54" t="s">
        <v>582</v>
      </c>
      <c r="G23" s="54"/>
      <c r="H23" s="54"/>
      <c r="I23" s="271"/>
      <c r="J23" s="158"/>
      <c r="K23" s="158"/>
      <c r="L23" s="158"/>
      <c r="M23" s="158"/>
      <c r="N23" s="389">
        <v>2000</v>
      </c>
      <c r="O23" s="50">
        <v>20</v>
      </c>
      <c r="P23" s="50">
        <f>$P$6</f>
        <v>0.1</v>
      </c>
      <c r="Q23" s="47">
        <v>12.4</v>
      </c>
      <c r="R23" s="47">
        <v>0.69440000000000002</v>
      </c>
      <c r="S23" s="51"/>
      <c r="T23" s="51"/>
      <c r="U23" s="47">
        <v>0.95</v>
      </c>
      <c r="V23" s="47"/>
      <c r="W23" s="47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</row>
    <row r="24" spans="2:49">
      <c r="B24" s="20"/>
      <c r="C24" s="46"/>
      <c r="D24" s="46"/>
      <c r="E24" s="47" t="s">
        <v>180</v>
      </c>
      <c r="F24" s="47"/>
      <c r="G24" s="47"/>
      <c r="H24" s="47"/>
      <c r="I24" s="271" t="s">
        <v>190</v>
      </c>
      <c r="J24" s="159">
        <f>1/0.8</f>
        <v>1.25</v>
      </c>
      <c r="K24" s="159"/>
      <c r="L24" s="159">
        <f>1/0.83</f>
        <v>1.2048192771084338</v>
      </c>
      <c r="M24" s="159">
        <f>1/0.86</f>
        <v>1.1627906976744187</v>
      </c>
      <c r="N24" s="389"/>
      <c r="O24" s="50"/>
      <c r="P24" s="50"/>
      <c r="Q24" s="47"/>
      <c r="R24" s="47"/>
      <c r="S24" s="51"/>
      <c r="T24" s="51"/>
      <c r="U24" s="47"/>
      <c r="V24" s="47"/>
      <c r="W24" s="47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spans="2:49">
      <c r="B25" s="20"/>
      <c r="C25" s="48"/>
      <c r="D25" s="193"/>
      <c r="E25" s="47"/>
      <c r="F25" s="47" t="s">
        <v>602</v>
      </c>
      <c r="G25" s="47"/>
      <c r="H25" s="47"/>
      <c r="I25" s="271" t="s">
        <v>653</v>
      </c>
      <c r="J25" s="159">
        <f>J24*55.8</f>
        <v>69.75</v>
      </c>
      <c r="K25" s="159"/>
      <c r="L25" s="159">
        <f>L24*55.8</f>
        <v>67.228915662650607</v>
      </c>
      <c r="M25" s="159">
        <f>M24*55.8</f>
        <v>64.883720930232556</v>
      </c>
      <c r="N25" s="389"/>
      <c r="O25" s="50"/>
      <c r="P25" s="50"/>
      <c r="Q25" s="47"/>
      <c r="R25" s="47"/>
      <c r="S25" s="51"/>
      <c r="T25" s="51"/>
      <c r="U25" s="47"/>
      <c r="V25" s="49"/>
      <c r="W25" s="49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2:49">
      <c r="B26" s="20"/>
      <c r="C26" s="48"/>
      <c r="D26" s="193"/>
      <c r="E26" s="47"/>
      <c r="F26" s="47" t="s">
        <v>591</v>
      </c>
      <c r="G26" s="47"/>
      <c r="H26" s="47"/>
      <c r="I26" s="271"/>
      <c r="J26" s="158"/>
      <c r="K26" s="158"/>
      <c r="L26" s="158"/>
      <c r="M26" s="158"/>
      <c r="N26" s="389"/>
      <c r="O26" s="50"/>
      <c r="P26" s="50"/>
      <c r="Q26" s="47"/>
      <c r="R26" s="47"/>
      <c r="S26" s="51"/>
      <c r="T26" s="51"/>
      <c r="U26" s="47"/>
      <c r="V26" s="49">
        <v>0.13</v>
      </c>
      <c r="W26" s="49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</row>
    <row r="27" spans="2:49">
      <c r="B27" s="20"/>
      <c r="C27" s="194"/>
      <c r="D27" s="195"/>
      <c r="E27" s="47"/>
      <c r="F27" s="47" t="s">
        <v>592</v>
      </c>
      <c r="G27" s="47"/>
      <c r="H27" s="47"/>
      <c r="I27" s="271"/>
      <c r="J27" s="158"/>
      <c r="K27" s="158"/>
      <c r="L27" s="158"/>
      <c r="M27" s="158"/>
      <c r="N27" s="389"/>
      <c r="O27" s="55"/>
      <c r="P27" s="55"/>
      <c r="Q27" s="47"/>
      <c r="R27" s="47"/>
      <c r="S27" s="51"/>
      <c r="T27" s="51"/>
      <c r="U27" s="47"/>
      <c r="V27" s="49">
        <v>0.62</v>
      </c>
      <c r="W27" s="49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spans="2:49">
      <c r="B28" s="48" t="s">
        <v>621</v>
      </c>
      <c r="C28" s="46" t="s">
        <v>659</v>
      </c>
      <c r="D28" s="46" t="s">
        <v>660</v>
      </c>
      <c r="E28" s="47"/>
      <c r="F28" s="54" t="s">
        <v>582</v>
      </c>
      <c r="G28" s="54"/>
      <c r="H28" s="54"/>
      <c r="I28" s="271"/>
      <c r="J28" s="158"/>
      <c r="K28" s="158"/>
      <c r="L28" s="158"/>
      <c r="M28" s="158"/>
      <c r="N28" s="389">
        <v>2005</v>
      </c>
      <c r="O28" s="50">
        <v>20</v>
      </c>
      <c r="P28" s="50">
        <f>$P$6</f>
        <v>0.1</v>
      </c>
      <c r="Q28" s="47">
        <v>15.5</v>
      </c>
      <c r="R28" s="47">
        <v>1.24</v>
      </c>
      <c r="S28" s="123">
        <v>0.25142642999999998</v>
      </c>
      <c r="T28" s="51"/>
      <c r="U28" s="47">
        <v>0.95</v>
      </c>
      <c r="V28" s="47"/>
      <c r="W28" s="47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2:49">
      <c r="B29" s="20"/>
      <c r="C29" s="46"/>
      <c r="D29" s="46"/>
      <c r="E29" s="47" t="s">
        <v>180</v>
      </c>
      <c r="F29" s="47"/>
      <c r="G29" s="47"/>
      <c r="H29" s="47"/>
      <c r="I29" s="271" t="s">
        <v>190</v>
      </c>
      <c r="J29" s="159">
        <f>J24*1.02</f>
        <v>1.2749999999999999</v>
      </c>
      <c r="K29" s="159"/>
      <c r="L29" s="159">
        <f>L24*1.03</f>
        <v>1.2409638554216869</v>
      </c>
      <c r="M29" s="159">
        <f>M24*1.03</f>
        <v>1.1976744186046513</v>
      </c>
      <c r="N29" s="389"/>
      <c r="O29" s="50"/>
      <c r="P29" s="50"/>
      <c r="Q29" s="47"/>
      <c r="R29" s="47"/>
      <c r="S29" s="51"/>
      <c r="T29" s="51"/>
      <c r="U29" s="47"/>
      <c r="V29" s="47"/>
      <c r="W29" s="47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 spans="2:49">
      <c r="B30" s="20"/>
      <c r="C30" s="46"/>
      <c r="D30" s="46"/>
      <c r="E30" s="47" t="s">
        <v>651</v>
      </c>
      <c r="F30" s="47"/>
      <c r="G30" s="47"/>
      <c r="H30" s="47"/>
      <c r="I30" s="271" t="s">
        <v>190</v>
      </c>
      <c r="J30" s="159">
        <f>0.017*J29</f>
        <v>2.1675E-2</v>
      </c>
      <c r="K30" s="159"/>
      <c r="L30" s="157"/>
      <c r="M30" s="157"/>
      <c r="N30" s="389"/>
      <c r="O30" s="50"/>
      <c r="P30" s="50"/>
      <c r="Q30" s="47"/>
      <c r="R30" s="47"/>
      <c r="S30" s="51"/>
      <c r="T30" s="51"/>
      <c r="U30" s="47"/>
      <c r="V30" s="47"/>
      <c r="W30" s="47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2:49">
      <c r="B31" s="20"/>
      <c r="C31" s="48"/>
      <c r="D31" s="193"/>
      <c r="E31" s="47"/>
      <c r="F31" s="47" t="s">
        <v>602</v>
      </c>
      <c r="G31" s="47"/>
      <c r="H31" s="47"/>
      <c r="I31" s="271" t="s">
        <v>653</v>
      </c>
      <c r="J31" s="159">
        <f>J29*55.8</f>
        <v>71.144999999999996</v>
      </c>
      <c r="K31" s="159"/>
      <c r="L31" s="159">
        <f>L29*55.8</f>
        <v>69.245783132530121</v>
      </c>
      <c r="M31" s="159">
        <f>M29*55.8</f>
        <v>66.830232558139542</v>
      </c>
      <c r="N31" s="389"/>
      <c r="O31" s="50"/>
      <c r="P31" s="50"/>
      <c r="Q31" s="47"/>
      <c r="R31" s="47"/>
      <c r="S31" s="51"/>
      <c r="T31" s="51"/>
      <c r="U31" s="47"/>
      <c r="V31" s="49"/>
      <c r="W31" s="47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2:49">
      <c r="B32" s="20"/>
      <c r="C32" s="48"/>
      <c r="D32" s="193"/>
      <c r="E32" s="47"/>
      <c r="F32" s="47" t="s">
        <v>661</v>
      </c>
      <c r="G32" s="47"/>
      <c r="H32" s="47"/>
      <c r="I32" s="271" t="s">
        <v>653</v>
      </c>
      <c r="J32" s="159">
        <f>J31*0.95</f>
        <v>67.58775</v>
      </c>
      <c r="K32" s="159"/>
      <c r="L32" s="159">
        <f>L31*0.95</f>
        <v>65.78349397590361</v>
      </c>
      <c r="M32" s="159">
        <f>M31*0.95</f>
        <v>63.48872093023256</v>
      </c>
      <c r="N32" s="389"/>
      <c r="O32" s="50"/>
      <c r="P32" s="50"/>
      <c r="Q32" s="47"/>
      <c r="R32" s="47"/>
      <c r="S32" s="51"/>
      <c r="T32" s="51"/>
      <c r="U32" s="47"/>
      <c r="V32" s="49"/>
      <c r="W32" s="47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2:49">
      <c r="B33" s="20"/>
      <c r="C33" s="48"/>
      <c r="D33" s="193"/>
      <c r="E33" s="47"/>
      <c r="F33" s="47" t="s">
        <v>591</v>
      </c>
      <c r="G33" s="47"/>
      <c r="H33" s="47"/>
      <c r="I33" s="271"/>
      <c r="J33" s="158"/>
      <c r="K33" s="158"/>
      <c r="L33" s="158"/>
      <c r="M33" s="158"/>
      <c r="N33" s="389"/>
      <c r="O33" s="50"/>
      <c r="P33" s="50"/>
      <c r="Q33" s="47"/>
      <c r="R33" s="47"/>
      <c r="S33" s="51"/>
      <c r="T33" s="51"/>
      <c r="U33" s="47"/>
      <c r="V33" s="49">
        <v>0.13</v>
      </c>
      <c r="W33" s="47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2:49">
      <c r="B34" s="20"/>
      <c r="C34" s="194"/>
      <c r="D34" s="195"/>
      <c r="E34" s="47"/>
      <c r="F34" s="47" t="s">
        <v>592</v>
      </c>
      <c r="G34" s="47"/>
      <c r="H34" s="47"/>
      <c r="I34" s="271"/>
      <c r="J34" s="158"/>
      <c r="K34" s="158"/>
      <c r="L34" s="158"/>
      <c r="M34" s="158"/>
      <c r="N34" s="389"/>
      <c r="O34" s="55"/>
      <c r="P34" s="55"/>
      <c r="Q34" s="47"/>
      <c r="R34" s="47"/>
      <c r="S34" s="51"/>
      <c r="T34" s="51"/>
      <c r="U34" s="47"/>
      <c r="V34" s="49">
        <v>0.62</v>
      </c>
      <c r="W34" s="47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</row>
    <row r="35" spans="2:49">
      <c r="B35" s="48" t="s">
        <v>621</v>
      </c>
      <c r="C35" s="46" t="s">
        <v>662</v>
      </c>
      <c r="D35" s="46" t="s">
        <v>663</v>
      </c>
      <c r="E35" s="47"/>
      <c r="F35" s="54" t="s">
        <v>582</v>
      </c>
      <c r="G35" s="54"/>
      <c r="H35" s="54"/>
      <c r="I35" s="271"/>
      <c r="J35" s="158"/>
      <c r="K35" s="158"/>
      <c r="L35" s="158"/>
      <c r="M35" s="158"/>
      <c r="N35" s="389">
        <v>2070</v>
      </c>
      <c r="O35" s="50">
        <v>20</v>
      </c>
      <c r="P35" s="50">
        <f>$P$6</f>
        <v>0.1</v>
      </c>
      <c r="Q35" s="47">
        <v>41.54</v>
      </c>
      <c r="R35" s="47">
        <v>1.86</v>
      </c>
      <c r="S35" s="123">
        <v>0.248</v>
      </c>
      <c r="T35" s="51"/>
      <c r="U35" s="47">
        <v>0.95</v>
      </c>
      <c r="V35" s="122"/>
      <c r="W35" s="47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</row>
    <row r="36" spans="2:49">
      <c r="B36" s="20"/>
      <c r="C36" s="46"/>
      <c r="D36" s="46"/>
      <c r="E36" s="47" t="s">
        <v>182</v>
      </c>
      <c r="F36" s="47"/>
      <c r="G36" s="47"/>
      <c r="H36" s="47"/>
      <c r="I36" s="271" t="s">
        <v>190</v>
      </c>
      <c r="J36" s="159">
        <v>1.5873015873015872</v>
      </c>
      <c r="K36" s="159"/>
      <c r="L36" s="159">
        <v>1.55</v>
      </c>
      <c r="M36" s="159">
        <v>1.5</v>
      </c>
      <c r="N36" s="389"/>
      <c r="O36" s="50"/>
      <c r="P36" s="50"/>
      <c r="Q36" s="47"/>
      <c r="R36" s="47"/>
      <c r="S36" s="123"/>
      <c r="T36" s="51"/>
      <c r="U36" s="47"/>
      <c r="V36" s="122"/>
      <c r="W36" s="47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</row>
    <row r="37" spans="2:49">
      <c r="B37" s="20"/>
      <c r="C37" s="46"/>
      <c r="D37" s="46"/>
      <c r="E37" s="47"/>
      <c r="F37" s="47" t="s">
        <v>602</v>
      </c>
      <c r="G37" s="47"/>
      <c r="H37" s="47"/>
      <c r="I37" s="271" t="s">
        <v>653</v>
      </c>
      <c r="J37" s="159">
        <f>J36*94.6</f>
        <v>150.15873015873015</v>
      </c>
      <c r="K37" s="159"/>
      <c r="L37" s="159">
        <f>L36*94.6</f>
        <v>146.63</v>
      </c>
      <c r="M37" s="159">
        <f>M36*94.6</f>
        <v>141.89999999999998</v>
      </c>
      <c r="N37" s="389"/>
      <c r="O37" s="50"/>
      <c r="P37" s="50"/>
      <c r="Q37" s="47"/>
      <c r="R37" s="47"/>
      <c r="S37" s="123"/>
      <c r="T37" s="51"/>
      <c r="U37" s="47"/>
      <c r="V37" s="49"/>
      <c r="W37" s="47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</row>
    <row r="38" spans="2:49">
      <c r="B38" s="20"/>
      <c r="C38" s="46"/>
      <c r="D38" s="46"/>
      <c r="E38" s="47"/>
      <c r="F38" s="47" t="s">
        <v>591</v>
      </c>
      <c r="G38" s="47"/>
      <c r="H38" s="47"/>
      <c r="I38" s="271"/>
      <c r="J38" s="158"/>
      <c r="K38" s="158"/>
      <c r="L38" s="158"/>
      <c r="M38" s="158"/>
      <c r="N38" s="389"/>
      <c r="O38" s="50"/>
      <c r="P38" s="50"/>
      <c r="Q38" s="47"/>
      <c r="R38" s="47"/>
      <c r="S38" s="123"/>
      <c r="T38" s="51"/>
      <c r="U38" s="47"/>
      <c r="V38" s="49">
        <v>0.54151624548736466</v>
      </c>
      <c r="W38" s="47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</row>
    <row r="39" spans="2:49">
      <c r="B39" s="20"/>
      <c r="C39" s="46"/>
      <c r="D39" s="46"/>
      <c r="E39" s="47"/>
      <c r="F39" s="47" t="s">
        <v>592</v>
      </c>
      <c r="G39" s="47"/>
      <c r="H39" s="47"/>
      <c r="I39" s="271"/>
      <c r="J39" s="158"/>
      <c r="K39" s="158"/>
      <c r="L39" s="158"/>
      <c r="M39" s="158"/>
      <c r="N39" s="389"/>
      <c r="O39" s="55"/>
      <c r="P39" s="55"/>
      <c r="Q39" s="47"/>
      <c r="R39" s="47"/>
      <c r="S39" s="123"/>
      <c r="T39" s="51"/>
      <c r="U39" s="47"/>
      <c r="V39" s="49">
        <v>1.8050541516245489</v>
      </c>
      <c r="W39" s="47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2:49">
      <c r="B40" s="48" t="s">
        <v>621</v>
      </c>
      <c r="C40" s="46" t="s">
        <v>664</v>
      </c>
      <c r="D40" s="46" t="s">
        <v>665</v>
      </c>
      <c r="E40" s="47"/>
      <c r="F40" s="54" t="s">
        <v>582</v>
      </c>
      <c r="G40" s="54"/>
      <c r="H40" s="54"/>
      <c r="I40" s="271"/>
      <c r="J40" s="158"/>
      <c r="K40" s="158"/>
      <c r="L40" s="158"/>
      <c r="M40" s="158"/>
      <c r="N40" s="389">
        <v>2030</v>
      </c>
      <c r="O40" s="50">
        <v>20</v>
      </c>
      <c r="P40" s="50">
        <f>$P$6</f>
        <v>0.1</v>
      </c>
      <c r="Q40" s="47">
        <v>44.64</v>
      </c>
      <c r="R40" s="47">
        <v>2.1576</v>
      </c>
      <c r="S40" s="123">
        <v>0.60177396825396823</v>
      </c>
      <c r="T40" s="51"/>
      <c r="U40" s="47">
        <v>0.95</v>
      </c>
      <c r="V40" s="49"/>
      <c r="W40" s="47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</row>
    <row r="41" spans="2:49">
      <c r="B41" s="20"/>
      <c r="C41" s="46"/>
      <c r="D41" s="46"/>
      <c r="E41" s="47" t="s">
        <v>182</v>
      </c>
      <c r="F41" s="47"/>
      <c r="G41" s="47"/>
      <c r="H41" s="47"/>
      <c r="I41" s="271" t="s">
        <v>190</v>
      </c>
      <c r="J41" s="159">
        <v>1.5873015873015872</v>
      </c>
      <c r="K41" s="159"/>
      <c r="L41" s="159">
        <v>1.55</v>
      </c>
      <c r="M41" s="159">
        <v>1.5</v>
      </c>
      <c r="N41" s="389"/>
      <c r="O41" s="50"/>
      <c r="P41" s="50"/>
      <c r="Q41" s="47"/>
      <c r="R41" s="47"/>
      <c r="S41" s="123"/>
      <c r="T41" s="51"/>
      <c r="U41" s="47"/>
      <c r="V41" s="49"/>
      <c r="W41" s="47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</row>
    <row r="42" spans="2:49">
      <c r="B42" s="20"/>
      <c r="C42" s="46"/>
      <c r="D42" s="46"/>
      <c r="E42" s="47" t="s">
        <v>651</v>
      </c>
      <c r="F42" s="47"/>
      <c r="G42" s="47"/>
      <c r="H42" s="47"/>
      <c r="I42" s="271" t="s">
        <v>190</v>
      </c>
      <c r="J42" s="198">
        <f>0.017*J41</f>
        <v>2.6984126984126985E-2</v>
      </c>
      <c r="K42" s="198"/>
      <c r="L42" s="158"/>
      <c r="M42" s="158"/>
      <c r="N42" s="389"/>
      <c r="O42" s="50"/>
      <c r="P42" s="50"/>
      <c r="Q42" s="47"/>
      <c r="R42" s="47"/>
      <c r="S42" s="123"/>
      <c r="T42" s="51"/>
      <c r="U42" s="47"/>
      <c r="V42" s="49"/>
      <c r="W42" s="47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</row>
    <row r="43" spans="2:49">
      <c r="B43" s="20"/>
      <c r="C43" s="46"/>
      <c r="D43" s="46"/>
      <c r="E43" s="47"/>
      <c r="F43" s="47" t="s">
        <v>602</v>
      </c>
      <c r="G43" s="47"/>
      <c r="H43" s="47"/>
      <c r="I43" s="271" t="s">
        <v>653</v>
      </c>
      <c r="J43" s="159">
        <f>J41*94.6</f>
        <v>150.15873015873015</v>
      </c>
      <c r="K43" s="159"/>
      <c r="L43" s="159">
        <f>L41*94.6</f>
        <v>146.63</v>
      </c>
      <c r="M43" s="159">
        <f>M41*94.6</f>
        <v>141.89999999999998</v>
      </c>
      <c r="N43" s="389"/>
      <c r="O43" s="50"/>
      <c r="P43" s="50"/>
      <c r="Q43" s="47"/>
      <c r="R43" s="47"/>
      <c r="S43" s="123"/>
      <c r="T43" s="51"/>
      <c r="U43" s="47"/>
      <c r="V43" s="49"/>
      <c r="W43" s="47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</row>
    <row r="44" spans="2:49">
      <c r="B44" s="20"/>
      <c r="C44" s="46"/>
      <c r="D44" s="46"/>
      <c r="E44" s="47"/>
      <c r="F44" s="47" t="s">
        <v>661</v>
      </c>
      <c r="G44" s="47"/>
      <c r="H44" s="47"/>
      <c r="I44" s="271" t="s">
        <v>653</v>
      </c>
      <c r="J44" s="159">
        <f>J43*0.95</f>
        <v>142.65079365079364</v>
      </c>
      <c r="K44" s="159"/>
      <c r="L44" s="159">
        <f>L43*0.95</f>
        <v>139.29849999999999</v>
      </c>
      <c r="M44" s="159">
        <f>M43*0.95</f>
        <v>134.80499999999998</v>
      </c>
      <c r="N44" s="389"/>
      <c r="O44" s="50"/>
      <c r="P44" s="50"/>
      <c r="Q44" s="47"/>
      <c r="R44" s="47"/>
      <c r="S44" s="123"/>
      <c r="T44" s="51"/>
      <c r="U44" s="47"/>
      <c r="V44" s="49"/>
      <c r="W44" s="47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</row>
    <row r="45" spans="2:49">
      <c r="B45" s="20"/>
      <c r="C45" s="46"/>
      <c r="D45" s="46"/>
      <c r="E45" s="47"/>
      <c r="F45" s="47" t="s">
        <v>591</v>
      </c>
      <c r="G45" s="47"/>
      <c r="H45" s="47"/>
      <c r="I45" s="271"/>
      <c r="J45" s="158"/>
      <c r="K45" s="158"/>
      <c r="L45" s="158"/>
      <c r="M45" s="158"/>
      <c r="N45" s="389"/>
      <c r="O45" s="50"/>
      <c r="P45" s="50"/>
      <c r="Q45" s="47"/>
      <c r="R45" s="47"/>
      <c r="S45" s="123"/>
      <c r="T45" s="51"/>
      <c r="U45" s="47"/>
      <c r="V45" s="49">
        <v>0.54151624548736466</v>
      </c>
      <c r="W45" s="47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</row>
    <row r="46" spans="2:49">
      <c r="B46" s="20"/>
      <c r="C46" s="46"/>
      <c r="D46" s="46"/>
      <c r="E46" s="47"/>
      <c r="F46" s="47" t="s">
        <v>592</v>
      </c>
      <c r="G46" s="47"/>
      <c r="H46" s="47"/>
      <c r="I46" s="271"/>
      <c r="J46" s="158"/>
      <c r="K46" s="158"/>
      <c r="L46" s="158"/>
      <c r="M46" s="158"/>
      <c r="N46" s="389"/>
      <c r="O46" s="55"/>
      <c r="P46" s="55"/>
      <c r="Q46" s="47"/>
      <c r="R46" s="47"/>
      <c r="S46" s="123"/>
      <c r="T46" s="51"/>
      <c r="U46" s="47"/>
      <c r="V46" s="49">
        <v>1.8050541516245489</v>
      </c>
      <c r="W46" s="47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</row>
    <row r="47" spans="2:49">
      <c r="B47" s="48" t="s">
        <v>621</v>
      </c>
      <c r="C47" s="46" t="s">
        <v>666</v>
      </c>
      <c r="D47" s="46" t="s">
        <v>667</v>
      </c>
      <c r="E47" s="47"/>
      <c r="F47" s="54" t="s">
        <v>582</v>
      </c>
      <c r="G47" s="54"/>
      <c r="H47" s="54"/>
      <c r="I47" s="271"/>
      <c r="J47" s="158"/>
      <c r="K47" s="158"/>
      <c r="L47" s="158"/>
      <c r="M47" s="158"/>
      <c r="N47" s="389">
        <v>2070</v>
      </c>
      <c r="O47" s="50">
        <v>20</v>
      </c>
      <c r="P47" s="50">
        <f>$P$6</f>
        <v>0.1</v>
      </c>
      <c r="Q47" s="47">
        <v>41.54</v>
      </c>
      <c r="R47" s="47">
        <v>1.86</v>
      </c>
      <c r="S47" s="123">
        <v>0.248</v>
      </c>
      <c r="T47" s="51"/>
      <c r="U47" s="47">
        <v>0.95</v>
      </c>
      <c r="V47" s="122"/>
      <c r="W47" s="47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</row>
    <row r="48" spans="2:49">
      <c r="B48" s="20"/>
      <c r="C48" s="46"/>
      <c r="D48" s="46"/>
      <c r="E48" s="47" t="s">
        <v>521</v>
      </c>
      <c r="F48" s="47"/>
      <c r="G48" s="47"/>
      <c r="H48" s="47"/>
      <c r="I48" s="271" t="s">
        <v>190</v>
      </c>
      <c r="J48" s="159">
        <v>1.5873015873015872</v>
      </c>
      <c r="K48" s="159"/>
      <c r="L48" s="159">
        <v>1.55</v>
      </c>
      <c r="M48" s="159">
        <v>1.5</v>
      </c>
      <c r="N48" s="389"/>
      <c r="O48" s="50"/>
      <c r="P48" s="50"/>
      <c r="Q48" s="47"/>
      <c r="R48" s="47"/>
      <c r="S48" s="123"/>
      <c r="T48" s="51"/>
      <c r="U48" s="47"/>
      <c r="V48" s="122"/>
      <c r="W48" s="47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</row>
    <row r="49" spans="2:49">
      <c r="B49" s="20"/>
      <c r="C49" s="46"/>
      <c r="D49" s="46"/>
      <c r="E49" s="47"/>
      <c r="F49" s="47" t="s">
        <v>602</v>
      </c>
      <c r="G49" s="47"/>
      <c r="H49" s="47"/>
      <c r="I49" s="271" t="s">
        <v>653</v>
      </c>
      <c r="J49" s="159">
        <f>J48*101.2</f>
        <v>160.63492063492063</v>
      </c>
      <c r="K49" s="159"/>
      <c r="L49" s="159">
        <f>L48*101.2</f>
        <v>156.86000000000001</v>
      </c>
      <c r="M49" s="159">
        <f>M48*101.2</f>
        <v>151.80000000000001</v>
      </c>
      <c r="N49" s="389"/>
      <c r="O49" s="50"/>
      <c r="P49" s="50"/>
      <c r="Q49" s="47"/>
      <c r="R49" s="47"/>
      <c r="S49" s="123"/>
      <c r="T49" s="51"/>
      <c r="U49" s="47"/>
      <c r="V49" s="49"/>
      <c r="W49" s="47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</row>
    <row r="50" spans="2:49">
      <c r="B50" s="20"/>
      <c r="C50" s="46"/>
      <c r="D50" s="46"/>
      <c r="E50" s="47"/>
      <c r="F50" s="47" t="s">
        <v>591</v>
      </c>
      <c r="G50" s="47"/>
      <c r="H50" s="47"/>
      <c r="I50" s="271"/>
      <c r="J50" s="158"/>
      <c r="K50" s="158"/>
      <c r="L50" s="158"/>
      <c r="M50" s="158"/>
      <c r="N50" s="389"/>
      <c r="O50" s="50"/>
      <c r="P50" s="50"/>
      <c r="Q50" s="47"/>
      <c r="R50" s="47"/>
      <c r="S50" s="123"/>
      <c r="T50" s="51"/>
      <c r="U50" s="47"/>
      <c r="V50" s="49">
        <v>0.54151624548736466</v>
      </c>
      <c r="W50" s="47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</row>
    <row r="51" spans="2:49">
      <c r="B51" s="20"/>
      <c r="C51" s="46"/>
      <c r="D51" s="46"/>
      <c r="E51" s="47"/>
      <c r="F51" s="47" t="s">
        <v>592</v>
      </c>
      <c r="G51" s="47"/>
      <c r="H51" s="47"/>
      <c r="I51" s="271"/>
      <c r="J51" s="158"/>
      <c r="K51" s="158"/>
      <c r="L51" s="158"/>
      <c r="M51" s="158"/>
      <c r="N51" s="389"/>
      <c r="O51" s="55"/>
      <c r="P51" s="55"/>
      <c r="Q51" s="47"/>
      <c r="R51" s="47"/>
      <c r="S51" s="123"/>
      <c r="T51" s="51"/>
      <c r="U51" s="47"/>
      <c r="V51" s="49">
        <v>1.8050541516245489</v>
      </c>
      <c r="W51" s="47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</row>
    <row r="52" spans="2:49">
      <c r="B52" s="48" t="s">
        <v>621</v>
      </c>
      <c r="C52" s="46" t="s">
        <v>668</v>
      </c>
      <c r="D52" s="46" t="s">
        <v>669</v>
      </c>
      <c r="E52" s="47"/>
      <c r="F52" s="54" t="s">
        <v>582</v>
      </c>
      <c r="G52" s="54"/>
      <c r="H52" s="54"/>
      <c r="I52" s="271"/>
      <c r="J52" s="158"/>
      <c r="K52" s="158"/>
      <c r="L52" s="158"/>
      <c r="M52" s="158"/>
      <c r="N52" s="389">
        <v>2030</v>
      </c>
      <c r="O52" s="50">
        <v>20</v>
      </c>
      <c r="P52" s="50">
        <f>$P$6</f>
        <v>0.1</v>
      </c>
      <c r="Q52" s="47">
        <v>44.64</v>
      </c>
      <c r="R52" s="47">
        <v>2.1576</v>
      </c>
      <c r="S52" s="123">
        <v>0.62645587301587302</v>
      </c>
      <c r="T52" s="51"/>
      <c r="U52" s="47">
        <v>0.95</v>
      </c>
      <c r="V52" s="49"/>
      <c r="W52" s="47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</row>
    <row r="53" spans="2:49">
      <c r="B53" s="20"/>
      <c r="C53" s="195"/>
      <c r="D53" s="195"/>
      <c r="E53" s="47" t="s">
        <v>521</v>
      </c>
      <c r="F53" s="47"/>
      <c r="G53" s="47"/>
      <c r="H53" s="47"/>
      <c r="I53" s="271" t="s">
        <v>190</v>
      </c>
      <c r="J53" s="159">
        <v>1.5873015873015872</v>
      </c>
      <c r="K53" s="159"/>
      <c r="L53" s="159">
        <v>1.55</v>
      </c>
      <c r="M53" s="159">
        <v>1.5</v>
      </c>
      <c r="N53" s="389"/>
      <c r="O53" s="50"/>
      <c r="P53" s="50"/>
      <c r="Q53" s="47"/>
      <c r="R53" s="47"/>
      <c r="S53" s="51"/>
      <c r="T53" s="51"/>
      <c r="U53" s="47"/>
      <c r="V53" s="49"/>
      <c r="W53" s="47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2:49">
      <c r="B54" s="20"/>
      <c r="C54" s="195"/>
      <c r="D54" s="195"/>
      <c r="E54" s="47" t="s">
        <v>651</v>
      </c>
      <c r="F54" s="47"/>
      <c r="G54" s="47"/>
      <c r="H54" s="47"/>
      <c r="I54" s="271" t="s">
        <v>190</v>
      </c>
      <c r="J54" s="198">
        <f>0.017*J53</f>
        <v>2.6984126984126985E-2</v>
      </c>
      <c r="K54" s="198"/>
      <c r="L54" s="158"/>
      <c r="M54" s="158"/>
      <c r="N54" s="389"/>
      <c r="O54" s="50"/>
      <c r="P54" s="50"/>
      <c r="Q54" s="47"/>
      <c r="R54" s="47"/>
      <c r="S54" s="51"/>
      <c r="T54" s="51"/>
      <c r="U54" s="47"/>
      <c r="V54" s="49"/>
      <c r="W54" s="47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 spans="2:49">
      <c r="B55" s="20"/>
      <c r="C55" s="195"/>
      <c r="D55" s="195"/>
      <c r="E55" s="47"/>
      <c r="F55" s="47" t="s">
        <v>602</v>
      </c>
      <c r="G55" s="47"/>
      <c r="H55" s="47"/>
      <c r="I55" s="271" t="s">
        <v>653</v>
      </c>
      <c r="J55" s="159">
        <f>J53*101.2</f>
        <v>160.63492063492063</v>
      </c>
      <c r="K55" s="159"/>
      <c r="L55" s="159">
        <f>L53*101.2</f>
        <v>156.86000000000001</v>
      </c>
      <c r="M55" s="159">
        <f>M53*101.2</f>
        <v>151.80000000000001</v>
      </c>
      <c r="N55" s="389"/>
      <c r="O55" s="50"/>
      <c r="P55" s="50"/>
      <c r="Q55" s="47"/>
      <c r="R55" s="47"/>
      <c r="S55" s="51"/>
      <c r="T55" s="51"/>
      <c r="U55" s="47"/>
      <c r="V55" s="49"/>
      <c r="W55" s="47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</row>
    <row r="56" spans="2:49">
      <c r="B56" s="20"/>
      <c r="C56" s="195"/>
      <c r="D56" s="195"/>
      <c r="E56" s="47"/>
      <c r="F56" s="47" t="s">
        <v>661</v>
      </c>
      <c r="G56" s="47"/>
      <c r="H56" s="47"/>
      <c r="I56" s="271" t="s">
        <v>653</v>
      </c>
      <c r="J56" s="159">
        <f>J55*0.95</f>
        <v>152.60317460317458</v>
      </c>
      <c r="K56" s="159"/>
      <c r="L56" s="159">
        <f>L55*0.95</f>
        <v>149.017</v>
      </c>
      <c r="M56" s="159">
        <f>M55*0.95</f>
        <v>144.21</v>
      </c>
      <c r="N56" s="389"/>
      <c r="O56" s="50"/>
      <c r="P56" s="50"/>
      <c r="Q56" s="47"/>
      <c r="R56" s="47"/>
      <c r="S56" s="51"/>
      <c r="T56" s="51"/>
      <c r="U56" s="47"/>
      <c r="V56" s="49"/>
      <c r="W56" s="47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2:49">
      <c r="B57" s="20"/>
      <c r="C57" s="195"/>
      <c r="D57" s="195"/>
      <c r="E57" s="47"/>
      <c r="F57" s="47" t="s">
        <v>591</v>
      </c>
      <c r="G57" s="47"/>
      <c r="H57" s="47"/>
      <c r="I57" s="271"/>
      <c r="J57" s="158"/>
      <c r="K57" s="158"/>
      <c r="L57" s="158"/>
      <c r="M57" s="158"/>
      <c r="N57" s="389"/>
      <c r="O57" s="50"/>
      <c r="P57" s="50"/>
      <c r="Q57" s="47"/>
      <c r="R57" s="47"/>
      <c r="S57" s="51"/>
      <c r="T57" s="51"/>
      <c r="U57" s="47"/>
      <c r="V57" s="49">
        <v>0.54151624548736466</v>
      </c>
      <c r="W57" s="47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spans="2:49">
      <c r="B58" s="20"/>
      <c r="C58" s="195"/>
      <c r="D58" s="195"/>
      <c r="E58" s="47"/>
      <c r="F58" s="47" t="s">
        <v>592</v>
      </c>
      <c r="G58" s="47"/>
      <c r="H58" s="47"/>
      <c r="I58" s="271"/>
      <c r="J58" s="158"/>
      <c r="K58" s="158"/>
      <c r="L58" s="158"/>
      <c r="M58" s="158"/>
      <c r="N58" s="389"/>
      <c r="O58" s="50"/>
      <c r="P58" s="50"/>
      <c r="Q58" s="47"/>
      <c r="R58" s="47"/>
      <c r="S58" s="51"/>
      <c r="T58" s="51"/>
      <c r="U58" s="47"/>
      <c r="V58" s="49">
        <v>1.8050541516245489</v>
      </c>
      <c r="W58" s="47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spans="2:49">
      <c r="B59" s="48" t="s">
        <v>621</v>
      </c>
      <c r="C59" s="46" t="s">
        <v>670</v>
      </c>
      <c r="D59" s="46" t="s">
        <v>671</v>
      </c>
      <c r="E59" s="47"/>
      <c r="F59" s="47" t="s">
        <v>672</v>
      </c>
      <c r="G59" s="47"/>
      <c r="H59" s="47"/>
      <c r="I59" s="271"/>
      <c r="J59" s="158"/>
      <c r="K59" s="158"/>
      <c r="L59" s="158"/>
      <c r="M59" s="158"/>
      <c r="N59" s="389">
        <v>2010</v>
      </c>
      <c r="O59" s="50">
        <v>20</v>
      </c>
      <c r="P59" s="50">
        <f>$P$6</f>
        <v>0.1</v>
      </c>
      <c r="Q59" s="47">
        <v>12.4</v>
      </c>
      <c r="R59" s="47">
        <v>0.69440000000000002</v>
      </c>
      <c r="S59" s="146">
        <v>0.62</v>
      </c>
      <c r="T59" s="51"/>
      <c r="U59" s="47">
        <v>0.95</v>
      </c>
      <c r="V59" s="122"/>
      <c r="W59" s="47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2:49">
      <c r="B60" s="20"/>
      <c r="C60" s="46"/>
      <c r="D60" s="46"/>
      <c r="E60" s="47" t="s">
        <v>180</v>
      </c>
      <c r="F60" s="47"/>
      <c r="G60" s="47"/>
      <c r="H60" s="47"/>
      <c r="I60" s="271" t="s">
        <v>190</v>
      </c>
      <c r="J60" s="159">
        <v>1.3333333333333333</v>
      </c>
      <c r="K60" s="159"/>
      <c r="L60" s="159">
        <v>1.3</v>
      </c>
      <c r="M60" s="159">
        <v>1.28</v>
      </c>
      <c r="N60" s="389"/>
      <c r="O60" s="50"/>
      <c r="P60" s="50"/>
      <c r="Q60" s="47"/>
      <c r="R60" s="47"/>
      <c r="S60" s="51"/>
      <c r="T60" s="51"/>
      <c r="U60" s="47"/>
      <c r="V60" s="122"/>
      <c r="W60" s="47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2:49">
      <c r="B61" s="20"/>
      <c r="C61" s="48"/>
      <c r="D61" s="193"/>
      <c r="E61" s="47"/>
      <c r="F61" s="47" t="s">
        <v>602</v>
      </c>
      <c r="G61" s="47"/>
      <c r="H61" s="47"/>
      <c r="I61" s="271" t="s">
        <v>653</v>
      </c>
      <c r="J61" s="159">
        <f>J60*55.8</f>
        <v>74.399999999999991</v>
      </c>
      <c r="K61" s="159"/>
      <c r="L61" s="159">
        <f>L60*55.8</f>
        <v>72.539999999999992</v>
      </c>
      <c r="M61" s="159">
        <f>M60*55.8</f>
        <v>71.423999999999992</v>
      </c>
      <c r="N61" s="389"/>
      <c r="O61" s="50"/>
      <c r="P61" s="50"/>
      <c r="Q61" s="47"/>
      <c r="R61" s="47"/>
      <c r="S61" s="51"/>
      <c r="T61" s="51"/>
      <c r="U61" s="47"/>
      <c r="V61" s="49"/>
      <c r="W61" s="47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 spans="2:49">
      <c r="B62" s="20"/>
      <c r="C62" s="48"/>
      <c r="D62" s="193"/>
      <c r="E62" s="47"/>
      <c r="F62" s="47" t="s">
        <v>591</v>
      </c>
      <c r="G62" s="47"/>
      <c r="H62" s="47"/>
      <c r="I62" s="271"/>
      <c r="J62" s="158"/>
      <c r="K62" s="158"/>
      <c r="L62" s="158"/>
      <c r="M62" s="158"/>
      <c r="N62" s="389"/>
      <c r="O62" s="50"/>
      <c r="P62" s="50"/>
      <c r="Q62" s="47"/>
      <c r="R62" s="47"/>
      <c r="S62" s="51"/>
      <c r="T62" s="51"/>
      <c r="U62" s="47"/>
      <c r="V62" s="49">
        <v>0.13</v>
      </c>
      <c r="W62" s="47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 spans="2:49">
      <c r="B63" s="20"/>
      <c r="C63" s="195"/>
      <c r="D63" s="195"/>
      <c r="E63" s="47"/>
      <c r="F63" s="47" t="s">
        <v>592</v>
      </c>
      <c r="G63" s="47"/>
      <c r="H63" s="47"/>
      <c r="I63" s="271"/>
      <c r="J63" s="158"/>
      <c r="K63" s="158"/>
      <c r="L63" s="158"/>
      <c r="M63" s="158"/>
      <c r="N63" s="389"/>
      <c r="O63" s="50"/>
      <c r="P63" s="50"/>
      <c r="Q63" s="47"/>
      <c r="R63" s="47"/>
      <c r="S63" s="51"/>
      <c r="T63" s="51"/>
      <c r="U63" s="47"/>
      <c r="V63" s="49">
        <v>0.62</v>
      </c>
      <c r="W63" s="47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2:49">
      <c r="B64" s="48" t="s">
        <v>621</v>
      </c>
      <c r="C64" s="199" t="s">
        <v>673</v>
      </c>
      <c r="D64" s="199" t="s">
        <v>674</v>
      </c>
      <c r="E64" s="52"/>
      <c r="F64" s="200" t="s">
        <v>582</v>
      </c>
      <c r="G64" s="200"/>
      <c r="H64" s="200"/>
      <c r="I64" s="271"/>
      <c r="J64" s="201"/>
      <c r="K64" s="201"/>
      <c r="L64" s="201"/>
      <c r="M64" s="187"/>
      <c r="N64" s="389">
        <v>2015</v>
      </c>
      <c r="O64" s="50">
        <v>25</v>
      </c>
      <c r="P64" s="50"/>
      <c r="Q64" s="52">
        <v>124</v>
      </c>
      <c r="R64" s="52">
        <v>1.3392000000000002</v>
      </c>
      <c r="S64" s="51"/>
      <c r="T64" s="51"/>
      <c r="U64" s="47">
        <v>0.85</v>
      </c>
      <c r="V64" s="49"/>
      <c r="W64" s="47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</row>
    <row r="65" spans="2:49">
      <c r="B65" s="20"/>
      <c r="C65" s="199"/>
      <c r="D65" s="199"/>
      <c r="E65" s="52" t="s">
        <v>601</v>
      </c>
      <c r="F65" s="200"/>
      <c r="G65" s="200"/>
      <c r="H65" s="200"/>
      <c r="I65" s="271" t="s">
        <v>190</v>
      </c>
      <c r="J65" s="201"/>
      <c r="K65" s="201"/>
      <c r="L65" s="201">
        <v>1.5873015873015872</v>
      </c>
      <c r="M65" s="187">
        <f>L65*0.96</f>
        <v>1.5238095238095237</v>
      </c>
      <c r="N65" s="389"/>
      <c r="O65" s="50"/>
      <c r="P65" s="50"/>
      <c r="Q65" s="52"/>
      <c r="R65" s="52"/>
      <c r="S65" s="51"/>
      <c r="T65" s="51"/>
      <c r="U65" s="47"/>
      <c r="V65" s="49"/>
      <c r="W65" s="47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2:49">
      <c r="B66" s="48" t="s">
        <v>621</v>
      </c>
      <c r="C66" s="199" t="s">
        <v>675</v>
      </c>
      <c r="D66" s="199" t="s">
        <v>676</v>
      </c>
      <c r="E66" s="52"/>
      <c r="F66" s="132" t="s">
        <v>582</v>
      </c>
      <c r="G66" s="132"/>
      <c r="H66" s="132"/>
      <c r="I66" s="271"/>
      <c r="J66" s="201"/>
      <c r="K66" s="201"/>
      <c r="L66" s="201"/>
      <c r="M66" s="187"/>
      <c r="N66" s="389">
        <v>2030</v>
      </c>
      <c r="O66" s="50">
        <v>25</v>
      </c>
      <c r="P66" s="50"/>
      <c r="Q66" s="52">
        <v>173.6</v>
      </c>
      <c r="R66" s="52">
        <v>1.86</v>
      </c>
      <c r="S66" s="51"/>
      <c r="T66" s="51"/>
      <c r="U66" s="47">
        <v>0.85</v>
      </c>
      <c r="V66" s="49"/>
      <c r="W66" s="47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2:49">
      <c r="B67" s="20"/>
      <c r="C67" s="199"/>
      <c r="D67" s="199"/>
      <c r="E67" s="52" t="s">
        <v>601</v>
      </c>
      <c r="F67" s="132"/>
      <c r="G67" s="132"/>
      <c r="H67" s="132"/>
      <c r="I67" s="271" t="s">
        <v>190</v>
      </c>
      <c r="J67" s="201"/>
      <c r="K67" s="201"/>
      <c r="L67" s="201">
        <v>1.65</v>
      </c>
      <c r="M67" s="187">
        <f>L67*0.96</f>
        <v>1.5839999999999999</v>
      </c>
      <c r="N67" s="389"/>
      <c r="O67" s="50"/>
      <c r="P67" s="50"/>
      <c r="Q67" s="52"/>
      <c r="R67" s="52"/>
      <c r="S67" s="51"/>
      <c r="T67" s="51"/>
      <c r="U67" s="47"/>
      <c r="V67" s="49"/>
      <c r="W67" s="47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2:49">
      <c r="B68" s="20"/>
      <c r="C68" s="199"/>
      <c r="D68" s="199"/>
      <c r="E68" s="52" t="s">
        <v>651</v>
      </c>
      <c r="F68" s="132"/>
      <c r="G68" s="132"/>
      <c r="H68" s="132"/>
      <c r="I68" s="271" t="s">
        <v>190</v>
      </c>
      <c r="J68" s="201"/>
      <c r="K68" s="201"/>
      <c r="L68" s="201">
        <v>2.7E-2</v>
      </c>
      <c r="M68" s="187"/>
      <c r="N68" s="389"/>
      <c r="O68" s="50"/>
      <c r="P68" s="50"/>
      <c r="Q68" s="52"/>
      <c r="R68" s="52"/>
      <c r="S68" s="51"/>
      <c r="T68" s="51"/>
      <c r="U68" s="47"/>
      <c r="V68" s="49"/>
      <c r="W68" s="47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</row>
    <row r="69" spans="2:49" ht="13.5" thickBot="1">
      <c r="B69" s="20"/>
      <c r="C69" s="200"/>
      <c r="D69" s="200"/>
      <c r="E69" s="200"/>
      <c r="F69" s="200" t="s">
        <v>495</v>
      </c>
      <c r="G69" s="200"/>
      <c r="H69" s="200"/>
      <c r="I69" s="388" t="s">
        <v>653</v>
      </c>
      <c r="J69" s="203"/>
      <c r="K69" s="203"/>
      <c r="L69" s="204">
        <f>L67*100*0.8</f>
        <v>132</v>
      </c>
      <c r="M69" s="203"/>
      <c r="N69" s="391"/>
      <c r="O69" s="205"/>
      <c r="P69" s="205"/>
      <c r="Q69" s="202"/>
      <c r="R69" s="202"/>
      <c r="S69" s="206"/>
      <c r="T69" s="206"/>
      <c r="U69" s="202"/>
      <c r="V69" s="202"/>
      <c r="W69" s="20"/>
    </row>
    <row r="71" spans="2:49">
      <c r="E71" s="188"/>
    </row>
    <row r="72" spans="2:49">
      <c r="E72" s="188"/>
    </row>
    <row r="73" spans="2:49">
      <c r="E73" s="188"/>
    </row>
    <row r="74" spans="2:49">
      <c r="E74" s="188"/>
    </row>
    <row r="75" spans="2:49" ht="18">
      <c r="B75" s="38" t="s">
        <v>725</v>
      </c>
      <c r="C75" s="39"/>
      <c r="D75" s="40"/>
      <c r="I75" s="15" t="s">
        <v>516</v>
      </c>
    </row>
    <row r="76" spans="2:49" ht="39" thickBot="1">
      <c r="B76" s="83" t="s">
        <v>33</v>
      </c>
      <c r="C76" s="83" t="s">
        <v>555</v>
      </c>
      <c r="D76" s="83" t="s">
        <v>556</v>
      </c>
      <c r="E76" s="83" t="s">
        <v>557</v>
      </c>
      <c r="F76" s="83" t="s">
        <v>153</v>
      </c>
      <c r="G76" s="83" t="s">
        <v>569</v>
      </c>
      <c r="H76" s="83" t="s">
        <v>604</v>
      </c>
      <c r="I76" s="387" t="s">
        <v>385</v>
      </c>
      <c r="J76" s="83">
        <v>2020</v>
      </c>
      <c r="K76" s="83">
        <v>2030</v>
      </c>
      <c r="L76" s="83">
        <v>2040</v>
      </c>
      <c r="M76" s="83">
        <v>2050</v>
      </c>
      <c r="N76" s="386" t="s">
        <v>559</v>
      </c>
      <c r="O76" s="207" t="s">
        <v>558</v>
      </c>
      <c r="P76" s="83" t="s">
        <v>97</v>
      </c>
      <c r="Q76" s="83" t="s">
        <v>102</v>
      </c>
      <c r="R76" s="83" t="s">
        <v>139</v>
      </c>
      <c r="S76" s="83" t="s">
        <v>98</v>
      </c>
      <c r="T76" s="83" t="s">
        <v>99</v>
      </c>
      <c r="U76" s="83" t="s">
        <v>100</v>
      </c>
      <c r="V76" s="83" t="s">
        <v>173</v>
      </c>
      <c r="W76" s="83" t="s">
        <v>677</v>
      </c>
      <c r="X76" s="189" t="s">
        <v>816</v>
      </c>
      <c r="Y76" s="189" t="s">
        <v>818</v>
      </c>
      <c r="Z76" s="190"/>
      <c r="AA76" s="190"/>
      <c r="AB76" s="190"/>
      <c r="AC76" s="190"/>
      <c r="AD76" s="190"/>
      <c r="AE76" s="190"/>
      <c r="AF76" s="190"/>
      <c r="AG76" s="190"/>
      <c r="AH76" s="190"/>
      <c r="AI76" s="190"/>
      <c r="AJ76" s="190"/>
      <c r="AK76" s="190"/>
      <c r="AL76" s="190"/>
      <c r="AM76" s="190"/>
      <c r="AN76" s="190"/>
      <c r="AO76" s="190"/>
      <c r="AP76" s="190"/>
      <c r="AQ76" s="190"/>
      <c r="AR76" s="190"/>
      <c r="AS76" s="190"/>
      <c r="AT76" s="190"/>
      <c r="AU76" s="190"/>
      <c r="AV76" s="190"/>
      <c r="AW76" s="190"/>
    </row>
    <row r="77" spans="2:49">
      <c r="B77" s="48" t="s">
        <v>621</v>
      </c>
      <c r="C77" s="46" t="s">
        <v>679</v>
      </c>
      <c r="D77" s="46" t="s">
        <v>839</v>
      </c>
      <c r="E77" s="47" t="s">
        <v>582</v>
      </c>
      <c r="F77" s="47"/>
      <c r="G77" s="47"/>
      <c r="H77" s="47"/>
      <c r="I77" s="271"/>
      <c r="J77" s="47"/>
      <c r="K77" s="47"/>
      <c r="L77" s="47"/>
      <c r="M77" s="47"/>
      <c r="N77" s="355">
        <v>1</v>
      </c>
      <c r="O77" s="47"/>
      <c r="P77" s="47">
        <v>2000</v>
      </c>
      <c r="Q77" s="47"/>
      <c r="R77" s="50">
        <v>30</v>
      </c>
      <c r="S77" s="47"/>
      <c r="T77" s="47"/>
      <c r="U77" s="208">
        <v>2.48</v>
      </c>
      <c r="V77" s="51"/>
      <c r="W77" s="51"/>
      <c r="X77" s="47"/>
      <c r="Y77" s="47"/>
    </row>
    <row r="78" spans="2:49" ht="13.5" thickBot="1">
      <c r="B78" s="202"/>
      <c r="C78" s="202"/>
      <c r="D78" s="202"/>
      <c r="E78" s="202"/>
      <c r="F78" s="202"/>
      <c r="G78" s="202" t="s">
        <v>680</v>
      </c>
      <c r="H78" s="202"/>
      <c r="I78" s="388"/>
      <c r="J78" s="202"/>
      <c r="K78" s="202"/>
      <c r="L78" s="202"/>
      <c r="M78" s="202"/>
      <c r="N78" s="394"/>
      <c r="O78" s="202"/>
      <c r="P78" s="202"/>
      <c r="Q78" s="202"/>
      <c r="R78" s="202"/>
      <c r="S78" s="202"/>
      <c r="T78" s="202"/>
      <c r="U78" s="206"/>
      <c r="V78" s="206"/>
      <c r="W78" s="206"/>
      <c r="X78" s="202"/>
      <c r="Y78" s="202"/>
    </row>
    <row r="79" spans="2:49">
      <c r="B79" s="48" t="s">
        <v>621</v>
      </c>
      <c r="C79" s="46" t="s">
        <v>838</v>
      </c>
      <c r="D79" s="46" t="s">
        <v>840</v>
      </c>
      <c r="E79" s="47" t="s">
        <v>842</v>
      </c>
      <c r="F79" s="47"/>
      <c r="G79" s="47"/>
      <c r="H79" s="47"/>
      <c r="I79" s="271"/>
      <c r="J79" s="47"/>
      <c r="K79" s="47"/>
      <c r="L79" s="47"/>
      <c r="M79" s="47"/>
      <c r="N79" s="355">
        <v>1</v>
      </c>
      <c r="O79" s="47"/>
      <c r="P79" s="47">
        <v>2000</v>
      </c>
      <c r="Q79" s="47"/>
      <c r="R79" s="50">
        <v>30</v>
      </c>
      <c r="S79" s="47"/>
      <c r="T79" s="47"/>
      <c r="U79" s="208">
        <v>0.1</v>
      </c>
      <c r="V79" s="51"/>
      <c r="W79" s="51"/>
      <c r="X79" s="47"/>
      <c r="Y79" s="47"/>
    </row>
    <row r="80" spans="2:49" ht="13.5" thickBot="1">
      <c r="B80" s="202"/>
      <c r="C80" s="202"/>
      <c r="D80" s="202"/>
      <c r="E80" s="202"/>
      <c r="F80" s="202"/>
      <c r="G80" s="202" t="s">
        <v>582</v>
      </c>
      <c r="H80" s="202"/>
      <c r="I80" s="388"/>
      <c r="J80" s="202"/>
      <c r="K80" s="202"/>
      <c r="L80" s="202"/>
      <c r="M80" s="202"/>
      <c r="N80" s="394"/>
      <c r="O80" s="202"/>
      <c r="P80" s="202"/>
      <c r="Q80" s="202"/>
      <c r="R80" s="202"/>
      <c r="S80" s="202"/>
      <c r="T80" s="202"/>
      <c r="U80" s="206"/>
      <c r="V80" s="206"/>
      <c r="W80" s="206"/>
      <c r="X80" s="202"/>
      <c r="Y80" s="202"/>
    </row>
    <row r="81" spans="2:25">
      <c r="B81" s="48" t="s">
        <v>792</v>
      </c>
      <c r="C81" s="46" t="s">
        <v>831</v>
      </c>
      <c r="D81" s="46" t="s">
        <v>832</v>
      </c>
      <c r="E81" s="47" t="s">
        <v>582</v>
      </c>
      <c r="F81" s="47"/>
      <c r="G81" s="47"/>
      <c r="H81" s="47"/>
      <c r="I81" s="271" t="s">
        <v>98</v>
      </c>
      <c r="J81" s="197">
        <v>300</v>
      </c>
      <c r="K81" s="197">
        <v>200</v>
      </c>
      <c r="L81" s="197">
        <v>150</v>
      </c>
      <c r="M81" s="197">
        <v>100</v>
      </c>
      <c r="N81" s="355"/>
      <c r="O81" s="47"/>
      <c r="P81" s="47">
        <v>2025</v>
      </c>
      <c r="Q81" s="47"/>
      <c r="R81" s="50">
        <v>20</v>
      </c>
      <c r="S81" s="209">
        <f>J81</f>
        <v>300</v>
      </c>
      <c r="T81" s="210">
        <v>0.7</v>
      </c>
      <c r="U81" s="120"/>
      <c r="V81" s="51"/>
      <c r="W81" s="51"/>
      <c r="X81" s="123">
        <v>0.1</v>
      </c>
      <c r="Y81" s="123"/>
    </row>
    <row r="82" spans="2:25">
      <c r="B82" s="48"/>
      <c r="C82" s="46"/>
      <c r="D82" s="46"/>
      <c r="E82" s="47"/>
      <c r="F82" s="47" t="s">
        <v>651</v>
      </c>
      <c r="G82" s="47"/>
      <c r="H82" s="47"/>
      <c r="I82" s="271"/>
      <c r="J82" s="197"/>
      <c r="K82" s="197"/>
      <c r="L82" s="197"/>
      <c r="M82" s="197"/>
      <c r="N82" s="355"/>
      <c r="O82" s="47"/>
      <c r="P82" s="47"/>
      <c r="Q82" s="47"/>
      <c r="R82" s="50"/>
      <c r="S82" s="209"/>
      <c r="T82" s="210"/>
      <c r="U82" s="120"/>
      <c r="V82" s="51"/>
      <c r="W82" s="51"/>
      <c r="X82" s="123"/>
      <c r="Y82" s="123"/>
    </row>
    <row r="83" spans="2:25" ht="13.5" thickBot="1">
      <c r="B83" s="202"/>
      <c r="C83" s="202"/>
      <c r="D83" s="202"/>
      <c r="E83" s="202"/>
      <c r="F83" s="202"/>
      <c r="G83" s="202" t="s">
        <v>842</v>
      </c>
      <c r="H83" s="202" t="s">
        <v>651</v>
      </c>
      <c r="I83" s="388" t="s">
        <v>678</v>
      </c>
      <c r="J83" s="395">
        <v>0.96</v>
      </c>
      <c r="K83" s="395">
        <v>0.97</v>
      </c>
      <c r="L83" s="395">
        <v>0.97499999999999998</v>
      </c>
      <c r="M83" s="395">
        <v>0.98</v>
      </c>
      <c r="N83" s="394"/>
      <c r="O83" s="202"/>
      <c r="P83" s="202"/>
      <c r="Q83" s="202"/>
      <c r="R83" s="202"/>
      <c r="S83" s="202"/>
      <c r="T83" s="202"/>
      <c r="U83" s="206"/>
      <c r="V83" s="206"/>
      <c r="W83" s="206"/>
      <c r="X83" s="202"/>
      <c r="Y83" s="396">
        <v>0.23599999999999999</v>
      </c>
    </row>
    <row r="84" spans="2:25">
      <c r="B84" s="48" t="s">
        <v>792</v>
      </c>
      <c r="C84" s="46" t="s">
        <v>681</v>
      </c>
      <c r="D84" s="46" t="s">
        <v>833</v>
      </c>
      <c r="E84" s="47" t="s">
        <v>582</v>
      </c>
      <c r="F84" s="47"/>
      <c r="G84" s="47"/>
      <c r="H84" s="47"/>
      <c r="I84" s="271" t="s">
        <v>98</v>
      </c>
      <c r="J84" s="209">
        <v>233.33333333333334</v>
      </c>
      <c r="K84" s="209">
        <v>138.88888888888889</v>
      </c>
      <c r="L84" s="209">
        <v>125</v>
      </c>
      <c r="M84" s="209">
        <v>111.11111111111111</v>
      </c>
      <c r="N84" s="355"/>
      <c r="O84" s="47"/>
      <c r="P84" s="47">
        <v>2025</v>
      </c>
      <c r="Q84" s="47"/>
      <c r="R84" s="50">
        <v>20</v>
      </c>
      <c r="S84" s="209">
        <f>J84</f>
        <v>233.33333333333334</v>
      </c>
      <c r="T84" s="210"/>
      <c r="U84" s="120"/>
      <c r="V84" s="51"/>
      <c r="W84" s="51"/>
      <c r="X84" s="47">
        <f>12*0.005</f>
        <v>0.06</v>
      </c>
      <c r="Y84" s="47"/>
    </row>
    <row r="85" spans="2:25">
      <c r="B85" s="48" t="s">
        <v>792</v>
      </c>
      <c r="C85" s="46"/>
      <c r="D85" s="46"/>
      <c r="E85" s="47"/>
      <c r="F85" s="47"/>
      <c r="G85" s="47"/>
      <c r="H85" s="47"/>
      <c r="I85" s="271" t="s">
        <v>99</v>
      </c>
      <c r="J85" s="209">
        <f>J84*0.04</f>
        <v>9.3333333333333339</v>
      </c>
      <c r="K85" s="209">
        <f>K84*0.04</f>
        <v>5.5555555555555554</v>
      </c>
      <c r="L85" s="209">
        <f>L84*0.04</f>
        <v>5</v>
      </c>
      <c r="M85" s="209">
        <f>M84*0.04</f>
        <v>4.4444444444444446</v>
      </c>
      <c r="N85" s="355"/>
      <c r="O85" s="47"/>
      <c r="P85" s="47"/>
      <c r="Q85" s="47"/>
      <c r="R85" s="50"/>
      <c r="S85" s="209"/>
      <c r="T85" s="210"/>
      <c r="U85" s="120"/>
      <c r="V85" s="51"/>
      <c r="W85" s="51"/>
      <c r="X85" s="47"/>
      <c r="Y85" s="47"/>
    </row>
    <row r="86" spans="2:25">
      <c r="B86" s="48" t="s">
        <v>792</v>
      </c>
      <c r="C86" s="46"/>
      <c r="D86" s="46"/>
      <c r="E86" s="47"/>
      <c r="F86" s="47"/>
      <c r="G86" s="47" t="s">
        <v>842</v>
      </c>
      <c r="H86" s="47"/>
      <c r="I86" s="271" t="s">
        <v>834</v>
      </c>
      <c r="J86" s="209">
        <v>2.3333333333333335</v>
      </c>
      <c r="K86" s="209">
        <v>1.3888888888888891</v>
      </c>
      <c r="L86" s="209">
        <v>1.25</v>
      </c>
      <c r="M86" s="209">
        <v>1.1111111111111112</v>
      </c>
      <c r="N86" s="355"/>
      <c r="O86" s="47"/>
      <c r="P86" s="47"/>
      <c r="Q86" s="47"/>
      <c r="R86" s="50"/>
      <c r="S86" s="209"/>
      <c r="T86" s="210"/>
      <c r="U86" s="120"/>
      <c r="V86" s="51"/>
      <c r="W86" s="51"/>
      <c r="X86" s="47"/>
      <c r="Y86" s="47"/>
    </row>
    <row r="87" spans="2:25" ht="13.5" thickBot="1">
      <c r="B87" s="202"/>
      <c r="C87" s="202"/>
      <c r="D87" s="202"/>
      <c r="E87" s="202"/>
      <c r="F87" s="202"/>
      <c r="G87" s="202" t="s">
        <v>842</v>
      </c>
      <c r="H87" s="202"/>
      <c r="I87" s="388" t="s">
        <v>678</v>
      </c>
      <c r="J87" s="397">
        <v>0.72</v>
      </c>
      <c r="K87" s="397">
        <v>0.74</v>
      </c>
      <c r="L87" s="397">
        <v>0.75</v>
      </c>
      <c r="M87" s="397">
        <v>0.75</v>
      </c>
      <c r="N87" s="394"/>
      <c r="O87" s="202"/>
      <c r="P87" s="202"/>
      <c r="Q87" s="202"/>
      <c r="R87" s="202"/>
      <c r="S87" s="202"/>
      <c r="T87" s="202"/>
      <c r="U87" s="206"/>
      <c r="V87" s="206"/>
      <c r="W87" s="206"/>
      <c r="X87" s="202"/>
      <c r="Y87" s="202"/>
    </row>
    <row r="88" spans="2:25">
      <c r="B88" s="48" t="s">
        <v>621</v>
      </c>
      <c r="C88" s="46" t="s">
        <v>682</v>
      </c>
      <c r="D88" s="211" t="s">
        <v>683</v>
      </c>
      <c r="E88" s="47" t="s">
        <v>582</v>
      </c>
      <c r="F88" s="47"/>
      <c r="G88" s="47"/>
      <c r="H88" s="47"/>
      <c r="I88" s="271"/>
      <c r="J88" s="47"/>
      <c r="K88" s="47"/>
      <c r="L88" s="47"/>
      <c r="M88" s="47"/>
      <c r="N88" s="355">
        <v>1</v>
      </c>
      <c r="O88" s="47"/>
      <c r="P88" s="47">
        <v>2000</v>
      </c>
      <c r="Q88" s="47"/>
      <c r="R88" s="50">
        <v>30</v>
      </c>
      <c r="S88" s="47"/>
      <c r="T88" s="47"/>
      <c r="U88" s="208">
        <v>1.24</v>
      </c>
      <c r="V88" s="51"/>
      <c r="W88" s="51"/>
      <c r="X88" s="47"/>
      <c r="Y88" s="47"/>
    </row>
    <row r="89" spans="2:25" ht="13.5" thickBot="1">
      <c r="B89" s="202"/>
      <c r="C89" s="202"/>
      <c r="D89" s="202"/>
      <c r="E89" s="202"/>
      <c r="F89" s="202"/>
      <c r="G89" s="202" t="s">
        <v>336</v>
      </c>
      <c r="H89" s="202"/>
      <c r="I89" s="388"/>
      <c r="J89" s="202"/>
      <c r="K89" s="202"/>
      <c r="L89" s="202"/>
      <c r="M89" s="202"/>
      <c r="N89" s="394"/>
      <c r="O89" s="202"/>
      <c r="P89" s="202"/>
      <c r="Q89" s="202"/>
      <c r="R89" s="202"/>
      <c r="S89" s="202"/>
      <c r="T89" s="202"/>
      <c r="U89" s="206"/>
      <c r="V89" s="206"/>
      <c r="W89" s="206"/>
      <c r="X89" s="202"/>
      <c r="Y89" s="202"/>
    </row>
    <row r="90" spans="2:25">
      <c r="B90" s="48" t="s">
        <v>621</v>
      </c>
      <c r="C90" s="47" t="s">
        <v>684</v>
      </c>
      <c r="D90" s="211" t="s">
        <v>685</v>
      </c>
      <c r="E90" s="47" t="s">
        <v>680</v>
      </c>
      <c r="F90" s="47"/>
      <c r="G90" s="47"/>
      <c r="H90" s="47"/>
      <c r="I90" s="271"/>
      <c r="J90" s="47"/>
      <c r="K90" s="47"/>
      <c r="L90" s="47"/>
      <c r="M90" s="47"/>
      <c r="N90" s="355">
        <v>1</v>
      </c>
      <c r="O90" s="47"/>
      <c r="P90" s="47">
        <v>2000</v>
      </c>
      <c r="Q90" s="47"/>
      <c r="R90" s="50">
        <v>30</v>
      </c>
      <c r="S90" s="47"/>
      <c r="T90" s="47"/>
      <c r="U90" s="208">
        <v>0.62</v>
      </c>
      <c r="V90" s="51"/>
      <c r="W90" s="51"/>
      <c r="X90" s="47"/>
      <c r="Y90" s="47"/>
    </row>
    <row r="91" spans="2:25" ht="13.5" thickBot="1">
      <c r="B91" s="202"/>
      <c r="C91" s="202"/>
      <c r="D91" s="202"/>
      <c r="E91" s="202"/>
      <c r="F91" s="202"/>
      <c r="G91" s="202" t="s">
        <v>221</v>
      </c>
      <c r="H91" s="202"/>
      <c r="I91" s="388"/>
      <c r="J91" s="202"/>
      <c r="K91" s="202"/>
      <c r="L91" s="202"/>
      <c r="M91" s="202"/>
      <c r="N91" s="394"/>
      <c r="O91" s="202"/>
      <c r="P91" s="202"/>
      <c r="Q91" s="202"/>
      <c r="R91" s="202"/>
      <c r="S91" s="202"/>
      <c r="T91" s="202"/>
      <c r="U91" s="206"/>
      <c r="V91" s="206"/>
      <c r="W91" s="206"/>
      <c r="X91" s="202"/>
      <c r="Y91" s="202"/>
    </row>
    <row r="92" spans="2:25" ht="13.5" thickBot="1">
      <c r="B92" s="427" t="s">
        <v>621</v>
      </c>
      <c r="C92" s="422" t="s">
        <v>898</v>
      </c>
      <c r="D92" s="422" t="s">
        <v>899</v>
      </c>
      <c r="E92" s="422" t="s">
        <v>582</v>
      </c>
      <c r="F92" s="422"/>
      <c r="G92" s="422"/>
      <c r="H92" s="422"/>
      <c r="I92" s="423"/>
      <c r="J92" s="422"/>
      <c r="K92" s="422"/>
      <c r="L92" s="422"/>
      <c r="M92" s="422"/>
      <c r="N92" s="424"/>
      <c r="O92" s="422"/>
      <c r="P92" s="422">
        <v>2150</v>
      </c>
      <c r="Q92" s="422"/>
      <c r="R92" s="422"/>
      <c r="S92" s="422"/>
      <c r="T92" s="422"/>
      <c r="U92" s="425"/>
      <c r="V92" s="425">
        <v>1</v>
      </c>
      <c r="W92" s="426"/>
      <c r="X92" s="422"/>
      <c r="Y92" s="422"/>
    </row>
    <row r="93" spans="2:25">
      <c r="B93" s="46"/>
      <c r="C93" s="46" t="s">
        <v>686</v>
      </c>
      <c r="D93" s="211" t="s">
        <v>687</v>
      </c>
      <c r="E93" s="47"/>
      <c r="F93" s="47"/>
      <c r="G93" s="47"/>
      <c r="H93" s="47"/>
      <c r="I93" s="271"/>
      <c r="J93" s="47"/>
      <c r="K93" s="47"/>
      <c r="L93" s="47"/>
      <c r="M93" s="47"/>
      <c r="N93" s="355"/>
      <c r="O93" s="47"/>
      <c r="P93" s="47"/>
      <c r="Q93" s="47"/>
      <c r="R93" s="50"/>
      <c r="S93" s="47"/>
      <c r="T93" s="47"/>
      <c r="U93" s="208"/>
      <c r="V93" s="51"/>
      <c r="W93" s="209">
        <v>2</v>
      </c>
      <c r="X93" s="47"/>
      <c r="Y93" s="47"/>
    </row>
    <row r="94" spans="2:25" ht="13.5" thickBot="1">
      <c r="B94" s="202"/>
      <c r="C94" s="202"/>
      <c r="D94" s="202"/>
      <c r="E94" s="202"/>
      <c r="F94" s="202"/>
      <c r="G94" s="202" t="s">
        <v>688</v>
      </c>
      <c r="H94" s="202"/>
      <c r="I94" s="388"/>
      <c r="J94" s="202"/>
      <c r="K94" s="202"/>
      <c r="L94" s="202"/>
      <c r="M94" s="202"/>
      <c r="N94" s="394"/>
      <c r="O94" s="202"/>
      <c r="P94" s="202"/>
      <c r="Q94" s="202"/>
      <c r="R94" s="202"/>
      <c r="S94" s="202"/>
      <c r="T94" s="202"/>
      <c r="U94" s="206"/>
      <c r="V94" s="206"/>
      <c r="W94" s="206"/>
      <c r="X94" s="202"/>
      <c r="Y94" s="202"/>
    </row>
    <row r="97" spans="2:42">
      <c r="AH97"/>
      <c r="AI97"/>
      <c r="AJ97"/>
      <c r="AK97"/>
      <c r="AL97"/>
      <c r="AM97"/>
      <c r="AN97"/>
      <c r="AO97"/>
      <c r="AP97"/>
    </row>
    <row r="98" spans="2:42">
      <c r="AH98"/>
      <c r="AI98"/>
      <c r="AJ98"/>
      <c r="AK98"/>
      <c r="AL98"/>
      <c r="AM98"/>
      <c r="AN98"/>
      <c r="AO98"/>
      <c r="AP98"/>
    </row>
    <row r="99" spans="2:42">
      <c r="B99" s="235" t="s">
        <v>36</v>
      </c>
      <c r="C99" s="236"/>
      <c r="D99" s="236"/>
      <c r="E99" s="236"/>
      <c r="AH99"/>
      <c r="AI99"/>
      <c r="AJ99"/>
      <c r="AK99"/>
      <c r="AL99"/>
      <c r="AM99"/>
      <c r="AN99"/>
      <c r="AO99"/>
      <c r="AP99"/>
    </row>
    <row r="100" spans="2:42">
      <c r="B100" s="237" t="s">
        <v>37</v>
      </c>
      <c r="C100" s="237" t="s">
        <v>38</v>
      </c>
      <c r="D100" s="237" t="s">
        <v>39</v>
      </c>
      <c r="E100" s="237" t="s">
        <v>40</v>
      </c>
      <c r="F100" s="238" t="s">
        <v>560</v>
      </c>
      <c r="G100" s="238" t="s">
        <v>561</v>
      </c>
      <c r="H100" s="238" t="s">
        <v>562</v>
      </c>
      <c r="I100" s="238" t="s">
        <v>563</v>
      </c>
      <c r="AF100" s="6"/>
    </row>
    <row r="101" spans="2:42">
      <c r="B101" s="239" t="s">
        <v>603</v>
      </c>
      <c r="C101" s="240" t="s">
        <v>672</v>
      </c>
      <c r="D101" s="240" t="s">
        <v>703</v>
      </c>
      <c r="E101" s="240" t="s">
        <v>41</v>
      </c>
      <c r="F101" s="20"/>
      <c r="G101" s="20" t="s">
        <v>625</v>
      </c>
      <c r="H101" s="20"/>
      <c r="I101" s="20"/>
      <c r="AF101" s="6"/>
    </row>
    <row r="102" spans="2:42">
      <c r="B102" s="239"/>
      <c r="C102" s="240" t="s">
        <v>582</v>
      </c>
      <c r="D102" s="240" t="s">
        <v>254</v>
      </c>
      <c r="E102" s="240" t="s">
        <v>41</v>
      </c>
      <c r="F102" s="20"/>
      <c r="G102" s="20" t="s">
        <v>625</v>
      </c>
      <c r="H102" s="20"/>
      <c r="I102" s="20"/>
      <c r="AF102" s="6"/>
    </row>
    <row r="103" spans="2:42">
      <c r="B103" s="239"/>
      <c r="C103" s="47" t="s">
        <v>680</v>
      </c>
      <c r="D103" s="47" t="s">
        <v>836</v>
      </c>
      <c r="E103" s="240" t="s">
        <v>41</v>
      </c>
      <c r="F103" s="20"/>
      <c r="G103" s="20"/>
      <c r="H103" s="20"/>
      <c r="I103" s="20"/>
      <c r="AF103" s="6"/>
    </row>
    <row r="104" spans="2:42">
      <c r="B104" s="240"/>
      <c r="C104" s="47" t="s">
        <v>336</v>
      </c>
      <c r="D104" s="47" t="s">
        <v>705</v>
      </c>
      <c r="E104" s="240" t="s">
        <v>41</v>
      </c>
      <c r="F104" s="20"/>
      <c r="G104" s="20" t="s">
        <v>625</v>
      </c>
      <c r="H104" s="20"/>
      <c r="I104" s="20"/>
      <c r="AF104" s="6"/>
    </row>
    <row r="105" spans="2:42">
      <c r="B105" s="240"/>
      <c r="C105" s="47" t="s">
        <v>221</v>
      </c>
      <c r="D105" s="47" t="s">
        <v>222</v>
      </c>
      <c r="E105" s="240" t="s">
        <v>41</v>
      </c>
      <c r="F105" s="20"/>
      <c r="G105" s="20"/>
      <c r="H105" s="20"/>
      <c r="I105" s="20"/>
      <c r="AF105" s="6"/>
    </row>
    <row r="106" spans="2:42">
      <c r="B106" s="240"/>
      <c r="C106" s="47" t="s">
        <v>842</v>
      </c>
      <c r="D106" s="47" t="s">
        <v>837</v>
      </c>
      <c r="E106" s="240" t="s">
        <v>41</v>
      </c>
      <c r="F106" s="20"/>
      <c r="G106" s="20" t="s">
        <v>625</v>
      </c>
      <c r="H106" s="20"/>
      <c r="I106" s="20"/>
      <c r="AF106" s="6"/>
    </row>
    <row r="107" spans="2:42">
      <c r="B107" s="239"/>
      <c r="C107" s="47" t="s">
        <v>598</v>
      </c>
      <c r="D107" s="47" t="s">
        <v>704</v>
      </c>
      <c r="E107" s="240" t="s">
        <v>41</v>
      </c>
      <c r="F107" s="20"/>
      <c r="G107" s="20"/>
      <c r="H107" s="20"/>
      <c r="I107" s="20"/>
      <c r="AF107" s="6"/>
    </row>
    <row r="108" spans="2:42">
      <c r="B108" s="239" t="s">
        <v>603</v>
      </c>
      <c r="C108" s="47" t="str">
        <f>E$24</f>
        <v>GASNGA</v>
      </c>
      <c r="D108" s="47" t="s">
        <v>706</v>
      </c>
      <c r="E108" s="240" t="s">
        <v>41</v>
      </c>
      <c r="F108" s="20"/>
      <c r="G108" s="20"/>
      <c r="H108" s="20"/>
      <c r="I108" s="20"/>
      <c r="AF108" s="6"/>
    </row>
    <row r="109" spans="2:42">
      <c r="B109" s="20"/>
      <c r="C109" s="47" t="str">
        <f>E$36</f>
        <v>COAHCO</v>
      </c>
      <c r="D109" s="47" t="s">
        <v>707</v>
      </c>
      <c r="E109" s="240" t="s">
        <v>41</v>
      </c>
      <c r="F109" s="20"/>
      <c r="G109" s="20"/>
      <c r="H109" s="20"/>
      <c r="I109" s="20"/>
      <c r="AF109" s="6"/>
    </row>
    <row r="110" spans="2:42">
      <c r="B110" s="20"/>
      <c r="C110" s="47" t="str">
        <f>E$48</f>
        <v>COABCO</v>
      </c>
      <c r="D110" s="47" t="s">
        <v>708</v>
      </c>
      <c r="E110" s="240" t="s">
        <v>41</v>
      </c>
      <c r="F110" s="20"/>
      <c r="G110" s="20"/>
      <c r="H110" s="20"/>
      <c r="I110" s="20"/>
      <c r="AF110" s="6"/>
    </row>
    <row r="111" spans="2:42">
      <c r="B111" s="20"/>
      <c r="C111" s="47" t="s">
        <v>601</v>
      </c>
      <c r="D111" s="47" t="s">
        <v>709</v>
      </c>
      <c r="E111" s="240" t="s">
        <v>41</v>
      </c>
      <c r="F111" s="20"/>
      <c r="G111" s="20"/>
      <c r="H111" s="20"/>
      <c r="I111" s="20"/>
      <c r="AF111" s="6"/>
    </row>
    <row r="112" spans="2:42">
      <c r="B112" s="239" t="s">
        <v>196</v>
      </c>
      <c r="C112" s="47" t="s">
        <v>695</v>
      </c>
      <c r="D112" s="47" t="s">
        <v>712</v>
      </c>
      <c r="E112" s="240" t="s">
        <v>503</v>
      </c>
      <c r="F112" s="20"/>
      <c r="G112" s="20"/>
      <c r="H112" s="20"/>
      <c r="I112" s="20"/>
    </row>
    <row r="113" spans="2:9">
      <c r="B113" s="239" t="s">
        <v>43</v>
      </c>
      <c r="C113" s="47" t="s">
        <v>602</v>
      </c>
      <c r="D113" s="47" t="s">
        <v>745</v>
      </c>
      <c r="E113" s="240" t="s">
        <v>503</v>
      </c>
      <c r="F113" s="20"/>
      <c r="G113" s="20"/>
      <c r="H113" s="20"/>
      <c r="I113" s="20"/>
    </row>
    <row r="114" spans="2:9">
      <c r="B114" s="20"/>
      <c r="C114" s="47" t="s">
        <v>713</v>
      </c>
      <c r="D114" s="47" t="s">
        <v>744</v>
      </c>
      <c r="E114" s="240" t="s">
        <v>503</v>
      </c>
      <c r="F114" s="20"/>
      <c r="G114" s="20"/>
      <c r="H114" s="20"/>
      <c r="I114" s="20"/>
    </row>
    <row r="115" spans="2:9">
      <c r="B115" s="20"/>
      <c r="C115" s="47" t="s">
        <v>699</v>
      </c>
      <c r="D115" s="47" t="s">
        <v>743</v>
      </c>
      <c r="E115" s="240" t="s">
        <v>503</v>
      </c>
      <c r="F115" s="20"/>
      <c r="G115" s="20"/>
      <c r="H115" s="20"/>
      <c r="I115" s="20"/>
    </row>
    <row r="116" spans="2:9">
      <c r="B116" s="20"/>
      <c r="C116" s="47" t="s">
        <v>714</v>
      </c>
      <c r="D116" s="47" t="s">
        <v>742</v>
      </c>
      <c r="E116" s="240" t="s">
        <v>503</v>
      </c>
      <c r="F116" s="20"/>
      <c r="G116" s="20"/>
      <c r="H116" s="20"/>
      <c r="I116" s="20"/>
    </row>
    <row r="117" spans="2:9">
      <c r="B117" s="20"/>
      <c r="C117" s="47" t="s">
        <v>715</v>
      </c>
      <c r="D117" s="47" t="s">
        <v>741</v>
      </c>
      <c r="E117" s="240" t="s">
        <v>503</v>
      </c>
      <c r="F117" s="20"/>
      <c r="G117" s="20"/>
      <c r="H117" s="20"/>
      <c r="I117" s="20"/>
    </row>
    <row r="118" spans="2:9">
      <c r="B118" s="20"/>
      <c r="C118" s="47" t="s">
        <v>590</v>
      </c>
      <c r="D118" s="47" t="s">
        <v>740</v>
      </c>
      <c r="E118" s="240" t="s">
        <v>503</v>
      </c>
      <c r="F118" s="20"/>
      <c r="G118" s="20"/>
      <c r="H118" s="20"/>
      <c r="I118" s="20"/>
    </row>
    <row r="119" spans="2:9">
      <c r="B119" s="20"/>
      <c r="C119" s="47" t="s">
        <v>641</v>
      </c>
      <c r="D119" s="47" t="s">
        <v>641</v>
      </c>
      <c r="E119" s="240" t="s">
        <v>503</v>
      </c>
      <c r="F119" s="20"/>
      <c r="G119" s="20"/>
      <c r="H119" s="20"/>
      <c r="I119" s="20"/>
    </row>
    <row r="120" spans="2:9">
      <c r="B120" s="20"/>
      <c r="C120" s="47" t="s">
        <v>194</v>
      </c>
      <c r="D120" s="47" t="s">
        <v>716</v>
      </c>
      <c r="E120" s="240" t="s">
        <v>503</v>
      </c>
      <c r="F120" s="20"/>
      <c r="G120" s="20"/>
      <c r="H120" s="20"/>
      <c r="I120" s="20"/>
    </row>
    <row r="121" spans="2:9">
      <c r="B121" s="20"/>
      <c r="C121" s="47" t="s">
        <v>589</v>
      </c>
      <c r="D121" s="47" t="s">
        <v>717</v>
      </c>
      <c r="E121" s="240" t="s">
        <v>503</v>
      </c>
      <c r="F121" s="20"/>
      <c r="G121" s="20"/>
      <c r="H121" s="20"/>
      <c r="I121" s="20"/>
    </row>
    <row r="122" spans="2:9">
      <c r="B122" s="20"/>
      <c r="C122" s="47" t="str">
        <f>F32</f>
        <v>SNKUPNCO2</v>
      </c>
      <c r="D122" s="47" t="str">
        <f>C122</f>
        <v>SNKUPNCO2</v>
      </c>
      <c r="E122" s="240" t="s">
        <v>503</v>
      </c>
      <c r="F122" s="20"/>
      <c r="G122" s="20"/>
      <c r="H122" s="20"/>
      <c r="I122" s="20"/>
    </row>
    <row r="123" spans="2:9">
      <c r="B123" s="20"/>
      <c r="C123" s="47" t="s">
        <v>495</v>
      </c>
      <c r="D123" s="47" t="s">
        <v>495</v>
      </c>
      <c r="E123" s="240" t="s">
        <v>503</v>
      </c>
      <c r="F123" s="20"/>
      <c r="G123" s="20"/>
      <c r="H123" s="20"/>
      <c r="I123" s="20"/>
    </row>
    <row r="124" spans="2:9">
      <c r="B124" s="20"/>
      <c r="C124" s="47" t="s">
        <v>718</v>
      </c>
      <c r="D124" s="47" t="s">
        <v>814</v>
      </c>
      <c r="E124" s="240" t="s">
        <v>503</v>
      </c>
      <c r="F124" s="20"/>
      <c r="G124" s="20"/>
      <c r="H124" s="20"/>
      <c r="I124" s="20"/>
    </row>
    <row r="125" spans="2:9">
      <c r="B125" s="20"/>
      <c r="C125" s="47" t="s">
        <v>799</v>
      </c>
      <c r="D125" s="47" t="s">
        <v>813</v>
      </c>
      <c r="E125" s="240" t="s">
        <v>503</v>
      </c>
      <c r="F125" s="20"/>
      <c r="G125" s="20"/>
      <c r="H125" s="20"/>
      <c r="I125" s="20"/>
    </row>
    <row r="126" spans="2:9">
      <c r="B126" s="239" t="s">
        <v>499</v>
      </c>
      <c r="C126" s="47" t="s">
        <v>198</v>
      </c>
      <c r="D126" s="47" t="s">
        <v>198</v>
      </c>
      <c r="E126" s="240" t="s">
        <v>41</v>
      </c>
      <c r="F126" s="414" t="s">
        <v>500</v>
      </c>
      <c r="G126" s="20"/>
      <c r="H126" s="20"/>
      <c r="I126" s="20"/>
    </row>
    <row r="130" spans="2:9">
      <c r="B130" s="15" t="s">
        <v>526</v>
      </c>
      <c r="C130"/>
      <c r="D130"/>
      <c r="E130"/>
      <c r="F130"/>
      <c r="G130"/>
      <c r="H130"/>
      <c r="I130"/>
    </row>
    <row r="131" spans="2:9">
      <c r="B131" s="35" t="s">
        <v>94</v>
      </c>
      <c r="C131" s="36" t="s">
        <v>555</v>
      </c>
      <c r="D131" s="36" t="s">
        <v>556</v>
      </c>
      <c r="E131" s="36" t="s">
        <v>527</v>
      </c>
      <c r="F131" s="36" t="s">
        <v>528</v>
      </c>
      <c r="G131" s="36" t="s">
        <v>529</v>
      </c>
      <c r="H131" s="36" t="s">
        <v>530</v>
      </c>
      <c r="I131" s="37" t="s">
        <v>531</v>
      </c>
    </row>
    <row r="132" spans="2:9">
      <c r="B132" s="27" t="s">
        <v>468</v>
      </c>
      <c r="C132" s="27" t="s">
        <v>656</v>
      </c>
      <c r="D132" s="27" t="str">
        <f t="shared" ref="D132:D138" si="0">VLOOKUP(C132,$C$6:$D$85,2,0)</f>
        <v>Hydrogen from NGA</v>
      </c>
      <c r="E132" s="27" t="s">
        <v>41</v>
      </c>
      <c r="F132" s="27" t="s">
        <v>534</v>
      </c>
      <c r="G132" s="27" t="s">
        <v>625</v>
      </c>
      <c r="H132" s="27" t="s">
        <v>582</v>
      </c>
      <c r="I132" s="27" t="s">
        <v>533</v>
      </c>
    </row>
    <row r="133" spans="2:9">
      <c r="B133" s="27" t="s">
        <v>468</v>
      </c>
      <c r="C133" s="27" t="s">
        <v>666</v>
      </c>
      <c r="D133" s="27" t="str">
        <f t="shared" si="0"/>
        <v>Hydrogen from Browncoal</v>
      </c>
      <c r="E133" s="27" t="s">
        <v>41</v>
      </c>
      <c r="F133" s="27" t="s">
        <v>534</v>
      </c>
      <c r="G133" s="27"/>
      <c r="H133" s="27"/>
      <c r="I133" s="27" t="s">
        <v>533</v>
      </c>
    </row>
    <row r="134" spans="2:9">
      <c r="B134" s="27" t="s">
        <v>468</v>
      </c>
      <c r="C134" s="27" t="s">
        <v>662</v>
      </c>
      <c r="D134" s="27" t="str">
        <f t="shared" si="0"/>
        <v>Hydrogen from Hardcoal</v>
      </c>
      <c r="E134" s="27" t="s">
        <v>41</v>
      </c>
      <c r="F134" s="27" t="s">
        <v>534</v>
      </c>
      <c r="G134" s="27"/>
      <c r="H134" s="27"/>
      <c r="I134" s="27" t="s">
        <v>533</v>
      </c>
    </row>
    <row r="135" spans="2:9">
      <c r="B135" s="27" t="s">
        <v>468</v>
      </c>
      <c r="C135" s="24" t="s">
        <v>668</v>
      </c>
      <c r="D135" s="27" t="str">
        <f t="shared" si="0"/>
        <v>Hydrogen from Browncoal + CO2 removal</v>
      </c>
      <c r="E135" s="24" t="s">
        <v>41</v>
      </c>
      <c r="F135" s="24" t="s">
        <v>534</v>
      </c>
      <c r="G135" s="24"/>
      <c r="H135" s="24"/>
      <c r="I135" s="24" t="s">
        <v>533</v>
      </c>
    </row>
    <row r="136" spans="2:9">
      <c r="B136" s="27" t="s">
        <v>468</v>
      </c>
      <c r="C136" s="24" t="s">
        <v>664</v>
      </c>
      <c r="D136" s="27" t="str">
        <f t="shared" si="0"/>
        <v>Hydrogen from Hardcoal + CO2 removal</v>
      </c>
      <c r="E136" s="24" t="s">
        <v>41</v>
      </c>
      <c r="F136" s="24" t="s">
        <v>534</v>
      </c>
      <c r="G136" s="24"/>
      <c r="H136" s="24"/>
      <c r="I136" s="24" t="s">
        <v>533</v>
      </c>
    </row>
    <row r="137" spans="2:9">
      <c r="B137" s="27" t="s">
        <v>468</v>
      </c>
      <c r="C137" s="24" t="s">
        <v>659</v>
      </c>
      <c r="D137" s="27" t="str">
        <f t="shared" si="0"/>
        <v>Hydrogen from NGA, CCS</v>
      </c>
      <c r="E137" s="24" t="s">
        <v>41</v>
      </c>
      <c r="F137" s="24" t="s">
        <v>534</v>
      </c>
      <c r="G137" s="27" t="s">
        <v>566</v>
      </c>
      <c r="H137" s="27" t="s">
        <v>582</v>
      </c>
      <c r="I137" s="24" t="s">
        <v>533</v>
      </c>
    </row>
    <row r="138" spans="2:9">
      <c r="B138" s="27" t="s">
        <v>468</v>
      </c>
      <c r="C138" s="27" t="s">
        <v>670</v>
      </c>
      <c r="D138" s="27" t="str">
        <f t="shared" si="0"/>
        <v>Hydrogen from NGA - Decentralized</v>
      </c>
      <c r="E138" s="24" t="s">
        <v>41</v>
      </c>
      <c r="F138" s="24" t="s">
        <v>534</v>
      </c>
      <c r="G138" s="27" t="s">
        <v>566</v>
      </c>
      <c r="H138" s="27" t="s">
        <v>672</v>
      </c>
      <c r="I138" s="24" t="s">
        <v>533</v>
      </c>
    </row>
    <row r="139" spans="2:9">
      <c r="B139" s="27" t="s">
        <v>468</v>
      </c>
      <c r="C139" s="27" t="s">
        <v>655</v>
      </c>
      <c r="D139" s="27" t="s">
        <v>804</v>
      </c>
      <c r="E139" s="27" t="s">
        <v>41</v>
      </c>
      <c r="F139" s="27" t="s">
        <v>534</v>
      </c>
      <c r="G139" s="27" t="s">
        <v>625</v>
      </c>
      <c r="H139" s="27" t="s">
        <v>582</v>
      </c>
      <c r="I139" s="27" t="s">
        <v>126</v>
      </c>
    </row>
    <row r="140" spans="2:9">
      <c r="B140" s="27" t="s">
        <v>468</v>
      </c>
      <c r="C140" s="27" t="s">
        <v>841</v>
      </c>
      <c r="D140" s="27" t="s">
        <v>835</v>
      </c>
      <c r="E140" s="27" t="s">
        <v>41</v>
      </c>
      <c r="F140" s="27" t="s">
        <v>534</v>
      </c>
      <c r="G140" s="27" t="s">
        <v>566</v>
      </c>
      <c r="H140" s="27" t="s">
        <v>672</v>
      </c>
      <c r="I140" s="27" t="s">
        <v>126</v>
      </c>
    </row>
    <row r="141" spans="2:9">
      <c r="B141" s="27" t="s">
        <v>468</v>
      </c>
      <c r="C141" s="27" t="s">
        <v>805</v>
      </c>
      <c r="D141" s="27" t="s">
        <v>806</v>
      </c>
      <c r="E141" s="27" t="s">
        <v>41</v>
      </c>
      <c r="F141" s="27" t="s">
        <v>534</v>
      </c>
      <c r="G141" s="27" t="s">
        <v>566</v>
      </c>
      <c r="H141" s="27" t="s">
        <v>582</v>
      </c>
      <c r="I141" s="27" t="s">
        <v>126</v>
      </c>
    </row>
    <row r="142" spans="2:9">
      <c r="B142" s="27" t="s">
        <v>468</v>
      </c>
      <c r="C142" s="27" t="s">
        <v>673</v>
      </c>
      <c r="D142" s="27" t="s">
        <v>674</v>
      </c>
      <c r="E142" s="27" t="s">
        <v>41</v>
      </c>
      <c r="F142" s="27" t="s">
        <v>534</v>
      </c>
      <c r="G142" s="27"/>
      <c r="H142" s="27"/>
      <c r="I142" s="27" t="s">
        <v>533</v>
      </c>
    </row>
    <row r="143" spans="2:9">
      <c r="B143" s="27" t="s">
        <v>468</v>
      </c>
      <c r="C143" s="27" t="s">
        <v>675</v>
      </c>
      <c r="D143" s="27" t="s">
        <v>676</v>
      </c>
      <c r="E143" s="27" t="s">
        <v>41</v>
      </c>
      <c r="F143" s="27" t="s">
        <v>534</v>
      </c>
      <c r="G143" s="27"/>
      <c r="H143" s="27"/>
      <c r="I143" s="27" t="s">
        <v>533</v>
      </c>
    </row>
    <row r="144" spans="2:9">
      <c r="B144" s="27" t="s">
        <v>468</v>
      </c>
      <c r="C144" s="27" t="s">
        <v>679</v>
      </c>
      <c r="D144" s="27" t="s">
        <v>839</v>
      </c>
      <c r="E144" s="27" t="s">
        <v>41</v>
      </c>
      <c r="F144" s="27" t="s">
        <v>534</v>
      </c>
      <c r="G144" s="27"/>
      <c r="H144" s="27"/>
      <c r="I144" s="27" t="s">
        <v>533</v>
      </c>
    </row>
    <row r="145" spans="2:9">
      <c r="B145" s="27" t="s">
        <v>468</v>
      </c>
      <c r="C145" s="27" t="s">
        <v>838</v>
      </c>
      <c r="D145" s="27" t="s">
        <v>840</v>
      </c>
      <c r="E145" s="27" t="s">
        <v>41</v>
      </c>
      <c r="F145" s="27" t="s">
        <v>534</v>
      </c>
      <c r="G145" s="27" t="s">
        <v>625</v>
      </c>
      <c r="H145" s="27" t="s">
        <v>582</v>
      </c>
      <c r="I145" s="27" t="s">
        <v>533</v>
      </c>
    </row>
    <row r="146" spans="2:9">
      <c r="B146" s="27" t="s">
        <v>828</v>
      </c>
      <c r="C146" s="27" t="s">
        <v>831</v>
      </c>
      <c r="D146" s="27" t="s">
        <v>832</v>
      </c>
      <c r="E146" s="27" t="s">
        <v>41</v>
      </c>
      <c r="F146" s="27" t="s">
        <v>534</v>
      </c>
      <c r="G146" s="27" t="s">
        <v>625</v>
      </c>
      <c r="H146" s="27" t="s">
        <v>582</v>
      </c>
      <c r="I146" s="27" t="s">
        <v>533</v>
      </c>
    </row>
    <row r="147" spans="2:9">
      <c r="B147" s="27" t="s">
        <v>828</v>
      </c>
      <c r="C147" s="27" t="s">
        <v>681</v>
      </c>
      <c r="D147" s="27" t="s">
        <v>833</v>
      </c>
      <c r="E147" s="27" t="s">
        <v>41</v>
      </c>
      <c r="F147" s="27" t="s">
        <v>534</v>
      </c>
      <c r="G147" s="27" t="s">
        <v>625</v>
      </c>
      <c r="H147" s="27" t="s">
        <v>582</v>
      </c>
      <c r="I147" s="27" t="s">
        <v>533</v>
      </c>
    </row>
    <row r="148" spans="2:9">
      <c r="B148" s="27" t="s">
        <v>468</v>
      </c>
      <c r="C148" s="27" t="s">
        <v>682</v>
      </c>
      <c r="D148" s="27" t="str">
        <f>VLOOKUP(C148,$C$6:$D$88,2,0)</f>
        <v>Fuel Tech - Hydrogen (ELC)</v>
      </c>
      <c r="E148" s="27" t="s">
        <v>41</v>
      </c>
      <c r="F148" s="27" t="s">
        <v>534</v>
      </c>
      <c r="G148" s="27" t="s">
        <v>625</v>
      </c>
      <c r="H148" s="27"/>
      <c r="I148" s="27" t="s">
        <v>533</v>
      </c>
    </row>
    <row r="149" spans="2:9">
      <c r="B149" s="27" t="s">
        <v>468</v>
      </c>
      <c r="C149" s="27" t="s">
        <v>684</v>
      </c>
      <c r="D149" s="27" t="str">
        <f>VLOOKUP(C149,$C$6:$D$90,2,0)</f>
        <v>Fuel Tech - Hydrogen (IND)</v>
      </c>
      <c r="E149" s="27" t="s">
        <v>41</v>
      </c>
      <c r="F149" s="27" t="s">
        <v>534</v>
      </c>
      <c r="G149" s="27"/>
      <c r="H149" s="27"/>
      <c r="I149" s="27" t="s">
        <v>533</v>
      </c>
    </row>
    <row r="150" spans="2:9">
      <c r="B150" s="27" t="s">
        <v>289</v>
      </c>
      <c r="C150" s="27" t="s">
        <v>658</v>
      </c>
      <c r="D150" s="27" t="str">
        <f>VLOOKUP(C150,$C$6:$D$88,2,0)</f>
        <v>EPP: PEM-FC (hydrogen)</v>
      </c>
      <c r="E150" s="27" t="s">
        <v>41</v>
      </c>
      <c r="F150" s="27" t="s">
        <v>534</v>
      </c>
      <c r="G150" s="27" t="s">
        <v>625</v>
      </c>
      <c r="H150" s="27"/>
      <c r="I150" s="27" t="s">
        <v>126</v>
      </c>
    </row>
    <row r="151" spans="2:9">
      <c r="B151" s="27" t="s">
        <v>900</v>
      </c>
      <c r="C151" s="27" t="s">
        <v>898</v>
      </c>
      <c r="D151" s="27" t="s">
        <v>899</v>
      </c>
      <c r="E151" s="27" t="s">
        <v>41</v>
      </c>
      <c r="F151" s="27" t="s">
        <v>534</v>
      </c>
      <c r="G151" s="27" t="s">
        <v>250</v>
      </c>
      <c r="H151" s="27" t="s">
        <v>603</v>
      </c>
      <c r="I151" s="27"/>
    </row>
    <row r="152" spans="2:9">
      <c r="B152" s="27" t="s">
        <v>468</v>
      </c>
      <c r="C152" s="27" t="s">
        <v>686</v>
      </c>
      <c r="D152" s="27" t="s">
        <v>687</v>
      </c>
      <c r="E152" s="27" t="s">
        <v>41</v>
      </c>
      <c r="F152" s="27" t="s">
        <v>534</v>
      </c>
      <c r="G152" s="27"/>
      <c r="H152" s="27"/>
      <c r="I152" s="27" t="s">
        <v>533</v>
      </c>
    </row>
    <row r="153" spans="2:9">
      <c r="B153" s="87" t="s">
        <v>468</v>
      </c>
      <c r="C153" s="87" t="s">
        <v>721</v>
      </c>
      <c r="D153" s="87" t="s">
        <v>720</v>
      </c>
      <c r="E153" s="87" t="s">
        <v>41</v>
      </c>
      <c r="F153" s="87" t="s">
        <v>534</v>
      </c>
      <c r="G153" s="87"/>
      <c r="H153" s="87" t="s">
        <v>198</v>
      </c>
      <c r="I153" s="87" t="s">
        <v>533</v>
      </c>
    </row>
    <row r="154" spans="2:9">
      <c r="B154" s="87" t="s">
        <v>468</v>
      </c>
      <c r="C154" s="87" t="s">
        <v>722</v>
      </c>
      <c r="D154" s="87" t="s">
        <v>720</v>
      </c>
      <c r="E154" s="87" t="s">
        <v>41</v>
      </c>
      <c r="F154" s="87" t="s">
        <v>534</v>
      </c>
      <c r="G154" s="87"/>
      <c r="H154" s="87" t="s">
        <v>198</v>
      </c>
      <c r="I154" s="87" t="s">
        <v>533</v>
      </c>
    </row>
    <row r="155" spans="2:9">
      <c r="B155" s="87" t="s">
        <v>468</v>
      </c>
      <c r="C155" s="87" t="s">
        <v>723</v>
      </c>
      <c r="D155" s="87" t="s">
        <v>720</v>
      </c>
      <c r="E155" s="87" t="s">
        <v>41</v>
      </c>
      <c r="F155" s="87" t="s">
        <v>534</v>
      </c>
      <c r="G155" s="87"/>
      <c r="H155" s="87" t="s">
        <v>198</v>
      </c>
      <c r="I155" s="87" t="s">
        <v>533</v>
      </c>
    </row>
  </sheetData>
  <phoneticPr fontId="34" type="noConversion"/>
  <pageMargins left="0.75" right="0.75" top="1" bottom="1" header="0.5" footer="0.5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3:AB52"/>
  <sheetViews>
    <sheetView zoomScale="80" workbookViewId="0">
      <selection activeCell="B1" sqref="B1"/>
    </sheetView>
  </sheetViews>
  <sheetFormatPr defaultRowHeight="12.75"/>
  <cols>
    <col min="3" max="3" width="14.5703125" customWidth="1"/>
    <col min="4" max="4" width="31" customWidth="1"/>
    <col min="5" max="5" width="12" customWidth="1"/>
    <col min="6" max="6" width="11" customWidth="1"/>
    <col min="8" max="8" width="12.85546875" customWidth="1"/>
    <col min="19" max="19" width="5.42578125" customWidth="1"/>
    <col min="20" max="20" width="4.85546875" customWidth="1"/>
    <col min="21" max="21" width="15.28515625" customWidth="1"/>
    <col min="22" max="22" width="10" customWidth="1"/>
    <col min="23" max="23" width="10.7109375" customWidth="1"/>
  </cols>
  <sheetData>
    <row r="3" spans="2:28">
      <c r="U3" s="410" t="s">
        <v>864</v>
      </c>
    </row>
    <row r="4" spans="2:28" ht="18">
      <c r="B4" s="38" t="s">
        <v>856</v>
      </c>
      <c r="C4" s="39"/>
      <c r="D4" s="40"/>
      <c r="E4" s="5"/>
      <c r="G4" s="421" t="s">
        <v>516</v>
      </c>
      <c r="H4" s="5"/>
      <c r="I4" s="5"/>
      <c r="J4" s="5"/>
      <c r="K4" s="5"/>
      <c r="L4" s="5"/>
      <c r="M4" s="5"/>
      <c r="N4" s="5"/>
      <c r="O4" s="5"/>
      <c r="P4" s="5"/>
      <c r="Q4" s="5"/>
    </row>
    <row r="5" spans="2:28" ht="45.75" customHeight="1" thickBot="1">
      <c r="B5" s="83" t="s">
        <v>33</v>
      </c>
      <c r="C5" s="83" t="s">
        <v>555</v>
      </c>
      <c r="D5" s="83" t="s">
        <v>556</v>
      </c>
      <c r="E5" s="83" t="s">
        <v>557</v>
      </c>
      <c r="F5" s="83" t="s">
        <v>153</v>
      </c>
      <c r="G5" s="83" t="s">
        <v>569</v>
      </c>
      <c r="H5" s="83" t="s">
        <v>893</v>
      </c>
      <c r="I5" s="83" t="s">
        <v>894</v>
      </c>
      <c r="J5" s="83" t="s">
        <v>101</v>
      </c>
      <c r="K5" s="83" t="s">
        <v>558</v>
      </c>
      <c r="L5" s="83" t="s">
        <v>97</v>
      </c>
      <c r="M5" s="83" t="s">
        <v>102</v>
      </c>
      <c r="N5" s="83" t="s">
        <v>139</v>
      </c>
      <c r="O5" s="83" t="s">
        <v>98</v>
      </c>
      <c r="P5" s="83" t="s">
        <v>99</v>
      </c>
      <c r="Q5" s="83" t="s">
        <v>100</v>
      </c>
      <c r="R5" s="83" t="s">
        <v>173</v>
      </c>
      <c r="U5" s="83" t="s">
        <v>865</v>
      </c>
      <c r="V5" s="83" t="s">
        <v>866</v>
      </c>
      <c r="W5" s="83" t="s">
        <v>879</v>
      </c>
      <c r="X5" s="83" t="s">
        <v>867</v>
      </c>
      <c r="Y5" s="83" t="s">
        <v>880</v>
      </c>
      <c r="Z5" s="83" t="s">
        <v>868</v>
      </c>
      <c r="AA5" s="83" t="s">
        <v>869</v>
      </c>
      <c r="AB5" s="83"/>
    </row>
    <row r="6" spans="2:28" ht="12.75" customHeight="1">
      <c r="B6" s="48" t="s">
        <v>621</v>
      </c>
      <c r="C6" s="212" t="s">
        <v>692</v>
      </c>
      <c r="D6" s="212" t="s">
        <v>693</v>
      </c>
      <c r="E6" s="212" t="s">
        <v>799</v>
      </c>
      <c r="F6" s="212"/>
      <c r="G6" s="213"/>
      <c r="H6" s="212"/>
      <c r="I6" s="214"/>
      <c r="J6" s="214"/>
      <c r="K6" s="214"/>
      <c r="L6" s="401">
        <v>2050</v>
      </c>
      <c r="M6" s="212"/>
      <c r="N6" s="402">
        <v>10</v>
      </c>
      <c r="O6" s="399">
        <f>220/1000</f>
        <v>0.22</v>
      </c>
      <c r="P6" s="399">
        <f>12.5/1000</f>
        <v>1.2500000000000001E-2</v>
      </c>
      <c r="Q6" s="399">
        <f>1.8/1000*10</f>
        <v>1.7999999999999999E-2</v>
      </c>
      <c r="R6" s="215"/>
      <c r="U6" s="409"/>
      <c r="V6" s="409"/>
      <c r="W6" s="409"/>
      <c r="X6" s="409"/>
      <c r="Y6" s="409"/>
      <c r="Z6" s="409"/>
      <c r="AA6" s="409" t="s">
        <v>870</v>
      </c>
      <c r="AB6" s="409"/>
    </row>
    <row r="7" spans="2:28" ht="12.75" customHeight="1">
      <c r="B7" s="212"/>
      <c r="C7" s="212"/>
      <c r="D7" s="212"/>
      <c r="E7" s="212" t="s">
        <v>641</v>
      </c>
      <c r="F7" s="212"/>
      <c r="G7" s="212"/>
      <c r="H7" s="212">
        <v>1</v>
      </c>
      <c r="I7" s="214"/>
      <c r="J7" s="214"/>
      <c r="K7" s="214"/>
      <c r="L7" s="402"/>
      <c r="M7" s="212"/>
      <c r="N7" s="402"/>
      <c r="O7" s="215"/>
      <c r="P7" s="215"/>
      <c r="Q7" s="215"/>
      <c r="R7" s="215"/>
      <c r="U7" s="409"/>
      <c r="V7" s="409"/>
      <c r="W7" s="409"/>
      <c r="X7" s="409"/>
      <c r="Y7" s="409"/>
      <c r="Z7" s="409"/>
      <c r="AA7" s="409">
        <v>7.4999999999999997E-2</v>
      </c>
      <c r="AB7" s="409">
        <v>0.125</v>
      </c>
    </row>
    <row r="8" spans="2:28" ht="12.75" customHeight="1">
      <c r="B8" s="212"/>
      <c r="C8" s="216"/>
      <c r="D8" s="216"/>
      <c r="E8" s="216" t="s">
        <v>651</v>
      </c>
      <c r="F8" s="216"/>
      <c r="G8" s="216"/>
      <c r="H8" s="404">
        <f>2.3/1000</f>
        <v>2.3E-3</v>
      </c>
      <c r="I8" s="217"/>
      <c r="J8" s="217"/>
      <c r="K8" s="217"/>
      <c r="L8" s="403"/>
      <c r="M8" s="212"/>
      <c r="N8" s="403"/>
      <c r="O8" s="218"/>
      <c r="P8" s="218"/>
      <c r="Q8" s="218"/>
      <c r="R8" s="218"/>
      <c r="U8" s="407" t="s">
        <v>871</v>
      </c>
      <c r="V8" s="411">
        <v>8.81</v>
      </c>
      <c r="W8" s="411">
        <v>0</v>
      </c>
      <c r="X8" s="411">
        <v>0.48</v>
      </c>
      <c r="Y8" s="411">
        <v>1146</v>
      </c>
      <c r="Z8" s="411">
        <v>42</v>
      </c>
      <c r="AA8" s="411">
        <v>168</v>
      </c>
      <c r="AB8" s="411">
        <v>232</v>
      </c>
    </row>
    <row r="9" spans="2:28" ht="12.75" customHeight="1">
      <c r="B9" s="48" t="s">
        <v>792</v>
      </c>
      <c r="C9" s="212" t="s">
        <v>854</v>
      </c>
      <c r="D9" s="216" t="s">
        <v>855</v>
      </c>
      <c r="E9" s="212" t="s">
        <v>799</v>
      </c>
      <c r="F9" s="212"/>
      <c r="G9" s="216"/>
      <c r="H9" s="212">
        <v>1</v>
      </c>
      <c r="I9" s="217"/>
      <c r="J9" s="217"/>
      <c r="K9" s="217"/>
      <c r="L9" s="402">
        <v>2030</v>
      </c>
      <c r="M9" s="214">
        <v>1</v>
      </c>
      <c r="N9" s="402">
        <v>30</v>
      </c>
      <c r="O9" s="399">
        <v>3.5000000000000003E-2</v>
      </c>
      <c r="P9" s="215"/>
      <c r="Q9" s="399">
        <v>1.4999999999999999E-2</v>
      </c>
      <c r="R9" s="400"/>
      <c r="U9" s="408" t="s">
        <v>872</v>
      </c>
      <c r="V9" s="411">
        <v>8.81</v>
      </c>
      <c r="W9" s="411">
        <v>0</v>
      </c>
      <c r="X9" s="411">
        <v>0.48</v>
      </c>
      <c r="Y9" s="411">
        <v>793</v>
      </c>
      <c r="Z9" s="411">
        <v>30</v>
      </c>
      <c r="AA9" s="411">
        <v>126</v>
      </c>
      <c r="AB9" s="412">
        <v>170</v>
      </c>
    </row>
    <row r="10" spans="2:28" ht="12.75" customHeight="1">
      <c r="B10" s="212"/>
      <c r="C10" s="216"/>
      <c r="D10" s="216"/>
      <c r="E10" s="216"/>
      <c r="F10" s="216"/>
      <c r="G10" s="216" t="s">
        <v>695</v>
      </c>
      <c r="H10" s="404"/>
      <c r="I10" s="217"/>
      <c r="J10" s="217"/>
      <c r="K10" s="217"/>
      <c r="L10" s="403"/>
      <c r="M10" s="212"/>
      <c r="N10" s="403"/>
      <c r="O10" s="218"/>
      <c r="P10" s="218"/>
      <c r="Q10" s="218"/>
      <c r="R10" s="417"/>
      <c r="U10" s="407" t="s">
        <v>873</v>
      </c>
      <c r="V10" s="413">
        <v>5.25</v>
      </c>
      <c r="W10" s="413">
        <v>366</v>
      </c>
      <c r="X10" s="411">
        <v>0.3</v>
      </c>
      <c r="Y10" s="411">
        <v>694</v>
      </c>
      <c r="Z10" s="411">
        <v>26</v>
      </c>
      <c r="AA10" s="411" t="s">
        <v>874</v>
      </c>
      <c r="AB10" s="411" t="s">
        <v>875</v>
      </c>
    </row>
    <row r="11" spans="2:28" ht="12.75" customHeight="1">
      <c r="B11" s="48" t="s">
        <v>792</v>
      </c>
      <c r="C11" s="212" t="s">
        <v>853</v>
      </c>
      <c r="D11" s="216" t="s">
        <v>694</v>
      </c>
      <c r="E11" s="125" t="s">
        <v>695</v>
      </c>
      <c r="F11" s="125"/>
      <c r="G11" s="216"/>
      <c r="H11" s="216"/>
      <c r="I11" s="217"/>
      <c r="J11" s="217"/>
      <c r="K11" s="217"/>
      <c r="L11" s="402">
        <v>2030</v>
      </c>
      <c r="M11" s="214">
        <v>1</v>
      </c>
      <c r="N11" s="402">
        <v>40</v>
      </c>
      <c r="O11" s="399">
        <v>0.12</v>
      </c>
      <c r="P11" s="398">
        <f>O11*0.02</f>
        <v>2.3999999999999998E-3</v>
      </c>
      <c r="Q11" s="398">
        <v>1E-3</v>
      </c>
      <c r="R11" s="215"/>
      <c r="U11" s="408" t="s">
        <v>876</v>
      </c>
      <c r="V11" s="411">
        <v>5.25</v>
      </c>
      <c r="W11" s="411">
        <v>77</v>
      </c>
      <c r="X11" s="411">
        <v>0.3</v>
      </c>
      <c r="Y11" s="411">
        <v>609</v>
      </c>
      <c r="Z11" s="411">
        <v>23</v>
      </c>
      <c r="AA11" s="411" t="s">
        <v>877</v>
      </c>
      <c r="AB11" s="411" t="s">
        <v>878</v>
      </c>
    </row>
    <row r="12" spans="2:28" ht="12.75" customHeight="1">
      <c r="B12" s="212"/>
      <c r="C12" s="216"/>
      <c r="D12" s="216"/>
      <c r="E12" s="212" t="s">
        <v>641</v>
      </c>
      <c r="F12" s="212"/>
      <c r="G12" s="216"/>
      <c r="H12" s="216">
        <v>1</v>
      </c>
      <c r="I12" s="217"/>
      <c r="J12" s="217"/>
      <c r="K12" s="217"/>
      <c r="L12" s="402"/>
      <c r="M12" s="212"/>
      <c r="N12" s="402"/>
      <c r="O12" s="215"/>
      <c r="P12" s="215"/>
      <c r="Q12" s="215"/>
      <c r="R12" s="215"/>
    </row>
    <row r="13" spans="2:28" ht="12.75" customHeight="1">
      <c r="B13" s="48" t="s">
        <v>621</v>
      </c>
      <c r="C13" s="212" t="s">
        <v>892</v>
      </c>
      <c r="D13" s="212" t="s">
        <v>696</v>
      </c>
      <c r="E13" s="212" t="s">
        <v>641</v>
      </c>
      <c r="F13" s="212"/>
      <c r="G13" s="213"/>
      <c r="H13" s="212"/>
      <c r="I13" s="214"/>
      <c r="J13" s="214"/>
      <c r="K13" s="214"/>
      <c r="L13" s="401">
        <v>2020</v>
      </c>
      <c r="M13" s="212"/>
      <c r="N13" s="401">
        <v>10</v>
      </c>
      <c r="O13" s="219"/>
      <c r="P13" s="219"/>
      <c r="Q13" s="220">
        <v>1.3</v>
      </c>
      <c r="R13" s="219"/>
    </row>
    <row r="14" spans="2:28" ht="12.75" customHeight="1">
      <c r="B14" s="212"/>
      <c r="C14" s="212" t="s">
        <v>881</v>
      </c>
      <c r="D14" s="212" t="s">
        <v>700</v>
      </c>
      <c r="E14" s="224" t="s">
        <v>495</v>
      </c>
      <c r="F14" s="212"/>
      <c r="G14" s="213"/>
      <c r="H14" s="222">
        <v>1</v>
      </c>
      <c r="I14" s="214"/>
      <c r="J14" s="214"/>
      <c r="K14" s="214"/>
      <c r="L14" s="125"/>
      <c r="M14" s="125"/>
      <c r="N14" s="125"/>
      <c r="O14" s="125"/>
      <c r="P14" s="125"/>
      <c r="Q14" s="125"/>
      <c r="R14" s="125"/>
    </row>
    <row r="15" spans="2:28" ht="12.75" customHeight="1">
      <c r="B15" s="212"/>
      <c r="C15" s="223"/>
      <c r="D15" s="212"/>
      <c r="E15" s="224"/>
      <c r="F15" s="224"/>
      <c r="G15" s="212" t="s">
        <v>799</v>
      </c>
      <c r="H15" s="222"/>
      <c r="I15" s="214"/>
      <c r="J15" s="214"/>
      <c r="K15" s="214"/>
      <c r="L15" s="125"/>
      <c r="M15" s="125"/>
      <c r="N15" s="125"/>
      <c r="O15" s="125"/>
      <c r="P15" s="125"/>
      <c r="Q15" s="125"/>
      <c r="R15" s="125"/>
    </row>
    <row r="16" spans="2:28" ht="12.75" customHeight="1">
      <c r="B16" s="212"/>
      <c r="C16" s="212" t="s">
        <v>697</v>
      </c>
      <c r="D16" s="212" t="s">
        <v>698</v>
      </c>
      <c r="E16" s="221" t="s">
        <v>699</v>
      </c>
      <c r="F16" s="224"/>
      <c r="G16" s="213"/>
      <c r="H16" s="222">
        <v>1</v>
      </c>
      <c r="I16" s="214"/>
      <c r="J16" s="214"/>
      <c r="K16" s="214"/>
      <c r="L16" s="125"/>
      <c r="M16" s="125"/>
      <c r="N16" s="125"/>
      <c r="O16" s="125"/>
      <c r="P16" s="125"/>
      <c r="Q16" s="125"/>
      <c r="R16" s="125"/>
    </row>
    <row r="17" spans="2:18" ht="12.75" customHeight="1">
      <c r="B17" s="212"/>
      <c r="C17" s="223"/>
      <c r="D17" s="212"/>
      <c r="E17" s="224" t="s">
        <v>194</v>
      </c>
      <c r="F17" s="224"/>
      <c r="G17" s="212"/>
      <c r="H17" s="222">
        <v>1</v>
      </c>
      <c r="I17" s="214"/>
      <c r="J17" s="214"/>
      <c r="K17" s="214"/>
      <c r="L17" s="125"/>
      <c r="M17" s="125"/>
      <c r="N17" s="125"/>
      <c r="O17" s="125"/>
      <c r="P17" s="125"/>
      <c r="Q17" s="125"/>
      <c r="R17" s="125"/>
    </row>
    <row r="18" spans="2:18" ht="12.75" customHeight="1">
      <c r="B18" s="212"/>
      <c r="C18" s="223"/>
      <c r="D18" s="212"/>
      <c r="E18" s="224"/>
      <c r="F18" s="224"/>
      <c r="G18" s="225" t="s">
        <v>641</v>
      </c>
      <c r="H18" s="222"/>
      <c r="I18" s="214"/>
      <c r="J18" s="214"/>
      <c r="K18" s="214"/>
      <c r="L18" s="125"/>
      <c r="M18" s="125"/>
      <c r="N18" s="125"/>
      <c r="O18" s="125"/>
      <c r="P18" s="125"/>
      <c r="Q18" s="125"/>
      <c r="R18" s="125"/>
    </row>
    <row r="19" spans="2:18" ht="12.75" customHeight="1">
      <c r="B19" s="212"/>
      <c r="C19" s="223"/>
      <c r="D19" s="212"/>
      <c r="E19" s="224"/>
      <c r="F19" s="224"/>
      <c r="G19" s="212" t="s">
        <v>799</v>
      </c>
      <c r="H19" s="222"/>
      <c r="I19" s="214"/>
      <c r="J19" s="214"/>
      <c r="K19" s="214">
        <v>1</v>
      </c>
      <c r="L19" s="125"/>
      <c r="M19" s="125"/>
      <c r="N19" s="125"/>
      <c r="O19" s="125"/>
      <c r="P19" s="125"/>
      <c r="Q19" s="125"/>
      <c r="R19" s="125"/>
    </row>
    <row r="20" spans="2:18" ht="12.75" customHeight="1">
      <c r="B20" s="212"/>
      <c r="C20" s="212" t="s">
        <v>861</v>
      </c>
      <c r="D20" s="212" t="s">
        <v>862</v>
      </c>
      <c r="E20" s="221" t="s">
        <v>590</v>
      </c>
      <c r="F20" s="224"/>
      <c r="G20" s="213"/>
      <c r="H20" s="222">
        <v>1</v>
      </c>
      <c r="I20" s="214"/>
      <c r="J20" s="214"/>
      <c r="K20" s="214"/>
      <c r="L20" s="125"/>
      <c r="M20" s="125"/>
      <c r="N20" s="125"/>
      <c r="O20" s="125"/>
      <c r="P20" s="125"/>
      <c r="Q20" s="125"/>
      <c r="R20" s="125"/>
    </row>
    <row r="21" spans="2:18" ht="12.75" customHeight="1">
      <c r="B21" s="212"/>
      <c r="C21" s="223"/>
      <c r="D21" s="212"/>
      <c r="E21" s="224" t="s">
        <v>589</v>
      </c>
      <c r="F21" s="224"/>
      <c r="G21" s="212"/>
      <c r="H21" s="222">
        <v>1</v>
      </c>
      <c r="I21" s="214"/>
      <c r="J21" s="214"/>
      <c r="K21" s="214"/>
      <c r="L21" s="226"/>
      <c r="M21" s="125"/>
      <c r="N21" s="226"/>
      <c r="O21" s="125"/>
      <c r="P21" s="125"/>
      <c r="Q21" s="125"/>
      <c r="R21" s="125"/>
    </row>
    <row r="22" spans="2:18" ht="12.75" customHeight="1">
      <c r="B22" s="212"/>
      <c r="C22" s="223"/>
      <c r="D22" s="212"/>
      <c r="E22" s="224"/>
      <c r="F22" s="224"/>
      <c r="G22" s="225" t="s">
        <v>641</v>
      </c>
      <c r="H22" s="222"/>
      <c r="I22" s="214"/>
      <c r="J22" s="214"/>
      <c r="K22" s="214"/>
      <c r="L22" s="125"/>
      <c r="M22" s="125"/>
      <c r="N22" s="125"/>
      <c r="O22" s="125"/>
      <c r="P22" s="125"/>
      <c r="Q22" s="125"/>
      <c r="R22" s="125"/>
    </row>
    <row r="23" spans="2:18" ht="12.75" customHeight="1">
      <c r="B23" s="212"/>
      <c r="C23" s="223"/>
      <c r="D23" s="212"/>
      <c r="E23" s="224"/>
      <c r="F23" s="224"/>
      <c r="G23" s="212" t="s">
        <v>799</v>
      </c>
      <c r="H23" s="222"/>
      <c r="I23" s="214"/>
      <c r="J23" s="214"/>
      <c r="K23" s="214">
        <v>1</v>
      </c>
      <c r="L23" s="125"/>
      <c r="M23" s="125"/>
      <c r="N23" s="222"/>
      <c r="O23" s="222"/>
      <c r="P23" s="222"/>
      <c r="Q23" s="222"/>
      <c r="R23" s="222"/>
    </row>
    <row r="24" spans="2:18" ht="12.75" customHeight="1">
      <c r="B24" s="212"/>
      <c r="C24" s="212" t="s">
        <v>883</v>
      </c>
      <c r="D24" s="212" t="s">
        <v>884</v>
      </c>
      <c r="E24" s="212" t="s">
        <v>602</v>
      </c>
      <c r="F24" s="212"/>
      <c r="G24" s="212"/>
      <c r="H24" s="19">
        <v>1</v>
      </c>
      <c r="I24" s="19"/>
      <c r="J24" s="19"/>
      <c r="K24" s="19"/>
      <c r="L24" s="19"/>
      <c r="M24" s="19"/>
      <c r="N24" s="19"/>
      <c r="O24" s="19"/>
      <c r="P24" s="19"/>
      <c r="Q24" s="19"/>
      <c r="R24" s="222"/>
    </row>
    <row r="25" spans="2:18" ht="12.75" customHeight="1">
      <c r="B25" s="212"/>
      <c r="C25" s="223"/>
      <c r="D25" s="212"/>
      <c r="E25" s="212" t="s">
        <v>661</v>
      </c>
      <c r="F25" s="224"/>
      <c r="G25" s="212"/>
      <c r="H25" s="19">
        <v>1</v>
      </c>
      <c r="I25" s="214"/>
      <c r="J25" s="214"/>
      <c r="K25" s="214"/>
      <c r="L25" s="125"/>
      <c r="M25" s="125"/>
      <c r="N25" s="222"/>
      <c r="O25" s="222"/>
      <c r="P25" s="222"/>
      <c r="Q25" s="222"/>
      <c r="R25" s="222"/>
    </row>
    <row r="26" spans="2:18" ht="12.75" customHeight="1">
      <c r="B26" s="212"/>
      <c r="C26" s="223"/>
      <c r="D26" s="212"/>
      <c r="E26" s="224"/>
      <c r="F26" s="224"/>
      <c r="G26" s="225" t="s">
        <v>641</v>
      </c>
      <c r="H26" s="222"/>
      <c r="I26" s="214"/>
      <c r="J26" s="214"/>
      <c r="K26" s="214"/>
      <c r="L26" s="125"/>
      <c r="M26" s="125"/>
      <c r="N26" s="222"/>
      <c r="O26" s="222"/>
      <c r="P26" s="222"/>
      <c r="Q26" s="222"/>
      <c r="R26" s="222"/>
    </row>
    <row r="27" spans="2:18">
      <c r="B27" s="212"/>
      <c r="C27" s="223"/>
      <c r="D27" s="212"/>
      <c r="E27" s="224"/>
      <c r="F27" s="224"/>
      <c r="G27" s="212" t="s">
        <v>799</v>
      </c>
      <c r="H27" s="222"/>
      <c r="I27" s="214"/>
      <c r="J27" s="214"/>
      <c r="K27" s="214">
        <v>1</v>
      </c>
      <c r="L27" s="125"/>
      <c r="M27" s="125"/>
      <c r="N27" s="222"/>
      <c r="O27" s="222"/>
      <c r="P27" s="222"/>
      <c r="Q27" s="222"/>
      <c r="R27" s="222"/>
    </row>
    <row r="28" spans="2:18">
      <c r="B28" s="48" t="s">
        <v>621</v>
      </c>
      <c r="C28" s="212" t="s">
        <v>701</v>
      </c>
      <c r="D28" s="212" t="s">
        <v>702</v>
      </c>
      <c r="E28" s="125" t="s">
        <v>582</v>
      </c>
      <c r="F28" s="125"/>
      <c r="G28" s="213"/>
      <c r="H28" s="227">
        <v>1.26</v>
      </c>
      <c r="I28" s="227">
        <v>1.23</v>
      </c>
      <c r="J28" s="214"/>
      <c r="K28" s="214"/>
      <c r="L28" s="228">
        <v>2030</v>
      </c>
      <c r="M28" s="228">
        <v>0.97</v>
      </c>
      <c r="N28" s="228">
        <v>25</v>
      </c>
      <c r="O28" s="228">
        <v>13</v>
      </c>
      <c r="P28" s="228">
        <v>0.62</v>
      </c>
      <c r="Q28" s="228">
        <v>0</v>
      </c>
      <c r="R28" s="222"/>
    </row>
    <row r="29" spans="2:18">
      <c r="B29" s="212"/>
      <c r="C29" s="223"/>
      <c r="D29" s="229"/>
      <c r="E29" s="212" t="s">
        <v>799</v>
      </c>
      <c r="F29" s="212"/>
      <c r="G29" s="224" t="s">
        <v>493</v>
      </c>
      <c r="H29" s="230">
        <f>44/32/0.02</f>
        <v>68.75</v>
      </c>
      <c r="I29" s="214"/>
      <c r="J29" s="214"/>
      <c r="K29" s="214">
        <v>0.1</v>
      </c>
      <c r="L29" s="125"/>
      <c r="M29" s="125"/>
      <c r="N29" s="125"/>
      <c r="O29" s="222"/>
      <c r="P29" s="222"/>
      <c r="Q29" s="125"/>
      <c r="R29" s="222"/>
    </row>
    <row r="30" spans="2:18">
      <c r="B30" s="212"/>
      <c r="C30" s="231"/>
      <c r="D30" s="231"/>
      <c r="E30" s="231"/>
      <c r="F30" s="231"/>
      <c r="G30" s="232" t="s">
        <v>598</v>
      </c>
      <c r="H30" s="233"/>
      <c r="I30" s="234"/>
      <c r="J30" s="234"/>
      <c r="K30" s="234"/>
      <c r="L30" s="125"/>
      <c r="M30" s="125"/>
      <c r="N30" s="125"/>
      <c r="O30" s="222"/>
      <c r="P30" s="222"/>
      <c r="Q30" s="125"/>
      <c r="R30" s="222"/>
    </row>
    <row r="31" spans="2:18">
      <c r="B31" s="48" t="s">
        <v>792</v>
      </c>
      <c r="C31" s="406" t="s">
        <v>860</v>
      </c>
      <c r="D31" s="406" t="s">
        <v>897</v>
      </c>
      <c r="E31" s="224" t="s">
        <v>791</v>
      </c>
      <c r="F31" s="224"/>
      <c r="G31" s="212" t="s">
        <v>799</v>
      </c>
      <c r="H31" s="19"/>
      <c r="I31" s="19"/>
      <c r="J31" s="258">
        <f>1/(5.25/1000)</f>
        <v>190.47619047619045</v>
      </c>
      <c r="K31" s="19"/>
      <c r="L31" s="19">
        <v>2035</v>
      </c>
      <c r="M31" s="131">
        <v>0.9</v>
      </c>
      <c r="N31" s="19">
        <v>30</v>
      </c>
      <c r="O31" s="72">
        <v>668.29629629629596</v>
      </c>
      <c r="P31" s="19"/>
      <c r="Q31" s="258">
        <v>22.533333333333331</v>
      </c>
      <c r="R31" s="19"/>
    </row>
    <row r="32" spans="2:18">
      <c r="B32" s="212"/>
      <c r="C32" s="19"/>
      <c r="D32" s="19"/>
      <c r="E32" s="224" t="s">
        <v>253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2:18">
      <c r="B33" s="212"/>
      <c r="C33" s="19"/>
      <c r="D33" s="19"/>
      <c r="E33" s="224" t="s">
        <v>598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2:18">
      <c r="B34" s="212"/>
      <c r="C34" s="19"/>
      <c r="D34" s="19"/>
      <c r="E34" s="224"/>
      <c r="F34" s="19" t="s">
        <v>651</v>
      </c>
      <c r="G34" s="19"/>
      <c r="H34" s="142">
        <f>366*3.6/10^6</f>
        <v>1.3176000000000002E-3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2:18">
      <c r="B35" s="48" t="s">
        <v>792</v>
      </c>
      <c r="C35" s="125" t="s">
        <v>895</v>
      </c>
      <c r="D35" s="125" t="s">
        <v>896</v>
      </c>
      <c r="E35" s="224" t="s">
        <v>598</v>
      </c>
      <c r="F35" s="224"/>
      <c r="G35" s="212"/>
      <c r="H35" s="19">
        <v>1.1100000000000001</v>
      </c>
      <c r="I35" s="131">
        <v>1.0859000000000001</v>
      </c>
      <c r="J35" s="258"/>
      <c r="K35" s="258"/>
      <c r="L35" s="19">
        <v>2035</v>
      </c>
      <c r="M35" s="228">
        <v>0.97</v>
      </c>
      <c r="N35" s="228">
        <v>25</v>
      </c>
      <c r="O35" s="230">
        <v>14.413541810802082</v>
      </c>
      <c r="P35" s="230">
        <v>0.57654167243208332</v>
      </c>
      <c r="Q35" s="228"/>
      <c r="R35" s="19"/>
    </row>
    <row r="36" spans="2:18">
      <c r="B36" s="212"/>
      <c r="C36" s="19"/>
      <c r="D36" s="19"/>
      <c r="E36" s="224"/>
      <c r="F36" s="19"/>
      <c r="G36" s="19" t="s">
        <v>172</v>
      </c>
      <c r="H36" s="19"/>
      <c r="I36" s="131"/>
      <c r="J36" s="19"/>
      <c r="K36" s="19"/>
      <c r="L36" s="19"/>
      <c r="M36" s="19"/>
      <c r="N36" s="19"/>
      <c r="O36" s="19"/>
      <c r="P36" s="19"/>
      <c r="Q36" s="19"/>
      <c r="R36" s="19"/>
    </row>
    <row r="40" spans="2:18">
      <c r="B40" s="15" t="s">
        <v>526</v>
      </c>
    </row>
    <row r="41" spans="2:18">
      <c r="B41" s="35" t="s">
        <v>94</v>
      </c>
      <c r="C41" s="36" t="s">
        <v>555</v>
      </c>
      <c r="D41" s="36" t="s">
        <v>556</v>
      </c>
      <c r="E41" s="36" t="s">
        <v>527</v>
      </c>
      <c r="F41" s="36" t="s">
        <v>528</v>
      </c>
      <c r="G41" s="36" t="s">
        <v>529</v>
      </c>
      <c r="H41" s="36" t="s">
        <v>530</v>
      </c>
      <c r="I41" s="37" t="s">
        <v>531</v>
      </c>
    </row>
    <row r="42" spans="2:18">
      <c r="B42" s="24" t="s">
        <v>468</v>
      </c>
      <c r="C42" s="24" t="s">
        <v>892</v>
      </c>
      <c r="D42" s="24" t="str">
        <f>VLOOKUP(C42,$C$5:$D$39,2,0)</f>
        <v>TOTCO2 backstop</v>
      </c>
      <c r="E42" s="24" t="s">
        <v>503</v>
      </c>
      <c r="F42" s="24" t="s">
        <v>863</v>
      </c>
      <c r="G42" s="24"/>
      <c r="H42" s="24" t="s">
        <v>641</v>
      </c>
      <c r="I42" s="24" t="s">
        <v>533</v>
      </c>
    </row>
    <row r="43" spans="2:18">
      <c r="B43" s="24" t="s">
        <v>468</v>
      </c>
      <c r="C43" s="24" t="s">
        <v>692</v>
      </c>
      <c r="D43" s="24" t="str">
        <f>VLOOKUP(C43,$C$5:$D$39,2,0)</f>
        <v>Mineralization for CO2 storage</v>
      </c>
      <c r="E43" s="24" t="s">
        <v>503</v>
      </c>
      <c r="F43" s="24" t="s">
        <v>863</v>
      </c>
      <c r="G43" s="24"/>
      <c r="H43" s="24" t="s">
        <v>799</v>
      </c>
      <c r="I43" s="24" t="s">
        <v>533</v>
      </c>
    </row>
    <row r="44" spans="2:18">
      <c r="B44" s="24" t="s">
        <v>468</v>
      </c>
      <c r="C44" s="24" t="s">
        <v>854</v>
      </c>
      <c r="D44" s="24" t="s">
        <v>855</v>
      </c>
      <c r="E44" s="24" t="s">
        <v>503</v>
      </c>
      <c r="F44" s="24" t="s">
        <v>863</v>
      </c>
      <c r="G44" s="24"/>
      <c r="H44" s="24" t="s">
        <v>695</v>
      </c>
      <c r="I44" s="24" t="s">
        <v>533</v>
      </c>
    </row>
    <row r="45" spans="2:18">
      <c r="B45" s="24" t="s">
        <v>468</v>
      </c>
      <c r="C45" s="24" t="s">
        <v>853</v>
      </c>
      <c r="D45" s="24" t="s">
        <v>694</v>
      </c>
      <c r="E45" s="24" t="s">
        <v>503</v>
      </c>
      <c r="F45" s="24" t="s">
        <v>863</v>
      </c>
      <c r="G45" s="24"/>
      <c r="H45" s="24" t="s">
        <v>695</v>
      </c>
      <c r="I45" s="24" t="s">
        <v>533</v>
      </c>
    </row>
    <row r="46" spans="2:18">
      <c r="B46" s="24" t="s">
        <v>468</v>
      </c>
      <c r="C46" s="24" t="s">
        <v>701</v>
      </c>
      <c r="D46" s="24" t="str">
        <f>VLOOKUP(C46,$C$5:$D$39,2,0)</f>
        <v>H2 + CO2 from flue gas</v>
      </c>
      <c r="E46" s="24" t="s">
        <v>41</v>
      </c>
      <c r="F46" s="24" t="s">
        <v>534</v>
      </c>
      <c r="G46" s="24" t="s">
        <v>566</v>
      </c>
      <c r="H46" s="24" t="s">
        <v>598</v>
      </c>
      <c r="I46" s="24" t="s">
        <v>533</v>
      </c>
    </row>
    <row r="47" spans="2:18">
      <c r="B47" s="24" t="s">
        <v>468</v>
      </c>
      <c r="C47" s="24" t="s">
        <v>881</v>
      </c>
      <c r="D47" s="24" t="s">
        <v>700</v>
      </c>
      <c r="E47" s="24" t="s">
        <v>503</v>
      </c>
      <c r="F47" s="24" t="s">
        <v>863</v>
      </c>
      <c r="G47" s="24"/>
      <c r="H47" s="24" t="s">
        <v>799</v>
      </c>
      <c r="I47" s="24" t="s">
        <v>533</v>
      </c>
    </row>
    <row r="48" spans="2:18">
      <c r="B48" s="24" t="s">
        <v>468</v>
      </c>
      <c r="C48" s="24" t="s">
        <v>697</v>
      </c>
      <c r="D48" s="24" t="s">
        <v>698</v>
      </c>
      <c r="E48" s="24" t="s">
        <v>503</v>
      </c>
      <c r="F48" s="24" t="s">
        <v>863</v>
      </c>
      <c r="G48" s="24"/>
      <c r="H48" s="24" t="s">
        <v>641</v>
      </c>
      <c r="I48" s="24" t="s">
        <v>533</v>
      </c>
    </row>
    <row r="49" spans="2:9">
      <c r="B49" s="24" t="s">
        <v>468</v>
      </c>
      <c r="C49" s="24" t="s">
        <v>861</v>
      </c>
      <c r="D49" s="24" t="s">
        <v>862</v>
      </c>
      <c r="E49" s="24" t="s">
        <v>503</v>
      </c>
      <c r="F49" s="24" t="s">
        <v>863</v>
      </c>
      <c r="G49" s="24"/>
      <c r="H49" s="24" t="s">
        <v>641</v>
      </c>
      <c r="I49" s="24" t="s">
        <v>533</v>
      </c>
    </row>
    <row r="50" spans="2:9">
      <c r="B50" s="24" t="s">
        <v>468</v>
      </c>
      <c r="C50" s="24" t="s">
        <v>883</v>
      </c>
      <c r="D50" s="24" t="s">
        <v>884</v>
      </c>
      <c r="E50" s="24" t="s">
        <v>503</v>
      </c>
      <c r="F50" s="24" t="s">
        <v>863</v>
      </c>
      <c r="G50" s="24"/>
      <c r="H50" s="24" t="s">
        <v>641</v>
      </c>
      <c r="I50" s="24" t="s">
        <v>533</v>
      </c>
    </row>
    <row r="51" spans="2:9">
      <c r="B51" s="24" t="s">
        <v>468</v>
      </c>
      <c r="C51" s="24" t="s">
        <v>860</v>
      </c>
      <c r="D51" s="24" t="s">
        <v>897</v>
      </c>
      <c r="E51" s="24" t="s">
        <v>503</v>
      </c>
      <c r="F51" s="24" t="s">
        <v>863</v>
      </c>
      <c r="G51" s="24"/>
      <c r="H51" s="24" t="s">
        <v>799</v>
      </c>
      <c r="I51" s="24"/>
    </row>
    <row r="52" spans="2:9">
      <c r="B52" s="24" t="s">
        <v>468</v>
      </c>
      <c r="C52" s="24" t="s">
        <v>895</v>
      </c>
      <c r="D52" s="24" t="s">
        <v>896</v>
      </c>
      <c r="E52" s="24" t="s">
        <v>41</v>
      </c>
      <c r="F52" s="24" t="s">
        <v>534</v>
      </c>
      <c r="G52" s="24"/>
      <c r="H52" s="24" t="s">
        <v>172</v>
      </c>
      <c r="I52" s="24" t="s">
        <v>533</v>
      </c>
    </row>
  </sheetData>
  <phoneticPr fontId="34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ELC</vt:lpstr>
      <vt:lpstr>ELC_HTP</vt:lpstr>
      <vt:lpstr>ELC_STG</vt:lpstr>
      <vt:lpstr>IND_CHP</vt:lpstr>
      <vt:lpstr>UPS</vt:lpstr>
      <vt:lpstr>UPS_HYD</vt:lpstr>
      <vt:lpstr>UPS_CC</vt:lpstr>
      <vt:lpstr>ELC!BaseYear</vt:lpstr>
      <vt:lpstr>BaseYear</vt:lpstr>
      <vt:lpstr>ELC!Print_Area</vt:lpstr>
      <vt:lpstr>ELC!Print_Titles</vt:lpstr>
    </vt:vector>
  </TitlesOfParts>
  <Company>DOE/EIA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</dc:creator>
  <cp:lastModifiedBy>Antti-L</cp:lastModifiedBy>
  <dcterms:created xsi:type="dcterms:W3CDTF">2003-08-25T15:40:35Z</dcterms:created>
  <dcterms:modified xsi:type="dcterms:W3CDTF">2021-01-22T09:57:20Z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426338493824005</vt:r8>
  </property>
</Properties>
</file>